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ustomProperty6.bin" ContentType="application/vnd.openxmlformats-officedocument.spreadsheetml.customProperty"/>
  <Override PartName="/xl/comments1.xml" ContentType="application/vnd.openxmlformats-officedocument.spreadsheetml.comments+xml"/>
  <Override PartName="/xl/threadedComments/threadedComment1.xml" ContentType="application/vnd.ms-excel.threadedcomments+xml"/>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2.xml" ContentType="application/vnd.ms-office.chartstyle+xml"/>
  <Override PartName="/xl/charts/colors2.xml" ContentType="application/vnd.ms-office.chartcolorstyle+xml"/>
  <Override PartName="/xl/charts/chart13.xml" ContentType="application/vnd.openxmlformats-officedocument.drawingml.chart+xml"/>
  <Override PartName="/xl/charts/style3.xml" ContentType="application/vnd.ms-office.chartstyle+xml"/>
  <Override PartName="/xl/charts/colors3.xml" ContentType="application/vnd.ms-office.chartcolorstyle+xml"/>
  <Override PartName="/xl/charts/chart14.xml" ContentType="application/vnd.openxmlformats-officedocument.drawingml.chart+xml"/>
  <Override PartName="/xl/charts/style4.xml" ContentType="application/vnd.ms-office.chartstyle+xml"/>
  <Override PartName="/xl/charts/colors4.xml" ContentType="application/vnd.ms-office.chartcolorstyle+xml"/>
  <Override PartName="/xl/charts/chart15.xml" ContentType="application/vnd.openxmlformats-officedocument.drawingml.chart+xml"/>
  <Override PartName="/xl/charts/style5.xml" ContentType="application/vnd.ms-office.chartstyle+xml"/>
  <Override PartName="/xl/charts/colors5.xml" ContentType="application/vnd.ms-office.chartcolorstyle+xml"/>
  <Override PartName="/xl/charts/chart16.xml" ContentType="application/vnd.openxmlformats-officedocument.drawingml.chart+xml"/>
  <Override PartName="/xl/charts/style6.xml" ContentType="application/vnd.ms-office.chartstyle+xml"/>
  <Override PartName="/xl/charts/colors6.xml" ContentType="application/vnd.ms-office.chartcolorstyle+xml"/>
  <Override PartName="/xl/charts/chart17.xml" ContentType="application/vnd.openxmlformats-officedocument.drawingml.chart+xml"/>
  <Override PartName="/xl/charts/style7.xml" ContentType="application/vnd.ms-office.chartstyle+xml"/>
  <Override PartName="/xl/charts/colors7.xml" ContentType="application/vnd.ms-office.chartcolorstyle+xml"/>
  <Override PartName="/xl/charts/chart18.xml" ContentType="application/vnd.openxmlformats-officedocument.drawingml.chart+xml"/>
  <Override PartName="/xl/charts/style8.xml" ContentType="application/vnd.ms-office.chartstyle+xml"/>
  <Override PartName="/xl/charts/colors8.xml" ContentType="application/vnd.ms-office.chartcolorstyle+xml"/>
  <Override PartName="/xl/charts/chart19.xml" ContentType="application/vnd.openxmlformats-officedocument.drawingml.chart+xml"/>
  <Override PartName="/xl/charts/style9.xml" ContentType="application/vnd.ms-office.chartstyle+xml"/>
  <Override PartName="/xl/charts/colors9.xml" ContentType="application/vnd.ms-office.chartcolorstyle+xml"/>
  <Override PartName="/xl/charts/chart20.xml" ContentType="application/vnd.openxmlformats-officedocument.drawingml.chart+xml"/>
  <Override PartName="/xl/charts/style10.xml" ContentType="application/vnd.ms-office.chartstyle+xml"/>
  <Override PartName="/xl/charts/colors10.xml" ContentType="application/vnd.ms-office.chartcolorstyle+xml"/>
  <Override PartName="/xl/charts/chart21.xml" ContentType="application/vnd.openxmlformats-officedocument.drawingml.chart+xml"/>
  <Override PartName="/xl/charts/style11.xml" ContentType="application/vnd.ms-office.chartstyle+xml"/>
  <Override PartName="/xl/charts/colors11.xml" ContentType="application/vnd.ms-office.chartcolorstyle+xml"/>
  <Override PartName="/xl/charts/chart22.xml" ContentType="application/vnd.openxmlformats-officedocument.drawingml.chart+xml"/>
  <Override PartName="/xl/charts/style12.xml" ContentType="application/vnd.ms-office.chartstyle+xml"/>
  <Override PartName="/xl/charts/colors12.xml" ContentType="application/vnd.ms-office.chartcolorstyle+xml"/>
  <Override PartName="/xl/charts/chart23.xml" ContentType="application/vnd.openxmlformats-officedocument.drawingml.chart+xml"/>
  <Override PartName="/xl/charts/style13.xml" ContentType="application/vnd.ms-office.chartstyle+xml"/>
  <Override PartName="/xl/charts/colors13.xml" ContentType="application/vnd.ms-office.chartcolorstyle+xml"/>
  <Override PartName="/xl/charts/chart24.xml" ContentType="application/vnd.openxmlformats-officedocument.drawingml.chart+xml"/>
  <Override PartName="/xl/charts/style14.xml" ContentType="application/vnd.ms-office.chartstyle+xml"/>
  <Override PartName="/xl/charts/colors14.xml" ContentType="application/vnd.ms-office.chartcolorstyle+xml"/>
  <Override PartName="/xl/charts/chart25.xml" ContentType="application/vnd.openxmlformats-officedocument.drawingml.chart+xml"/>
  <Override PartName="/xl/charts/style15.xml" ContentType="application/vnd.ms-office.chartstyle+xml"/>
  <Override PartName="/xl/charts/colors15.xml" ContentType="application/vnd.ms-office.chartcolorstyle+xml"/>
  <Override PartName="/xl/charts/chart26.xml" ContentType="application/vnd.openxmlformats-officedocument.drawingml.chart+xml"/>
  <Override PartName="/xl/charts/style16.xml" ContentType="application/vnd.ms-office.chartstyle+xml"/>
  <Override PartName="/xl/charts/colors16.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style17.xml" ContentType="application/vnd.ms-office.chartstyle+xml"/>
  <Override PartName="/xl/charts/colors17.xml" ContentType="application/vnd.ms-office.chartcolorstyle+xml"/>
  <Override PartName="/xl/charts/chart32.xml" ContentType="application/vnd.openxmlformats-officedocument.drawingml.chart+xml"/>
  <Override PartName="/xl/charts/style18.xml" ContentType="application/vnd.ms-office.chartstyle+xml"/>
  <Override PartName="/xl/charts/colors18.xml" ContentType="application/vnd.ms-office.chartcolorstyle+xml"/>
  <Override PartName="/xl/charts/chart33.xml" ContentType="application/vnd.openxmlformats-officedocument.drawingml.chart+xml"/>
  <Override PartName="/xl/charts/style19.xml" ContentType="application/vnd.ms-office.chartstyle+xml"/>
  <Override PartName="/xl/charts/colors19.xml" ContentType="application/vnd.ms-office.chartcolorstyle+xml"/>
  <Override PartName="/xl/charts/chart34.xml" ContentType="application/vnd.openxmlformats-officedocument.drawingml.chart+xml"/>
  <Override PartName="/xl/charts/style20.xml" ContentType="application/vnd.ms-office.chartstyle+xml"/>
  <Override PartName="/xl/charts/colors20.xml" ContentType="application/vnd.ms-office.chartcolorstyle+xml"/>
  <Override PartName="/xl/charts/chart35.xml" ContentType="application/vnd.openxmlformats-officedocument.drawingml.chart+xml"/>
  <Override PartName="/xl/charts/style21.xml" ContentType="application/vnd.ms-office.chartstyle+xml"/>
  <Override PartName="/xl/charts/colors21.xml" ContentType="application/vnd.ms-office.chartcolorstyle+xml"/>
  <Override PartName="/xl/charts/chart36.xml" ContentType="application/vnd.openxmlformats-officedocument.drawingml.chart+xml"/>
  <Override PartName="/xl/charts/style22.xml" ContentType="application/vnd.ms-office.chartstyle+xml"/>
  <Override PartName="/xl/charts/colors22.xml" ContentType="application/vnd.ms-office.chartcolorstyle+xml"/>
  <Override PartName="/xl/charts/chart37.xml" ContentType="application/vnd.openxmlformats-officedocument.drawingml.chart+xml"/>
  <Override PartName="/xl/charts/style23.xml" ContentType="application/vnd.ms-office.chartstyle+xml"/>
  <Override PartName="/xl/charts/colors23.xml" ContentType="application/vnd.ms-office.chartcolorstyle+xml"/>
  <Override PartName="/xl/charts/chart38.xml" ContentType="application/vnd.openxmlformats-officedocument.drawingml.chart+xml"/>
  <Override PartName="/xl/charts/style24.xml" ContentType="application/vnd.ms-office.chartstyle+xml"/>
  <Override PartName="/xl/charts/colors24.xml" ContentType="application/vnd.ms-office.chartcolorstyle+xml"/>
  <Override PartName="/xl/charts/chart39.xml" ContentType="application/vnd.openxmlformats-officedocument.drawingml.chart+xml"/>
  <Override PartName="/xl/charts/style25.xml" ContentType="application/vnd.ms-office.chartstyle+xml"/>
  <Override PartName="/xl/charts/colors25.xml" ContentType="application/vnd.ms-office.chartcolorstyle+xml"/>
  <Override PartName="/xl/charts/chart40.xml" ContentType="application/vnd.openxmlformats-officedocument.drawingml.chart+xml"/>
  <Override PartName="/xl/charts/style26.xml" ContentType="application/vnd.ms-office.chartstyle+xml"/>
  <Override PartName="/xl/charts/colors26.xml" ContentType="application/vnd.ms-office.chartcolorstyle+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drawings/drawing4.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ustomProperty18.bin" ContentType="application/vnd.openxmlformats-officedocument.spreadsheetml.customProperty"/>
  <Override PartName="/xl/drawings/drawing5.xml" ContentType="application/vnd.openxmlformats-officedocument.drawing+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ustomProperty19.bin" ContentType="application/vnd.openxmlformats-officedocument.spreadsheetml.customProperty"/>
  <Override PartName="/xl/drawings/drawing6.xml" ContentType="application/vnd.openxmlformats-officedocument.drawing+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ustomProperty20.bin" ContentType="application/vnd.openxmlformats-officedocument.spreadsheetml.customProperty"/>
  <Override PartName="/xl/drawings/drawing7.xml" ContentType="application/vnd.openxmlformats-officedocument.drawing+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8.xml" ContentType="application/vnd.openxmlformats-officedocument.drawingml.chartshapes+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style28.xml" ContentType="application/vnd.ms-office.chartstyle+xml"/>
  <Override PartName="/xl/charts/colors28.xml" ContentType="application/vnd.ms-office.chartcolorstyle+xml"/>
  <Override PartName="/xl/charts/chartEx1.xml" ContentType="application/vnd.ms-office.chartex+xml"/>
  <Override PartName="/xl/charts/style29.xml" ContentType="application/vnd.ms-office.chartstyle+xml"/>
  <Override PartName="/xl/charts/colors29.xml" ContentType="application/vnd.ms-office.chartcolorstyle+xml"/>
  <Override PartName="/xl/charts/chartEx2.xml" ContentType="application/vnd.ms-office.chartex+xml"/>
  <Override PartName="/xl/charts/style30.xml" ContentType="application/vnd.ms-office.chartstyle+xml"/>
  <Override PartName="/xl/charts/colors30.xml" ContentType="application/vnd.ms-office.chartcolorstyle+xml"/>
  <Override PartName="/xl/charts/chartEx3.xml" ContentType="application/vnd.ms-office.chartex+xml"/>
  <Override PartName="/xl/charts/style31.xml" ContentType="application/vnd.ms-office.chartstyle+xml"/>
  <Override PartName="/xl/charts/colors31.xml" ContentType="application/vnd.ms-office.chartcolorstyle+xml"/>
  <Override PartName="/xl/charts/chartEx4.xml" ContentType="application/vnd.ms-office.chartex+xml"/>
  <Override PartName="/xl/charts/style32.xml" ContentType="application/vnd.ms-office.chartstyle+xml"/>
  <Override PartName="/xl/charts/colors32.xml" ContentType="application/vnd.ms-office.chartcolorstyle+xml"/>
  <Override PartName="/xl/charts/chartEx5.xml" ContentType="application/vnd.ms-office.chartex+xml"/>
  <Override PartName="/xl/charts/style33.xml" ContentType="application/vnd.ms-office.chartstyle+xml"/>
  <Override PartName="/xl/charts/colors33.xml" ContentType="application/vnd.ms-office.chartcolorstyle+xml"/>
  <Override PartName="/xl/charts/chartEx6.xml" ContentType="application/vnd.ms-office.chartex+xml"/>
  <Override PartName="/xl/charts/style34.xml" ContentType="application/vnd.ms-office.chartstyle+xml"/>
  <Override PartName="/xl/charts/colors34.xml" ContentType="application/vnd.ms-office.chartcolorstyle+xml"/>
  <Override PartName="/xl/charts/chartEx7.xml" ContentType="application/vnd.ms-office.chartex+xml"/>
  <Override PartName="/xl/charts/style35.xml" ContentType="application/vnd.ms-office.chartstyle+xml"/>
  <Override PartName="/xl/charts/colors35.xml" ContentType="application/vnd.ms-office.chartcolorstyle+xml"/>
  <Override PartName="/xl/charts/chartEx8.xml" ContentType="application/vnd.ms-office.chartex+xml"/>
  <Override PartName="/xl/charts/style36.xml" ContentType="application/vnd.ms-office.chartstyle+xml"/>
  <Override PartName="/xl/charts/colors36.xml" ContentType="application/vnd.ms-office.chartcolorstyle+xml"/>
  <Override PartName="/xl/charts/chart152.xml" ContentType="application/vnd.openxmlformats-officedocument.drawingml.chart+xml"/>
  <Override PartName="/xl/charts/style37.xml" ContentType="application/vnd.ms-office.chartstyle+xml"/>
  <Override PartName="/xl/charts/colors37.xml" ContentType="application/vnd.ms-office.chartcolorstyle+xml"/>
  <Override PartName="/xl/charts/chart153.xml" ContentType="application/vnd.openxmlformats-officedocument.drawingml.chart+xml"/>
  <Override PartName="/xl/charts/style38.xml" ContentType="application/vnd.ms-office.chartstyle+xml"/>
  <Override PartName="/xl/charts/colors38.xml" ContentType="application/vnd.ms-office.chartcolorstyle+xml"/>
  <Override PartName="/xl/charts/chart154.xml" ContentType="application/vnd.openxmlformats-officedocument.drawingml.chart+xml"/>
  <Override PartName="/xl/charts/style39.xml" ContentType="application/vnd.ms-office.chartstyle+xml"/>
  <Override PartName="/xl/charts/colors39.xml" ContentType="application/vnd.ms-office.chartcolorstyle+xml"/>
  <Override PartName="/xl/charts/chartEx9.xml" ContentType="application/vnd.ms-office.chartex+xml"/>
  <Override PartName="/xl/charts/style40.xml" ContentType="application/vnd.ms-office.chartstyle+xml"/>
  <Override PartName="/xl/charts/colors40.xml" ContentType="application/vnd.ms-office.chartcolorstyle+xml"/>
  <Override PartName="/xl/charts/chart155.xml" ContentType="application/vnd.openxmlformats-officedocument.drawingml.chart+xml"/>
  <Override PartName="/xl/charts/style41.xml" ContentType="application/vnd.ms-office.chartstyle+xml"/>
  <Override PartName="/xl/charts/colors41.xml" ContentType="application/vnd.ms-office.chartcolorstyle+xml"/>
  <Override PartName="/xl/charts/chart156.xml" ContentType="application/vnd.openxmlformats-officedocument.drawingml.chart+xml"/>
  <Override PartName="/xl/customProperty21.bin" ContentType="application/vnd.openxmlformats-officedocument.spreadsheetml.customProperty"/>
  <Override PartName="/xl/drawings/drawing9.xml" ContentType="application/vnd.openxmlformats-officedocument.drawing+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ustomProperty22.bin" ContentType="application/vnd.openxmlformats-officedocument.spreadsheetml.customProperty"/>
  <Override PartName="/xl/drawings/drawing10.xml" ContentType="application/vnd.openxmlformats-officedocument.drawing+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ustomProperty23.bin" ContentType="application/vnd.openxmlformats-officedocument.spreadsheetml.customProperty"/>
  <Override PartName="/xl/drawings/drawing11.xml" ContentType="application/vnd.openxmlformats-officedocument.drawing+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ustomProperty24.bin" ContentType="application/vnd.openxmlformats-officedocument.spreadsheetml.customProperty"/>
  <Override PartName="/xl/drawings/drawing12.xml" ContentType="application/vnd.openxmlformats-officedocument.drawing+xml"/>
  <Override PartName="/xl/charts/chart183.xml" ContentType="application/vnd.openxmlformats-officedocument.drawingml.chart+xml"/>
  <Override PartName="/xl/customProperty25.bin" ContentType="application/vnd.openxmlformats-officedocument.spreadsheetml.customProperty"/>
  <Override PartName="/xl/drawings/drawing13.xml" ContentType="application/vnd.openxmlformats-officedocument.drawing+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ustomProperty26.bin" ContentType="application/vnd.openxmlformats-officedocument.spreadsheetml.customProperty"/>
  <Override PartName="/xl/drawings/drawing14.xml" ContentType="application/vnd.openxmlformats-officedocument.drawing+xml"/>
  <Override PartName="/xl/charts/chart199.xml" ContentType="application/vnd.openxmlformats-officedocument.drawingml.chart+xml"/>
  <Override PartName="/xl/theme/themeOverride1.xml" ContentType="application/vnd.openxmlformats-officedocument.themeOverride+xml"/>
  <Override PartName="/xl/charts/chart200.xml" ContentType="application/vnd.openxmlformats-officedocument.drawingml.chart+xml"/>
  <Override PartName="/xl/theme/themeOverride2.xml" ContentType="application/vnd.openxmlformats-officedocument.themeOverride+xml"/>
  <Override PartName="/xl/charts/chart201.xml" ContentType="application/vnd.openxmlformats-officedocument.drawingml.chart+xml"/>
  <Override PartName="/xl/theme/themeOverride3.xml" ContentType="application/vnd.openxmlformats-officedocument.themeOverride+xml"/>
  <Override PartName="/xl/charts/chart202.xml" ContentType="application/vnd.openxmlformats-officedocument.drawingml.chart+xml"/>
  <Override PartName="/xl/theme/themeOverride4.xml" ContentType="application/vnd.openxmlformats-officedocument.themeOverride+xml"/>
  <Override PartName="/xl/charts/chart203.xml" ContentType="application/vnd.openxmlformats-officedocument.drawingml.chart+xml"/>
  <Override PartName="/xl/theme/themeOverride5.xml" ContentType="application/vnd.openxmlformats-officedocument.themeOverride+xml"/>
  <Override PartName="/xl/charts/chart204.xml" ContentType="application/vnd.openxmlformats-officedocument.drawingml.chart+xml"/>
  <Override PartName="/xl/theme/themeOverride6.xml" ContentType="application/vnd.openxmlformats-officedocument.themeOverride+xml"/>
  <Override PartName="/xl/charts/chart205.xml" ContentType="application/vnd.openxmlformats-officedocument.drawingml.chart+xml"/>
  <Override PartName="/xl/theme/themeOverride7.xml" ContentType="application/vnd.openxmlformats-officedocument.themeOverride+xml"/>
  <Override PartName="/xl/charts/chart206.xml" ContentType="application/vnd.openxmlformats-officedocument.drawingml.chart+xml"/>
  <Override PartName="/xl/theme/themeOverride8.xml" ContentType="application/vnd.openxmlformats-officedocument.themeOverride+xml"/>
  <Override PartName="/xl/customProperty27.bin" ContentType="application/vnd.openxmlformats-officedocument.spreadsheetml.customProperty"/>
  <Override PartName="/xl/drawings/drawing15.xml" ContentType="application/vnd.openxmlformats-officedocument.drawing+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ustomProperty28.bin" ContentType="application/vnd.openxmlformats-officedocument.spreadsheetml.customProperty"/>
  <Override PartName="/xl/customProperty29.bin" ContentType="application/vnd.openxmlformats-officedocument.spreadsheetml.customProperty"/>
  <Override PartName="/xl/drawings/drawing16.xml" ContentType="application/vnd.openxmlformats-officedocument.drawing+xml"/>
  <Override PartName="/xl/customProperty30.bin" ContentType="application/vnd.openxmlformats-officedocument.spreadsheetml.customProperty"/>
  <Override PartName="/xl/customProperty31.bin" ContentType="application/vnd.openxmlformats-officedocument.spreadsheetml.customProperty"/>
  <Override PartName="/xl/drawings/drawing17.xml" ContentType="application/vnd.openxmlformats-officedocument.drawing+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ustomProperty32.bin" ContentType="application/vnd.openxmlformats-officedocument.spreadsheetml.customProperty"/>
  <Override PartName="/xl/drawings/drawing18.xml" ContentType="application/vnd.openxmlformats-officedocument.drawing+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style42.xml" ContentType="application/vnd.ms-office.chartstyle+xml"/>
  <Override PartName="/xl/charts/colors42.xml" ContentType="application/vnd.ms-office.chartcolorstyle+xml"/>
  <Override PartName="/xl/charts/chart224.xml" ContentType="application/vnd.openxmlformats-officedocument.drawingml.chart+xml"/>
  <Override PartName="/xl/charts/style43.xml" ContentType="application/vnd.ms-office.chartstyle+xml"/>
  <Override PartName="/xl/charts/colors43.xml" ContentType="application/vnd.ms-office.chartcolorstyle+xml"/>
  <Override PartName="/xl/charts/chart225.xml" ContentType="application/vnd.openxmlformats-officedocument.drawingml.chart+xml"/>
  <Override PartName="/xl/charts/style44.xml" ContentType="application/vnd.ms-office.chartstyle+xml"/>
  <Override PartName="/xl/charts/colors44.xml" ContentType="application/vnd.ms-office.chartcolorstyle+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charts/chart229.xml" ContentType="application/vnd.openxmlformats-officedocument.drawingml.chart+xml"/>
  <Override PartName="/xl/charts/chart230.xml" ContentType="application/vnd.openxmlformats-officedocument.drawingml.chart+xml"/>
  <Override PartName="/xl/charts/chart231.xml" ContentType="application/vnd.openxmlformats-officedocument.drawingml.chart+xml"/>
  <Override PartName="/xl/charts/chart232.xml" ContentType="application/vnd.openxmlformats-officedocument.drawingml.chart+xml"/>
  <Override PartName="/xl/charts/chart233.xml" ContentType="application/vnd.openxmlformats-officedocument.drawingml.chart+xml"/>
  <Override PartName="/xl/charts/chart234.xml" ContentType="application/vnd.openxmlformats-officedocument.drawingml.chart+xml"/>
  <Override PartName="/xl/charts/style45.xml" ContentType="application/vnd.ms-office.chartstyle+xml"/>
  <Override PartName="/xl/charts/colors45.xml" ContentType="application/vnd.ms-office.chartcolorstyle+xml"/>
  <Override PartName="/xl/charts/chart235.xml" ContentType="application/vnd.openxmlformats-officedocument.drawingml.chart+xml"/>
  <Override PartName="/xl/charts/style46.xml" ContentType="application/vnd.ms-office.chartstyle+xml"/>
  <Override PartName="/xl/charts/colors46.xml" ContentType="application/vnd.ms-office.chartcolorstyle+xml"/>
  <Override PartName="/xl/charts/chart236.xml" ContentType="application/vnd.openxmlformats-officedocument.drawingml.chart+xml"/>
  <Override PartName="/xl/charts/style47.xml" ContentType="application/vnd.ms-office.chartstyle+xml"/>
  <Override PartName="/xl/charts/colors47.xml" ContentType="application/vnd.ms-office.chartcolorstyle+xml"/>
  <Override PartName="/xl/charts/chart237.xml" ContentType="application/vnd.openxmlformats-officedocument.drawingml.chart+xml"/>
  <Override PartName="/xl/charts/style48.xml" ContentType="application/vnd.ms-office.chartstyle+xml"/>
  <Override PartName="/xl/charts/colors48.xml" ContentType="application/vnd.ms-office.chartcolorstyle+xml"/>
  <Override PartName="/xl/charts/chart238.xml" ContentType="application/vnd.openxmlformats-officedocument.drawingml.chart+xml"/>
  <Override PartName="/xl/charts/style49.xml" ContentType="application/vnd.ms-office.chartstyle+xml"/>
  <Override PartName="/xl/charts/colors49.xml" ContentType="application/vnd.ms-office.chartcolorstyle+xml"/>
  <Override PartName="/xl/charts/chart239.xml" ContentType="application/vnd.openxmlformats-officedocument.drawingml.chart+xml"/>
  <Override PartName="/xl/charts/style50.xml" ContentType="application/vnd.ms-office.chartstyle+xml"/>
  <Override PartName="/xl/charts/colors50.xml" ContentType="application/vnd.ms-office.chartcolorstyle+xml"/>
  <Override PartName="/xl/charts/chart240.xml" ContentType="application/vnd.openxmlformats-officedocument.drawingml.chart+xml"/>
  <Override PartName="/xl/charts/chart241.xml" ContentType="application/vnd.openxmlformats-officedocument.drawingml.chart+xml"/>
  <Override PartName="/xl/charts/chart242.xml" ContentType="application/vnd.openxmlformats-officedocument.drawingml.chart+xml"/>
  <Override PartName="/xl/charts/chart243.xml" ContentType="application/vnd.openxmlformats-officedocument.drawingml.chart+xml"/>
  <Override PartName="/xl/charts/chart244.xml" ContentType="application/vnd.openxmlformats-officedocument.drawingml.chart+xml"/>
  <Override PartName="/xl/charts/chart245.xml" ContentType="application/vnd.openxmlformats-officedocument.drawingml.chart+xml"/>
  <Override PartName="/xl/charts/chart246.xml" ContentType="application/vnd.openxmlformats-officedocument.drawingml.chart+xml"/>
  <Override PartName="/xl/charts/chart247.xml" ContentType="application/vnd.openxmlformats-officedocument.drawingml.chart+xml"/>
  <Override PartName="/xl/charts/chart248.xml" ContentType="application/vnd.openxmlformats-officedocument.drawingml.chart+xml"/>
  <Override PartName="/xl/charts/chart249.xml" ContentType="application/vnd.openxmlformats-officedocument.drawingml.chart+xml"/>
  <Override PartName="/xl/charts/chart250.xml" ContentType="application/vnd.openxmlformats-officedocument.drawingml.chart+xml"/>
  <Override PartName="/xl/charts/chart251.xml" ContentType="application/vnd.openxmlformats-officedocument.drawingml.chart+xml"/>
  <Override PartName="/xl/charts/chart252.xml" ContentType="application/vnd.openxmlformats-officedocument.drawingml.chart+xml"/>
  <Override PartName="/xl/charts/chart253.xml" ContentType="application/vnd.openxmlformats-officedocument.drawingml.chart+xml"/>
  <Override PartName="/xl/charts/style51.xml" ContentType="application/vnd.ms-office.chartstyle+xml"/>
  <Override PartName="/xl/charts/colors51.xml" ContentType="application/vnd.ms-office.chartcolorstyle+xml"/>
  <Override PartName="/xl/charts/chart254.xml" ContentType="application/vnd.openxmlformats-officedocument.drawingml.chart+xml"/>
  <Override PartName="/xl/charts/style52.xml" ContentType="application/vnd.ms-office.chartstyle+xml"/>
  <Override PartName="/xl/charts/colors52.xml" ContentType="application/vnd.ms-office.chartcolorstyle+xml"/>
  <Override PartName="/xl/charts/chart255.xml" ContentType="application/vnd.openxmlformats-officedocument.drawingml.chart+xml"/>
  <Override PartName="/xl/charts/style53.xml" ContentType="application/vnd.ms-office.chartstyle+xml"/>
  <Override PartName="/xl/charts/colors53.xml" ContentType="application/vnd.ms-office.chartcolorstyle+xml"/>
  <Override PartName="/xl/charts/chart256.xml" ContentType="application/vnd.openxmlformats-officedocument.drawingml.chart+xml"/>
  <Override PartName="/xl/charts/style54.xml" ContentType="application/vnd.ms-office.chartstyle+xml"/>
  <Override PartName="/xl/charts/colors54.xml" ContentType="application/vnd.ms-office.chartcolorstyle+xml"/>
  <Override PartName="/xl/charts/chart257.xml" ContentType="application/vnd.openxmlformats-officedocument.drawingml.chart+xml"/>
  <Override PartName="/xl/charts/style55.xml" ContentType="application/vnd.ms-office.chartstyle+xml"/>
  <Override PartName="/xl/charts/colors55.xml" ContentType="application/vnd.ms-office.chartcolorstyle+xml"/>
  <Override PartName="/xl/charts/chart258.xml" ContentType="application/vnd.openxmlformats-officedocument.drawingml.chart+xml"/>
  <Override PartName="/xl/charts/chart259.xml" ContentType="application/vnd.openxmlformats-officedocument.drawingml.chart+xml"/>
  <Override PartName="/xl/charts/chart260.xml" ContentType="application/vnd.openxmlformats-officedocument.drawingml.chart+xml"/>
  <Override PartName="/xl/charts/chart261.xml" ContentType="application/vnd.openxmlformats-officedocument.drawingml.chart+xml"/>
  <Override PartName="/xl/charts/chart262.xml" ContentType="application/vnd.openxmlformats-officedocument.drawingml.chart+xml"/>
  <Override PartName="/xl/charts/chart263.xml" ContentType="application/vnd.openxmlformats-officedocument.drawingml.chart+xml"/>
  <Override PartName="/xl/charts/chart264.xml" ContentType="application/vnd.openxmlformats-officedocument.drawingml.chart+xml"/>
  <Override PartName="/xl/charts/chart265.xml" ContentType="application/vnd.openxmlformats-officedocument.drawingml.chart+xml"/>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pivotTables/pivotTable1.xml" ContentType="application/vnd.openxmlformats-officedocument.spreadsheetml.pivotTable+xml"/>
  <Override PartName="/xl/customProperty37.bin" ContentType="application/vnd.openxmlformats-officedocument.spreadsheetml.customProperty"/>
  <Override PartName="/xl/drawings/drawing19.xml" ContentType="application/vnd.openxmlformats-officedocument.drawing+xml"/>
  <Override PartName="/xl/charts/chart266.xml" ContentType="application/vnd.openxmlformats-officedocument.drawingml.chart+xml"/>
  <Override PartName="/xl/charts/chart267.xml" ContentType="application/vnd.openxmlformats-officedocument.drawingml.chart+xml"/>
  <Override PartName="/xl/charts/chart268.xml" ContentType="application/vnd.openxmlformats-officedocument.drawingml.chart+xml"/>
  <Override PartName="/xl/pivotTables/pivotTable2.xml" ContentType="application/vnd.openxmlformats-officedocument.spreadsheetml.pivotTable+xml"/>
  <Override PartName="/xl/customProperty38.bin" ContentType="application/vnd.openxmlformats-officedocument.spreadsheetml.customProperty"/>
  <Override PartName="/xl/customProperty39.bin" ContentType="application/vnd.openxmlformats-officedocument.spreadsheetml.customProperty"/>
  <Override PartName="/xl/customProperty40.bin" ContentType="application/vnd.openxmlformats-officedocument.spreadsheetml.customProperty"/>
  <Override PartName="/xl/customProperty41.bin" ContentType="application/vnd.openxmlformats-officedocument.spreadsheetml.customProperty"/>
  <Override PartName="/xl/customProperty42.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yhuertos\Downloads\"/>
    </mc:Choice>
  </mc:AlternateContent>
  <xr:revisionPtr revIDLastSave="0" documentId="8_{A2EA4ADD-81CF-485A-844D-CA94B7A90596}" xr6:coauthVersionLast="47" xr6:coauthVersionMax="47" xr10:uidLastSave="{00000000-0000-0000-0000-000000000000}"/>
  <bookViews>
    <workbookView xWindow="-108" yWindow="-108" windowWidth="23256" windowHeight="13896" tabRatio="871" firstSheet="7" activeTab="21" xr2:uid="{00000000-000D-0000-FFFF-FFFF00000000}"/>
  </bookViews>
  <sheets>
    <sheet name="PROGRAMA 2010" sheetId="8" state="hidden" r:id="rId1"/>
    <sheet name="ENE" sheetId="1" state="hidden" r:id="rId2"/>
    <sheet name="FEB" sheetId="9" state="hidden" r:id="rId3"/>
    <sheet name="MAR" sheetId="6" state="hidden" r:id="rId4"/>
    <sheet name="NVO IOM" sheetId="18" state="hidden" r:id="rId5"/>
    <sheet name="Gráfico1" sheetId="120" state="hidden" r:id="rId6"/>
    <sheet name="HISTORICO ACCIDENTES" sheetId="116" r:id="rId7"/>
    <sheet name="HH 3EROS" sheetId="117" r:id="rId8"/>
    <sheet name="HH ALICORP" sheetId="118" r:id="rId9"/>
    <sheet name="HORAS HOMBRE" sheetId="112" r:id="rId10"/>
    <sheet name="ACCIDENTES INCAPACITANTES" sheetId="113" r:id="rId11"/>
    <sheet name="INCIDENTE MATERIAL" sheetId="115" r:id="rId12"/>
    <sheet name="DIAS PERDIDOS" sheetId="114" r:id="rId13"/>
    <sheet name="BSC CORP" sheetId="122" r:id="rId14"/>
    <sheet name="RESUMEN IOM ALICORP" sheetId="19" state="hidden" r:id="rId15"/>
    <sheet name="IND EXTRANJEROS" sheetId="38" state="hidden" r:id="rId16"/>
    <sheet name="IOM" sheetId="10" state="hidden" r:id="rId17"/>
    <sheet name="MTBA" sheetId="20" state="hidden" r:id="rId18"/>
    <sheet name="Graficos" sheetId="13" state="hidden" r:id="rId19"/>
    <sheet name="Otros indicadores" sheetId="11" state="hidden" r:id="rId20"/>
    <sheet name="Graphics" sheetId="26" r:id="rId21"/>
    <sheet name="INDICADORES" sheetId="16" r:id="rId22"/>
    <sheet name="horas alicorp " sheetId="123" r:id="rId23"/>
    <sheet name="Graficos 2012-2016" sheetId="84" state="hidden" r:id="rId24"/>
    <sheet name="Graf FP - Activ" sheetId="79" state="hidden" r:id="rId25"/>
    <sheet name="Dias Sin Accidentes" sheetId="21" state="hidden" r:id="rId26"/>
    <sheet name="estadistica dias sin accidente" sheetId="33" state="hidden" r:id="rId27"/>
    <sheet name="Graf Det" sheetId="30" state="hidden" r:id="rId28"/>
    <sheet name="COPSA" sheetId="31" state="hidden" r:id="rId29"/>
    <sheet name="INDECI" sheetId="36" state="hidden" r:id="rId30"/>
    <sheet name="CURSOS PERM TRAB" sheetId="39" state="hidden" r:id="rId31"/>
    <sheet name="mapeo procesos" sheetId="40" state="hidden" r:id="rId32"/>
    <sheet name="POR ACTIVIDAD" sheetId="45" state="hidden" r:id="rId33"/>
    <sheet name="EVALUACIONES - REASEG" sheetId="61" state="hidden" r:id="rId34"/>
    <sheet name="CAPACITACION OBR" sheetId="65" state="hidden" r:id="rId35"/>
    <sheet name="JABONERIA" sheetId="53" state="hidden" r:id="rId36"/>
    <sheet name="ERGONOMIA" sheetId="66" state="hidden" r:id="rId37"/>
    <sheet name="SEGUIMIENTO IPER" sheetId="62" state="hidden" r:id="rId38"/>
    <sheet name="ESTADISTICA A JUlIO" sheetId="98" state="hidden" r:id="rId39"/>
    <sheet name="Hoja3" sheetId="111" state="hidden" r:id="rId40"/>
    <sheet name="PROMOTORES" sheetId="105" state="hidden" r:id="rId41"/>
    <sheet name="IPER" sheetId="106" state="hidden" r:id="rId42"/>
    <sheet name="VOLUMENES PRODUCCION" sheetId="109" state="hidden" r:id="rId43"/>
    <sheet name="BCP" sheetId="119" state="hidden" r:id="rId44"/>
  </sheets>
  <externalReferences>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_xlnm._FilterDatabase" localSheetId="7" hidden="1">'HH 3EROS'!$A$1:$M$149</definedName>
    <definedName name="_xlnm._FilterDatabase" localSheetId="6" hidden="1">'HISTORICO ACCIDENTES'!$A$1:$XDP$1143</definedName>
    <definedName name="_xlnm._FilterDatabase" localSheetId="17" hidden="1">MTBA!$A$3:$P$279</definedName>
    <definedName name="_xlnm._FilterDatabase" localSheetId="0" hidden="1">'PROGRAMA 2010'!$A$1:$Y$193</definedName>
    <definedName name="_xlchart.v1.0" hidden="1">Graphics!$AL$59:$AL$61</definedName>
    <definedName name="_xlchart.v1.1" hidden="1">Graphics!$AM$59:$AM$61</definedName>
    <definedName name="_xlchart.v1.10" hidden="1">Graphics!$AD$154:$AD$155</definedName>
    <definedName name="_xlchart.v1.11" hidden="1">Graphics!$AD$26:$AD$27</definedName>
    <definedName name="_xlchart.v1.12" hidden="1">Graphics!$AD$26:$AD$27</definedName>
    <definedName name="_xlchart.v1.13" hidden="1">Graphics!$AO$75:$AO$76</definedName>
    <definedName name="_xlchart.v1.14" hidden="1">Graphics!$AB$144:$AB$147</definedName>
    <definedName name="_xlchart.v1.15" hidden="1">Graphics!$AD$144:$AD$147</definedName>
    <definedName name="_xlchart.v1.16" hidden="1">Graphics!$AL$65:$AL$68</definedName>
    <definedName name="_xlchart.v1.17" hidden="1">Graphics!$AN$65:$AN$68</definedName>
    <definedName name="_xlchart.v1.2" hidden="1">Graphics!$AD$26:$AD$27</definedName>
    <definedName name="_xlchart.v1.3" hidden="1">Graphics!$AE$26:$AE$27</definedName>
    <definedName name="_xlchart.v1.4" hidden="1">Graphics!$AD$26:$AD$27</definedName>
    <definedName name="_xlchart.v1.5" hidden="1">Graphics!$AN$75:$AN$76</definedName>
    <definedName name="_xlchart.v1.6" hidden="1">Graphics!$AB$85:$AB$91</definedName>
    <definedName name="_xlchart.v1.7" hidden="1">Graphics!$AD$85:$AD$91</definedName>
    <definedName name="_xlchart.v1.8" hidden="1">Graphics!$AB$95:$AB$100</definedName>
    <definedName name="_xlchart.v1.9" hidden="1">Graphics!$AD$95:$AD$100</definedName>
    <definedName name="AreaDePersonal">[1]Listas!$E$4:$E$9</definedName>
    <definedName name="ClasificacionOSHA">[1]Listas!$L$4:$L$7</definedName>
    <definedName name="CRITERIOS_ESTADISTICAS">[2]AUXILIARES!$M$1:$Q$2</definedName>
    <definedName name="DESTINO">[2]AUXILIARES!$M$4</definedName>
    <definedName name="DIASDMR_ALICORP">'[2]DIAS DMR'!$U$2:$AL$2</definedName>
    <definedName name="DIASDMR_NOALICORP">'[2]DIAS DMR'!$AM$2:$BD$2</definedName>
    <definedName name="DIASPERD_ALICORP">'[2]DIAS PERDIDOS'!$U$2:$AL$2</definedName>
    <definedName name="DIASPERD_NOALICORP">'[2]DIAS PERDIDOS'!$AM$2:$BD$2</definedName>
    <definedName name="Doctores">[1]Listas!$A$4:$A$13</definedName>
    <definedName name="ENCABEZADO">[2]ACCIDENTES!$A$2:$K$2</definedName>
    <definedName name="EntidadNosologica">[1]Listas!$G$4:$G$38</definedName>
    <definedName name="GENERADORES_CRITERIOS">[2]AUXILIARES!$N$5:$P$9</definedName>
    <definedName name="INDICES">[2]AUXILIARES!$C$2:$F$12</definedName>
    <definedName name="LESDMR_ALICORP">'[2]LESIONES CON DMR'!$U$2:$AL$2</definedName>
    <definedName name="LESDMR_NOALICORP">'[2]LESIONES CON DMR'!$AM$2:$BD$2</definedName>
    <definedName name="LESINCAP_ALICORP">'[2]LESIONES INCAPACITANTES'!$U$2:$AL$2</definedName>
    <definedName name="LESINCAP_NOALICORP">'[2]LESIONES INCAPACITANTES'!$AM$2:$BD$2</definedName>
    <definedName name="LESNOINCAP_ALICORP">'[2]LESIONES NO INCAPACITANTES'!$U$2:$AK$2</definedName>
    <definedName name="LESNOINCAP_NOALICORP">'[2]LESIONES NO INCAPACITANTES'!$AM$2:$BD$2</definedName>
    <definedName name="Medicamentos">[1]Medicamentos!$C$6:$C$107</definedName>
    <definedName name="MESES">[2]AUXILIARES!$H$2:$H$13</definedName>
    <definedName name="OPCIONES">[2]AUXILIARES!$J$9:$J$12</definedName>
    <definedName name="Paramedicos">[1]Listas!$C$4:$C$12</definedName>
    <definedName name="PLANTAS">[2]AUXILIARES!$A$15:$A$32</definedName>
    <definedName name="PROGRAMAS">[2]AUXILIARES!$A$2:$A$12</definedName>
    <definedName name="SETEO">[2]AUXILIARES!$K$2:$K$7</definedName>
    <definedName name="SubdivisionPersonal">[1]Listas!$J$4:$J$22</definedName>
    <definedName name="TipoAccidente">[1]Listas!$N$12:$N$16</definedName>
    <definedName name="TipoAtencion">[1]Listas!$N$4:$N$7</definedName>
  </definedNames>
  <calcPr calcId="191029"/>
  <pivotCaches>
    <pivotCache cacheId="8" r:id="rId58"/>
    <pivotCache cacheId="9" r:id="rId59"/>
  </pivotCache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64" i="114" l="1"/>
  <c r="R65" i="114"/>
  <c r="R66" i="114"/>
  <c r="R67" i="114"/>
  <c r="R68" i="114"/>
  <c r="R69" i="114"/>
  <c r="R70" i="114"/>
  <c r="R71" i="114"/>
  <c r="R72" i="114"/>
  <c r="R73" i="114"/>
  <c r="R74" i="114"/>
  <c r="R75" i="114"/>
  <c r="R63" i="114"/>
  <c r="R74" i="112"/>
  <c r="R73" i="112"/>
  <c r="R72" i="112"/>
  <c r="R71" i="112"/>
  <c r="R70" i="112"/>
  <c r="R69" i="112"/>
  <c r="R68" i="112"/>
  <c r="R67" i="112"/>
  <c r="R66" i="112"/>
  <c r="R65" i="112"/>
  <c r="R64" i="112"/>
  <c r="R63" i="112"/>
  <c r="R75" i="113"/>
  <c r="R64" i="113"/>
  <c r="R65" i="113"/>
  <c r="R66" i="113"/>
  <c r="R67" i="113"/>
  <c r="R68" i="113"/>
  <c r="R69" i="113"/>
  <c r="R70" i="113"/>
  <c r="R71" i="113"/>
  <c r="R72" i="113"/>
  <c r="R73" i="113"/>
  <c r="R74" i="113"/>
  <c r="R63" i="113"/>
  <c r="D66" i="113"/>
  <c r="CI75" i="112" l="1"/>
  <c r="CI76" i="112" s="1"/>
  <c r="CH75" i="112"/>
  <c r="CH76" i="112" s="1"/>
  <c r="CG75" i="112"/>
  <c r="CG76" i="112" s="1"/>
  <c r="CF75" i="112"/>
  <c r="CF76" i="112" s="1"/>
  <c r="CE75" i="112"/>
  <c r="CE76" i="112" s="1"/>
  <c r="N28" i="123"/>
  <c r="M28" i="123"/>
  <c r="L28" i="123"/>
  <c r="K28" i="123"/>
  <c r="J28" i="123"/>
  <c r="I28" i="123"/>
  <c r="H28" i="123"/>
  <c r="G28" i="123"/>
  <c r="F28" i="123"/>
  <c r="E28" i="123"/>
  <c r="D28" i="123"/>
  <c r="C28" i="123"/>
  <c r="C152" i="117" l="1"/>
  <c r="E152" i="117"/>
  <c r="CY63" i="113" l="1"/>
  <c r="CW73" i="113"/>
  <c r="CW72" i="113"/>
  <c r="CW71" i="113"/>
  <c r="CW70" i="113"/>
  <c r="CW69" i="113"/>
  <c r="CW68" i="113"/>
  <c r="CW64" i="113"/>
  <c r="CW63" i="113"/>
  <c r="CU63" i="113"/>
  <c r="CX63" i="113" s="1"/>
  <c r="M30" i="117"/>
  <c r="M34" i="117"/>
  <c r="M33" i="117"/>
  <c r="M32" i="117"/>
  <c r="M21" i="117"/>
  <c r="M15" i="117"/>
  <c r="M16" i="117"/>
  <c r="M24" i="117"/>
  <c r="M23" i="117"/>
  <c r="M20" i="117"/>
  <c r="M25" i="117"/>
  <c r="M29" i="117"/>
  <c r="M27" i="117"/>
  <c r="M18" i="117"/>
  <c r="M17" i="117"/>
  <c r="M19" i="117"/>
  <c r="BD74" i="112" l="1"/>
  <c r="M25" i="118" l="1"/>
  <c r="L25" i="118"/>
  <c r="BJ13" i="122"/>
  <c r="BJ12" i="122"/>
  <c r="BJ11" i="122"/>
  <c r="BJ10" i="122"/>
  <c r="BJ7" i="122"/>
  <c r="BJ4" i="122"/>
  <c r="BJ3" i="122"/>
  <c r="BI13" i="122"/>
  <c r="BI12" i="122"/>
  <c r="BI11" i="122"/>
  <c r="BI10" i="122"/>
  <c r="BI7" i="122"/>
  <c r="BI4" i="122"/>
  <c r="BI3" i="122"/>
  <c r="AT10" i="122"/>
  <c r="AT11" i="122"/>
  <c r="AT7" i="122"/>
  <c r="AT4" i="122"/>
  <c r="BZ74" i="113" l="1"/>
  <c r="AF71" i="26"/>
  <c r="AF73" i="26"/>
  <c r="BD73" i="112"/>
  <c r="L24" i="117"/>
  <c r="CJ70" i="114" l="1"/>
  <c r="BD72" i="112"/>
  <c r="K24" i="117" l="1"/>
  <c r="AD71" i="26" l="1"/>
  <c r="BD71" i="112"/>
  <c r="H25" i="118"/>
  <c r="I25" i="118"/>
  <c r="J24" i="117" l="1"/>
  <c r="J25" i="118"/>
  <c r="BD70" i="112" l="1"/>
  <c r="AH169" i="26"/>
  <c r="AH170" i="26"/>
  <c r="AH171" i="26"/>
  <c r="AH172" i="26"/>
  <c r="AH173" i="26"/>
  <c r="AH174" i="26"/>
  <c r="AH175" i="26"/>
  <c r="AH176" i="26"/>
  <c r="AH168" i="26"/>
  <c r="AG177" i="26"/>
  <c r="AG176" i="26"/>
  <c r="AG74" i="26"/>
  <c r="O36" i="16"/>
  <c r="P36" i="16"/>
  <c r="AL70" i="114"/>
  <c r="E70" i="114" s="1"/>
  <c r="B70" i="114"/>
  <c r="C70" i="114"/>
  <c r="D70" i="114"/>
  <c r="F70" i="114"/>
  <c r="G70" i="114"/>
  <c r="H70" i="114"/>
  <c r="I70" i="114"/>
  <c r="J70" i="114"/>
  <c r="K70" i="114"/>
  <c r="L70" i="114"/>
  <c r="M70" i="114"/>
  <c r="N70" i="114"/>
  <c r="O70" i="114"/>
  <c r="P70" i="114"/>
  <c r="Q70" i="114"/>
  <c r="S70" i="114"/>
  <c r="T70" i="114"/>
  <c r="U70" i="114"/>
  <c r="V70" i="114"/>
  <c r="W70" i="114"/>
  <c r="X70" i="114"/>
  <c r="Y70" i="114"/>
  <c r="Z70" i="114"/>
  <c r="AA70" i="114"/>
  <c r="AB70" i="114"/>
  <c r="AC70" i="114"/>
  <c r="AD70" i="114"/>
  <c r="AE70" i="114"/>
  <c r="AF70" i="114"/>
  <c r="AG70" i="114"/>
  <c r="AH70" i="114"/>
  <c r="CU70" i="114"/>
  <c r="CV70" i="114" s="1"/>
  <c r="CW70" i="114"/>
  <c r="CX70" i="114"/>
  <c r="I163" i="117"/>
  <c r="H164" i="117"/>
  <c r="I24" i="117"/>
  <c r="AG73" i="26"/>
  <c r="AT74" i="26"/>
  <c r="AU74" i="26"/>
  <c r="AG76" i="26"/>
  <c r="AH76" i="26"/>
  <c r="BD69" i="112"/>
  <c r="AV74" i="26" l="1"/>
  <c r="AX74" i="26" s="1"/>
  <c r="AH74" i="26"/>
  <c r="AH73" i="26"/>
  <c r="H165" i="117" l="1"/>
  <c r="H163" i="117"/>
  <c r="H162" i="117"/>
  <c r="H160" i="117"/>
  <c r="H159" i="117"/>
  <c r="H158" i="117"/>
  <c r="H157" i="117"/>
  <c r="H156" i="117"/>
  <c r="H155" i="117"/>
  <c r="H154" i="117"/>
  <c r="H153" i="117"/>
  <c r="H152" i="117"/>
  <c r="T174" i="117" l="1"/>
  <c r="T175" i="117"/>
  <c r="T176" i="117"/>
  <c r="T177" i="117"/>
  <c r="T178" i="117"/>
  <c r="T179" i="117"/>
  <c r="T173" i="117"/>
  <c r="CU64" i="113" l="1"/>
  <c r="CX64" i="113" s="1"/>
  <c r="CU65" i="113"/>
  <c r="CX65" i="113" s="1"/>
  <c r="CU66" i="113"/>
  <c r="CU67" i="113"/>
  <c r="CU68" i="113"/>
  <c r="G24" i="26" s="1"/>
  <c r="CU69" i="113"/>
  <c r="H24" i="26" s="1"/>
  <c r="CU70" i="113"/>
  <c r="I24" i="26" s="1"/>
  <c r="CU71" i="113"/>
  <c r="J24" i="26" s="1"/>
  <c r="CU72" i="113"/>
  <c r="CX72" i="113" s="1"/>
  <c r="K29" i="26" s="1"/>
  <c r="K3" i="122" s="1"/>
  <c r="CU73" i="113"/>
  <c r="L24" i="26" s="1"/>
  <c r="CU74" i="113"/>
  <c r="CX74" i="113" s="1"/>
  <c r="M29" i="26" s="1"/>
  <c r="M3" i="122" s="1"/>
  <c r="H24" i="117"/>
  <c r="H149" i="117" s="1"/>
  <c r="AL69" i="114"/>
  <c r="E69" i="114" s="1"/>
  <c r="E54" i="109"/>
  <c r="D54" i="109"/>
  <c r="C54" i="109"/>
  <c r="G53" i="109"/>
  <c r="F53" i="109"/>
  <c r="E53" i="109"/>
  <c r="D53" i="109"/>
  <c r="C53" i="109"/>
  <c r="B53" i="109"/>
  <c r="G51" i="109"/>
  <c r="F51" i="109"/>
  <c r="G49" i="109"/>
  <c r="F49" i="109"/>
  <c r="E49" i="109"/>
  <c r="D49" i="109"/>
  <c r="C49" i="109"/>
  <c r="B49" i="109"/>
  <c r="G47" i="109"/>
  <c r="F47" i="109"/>
  <c r="G45" i="109"/>
  <c r="F45" i="109"/>
  <c r="E45" i="109"/>
  <c r="D45" i="109"/>
  <c r="C45" i="109"/>
  <c r="B45" i="109"/>
  <c r="G44" i="109"/>
  <c r="F44" i="109"/>
  <c r="G43" i="109"/>
  <c r="F43" i="109"/>
  <c r="G42" i="109"/>
  <c r="F42" i="109"/>
  <c r="G41" i="109"/>
  <c r="F41" i="109"/>
  <c r="G39" i="109"/>
  <c r="F39" i="109"/>
  <c r="G38" i="109"/>
  <c r="F38" i="109"/>
  <c r="G36" i="109"/>
  <c r="F36" i="109"/>
  <c r="E36" i="109"/>
  <c r="D36" i="109"/>
  <c r="C36" i="109"/>
  <c r="B36" i="109"/>
  <c r="F35" i="109"/>
  <c r="G34" i="109"/>
  <c r="F34" i="109"/>
  <c r="G33" i="109"/>
  <c r="F33" i="109"/>
  <c r="G31" i="109"/>
  <c r="F31" i="109"/>
  <c r="E31" i="109"/>
  <c r="D31" i="109"/>
  <c r="C31" i="109"/>
  <c r="B31" i="109"/>
  <c r="G30" i="109"/>
  <c r="F30" i="109"/>
  <c r="G29" i="109"/>
  <c r="F29" i="109"/>
  <c r="G28" i="109"/>
  <c r="F28" i="109"/>
  <c r="G27" i="109"/>
  <c r="F27" i="109"/>
  <c r="G26" i="109"/>
  <c r="F26" i="109"/>
  <c r="G25" i="109"/>
  <c r="F25" i="109"/>
  <c r="G24" i="109"/>
  <c r="F24" i="109"/>
  <c r="G23" i="109"/>
  <c r="F23" i="109"/>
  <c r="G22" i="109"/>
  <c r="F22" i="109"/>
  <c r="G20" i="109"/>
  <c r="F20" i="109"/>
  <c r="G19" i="109"/>
  <c r="F19" i="109"/>
  <c r="G18" i="109"/>
  <c r="F18" i="109"/>
  <c r="G16" i="109"/>
  <c r="F16" i="109"/>
  <c r="E16" i="109"/>
  <c r="D16" i="109"/>
  <c r="C16" i="109"/>
  <c r="B16" i="109"/>
  <c r="G15" i="109"/>
  <c r="F15" i="109"/>
  <c r="G14" i="109"/>
  <c r="F14" i="109"/>
  <c r="G13" i="109"/>
  <c r="F13" i="109"/>
  <c r="G11" i="109"/>
  <c r="F11" i="109"/>
  <c r="E11" i="109"/>
  <c r="D11" i="109"/>
  <c r="C11" i="109"/>
  <c r="B11" i="109"/>
  <c r="G10" i="109"/>
  <c r="F10" i="109"/>
  <c r="E10" i="109"/>
  <c r="D10" i="109"/>
  <c r="C10" i="109"/>
  <c r="B10" i="109"/>
  <c r="G9" i="109"/>
  <c r="F9" i="109"/>
  <c r="G8" i="109"/>
  <c r="F8" i="109"/>
  <c r="G7" i="109"/>
  <c r="F7" i="109"/>
  <c r="G6" i="109"/>
  <c r="F6" i="109"/>
  <c r="G5" i="109"/>
  <c r="F5" i="109"/>
  <c r="G4" i="109"/>
  <c r="F4" i="109"/>
  <c r="G3" i="109"/>
  <c r="F3" i="109"/>
  <c r="G2" i="109"/>
  <c r="F2" i="109"/>
  <c r="G19" i="106"/>
  <c r="F19" i="106"/>
  <c r="E19" i="106"/>
  <c r="D19" i="106"/>
  <c r="C19" i="106"/>
  <c r="B19" i="106"/>
  <c r="G18" i="106"/>
  <c r="G17" i="106"/>
  <c r="G16" i="106"/>
  <c r="F16" i="106"/>
  <c r="E16" i="106"/>
  <c r="D16" i="106"/>
  <c r="C16" i="106"/>
  <c r="B16" i="106"/>
  <c r="G15" i="106"/>
  <c r="E15" i="106"/>
  <c r="D15" i="106"/>
  <c r="B15" i="106"/>
  <c r="G14" i="106"/>
  <c r="F14" i="106"/>
  <c r="E14" i="106"/>
  <c r="D14" i="106"/>
  <c r="C14" i="106"/>
  <c r="B14" i="106"/>
  <c r="G13" i="106"/>
  <c r="F13" i="106"/>
  <c r="E13" i="106"/>
  <c r="D13" i="106"/>
  <c r="C13" i="106"/>
  <c r="B13" i="106"/>
  <c r="G12" i="106"/>
  <c r="D12" i="106"/>
  <c r="G11" i="106"/>
  <c r="D11" i="106"/>
  <c r="E10" i="106"/>
  <c r="D10" i="106"/>
  <c r="G9" i="106"/>
  <c r="F9" i="106"/>
  <c r="E9" i="106"/>
  <c r="D9" i="106"/>
  <c r="C9" i="106"/>
  <c r="B9" i="106"/>
  <c r="G8" i="106"/>
  <c r="E8" i="106"/>
  <c r="D8" i="106"/>
  <c r="B8" i="106"/>
  <c r="E7" i="106"/>
  <c r="B7" i="106"/>
  <c r="G6" i="106"/>
  <c r="F6" i="106"/>
  <c r="E6" i="106"/>
  <c r="D6" i="106"/>
  <c r="C6" i="106"/>
  <c r="B6" i="106"/>
  <c r="G5" i="106"/>
  <c r="F5" i="106"/>
  <c r="E5" i="106"/>
  <c r="D5" i="106"/>
  <c r="G4" i="106"/>
  <c r="F4" i="106"/>
  <c r="E4" i="106"/>
  <c r="D4" i="106"/>
  <c r="B4" i="106"/>
  <c r="E47" i="105"/>
  <c r="D10" i="105"/>
  <c r="D6" i="105"/>
  <c r="D2" i="105"/>
  <c r="AH22" i="62"/>
  <c r="AF22" i="62"/>
  <c r="AD22" i="62"/>
  <c r="AB22" i="62"/>
  <c r="Z22" i="62"/>
  <c r="X22" i="62"/>
  <c r="U22" i="62"/>
  <c r="S22" i="62"/>
  <c r="Q22" i="62"/>
  <c r="O22" i="62"/>
  <c r="M22" i="62"/>
  <c r="K22" i="62"/>
  <c r="I22" i="62"/>
  <c r="H22" i="62"/>
  <c r="G22" i="62"/>
  <c r="F22" i="62"/>
  <c r="E22" i="62"/>
  <c r="D22" i="62"/>
  <c r="C22" i="62"/>
  <c r="B22" i="62"/>
  <c r="AI21" i="62"/>
  <c r="AH21" i="62"/>
  <c r="AG21" i="62"/>
  <c r="AF21" i="62"/>
  <c r="AE21" i="62"/>
  <c r="AD21" i="62"/>
  <c r="AC21" i="62"/>
  <c r="AB21" i="62"/>
  <c r="AA21" i="62"/>
  <c r="Z21" i="62"/>
  <c r="Y21" i="62"/>
  <c r="X21" i="62"/>
  <c r="W21" i="62"/>
  <c r="V21" i="62"/>
  <c r="U21" i="62"/>
  <c r="T21" i="62"/>
  <c r="S21" i="62"/>
  <c r="R21" i="62"/>
  <c r="Q21" i="62"/>
  <c r="P21" i="62"/>
  <c r="O21" i="62"/>
  <c r="N21" i="62"/>
  <c r="M21" i="62"/>
  <c r="L21" i="62"/>
  <c r="K21" i="62"/>
  <c r="J21" i="62"/>
  <c r="I21" i="62"/>
  <c r="H21" i="62"/>
  <c r="G21" i="62"/>
  <c r="F21" i="62"/>
  <c r="E21" i="62"/>
  <c r="D21" i="62"/>
  <c r="C21" i="62"/>
  <c r="B21" i="62"/>
  <c r="AI20" i="62"/>
  <c r="AH20" i="62"/>
  <c r="AG20" i="62"/>
  <c r="V20" i="62"/>
  <c r="U20" i="62"/>
  <c r="T20" i="62"/>
  <c r="I20" i="62"/>
  <c r="E20" i="62"/>
  <c r="AI19" i="62"/>
  <c r="V19" i="62"/>
  <c r="AI18" i="62"/>
  <c r="AH18" i="62"/>
  <c r="AG18" i="62"/>
  <c r="V18" i="62"/>
  <c r="U18" i="62"/>
  <c r="T18" i="62"/>
  <c r="I18" i="62"/>
  <c r="AI17" i="62"/>
  <c r="V17" i="62"/>
  <c r="I17" i="62"/>
  <c r="AI16" i="62"/>
  <c r="AH16" i="62"/>
  <c r="AG16" i="62"/>
  <c r="V16" i="62"/>
  <c r="U16" i="62"/>
  <c r="T16" i="62"/>
  <c r="AI15" i="62"/>
  <c r="AH15" i="62"/>
  <c r="AG15" i="62"/>
  <c r="V15" i="62"/>
  <c r="U15" i="62"/>
  <c r="T15" i="62"/>
  <c r="AI14" i="62"/>
  <c r="AH14" i="62"/>
  <c r="AG14" i="62"/>
  <c r="V14" i="62"/>
  <c r="U14" i="62"/>
  <c r="T14" i="62"/>
  <c r="I14" i="62"/>
  <c r="AI13" i="62"/>
  <c r="AH13" i="62"/>
  <c r="AG13" i="62"/>
  <c r="V13" i="62"/>
  <c r="U13" i="62"/>
  <c r="T13" i="62"/>
  <c r="I13" i="62"/>
  <c r="E13" i="62"/>
  <c r="AI12" i="62"/>
  <c r="AH12" i="62"/>
  <c r="AG12" i="62"/>
  <c r="V12" i="62"/>
  <c r="U12" i="62"/>
  <c r="T12" i="62"/>
  <c r="I12" i="62"/>
  <c r="E12" i="62"/>
  <c r="AI11" i="62"/>
  <c r="AH11" i="62"/>
  <c r="AG11" i="62"/>
  <c r="V11" i="62"/>
  <c r="U11" i="62"/>
  <c r="T11" i="62"/>
  <c r="I11" i="62"/>
  <c r="E11" i="62"/>
  <c r="AI10" i="62"/>
  <c r="AH10" i="62"/>
  <c r="AG10" i="62"/>
  <c r="V10" i="62"/>
  <c r="U10" i="62"/>
  <c r="T10" i="62"/>
  <c r="I10" i="62"/>
  <c r="E10" i="62"/>
  <c r="AI9" i="62"/>
  <c r="AH9" i="62"/>
  <c r="AG9" i="62"/>
  <c r="V9" i="62"/>
  <c r="U9" i="62"/>
  <c r="T9" i="62"/>
  <c r="I9" i="62"/>
  <c r="E9" i="62"/>
  <c r="AI8" i="62"/>
  <c r="AH8" i="62"/>
  <c r="AG8" i="62"/>
  <c r="V8" i="62"/>
  <c r="U8" i="62"/>
  <c r="T8" i="62"/>
  <c r="I8" i="62"/>
  <c r="E8" i="62"/>
  <c r="AI7" i="62"/>
  <c r="AH7" i="62"/>
  <c r="AG7" i="62"/>
  <c r="V7" i="62"/>
  <c r="U7" i="62"/>
  <c r="T7" i="62"/>
  <c r="I7" i="62"/>
  <c r="E7" i="62"/>
  <c r="AI6" i="62"/>
  <c r="AH6" i="62"/>
  <c r="AG6" i="62"/>
  <c r="V6" i="62"/>
  <c r="U6" i="62"/>
  <c r="T6" i="62"/>
  <c r="I6" i="62"/>
  <c r="AI5" i="62"/>
  <c r="AH5" i="62"/>
  <c r="AG5" i="62"/>
  <c r="V5" i="62"/>
  <c r="U5" i="62"/>
  <c r="T5" i="62"/>
  <c r="I5" i="62"/>
  <c r="AI4" i="62"/>
  <c r="AH4" i="62"/>
  <c r="AG4" i="62"/>
  <c r="V4" i="62"/>
  <c r="U4" i="62"/>
  <c r="T4" i="62"/>
  <c r="I4" i="62"/>
  <c r="E4" i="62"/>
  <c r="D25" i="66"/>
  <c r="C25" i="66"/>
  <c r="B25" i="66"/>
  <c r="D24" i="66"/>
  <c r="C24" i="66"/>
  <c r="B24" i="66"/>
  <c r="O19" i="53"/>
  <c r="N19" i="53"/>
  <c r="M19" i="53"/>
  <c r="L19" i="53"/>
  <c r="K19" i="53"/>
  <c r="J19" i="53"/>
  <c r="I19" i="53"/>
  <c r="H19" i="53"/>
  <c r="G19" i="53"/>
  <c r="F19" i="53"/>
  <c r="E19" i="53"/>
  <c r="D19" i="53"/>
  <c r="C19" i="53"/>
  <c r="O18" i="53"/>
  <c r="O17" i="53"/>
  <c r="O14" i="53"/>
  <c r="N14" i="53"/>
  <c r="M14" i="53"/>
  <c r="L14" i="53"/>
  <c r="K14" i="53"/>
  <c r="J14" i="53"/>
  <c r="I14" i="53"/>
  <c r="H14" i="53"/>
  <c r="G14" i="53"/>
  <c r="F14" i="53"/>
  <c r="E14" i="53"/>
  <c r="D14" i="53"/>
  <c r="C14" i="53"/>
  <c r="O13" i="53"/>
  <c r="O12" i="53"/>
  <c r="O9" i="53"/>
  <c r="N9" i="53"/>
  <c r="M9" i="53"/>
  <c r="L9" i="53"/>
  <c r="K9" i="53"/>
  <c r="J9" i="53"/>
  <c r="I9" i="53"/>
  <c r="H9" i="53"/>
  <c r="G9" i="53"/>
  <c r="F9" i="53"/>
  <c r="E9" i="53"/>
  <c r="D9" i="53"/>
  <c r="C9" i="53"/>
  <c r="O8" i="53"/>
  <c r="O7" i="53"/>
  <c r="N4" i="53"/>
  <c r="M4" i="53"/>
  <c r="L4" i="53"/>
  <c r="K4" i="53"/>
  <c r="J4" i="53"/>
  <c r="I4" i="53"/>
  <c r="H4" i="53"/>
  <c r="G4" i="53"/>
  <c r="F4" i="53"/>
  <c r="E4" i="53"/>
  <c r="D4" i="53"/>
  <c r="C4" i="53"/>
  <c r="F32" i="65"/>
  <c r="E32" i="65"/>
  <c r="D32" i="65"/>
  <c r="F27" i="65"/>
  <c r="B27" i="65"/>
  <c r="F26" i="65"/>
  <c r="F25" i="65"/>
  <c r="F24" i="65"/>
  <c r="F23" i="65"/>
  <c r="F22" i="65"/>
  <c r="F21" i="65"/>
  <c r="F20" i="65"/>
  <c r="F19" i="65"/>
  <c r="F17" i="65"/>
  <c r="F14" i="65"/>
  <c r="F13" i="65"/>
  <c r="F11" i="65"/>
  <c r="F10" i="65"/>
  <c r="F9" i="65"/>
  <c r="F8" i="65"/>
  <c r="F7" i="65"/>
  <c r="F6" i="65"/>
  <c r="F5" i="65"/>
  <c r="F4" i="65"/>
  <c r="F3" i="65"/>
  <c r="BB132" i="61"/>
  <c r="BB131" i="61"/>
  <c r="BB130" i="61"/>
  <c r="BB129" i="61"/>
  <c r="BB128" i="61"/>
  <c r="BB127" i="61"/>
  <c r="BB126" i="61"/>
  <c r="BB125" i="61"/>
  <c r="DD18" i="61"/>
  <c r="DB18" i="61"/>
  <c r="CX18" i="61"/>
  <c r="CV18" i="61"/>
  <c r="CT18" i="61"/>
  <c r="CR18" i="61"/>
  <c r="CP18" i="61"/>
  <c r="CO18" i="61"/>
  <c r="CN18" i="61"/>
  <c r="CM18" i="61"/>
  <c r="CL18" i="61"/>
  <c r="CK18" i="61"/>
  <c r="CJ18" i="61"/>
  <c r="CI18" i="61"/>
  <c r="CH18" i="61"/>
  <c r="CG18" i="61"/>
  <c r="CF18" i="61"/>
  <c r="CD18" i="61"/>
  <c r="CB18" i="61"/>
  <c r="BZ18" i="61"/>
  <c r="BX18" i="61"/>
  <c r="BV18" i="61"/>
  <c r="BT18" i="61"/>
  <c r="BR18" i="61"/>
  <c r="BP18" i="61"/>
  <c r="BN18" i="61"/>
  <c r="BL18" i="61"/>
  <c r="BJ18" i="61"/>
  <c r="BH18" i="61"/>
  <c r="BF18" i="61"/>
  <c r="BD18" i="61"/>
  <c r="BB18" i="61"/>
  <c r="AZ18" i="61"/>
  <c r="AX18" i="61"/>
  <c r="AV18" i="61"/>
  <c r="DC14" i="61"/>
  <c r="DA14" i="61"/>
  <c r="CZ14" i="61"/>
  <c r="CX14" i="61"/>
  <c r="CW14" i="61"/>
  <c r="CV14" i="61"/>
  <c r="CU14" i="61"/>
  <c r="CT14" i="61"/>
  <c r="CS14" i="61"/>
  <c r="CQ14" i="61"/>
  <c r="CO14" i="61"/>
  <c r="CM14" i="61"/>
  <c r="CK14" i="61"/>
  <c r="CJ14" i="61"/>
  <c r="CI14" i="61"/>
  <c r="CH14" i="61"/>
  <c r="CG14" i="61"/>
  <c r="CE14" i="61"/>
  <c r="CC14" i="61"/>
  <c r="CA14" i="61"/>
  <c r="BY14" i="61"/>
  <c r="BW14" i="61"/>
  <c r="BU14" i="61"/>
  <c r="BS14" i="61"/>
  <c r="BQ14" i="61"/>
  <c r="BK14" i="61"/>
  <c r="BJ14" i="61"/>
  <c r="BH14" i="61"/>
  <c r="BF14" i="61"/>
  <c r="BD14" i="61"/>
  <c r="BB14" i="61"/>
  <c r="AZ14" i="61"/>
  <c r="AX14" i="61"/>
  <c r="DC13" i="61"/>
  <c r="DA13" i="61"/>
  <c r="CZ13" i="61"/>
  <c r="CX13" i="61"/>
  <c r="CW13" i="61"/>
  <c r="CV13" i="61"/>
  <c r="CU13" i="61"/>
  <c r="CT13" i="61"/>
  <c r="CS13" i="61"/>
  <c r="CQ13" i="61"/>
  <c r="CO13" i="61"/>
  <c r="CM13" i="61"/>
  <c r="CK13" i="61"/>
  <c r="CJ13" i="61"/>
  <c r="CI13" i="61"/>
  <c r="CH13" i="61"/>
  <c r="CG13" i="61"/>
  <c r="CE13" i="61"/>
  <c r="CC13" i="61"/>
  <c r="CA13" i="61"/>
  <c r="BY13" i="61"/>
  <c r="BW13" i="61"/>
  <c r="BU13" i="61"/>
  <c r="BS13" i="61"/>
  <c r="BQ13" i="61"/>
  <c r="BK13" i="61"/>
  <c r="BJ13" i="61"/>
  <c r="BH13" i="61"/>
  <c r="BF13" i="61"/>
  <c r="BD13" i="61"/>
  <c r="BB13" i="61"/>
  <c r="AZ13" i="61"/>
  <c r="AX13" i="61"/>
  <c r="DC12" i="61"/>
  <c r="DA12" i="61"/>
  <c r="CZ12" i="61"/>
  <c r="CX12" i="61"/>
  <c r="CW12" i="61"/>
  <c r="CV12" i="61"/>
  <c r="CU12" i="61"/>
  <c r="CT12" i="61"/>
  <c r="CS12" i="61"/>
  <c r="CQ12" i="61"/>
  <c r="CO12" i="61"/>
  <c r="CM12" i="61"/>
  <c r="CK12" i="61"/>
  <c r="CJ12" i="61"/>
  <c r="CI12" i="61"/>
  <c r="CH12" i="61"/>
  <c r="CG12" i="61"/>
  <c r="CE12" i="61"/>
  <c r="CC12" i="61"/>
  <c r="CA12" i="61"/>
  <c r="BY12" i="61"/>
  <c r="BW12" i="61"/>
  <c r="BU12" i="61"/>
  <c r="BS12" i="61"/>
  <c r="BQ12" i="61"/>
  <c r="BK12" i="61"/>
  <c r="BJ12" i="61"/>
  <c r="BH12" i="61"/>
  <c r="BF12" i="61"/>
  <c r="BD12" i="61"/>
  <c r="BB12" i="61"/>
  <c r="AZ12" i="61"/>
  <c r="AX12" i="61"/>
  <c r="DC11" i="61"/>
  <c r="DA11" i="61"/>
  <c r="CZ11" i="61"/>
  <c r="CX11" i="61"/>
  <c r="CW11" i="61"/>
  <c r="CV11" i="61"/>
  <c r="CU11" i="61"/>
  <c r="CT11" i="61"/>
  <c r="CS11" i="61"/>
  <c r="CQ11" i="61"/>
  <c r="CO11" i="61"/>
  <c r="CM11" i="61"/>
  <c r="CK11" i="61"/>
  <c r="CJ11" i="61"/>
  <c r="CI11" i="61"/>
  <c r="CH11" i="61"/>
  <c r="CG11" i="61"/>
  <c r="CE11" i="61"/>
  <c r="CC11" i="61"/>
  <c r="CA11" i="61"/>
  <c r="BY11" i="61"/>
  <c r="BW11" i="61"/>
  <c r="BU11" i="61"/>
  <c r="BS11" i="61"/>
  <c r="BQ11" i="61"/>
  <c r="BK11" i="61"/>
  <c r="BJ11" i="61"/>
  <c r="BH11" i="61"/>
  <c r="BF11" i="61"/>
  <c r="BD11" i="61"/>
  <c r="BB11" i="61"/>
  <c r="AZ11" i="61"/>
  <c r="AX11" i="61"/>
  <c r="AH9" i="61"/>
  <c r="AA9" i="61"/>
  <c r="P58" i="45"/>
  <c r="P57" i="45"/>
  <c r="P56" i="45"/>
  <c r="P55" i="45"/>
  <c r="P54" i="45"/>
  <c r="P52" i="45"/>
  <c r="P39" i="45"/>
  <c r="P38" i="45"/>
  <c r="P37" i="45"/>
  <c r="P36" i="45"/>
  <c r="P35" i="45"/>
  <c r="P34" i="45"/>
  <c r="P33" i="45"/>
  <c r="P32" i="45"/>
  <c r="P31" i="45"/>
  <c r="P30" i="45"/>
  <c r="Q17" i="45"/>
  <c r="O17" i="45"/>
  <c r="Q16" i="45"/>
  <c r="P16" i="45"/>
  <c r="O16" i="45"/>
  <c r="P14" i="45"/>
  <c r="Q13" i="45"/>
  <c r="P13" i="45"/>
  <c r="O13" i="45"/>
  <c r="P11" i="45"/>
  <c r="Q9" i="45"/>
  <c r="P9" i="45"/>
  <c r="O9" i="45"/>
  <c r="P8" i="45"/>
  <c r="P6" i="45"/>
  <c r="P5" i="45"/>
  <c r="Q4" i="45"/>
  <c r="P4" i="45"/>
  <c r="O4" i="45"/>
  <c r="P3" i="45"/>
  <c r="F22" i="39"/>
  <c r="U20" i="39"/>
  <c r="T20" i="39"/>
  <c r="S20" i="39"/>
  <c r="R20" i="39"/>
  <c r="Q20" i="39"/>
  <c r="P20" i="39"/>
  <c r="N20" i="39"/>
  <c r="M20" i="39"/>
  <c r="L20" i="39"/>
  <c r="K20" i="39"/>
  <c r="I20" i="39"/>
  <c r="H20" i="39"/>
  <c r="G20" i="39"/>
  <c r="F20" i="39"/>
  <c r="E20" i="39"/>
  <c r="D20" i="39"/>
  <c r="C20" i="39"/>
  <c r="B20" i="39"/>
  <c r="U19" i="39"/>
  <c r="P19" i="39"/>
  <c r="K19" i="39"/>
  <c r="F19" i="39"/>
  <c r="P18" i="39"/>
  <c r="K18" i="39"/>
  <c r="U17" i="39"/>
  <c r="P17" i="39"/>
  <c r="K17" i="39"/>
  <c r="F17" i="39"/>
  <c r="U16" i="39"/>
  <c r="P16" i="39"/>
  <c r="K16" i="39"/>
  <c r="F16" i="39"/>
  <c r="U15" i="39"/>
  <c r="P15" i="39"/>
  <c r="K15" i="39"/>
  <c r="F15" i="39"/>
  <c r="K14" i="39"/>
  <c r="U13" i="39"/>
  <c r="P13" i="39"/>
  <c r="K13" i="39"/>
  <c r="F13" i="39"/>
  <c r="U12" i="39"/>
  <c r="P12" i="39"/>
  <c r="K12" i="39"/>
  <c r="F12" i="39"/>
  <c r="P11" i="39"/>
  <c r="K11" i="39"/>
  <c r="P10" i="39"/>
  <c r="K10" i="39"/>
  <c r="F10" i="39"/>
  <c r="U9" i="39"/>
  <c r="P9" i="39"/>
  <c r="K9" i="39"/>
  <c r="F9" i="39"/>
  <c r="U8" i="39"/>
  <c r="P8" i="39"/>
  <c r="K8" i="39"/>
  <c r="F8" i="39"/>
  <c r="K7" i="39"/>
  <c r="U6" i="39"/>
  <c r="P6" i="39"/>
  <c r="K6" i="39"/>
  <c r="F6" i="39"/>
  <c r="N9" i="31"/>
  <c r="M9" i="31"/>
  <c r="L9" i="31"/>
  <c r="K9" i="31"/>
  <c r="J9" i="31"/>
  <c r="I9" i="31"/>
  <c r="H9" i="31"/>
  <c r="G9" i="31"/>
  <c r="F9" i="31"/>
  <c r="E9" i="31"/>
  <c r="D9" i="31"/>
  <c r="C9" i="31"/>
  <c r="M8" i="31"/>
  <c r="L8" i="31"/>
  <c r="K8" i="31"/>
  <c r="J8" i="31"/>
  <c r="I8" i="31"/>
  <c r="H8" i="31"/>
  <c r="G8" i="31"/>
  <c r="F8" i="31"/>
  <c r="E8" i="31"/>
  <c r="D8" i="31"/>
  <c r="C8" i="31"/>
  <c r="M7" i="31"/>
  <c r="L7" i="31"/>
  <c r="K7" i="31"/>
  <c r="J7" i="31"/>
  <c r="I7" i="31"/>
  <c r="H7" i="31"/>
  <c r="G7" i="31"/>
  <c r="F7" i="31"/>
  <c r="E7" i="31"/>
  <c r="D7" i="31"/>
  <c r="C7" i="31"/>
  <c r="AA83" i="30"/>
  <c r="Z83" i="30"/>
  <c r="Y83" i="30"/>
  <c r="X83" i="30"/>
  <c r="W83" i="30"/>
  <c r="V83" i="30"/>
  <c r="U83" i="30"/>
  <c r="T83" i="30"/>
  <c r="S83" i="30"/>
  <c r="R83" i="30"/>
  <c r="Q83" i="30"/>
  <c r="P83" i="30"/>
  <c r="O83" i="30"/>
  <c r="N83" i="30"/>
  <c r="AA82" i="30"/>
  <c r="Z82" i="30"/>
  <c r="Y82" i="30"/>
  <c r="X82" i="30"/>
  <c r="W82" i="30"/>
  <c r="V82" i="30"/>
  <c r="U82" i="30"/>
  <c r="T82" i="30"/>
  <c r="S82" i="30"/>
  <c r="R82" i="30"/>
  <c r="Q82" i="30"/>
  <c r="P82" i="30"/>
  <c r="O82" i="30"/>
  <c r="N82" i="30"/>
  <c r="AA49" i="30"/>
  <c r="Z49" i="30"/>
  <c r="Y49" i="30"/>
  <c r="X49" i="30"/>
  <c r="W49" i="30"/>
  <c r="V49" i="30"/>
  <c r="U49" i="30"/>
  <c r="T49" i="30"/>
  <c r="S49" i="30"/>
  <c r="R49" i="30"/>
  <c r="Q49" i="30"/>
  <c r="P49" i="30"/>
  <c r="AA44" i="30"/>
  <c r="Z44" i="30"/>
  <c r="Y44" i="30"/>
  <c r="X44" i="30"/>
  <c r="W44" i="30"/>
  <c r="V44" i="30"/>
  <c r="U44" i="30"/>
  <c r="T44" i="30"/>
  <c r="S44" i="30"/>
  <c r="R44" i="30"/>
  <c r="Q44" i="30"/>
  <c r="P44" i="30"/>
  <c r="O44" i="30"/>
  <c r="N44" i="30"/>
  <c r="AC41" i="30"/>
  <c r="AB41" i="30"/>
  <c r="AA41" i="30"/>
  <c r="Z41" i="30"/>
  <c r="Y41" i="30"/>
  <c r="X41" i="30"/>
  <c r="W41" i="30"/>
  <c r="V41" i="30"/>
  <c r="U41" i="30"/>
  <c r="T41" i="30"/>
  <c r="S41" i="30"/>
  <c r="R41" i="30"/>
  <c r="Q41" i="30"/>
  <c r="P41" i="30"/>
  <c r="O41" i="30"/>
  <c r="N41" i="30"/>
  <c r="M41" i="30"/>
  <c r="L41" i="30"/>
  <c r="K41" i="30"/>
  <c r="J41" i="30"/>
  <c r="I41" i="30"/>
  <c r="H41" i="30"/>
  <c r="G41" i="30"/>
  <c r="F41" i="30"/>
  <c r="E41" i="30"/>
  <c r="D41" i="30"/>
  <c r="C41" i="30"/>
  <c r="B41" i="30"/>
  <c r="O13" i="30"/>
  <c r="N13" i="30"/>
  <c r="M13" i="30"/>
  <c r="L13" i="30"/>
  <c r="K13" i="30"/>
  <c r="J13" i="30"/>
  <c r="I13" i="30"/>
  <c r="H13" i="30"/>
  <c r="G13" i="30"/>
  <c r="F13" i="30"/>
  <c r="E13" i="30"/>
  <c r="D13" i="30"/>
  <c r="C13" i="30"/>
  <c r="B13" i="30"/>
  <c r="O12" i="30"/>
  <c r="N12" i="30"/>
  <c r="M12" i="30"/>
  <c r="L12" i="30"/>
  <c r="K12" i="30"/>
  <c r="J12" i="30"/>
  <c r="I12" i="30"/>
  <c r="H12" i="30"/>
  <c r="G12" i="30"/>
  <c r="F12" i="30"/>
  <c r="E12" i="30"/>
  <c r="D12" i="30"/>
  <c r="C12" i="30"/>
  <c r="B12" i="30"/>
  <c r="I937" i="33"/>
  <c r="I936" i="33"/>
  <c r="I935" i="33"/>
  <c r="I934" i="33"/>
  <c r="I933" i="33"/>
  <c r="I932" i="33"/>
  <c r="I931" i="33"/>
  <c r="I930" i="33"/>
  <c r="I929" i="33"/>
  <c r="I928" i="33"/>
  <c r="I927" i="33"/>
  <c r="I926" i="33"/>
  <c r="I925" i="33"/>
  <c r="I924" i="33"/>
  <c r="I923" i="33"/>
  <c r="I922" i="33"/>
  <c r="I921" i="33"/>
  <c r="I920" i="33"/>
  <c r="I919" i="33"/>
  <c r="I918" i="33"/>
  <c r="I917" i="33"/>
  <c r="I916" i="33"/>
  <c r="I915" i="33"/>
  <c r="I914" i="33"/>
  <c r="I913" i="33"/>
  <c r="I912" i="33"/>
  <c r="I911" i="33"/>
  <c r="I910" i="33"/>
  <c r="I909" i="33"/>
  <c r="I908" i="33"/>
  <c r="I907" i="33"/>
  <c r="I906" i="33"/>
  <c r="I905" i="33"/>
  <c r="I904" i="33"/>
  <c r="I903" i="33"/>
  <c r="I902" i="33"/>
  <c r="I901" i="33"/>
  <c r="I900" i="33"/>
  <c r="I899" i="33"/>
  <c r="I898" i="33"/>
  <c r="I897" i="33"/>
  <c r="I896" i="33"/>
  <c r="I895" i="33"/>
  <c r="I894" i="33"/>
  <c r="I893" i="33"/>
  <c r="I892" i="33"/>
  <c r="I891" i="33"/>
  <c r="I890" i="33"/>
  <c r="I889" i="33"/>
  <c r="I888" i="33"/>
  <c r="I887" i="33"/>
  <c r="I886" i="33"/>
  <c r="I885" i="33"/>
  <c r="I884" i="33"/>
  <c r="I883" i="33"/>
  <c r="I882" i="33"/>
  <c r="I881" i="33"/>
  <c r="I880" i="33"/>
  <c r="I879" i="33"/>
  <c r="I878" i="33"/>
  <c r="I877" i="33"/>
  <c r="I876" i="33"/>
  <c r="I875" i="33"/>
  <c r="I874" i="33"/>
  <c r="I873" i="33"/>
  <c r="I872" i="33"/>
  <c r="I871" i="33"/>
  <c r="I870" i="33"/>
  <c r="I869" i="33"/>
  <c r="I868" i="33"/>
  <c r="I867" i="33"/>
  <c r="I866" i="33"/>
  <c r="I865" i="33"/>
  <c r="I864" i="33"/>
  <c r="I863" i="33"/>
  <c r="I862" i="33"/>
  <c r="I861" i="33"/>
  <c r="I860" i="33"/>
  <c r="I859" i="33"/>
  <c r="I858" i="33"/>
  <c r="I857" i="33"/>
  <c r="I856" i="33"/>
  <c r="I855" i="33"/>
  <c r="I854" i="33"/>
  <c r="I853" i="33"/>
  <c r="I852" i="33"/>
  <c r="I851" i="33"/>
  <c r="I850" i="33"/>
  <c r="I849" i="33"/>
  <c r="I848" i="33"/>
  <c r="I847" i="33"/>
  <c r="I846" i="33"/>
  <c r="I845" i="33"/>
  <c r="I844" i="33"/>
  <c r="I843" i="33"/>
  <c r="I842" i="33"/>
  <c r="I841" i="33"/>
  <c r="I840" i="33"/>
  <c r="I839" i="33"/>
  <c r="I838" i="33"/>
  <c r="I837" i="33"/>
  <c r="I836" i="33"/>
  <c r="I835" i="33"/>
  <c r="I834" i="33"/>
  <c r="I833" i="33"/>
  <c r="I832" i="33"/>
  <c r="I831" i="33"/>
  <c r="I830" i="33"/>
  <c r="I829" i="33"/>
  <c r="I828" i="33"/>
  <c r="I827" i="33"/>
  <c r="I826" i="33"/>
  <c r="I825" i="33"/>
  <c r="I824" i="33"/>
  <c r="I823" i="33"/>
  <c r="I822" i="33"/>
  <c r="I821" i="33"/>
  <c r="I820" i="33"/>
  <c r="I819" i="33"/>
  <c r="I818" i="33"/>
  <c r="I817" i="33"/>
  <c r="I816" i="33"/>
  <c r="I815" i="33"/>
  <c r="I814" i="33"/>
  <c r="I813" i="33"/>
  <c r="I812" i="33"/>
  <c r="I811" i="33"/>
  <c r="I810" i="33"/>
  <c r="I809" i="33"/>
  <c r="I808" i="33"/>
  <c r="I807" i="33"/>
  <c r="I806" i="33"/>
  <c r="I805" i="33"/>
  <c r="I804" i="33"/>
  <c r="I803" i="33"/>
  <c r="I802" i="33"/>
  <c r="I801" i="33"/>
  <c r="I800" i="33"/>
  <c r="I799" i="33"/>
  <c r="I798" i="33"/>
  <c r="I797" i="33"/>
  <c r="I796" i="33"/>
  <c r="I795" i="33"/>
  <c r="I794" i="33"/>
  <c r="I793" i="33"/>
  <c r="I792" i="33"/>
  <c r="I791" i="33"/>
  <c r="I790" i="33"/>
  <c r="I789" i="33"/>
  <c r="I788" i="33"/>
  <c r="I787" i="33"/>
  <c r="I786" i="33"/>
  <c r="I785" i="33"/>
  <c r="I784" i="33"/>
  <c r="I783" i="33"/>
  <c r="I782" i="33"/>
  <c r="I781" i="33"/>
  <c r="I780" i="33"/>
  <c r="I779" i="33"/>
  <c r="I778" i="33"/>
  <c r="I777" i="33"/>
  <c r="I776" i="33"/>
  <c r="I775" i="33"/>
  <c r="I774" i="33"/>
  <c r="I773" i="33"/>
  <c r="I772" i="33"/>
  <c r="I771" i="33"/>
  <c r="I770" i="33"/>
  <c r="I769" i="33"/>
  <c r="I768" i="33"/>
  <c r="I767" i="33"/>
  <c r="I766" i="33"/>
  <c r="I765" i="33"/>
  <c r="I764" i="33"/>
  <c r="I763" i="33"/>
  <c r="I762" i="33"/>
  <c r="I761" i="33"/>
  <c r="I760" i="33"/>
  <c r="I759" i="33"/>
  <c r="I758" i="33"/>
  <c r="I757" i="33"/>
  <c r="I756" i="33"/>
  <c r="I755" i="33"/>
  <c r="I754" i="33"/>
  <c r="I753" i="33"/>
  <c r="I752" i="33"/>
  <c r="I751" i="33"/>
  <c r="I750" i="33"/>
  <c r="I749" i="33"/>
  <c r="I748" i="33"/>
  <c r="I747" i="33"/>
  <c r="I746" i="33"/>
  <c r="I745" i="33"/>
  <c r="I744" i="33"/>
  <c r="I743" i="33"/>
  <c r="I742" i="33"/>
  <c r="I741" i="33"/>
  <c r="I740" i="33"/>
  <c r="I739" i="33"/>
  <c r="I738" i="33"/>
  <c r="I737" i="33"/>
  <c r="I736" i="33"/>
  <c r="I735" i="33"/>
  <c r="I734" i="33"/>
  <c r="I733" i="33"/>
  <c r="I732" i="33"/>
  <c r="I731" i="33"/>
  <c r="I730" i="33"/>
  <c r="I729" i="33"/>
  <c r="I728" i="33"/>
  <c r="I727" i="33"/>
  <c r="I726" i="33"/>
  <c r="I725" i="33"/>
  <c r="I724" i="33"/>
  <c r="I723" i="33"/>
  <c r="I722" i="33"/>
  <c r="I721" i="33"/>
  <c r="I720" i="33"/>
  <c r="I719" i="33"/>
  <c r="I718" i="33"/>
  <c r="I717" i="33"/>
  <c r="I716" i="33"/>
  <c r="I715" i="33"/>
  <c r="I714" i="33"/>
  <c r="I713" i="33"/>
  <c r="I712" i="33"/>
  <c r="I711" i="33"/>
  <c r="I710" i="33"/>
  <c r="I709" i="33"/>
  <c r="I708" i="33"/>
  <c r="I707" i="33"/>
  <c r="I706" i="33"/>
  <c r="I705" i="33"/>
  <c r="I704" i="33"/>
  <c r="I703" i="33"/>
  <c r="I702" i="33"/>
  <c r="I701" i="33"/>
  <c r="I700" i="33"/>
  <c r="I699" i="33"/>
  <c r="I698" i="33"/>
  <c r="I697" i="33"/>
  <c r="I696" i="33"/>
  <c r="I695" i="33"/>
  <c r="I694" i="33"/>
  <c r="I693" i="33"/>
  <c r="I692" i="33"/>
  <c r="I691" i="33"/>
  <c r="I690" i="33"/>
  <c r="I689" i="33"/>
  <c r="I688" i="33"/>
  <c r="I687" i="33"/>
  <c r="I686" i="33"/>
  <c r="I685" i="33"/>
  <c r="I684" i="33"/>
  <c r="I683" i="33"/>
  <c r="I682" i="33"/>
  <c r="I681" i="33"/>
  <c r="I680" i="33"/>
  <c r="I679" i="33"/>
  <c r="I678" i="33"/>
  <c r="I677" i="33"/>
  <c r="I676" i="33"/>
  <c r="I675" i="33"/>
  <c r="I674" i="33"/>
  <c r="I673" i="33"/>
  <c r="I672" i="33"/>
  <c r="I671" i="33"/>
  <c r="I670" i="33"/>
  <c r="I669" i="33"/>
  <c r="I668" i="33"/>
  <c r="I667" i="33"/>
  <c r="I666" i="33"/>
  <c r="I665" i="33"/>
  <c r="I664" i="33"/>
  <c r="I663" i="33"/>
  <c r="I662" i="33"/>
  <c r="I661" i="33"/>
  <c r="I660" i="33"/>
  <c r="I659" i="33"/>
  <c r="I658" i="33"/>
  <c r="I657" i="33"/>
  <c r="I656" i="33"/>
  <c r="I655" i="33"/>
  <c r="I654" i="33"/>
  <c r="I653" i="33"/>
  <c r="I652" i="33"/>
  <c r="I651" i="33"/>
  <c r="I650" i="33"/>
  <c r="I649" i="33"/>
  <c r="I648" i="33"/>
  <c r="I647" i="33"/>
  <c r="I646" i="33"/>
  <c r="I645" i="33"/>
  <c r="I644" i="33"/>
  <c r="I643" i="33"/>
  <c r="I642" i="33"/>
  <c r="I641" i="33"/>
  <c r="I640" i="33"/>
  <c r="I639" i="33"/>
  <c r="I638" i="33"/>
  <c r="I637" i="33"/>
  <c r="I636" i="33"/>
  <c r="I635" i="33"/>
  <c r="I634" i="33"/>
  <c r="I633" i="33"/>
  <c r="I632" i="33"/>
  <c r="I631" i="33"/>
  <c r="I630" i="33"/>
  <c r="I629" i="33"/>
  <c r="I628" i="33"/>
  <c r="I627" i="33"/>
  <c r="I626" i="33"/>
  <c r="I625" i="33"/>
  <c r="I624" i="33"/>
  <c r="I623" i="33"/>
  <c r="I622" i="33"/>
  <c r="I621" i="33"/>
  <c r="I620" i="33"/>
  <c r="I619" i="33"/>
  <c r="I618" i="33"/>
  <c r="I617" i="33"/>
  <c r="I616" i="33"/>
  <c r="I615" i="33"/>
  <c r="I614" i="33"/>
  <c r="I613" i="33"/>
  <c r="I612" i="33"/>
  <c r="I611" i="33"/>
  <c r="I610" i="33"/>
  <c r="I609" i="33"/>
  <c r="I608" i="33"/>
  <c r="I607" i="33"/>
  <c r="I606" i="33"/>
  <c r="I605" i="33"/>
  <c r="I604" i="33"/>
  <c r="I603" i="33"/>
  <c r="I602" i="33"/>
  <c r="I601" i="33"/>
  <c r="I600" i="33"/>
  <c r="I599" i="33"/>
  <c r="I598" i="33"/>
  <c r="I597" i="33"/>
  <c r="I596" i="33"/>
  <c r="I595" i="33"/>
  <c r="I594" i="33"/>
  <c r="I593" i="33"/>
  <c r="I592" i="33"/>
  <c r="I591" i="33"/>
  <c r="I590" i="33"/>
  <c r="I589" i="33"/>
  <c r="I588" i="33"/>
  <c r="I587" i="33"/>
  <c r="I586" i="33"/>
  <c r="I585" i="33"/>
  <c r="I584" i="33"/>
  <c r="I583" i="33"/>
  <c r="I582" i="33"/>
  <c r="I581" i="33"/>
  <c r="I580" i="33"/>
  <c r="I579" i="33"/>
  <c r="I578" i="33"/>
  <c r="I577" i="33"/>
  <c r="I576" i="33"/>
  <c r="I575" i="33"/>
  <c r="I574" i="33"/>
  <c r="I573" i="33"/>
  <c r="I572" i="33"/>
  <c r="I571" i="33"/>
  <c r="I570" i="33"/>
  <c r="I569" i="33"/>
  <c r="I568" i="33"/>
  <c r="I567" i="33"/>
  <c r="I566" i="33"/>
  <c r="I565" i="33"/>
  <c r="I564" i="33"/>
  <c r="I563" i="33"/>
  <c r="I562" i="33"/>
  <c r="I561" i="33"/>
  <c r="I560" i="33"/>
  <c r="I559" i="33"/>
  <c r="I558" i="33"/>
  <c r="I557" i="33"/>
  <c r="I556" i="33"/>
  <c r="I555" i="33"/>
  <c r="I554" i="33"/>
  <c r="I553" i="33"/>
  <c r="I552" i="33"/>
  <c r="I551" i="33"/>
  <c r="I550" i="33"/>
  <c r="I549" i="33"/>
  <c r="I548" i="33"/>
  <c r="I547" i="33"/>
  <c r="I546" i="33"/>
  <c r="I545" i="33"/>
  <c r="I544" i="33"/>
  <c r="I543" i="33"/>
  <c r="I542" i="33"/>
  <c r="I541" i="33"/>
  <c r="I540" i="33"/>
  <c r="I539" i="33"/>
  <c r="I538" i="33"/>
  <c r="I537" i="33"/>
  <c r="I536" i="33"/>
  <c r="I535" i="33"/>
  <c r="I534" i="33"/>
  <c r="I533" i="33"/>
  <c r="I532" i="33"/>
  <c r="I531" i="33"/>
  <c r="I530" i="33"/>
  <c r="I529" i="33"/>
  <c r="I528" i="33"/>
  <c r="I527" i="33"/>
  <c r="I526" i="33"/>
  <c r="I525" i="33"/>
  <c r="I524" i="33"/>
  <c r="I523" i="33"/>
  <c r="I522" i="33"/>
  <c r="I521" i="33"/>
  <c r="I520" i="33"/>
  <c r="I519" i="33"/>
  <c r="I518" i="33"/>
  <c r="I517" i="33"/>
  <c r="I516" i="33"/>
  <c r="I515" i="33"/>
  <c r="I514" i="33"/>
  <c r="I513" i="33"/>
  <c r="I512" i="33"/>
  <c r="I511" i="33"/>
  <c r="I510" i="33"/>
  <c r="I509" i="33"/>
  <c r="I508" i="33"/>
  <c r="I507" i="33"/>
  <c r="I506" i="33"/>
  <c r="I505" i="33"/>
  <c r="I504" i="33"/>
  <c r="I503" i="33"/>
  <c r="I502" i="33"/>
  <c r="I501" i="33"/>
  <c r="I500" i="33"/>
  <c r="I499" i="33"/>
  <c r="I498" i="33"/>
  <c r="I497" i="33"/>
  <c r="I496" i="33"/>
  <c r="I495" i="33"/>
  <c r="I494" i="33"/>
  <c r="I493" i="33"/>
  <c r="I492" i="33"/>
  <c r="I491" i="33"/>
  <c r="I490" i="33"/>
  <c r="I489" i="33"/>
  <c r="I488" i="33"/>
  <c r="I487" i="33"/>
  <c r="I486" i="33"/>
  <c r="I485" i="33"/>
  <c r="I484" i="33"/>
  <c r="I483" i="33"/>
  <c r="I482" i="33"/>
  <c r="I481" i="33"/>
  <c r="I480" i="33"/>
  <c r="I479" i="33"/>
  <c r="I478" i="33"/>
  <c r="I477" i="33"/>
  <c r="I476" i="33"/>
  <c r="I475" i="33"/>
  <c r="I474" i="33"/>
  <c r="I473" i="33"/>
  <c r="I472" i="33"/>
  <c r="I471" i="33"/>
  <c r="I470" i="33"/>
  <c r="I469" i="33"/>
  <c r="I468" i="33"/>
  <c r="I467" i="33"/>
  <c r="I466" i="33"/>
  <c r="I465" i="33"/>
  <c r="I464" i="33"/>
  <c r="I463" i="33"/>
  <c r="I462" i="33"/>
  <c r="I461" i="33"/>
  <c r="I460" i="33"/>
  <c r="I459" i="33"/>
  <c r="I458" i="33"/>
  <c r="I457" i="33"/>
  <c r="I456" i="33"/>
  <c r="I455" i="33"/>
  <c r="I454" i="33"/>
  <c r="I453" i="33"/>
  <c r="I452" i="33"/>
  <c r="I451" i="33"/>
  <c r="I450" i="33"/>
  <c r="I449" i="33"/>
  <c r="I448" i="33"/>
  <c r="I447" i="33"/>
  <c r="I446" i="33"/>
  <c r="I445" i="33"/>
  <c r="I444" i="33"/>
  <c r="I443" i="33"/>
  <c r="I442" i="33"/>
  <c r="I441" i="33"/>
  <c r="I440" i="33"/>
  <c r="I439" i="33"/>
  <c r="I438" i="33"/>
  <c r="I437" i="33"/>
  <c r="I436" i="33"/>
  <c r="I435" i="33"/>
  <c r="I434" i="33"/>
  <c r="I433" i="33"/>
  <c r="I432" i="33"/>
  <c r="I431" i="33"/>
  <c r="I430" i="33"/>
  <c r="I429" i="33"/>
  <c r="I428" i="33"/>
  <c r="I427" i="33"/>
  <c r="I426" i="33"/>
  <c r="I425" i="33"/>
  <c r="I424" i="33"/>
  <c r="I423" i="33"/>
  <c r="I422" i="33"/>
  <c r="I421" i="33"/>
  <c r="I420" i="33"/>
  <c r="I419" i="33"/>
  <c r="I418" i="33"/>
  <c r="I417" i="33"/>
  <c r="I416" i="33"/>
  <c r="I415" i="33"/>
  <c r="I414" i="33"/>
  <c r="I413" i="33"/>
  <c r="I412" i="33"/>
  <c r="I411" i="33"/>
  <c r="I410" i="33"/>
  <c r="I409" i="33"/>
  <c r="I408" i="33"/>
  <c r="I407" i="33"/>
  <c r="I406" i="33"/>
  <c r="I405" i="33"/>
  <c r="I404" i="33"/>
  <c r="I403" i="33"/>
  <c r="I402" i="33"/>
  <c r="I401" i="33"/>
  <c r="I400" i="33"/>
  <c r="I399" i="33"/>
  <c r="I398" i="33"/>
  <c r="I397" i="33"/>
  <c r="I396" i="33"/>
  <c r="I395" i="33"/>
  <c r="I394" i="33"/>
  <c r="I393" i="33"/>
  <c r="I392" i="33"/>
  <c r="I391" i="33"/>
  <c r="I390" i="33"/>
  <c r="I389" i="33"/>
  <c r="I388" i="33"/>
  <c r="I387" i="33"/>
  <c r="I386" i="33"/>
  <c r="I385" i="33"/>
  <c r="I384" i="33"/>
  <c r="I383" i="33"/>
  <c r="I382" i="33"/>
  <c r="I381" i="33"/>
  <c r="I380" i="33"/>
  <c r="I379" i="33"/>
  <c r="I378" i="33"/>
  <c r="I377" i="33"/>
  <c r="I376" i="33"/>
  <c r="I375" i="33"/>
  <c r="I374" i="33"/>
  <c r="I373" i="33"/>
  <c r="I372" i="33"/>
  <c r="I371" i="33"/>
  <c r="I370" i="33"/>
  <c r="I369" i="33"/>
  <c r="I368" i="33"/>
  <c r="I367" i="33"/>
  <c r="I366" i="33"/>
  <c r="I365" i="33"/>
  <c r="I364" i="33"/>
  <c r="I363" i="33"/>
  <c r="I362" i="33"/>
  <c r="I361" i="33"/>
  <c r="I360" i="33"/>
  <c r="I359" i="33"/>
  <c r="I358" i="33"/>
  <c r="I357" i="33"/>
  <c r="I356" i="33"/>
  <c r="I355" i="33"/>
  <c r="I354" i="33"/>
  <c r="I353" i="33"/>
  <c r="I352" i="33"/>
  <c r="I351" i="33"/>
  <c r="I350" i="33"/>
  <c r="I349" i="33"/>
  <c r="I348" i="33"/>
  <c r="I347" i="33"/>
  <c r="I346" i="33"/>
  <c r="I345" i="33"/>
  <c r="I344" i="33"/>
  <c r="I343" i="33"/>
  <c r="I342" i="33"/>
  <c r="I341" i="33"/>
  <c r="I340" i="33"/>
  <c r="I339" i="33"/>
  <c r="I338" i="33"/>
  <c r="I337" i="33"/>
  <c r="I336" i="33"/>
  <c r="I335" i="33"/>
  <c r="I334" i="33"/>
  <c r="I333" i="33"/>
  <c r="I332" i="33"/>
  <c r="I331" i="33"/>
  <c r="I330" i="33"/>
  <c r="I329" i="33"/>
  <c r="I328" i="33"/>
  <c r="I327" i="33"/>
  <c r="I326" i="33"/>
  <c r="I325" i="33"/>
  <c r="I324" i="33"/>
  <c r="I323" i="33"/>
  <c r="I322" i="33"/>
  <c r="I321" i="33"/>
  <c r="I320" i="33"/>
  <c r="I319" i="33"/>
  <c r="I318" i="33"/>
  <c r="I317" i="33"/>
  <c r="I316" i="33"/>
  <c r="I315" i="33"/>
  <c r="I314" i="33"/>
  <c r="I313" i="33"/>
  <c r="I312" i="33"/>
  <c r="I311" i="33"/>
  <c r="I310" i="33"/>
  <c r="I309" i="33"/>
  <c r="I308" i="33"/>
  <c r="I307" i="33"/>
  <c r="I306" i="33"/>
  <c r="I305" i="33"/>
  <c r="I304" i="33"/>
  <c r="I303" i="33"/>
  <c r="I302" i="33"/>
  <c r="I301" i="33"/>
  <c r="I300" i="33"/>
  <c r="I299" i="33"/>
  <c r="I298" i="33"/>
  <c r="I297" i="33"/>
  <c r="I296" i="33"/>
  <c r="I295" i="33"/>
  <c r="I294" i="33"/>
  <c r="I293" i="33"/>
  <c r="I292" i="33"/>
  <c r="I291" i="33"/>
  <c r="I290" i="33"/>
  <c r="I289" i="33"/>
  <c r="I288" i="33"/>
  <c r="I287" i="33"/>
  <c r="I286" i="33"/>
  <c r="I285" i="33"/>
  <c r="I284" i="33"/>
  <c r="I283" i="33"/>
  <c r="I282" i="33"/>
  <c r="I281" i="33"/>
  <c r="I280" i="33"/>
  <c r="I279" i="33"/>
  <c r="D279" i="33"/>
  <c r="I278" i="33"/>
  <c r="D278" i="33"/>
  <c r="I277" i="33"/>
  <c r="D277" i="33"/>
  <c r="I276" i="33"/>
  <c r="D276" i="33"/>
  <c r="I275" i="33"/>
  <c r="D275" i="33"/>
  <c r="I274" i="33"/>
  <c r="D274" i="33"/>
  <c r="I273" i="33"/>
  <c r="D273" i="33"/>
  <c r="I272" i="33"/>
  <c r="D272" i="33"/>
  <c r="I271" i="33"/>
  <c r="D271" i="33"/>
  <c r="I270" i="33"/>
  <c r="D270" i="33"/>
  <c r="I269" i="33"/>
  <c r="D269" i="33"/>
  <c r="I268" i="33"/>
  <c r="D268" i="33"/>
  <c r="I267" i="33"/>
  <c r="D267" i="33"/>
  <c r="I266" i="33"/>
  <c r="D266" i="33"/>
  <c r="I265" i="33"/>
  <c r="D265" i="33"/>
  <c r="I264" i="33"/>
  <c r="D264" i="33"/>
  <c r="I263" i="33"/>
  <c r="D263" i="33"/>
  <c r="I262" i="33"/>
  <c r="D262" i="33"/>
  <c r="I261" i="33"/>
  <c r="G261" i="33"/>
  <c r="F261" i="33"/>
  <c r="D261" i="33"/>
  <c r="I260" i="33"/>
  <c r="D260" i="33"/>
  <c r="I259" i="33"/>
  <c r="D259" i="33"/>
  <c r="I258" i="33"/>
  <c r="D258" i="33"/>
  <c r="I257" i="33"/>
  <c r="D257" i="33"/>
  <c r="I256" i="33"/>
  <c r="D256" i="33"/>
  <c r="I255" i="33"/>
  <c r="D255" i="33"/>
  <c r="I254" i="33"/>
  <c r="D254" i="33"/>
  <c r="I253" i="33"/>
  <c r="D253" i="33"/>
  <c r="I252" i="33"/>
  <c r="D252" i="33"/>
  <c r="I251" i="33"/>
  <c r="D251" i="33"/>
  <c r="I250" i="33"/>
  <c r="D250" i="33"/>
  <c r="I249" i="33"/>
  <c r="D249" i="33"/>
  <c r="I248" i="33"/>
  <c r="D248" i="33"/>
  <c r="I247" i="33"/>
  <c r="D247" i="33"/>
  <c r="I246" i="33"/>
  <c r="D246" i="33"/>
  <c r="I245" i="33"/>
  <c r="D245" i="33"/>
  <c r="I244" i="33"/>
  <c r="D244" i="33"/>
  <c r="I243" i="33"/>
  <c r="G243" i="33"/>
  <c r="F243" i="33"/>
  <c r="D243" i="33"/>
  <c r="I242" i="33"/>
  <c r="D242" i="33"/>
  <c r="I241" i="33"/>
  <c r="D241" i="33"/>
  <c r="I240" i="33"/>
  <c r="D240" i="33"/>
  <c r="I239" i="33"/>
  <c r="D239" i="33"/>
  <c r="I238" i="33"/>
  <c r="D238" i="33"/>
  <c r="I237" i="33"/>
  <c r="D237" i="33"/>
  <c r="I236" i="33"/>
  <c r="D236" i="33"/>
  <c r="I235" i="33"/>
  <c r="D235" i="33"/>
  <c r="I234" i="33"/>
  <c r="D234" i="33"/>
  <c r="I233" i="33"/>
  <c r="G233" i="33"/>
  <c r="F233" i="33"/>
  <c r="D233" i="33"/>
  <c r="I232" i="33"/>
  <c r="G232" i="33"/>
  <c r="F232" i="33"/>
  <c r="D232" i="33"/>
  <c r="I231" i="33"/>
  <c r="D231" i="33"/>
  <c r="I230" i="33"/>
  <c r="D230" i="33"/>
  <c r="I229" i="33"/>
  <c r="D229" i="33"/>
  <c r="I228" i="33"/>
  <c r="D228" i="33"/>
  <c r="I227" i="33"/>
  <c r="D227" i="33"/>
  <c r="I226" i="33"/>
  <c r="D226" i="33"/>
  <c r="I225" i="33"/>
  <c r="D225" i="33"/>
  <c r="I224" i="33"/>
  <c r="D224" i="33"/>
  <c r="I223" i="33"/>
  <c r="D223" i="33"/>
  <c r="I222" i="33"/>
  <c r="D222" i="33"/>
  <c r="I221" i="33"/>
  <c r="D221" i="33"/>
  <c r="I220" i="33"/>
  <c r="D220" i="33"/>
  <c r="I219" i="33"/>
  <c r="D219" i="33"/>
  <c r="I218" i="33"/>
  <c r="G218" i="33"/>
  <c r="F218" i="33"/>
  <c r="D218" i="33"/>
  <c r="I217" i="33"/>
  <c r="D217" i="33"/>
  <c r="I216" i="33"/>
  <c r="D216" i="33"/>
  <c r="I215" i="33"/>
  <c r="D215" i="33"/>
  <c r="I214" i="33"/>
  <c r="D214" i="33"/>
  <c r="I213" i="33"/>
  <c r="G213" i="33"/>
  <c r="F213" i="33"/>
  <c r="D213" i="33"/>
  <c r="I212" i="33"/>
  <c r="D212" i="33"/>
  <c r="I211" i="33"/>
  <c r="D211" i="33"/>
  <c r="I210" i="33"/>
  <c r="D210" i="33"/>
  <c r="I209" i="33"/>
  <c r="D209" i="33"/>
  <c r="I208" i="33"/>
  <c r="D208" i="33"/>
  <c r="I207" i="33"/>
  <c r="D207" i="33"/>
  <c r="I206" i="33"/>
  <c r="D206" i="33"/>
  <c r="I205" i="33"/>
  <c r="D205" i="33"/>
  <c r="I204" i="33"/>
  <c r="D204" i="33"/>
  <c r="I203" i="33"/>
  <c r="D203" i="33"/>
  <c r="I202" i="33"/>
  <c r="D202" i="33"/>
  <c r="I201" i="33"/>
  <c r="D201" i="33"/>
  <c r="I200" i="33"/>
  <c r="D200" i="33"/>
  <c r="I199" i="33"/>
  <c r="D199" i="33"/>
  <c r="I198" i="33"/>
  <c r="D198" i="33"/>
  <c r="I197" i="33"/>
  <c r="D197" i="33"/>
  <c r="I196" i="33"/>
  <c r="D196" i="33"/>
  <c r="I195" i="33"/>
  <c r="D195" i="33"/>
  <c r="I194" i="33"/>
  <c r="D194" i="33"/>
  <c r="I193" i="33"/>
  <c r="D193" i="33"/>
  <c r="I192" i="33"/>
  <c r="D192" i="33"/>
  <c r="I191" i="33"/>
  <c r="D191" i="33"/>
  <c r="I190" i="33"/>
  <c r="D190" i="33"/>
  <c r="I189" i="33"/>
  <c r="D189" i="33"/>
  <c r="I188" i="33"/>
  <c r="D188" i="33"/>
  <c r="I187" i="33"/>
  <c r="D187" i="33"/>
  <c r="I186" i="33"/>
  <c r="D186" i="33"/>
  <c r="I185" i="33"/>
  <c r="D185" i="33"/>
  <c r="I184" i="33"/>
  <c r="D184" i="33"/>
  <c r="I183" i="33"/>
  <c r="D183" i="33"/>
  <c r="I182" i="33"/>
  <c r="D182" i="33"/>
  <c r="I181" i="33"/>
  <c r="D181" i="33"/>
  <c r="I180" i="33"/>
  <c r="D180" i="33"/>
  <c r="I179" i="33"/>
  <c r="D179" i="33"/>
  <c r="I178" i="33"/>
  <c r="D178" i="33"/>
  <c r="I177" i="33"/>
  <c r="D177" i="33"/>
  <c r="I176" i="33"/>
  <c r="D176" i="33"/>
  <c r="I175" i="33"/>
  <c r="D175" i="33"/>
  <c r="I174" i="33"/>
  <c r="D174" i="33"/>
  <c r="I173" i="33"/>
  <c r="G173" i="33"/>
  <c r="F173" i="33"/>
  <c r="D173" i="33"/>
  <c r="I172" i="33"/>
  <c r="D172" i="33"/>
  <c r="I171" i="33"/>
  <c r="D171" i="33"/>
  <c r="I170" i="33"/>
  <c r="D170" i="33"/>
  <c r="I169" i="33"/>
  <c r="D169" i="33"/>
  <c r="I168" i="33"/>
  <c r="D168" i="33"/>
  <c r="I167" i="33"/>
  <c r="D167" i="33"/>
  <c r="I166" i="33"/>
  <c r="D166" i="33"/>
  <c r="I165" i="33"/>
  <c r="D165" i="33"/>
  <c r="I164" i="33"/>
  <c r="D164" i="33"/>
  <c r="I163" i="33"/>
  <c r="D163" i="33"/>
  <c r="I162" i="33"/>
  <c r="D162" i="33"/>
  <c r="I161" i="33"/>
  <c r="D161" i="33"/>
  <c r="I160" i="33"/>
  <c r="D160" i="33"/>
  <c r="I159" i="33"/>
  <c r="D159" i="33"/>
  <c r="I158" i="33"/>
  <c r="D158" i="33"/>
  <c r="I157" i="33"/>
  <c r="D157" i="33"/>
  <c r="I156" i="33"/>
  <c r="D156" i="33"/>
  <c r="I155" i="33"/>
  <c r="D155" i="33"/>
  <c r="I154" i="33"/>
  <c r="D154" i="33"/>
  <c r="I153" i="33"/>
  <c r="D153" i="33"/>
  <c r="I152" i="33"/>
  <c r="D152" i="33"/>
  <c r="I151" i="33"/>
  <c r="D151" i="33"/>
  <c r="I150" i="33"/>
  <c r="D150" i="33"/>
  <c r="I149" i="33"/>
  <c r="D149" i="33"/>
  <c r="I148" i="33"/>
  <c r="D148" i="33"/>
  <c r="I147" i="33"/>
  <c r="D147" i="33"/>
  <c r="I146" i="33"/>
  <c r="D146" i="33"/>
  <c r="I145" i="33"/>
  <c r="D145" i="33"/>
  <c r="I144" i="33"/>
  <c r="G144" i="33"/>
  <c r="F144" i="33"/>
  <c r="D144" i="33"/>
  <c r="I143" i="33"/>
  <c r="D143" i="33"/>
  <c r="I142" i="33"/>
  <c r="D142" i="33"/>
  <c r="I141" i="33"/>
  <c r="D141" i="33"/>
  <c r="I140" i="33"/>
  <c r="D140" i="33"/>
  <c r="I139" i="33"/>
  <c r="D139" i="33"/>
  <c r="I138" i="33"/>
  <c r="D138" i="33"/>
  <c r="I137" i="33"/>
  <c r="D137" i="33"/>
  <c r="I136" i="33"/>
  <c r="D136" i="33"/>
  <c r="I135" i="33"/>
  <c r="D135" i="33"/>
  <c r="I134" i="33"/>
  <c r="D134" i="33"/>
  <c r="I133" i="33"/>
  <c r="D133" i="33"/>
  <c r="I132" i="33"/>
  <c r="D132" i="33"/>
  <c r="I131" i="33"/>
  <c r="D131" i="33"/>
  <c r="I130" i="33"/>
  <c r="D130" i="33"/>
  <c r="I129" i="33"/>
  <c r="D129" i="33"/>
  <c r="I128" i="33"/>
  <c r="G128" i="33"/>
  <c r="F128" i="33"/>
  <c r="D128" i="33"/>
  <c r="I127" i="33"/>
  <c r="D127" i="33"/>
  <c r="I126" i="33"/>
  <c r="D126" i="33"/>
  <c r="I125" i="33"/>
  <c r="D125" i="33"/>
  <c r="I124" i="33"/>
  <c r="D124" i="33"/>
  <c r="I123" i="33"/>
  <c r="D123" i="33"/>
  <c r="I122" i="33"/>
  <c r="D122" i="33"/>
  <c r="I121" i="33"/>
  <c r="D121" i="33"/>
  <c r="I120" i="33"/>
  <c r="D120" i="33"/>
  <c r="I119" i="33"/>
  <c r="D119" i="33"/>
  <c r="I118" i="33"/>
  <c r="D118" i="33"/>
  <c r="I117" i="33"/>
  <c r="D117" i="33"/>
  <c r="I116" i="33"/>
  <c r="D116" i="33"/>
  <c r="I115" i="33"/>
  <c r="D115" i="33"/>
  <c r="I114" i="33"/>
  <c r="D114" i="33"/>
  <c r="I113" i="33"/>
  <c r="D113" i="33"/>
  <c r="I112" i="33"/>
  <c r="D112" i="33"/>
  <c r="I111" i="33"/>
  <c r="G111" i="33"/>
  <c r="F111" i="33"/>
  <c r="D111" i="33"/>
  <c r="I110" i="33"/>
  <c r="D110" i="33"/>
  <c r="I109" i="33"/>
  <c r="D109" i="33"/>
  <c r="I108" i="33"/>
  <c r="D108" i="33"/>
  <c r="I107" i="33"/>
  <c r="D107" i="33"/>
  <c r="I106" i="33"/>
  <c r="D106" i="33"/>
  <c r="I105" i="33"/>
  <c r="D105" i="33"/>
  <c r="I104" i="33"/>
  <c r="D104" i="33"/>
  <c r="I103" i="33"/>
  <c r="D103" i="33"/>
  <c r="I102" i="33"/>
  <c r="D102" i="33"/>
  <c r="I101" i="33"/>
  <c r="D101" i="33"/>
  <c r="I100" i="33"/>
  <c r="D100" i="33"/>
  <c r="I99" i="33"/>
  <c r="D99" i="33"/>
  <c r="I98" i="33"/>
  <c r="D98" i="33"/>
  <c r="I97" i="33"/>
  <c r="D97" i="33"/>
  <c r="I96" i="33"/>
  <c r="D96" i="33"/>
  <c r="I95" i="33"/>
  <c r="D95" i="33"/>
  <c r="I94" i="33"/>
  <c r="D94" i="33"/>
  <c r="I93" i="33"/>
  <c r="D93" i="33"/>
  <c r="I92" i="33"/>
  <c r="D92" i="33"/>
  <c r="I91" i="33"/>
  <c r="D91" i="33"/>
  <c r="I90" i="33"/>
  <c r="D90" i="33"/>
  <c r="I89" i="33"/>
  <c r="D89" i="33"/>
  <c r="I88" i="33"/>
  <c r="D88" i="33"/>
  <c r="I87" i="33"/>
  <c r="G87" i="33"/>
  <c r="F87" i="33"/>
  <c r="D87" i="33"/>
  <c r="I86" i="33"/>
  <c r="D86" i="33"/>
  <c r="I85" i="33"/>
  <c r="D85" i="33"/>
  <c r="I84" i="33"/>
  <c r="D84" i="33"/>
  <c r="I83" i="33"/>
  <c r="D83" i="33"/>
  <c r="I82" i="33"/>
  <c r="D82" i="33"/>
  <c r="I81" i="33"/>
  <c r="D81" i="33"/>
  <c r="I80" i="33"/>
  <c r="D80" i="33"/>
  <c r="I79" i="33"/>
  <c r="D79" i="33"/>
  <c r="I78" i="33"/>
  <c r="D78" i="33"/>
  <c r="I77" i="33"/>
  <c r="D77" i="33"/>
  <c r="I76" i="33"/>
  <c r="D76" i="33"/>
  <c r="I75" i="33"/>
  <c r="D75" i="33"/>
  <c r="I74" i="33"/>
  <c r="D74" i="33"/>
  <c r="I73" i="33"/>
  <c r="D73" i="33"/>
  <c r="I72" i="33"/>
  <c r="D72" i="33"/>
  <c r="I71" i="33"/>
  <c r="D71" i="33"/>
  <c r="I70" i="33"/>
  <c r="G70" i="33"/>
  <c r="F70" i="33"/>
  <c r="D70" i="33"/>
  <c r="I69" i="33"/>
  <c r="D69" i="33"/>
  <c r="I68" i="33"/>
  <c r="D68" i="33"/>
  <c r="I67" i="33"/>
  <c r="D67" i="33"/>
  <c r="I66" i="33"/>
  <c r="D66" i="33"/>
  <c r="I65" i="33"/>
  <c r="D65" i="33"/>
  <c r="I64" i="33"/>
  <c r="D64" i="33"/>
  <c r="I63" i="33"/>
  <c r="D63" i="33"/>
  <c r="I62" i="33"/>
  <c r="D62" i="33"/>
  <c r="I61" i="33"/>
  <c r="G61" i="33"/>
  <c r="F61" i="33"/>
  <c r="D61" i="33"/>
  <c r="I60" i="33"/>
  <c r="D60" i="33"/>
  <c r="I59" i="33"/>
  <c r="D59" i="33"/>
  <c r="I58" i="33"/>
  <c r="D58" i="33"/>
  <c r="I57" i="33"/>
  <c r="D57" i="33"/>
  <c r="I56" i="33"/>
  <c r="D56" i="33"/>
  <c r="I55" i="33"/>
  <c r="D55" i="33"/>
  <c r="I54" i="33"/>
  <c r="D54" i="33"/>
  <c r="I53" i="33"/>
  <c r="D53" i="33"/>
  <c r="I52" i="33"/>
  <c r="D52" i="33"/>
  <c r="I51" i="33"/>
  <c r="D51" i="33"/>
  <c r="I50" i="33"/>
  <c r="D50" i="33"/>
  <c r="I49" i="33"/>
  <c r="D49" i="33"/>
  <c r="T48" i="33"/>
  <c r="I48" i="33"/>
  <c r="D48" i="33"/>
  <c r="T47" i="33"/>
  <c r="I47" i="33"/>
  <c r="G47" i="33"/>
  <c r="F47" i="33"/>
  <c r="D47" i="33"/>
  <c r="AJ46" i="33"/>
  <c r="T46" i="33"/>
  <c r="I46" i="33"/>
  <c r="D46" i="33"/>
  <c r="AJ45" i="33"/>
  <c r="T45" i="33"/>
  <c r="I45" i="33"/>
  <c r="D45" i="33"/>
  <c r="AJ44" i="33"/>
  <c r="T44" i="33"/>
  <c r="I44" i="33"/>
  <c r="D44" i="33"/>
  <c r="AJ43" i="33"/>
  <c r="T43" i="33"/>
  <c r="Q43" i="33"/>
  <c r="P43" i="33"/>
  <c r="O43" i="33"/>
  <c r="N43" i="33"/>
  <c r="I43" i="33"/>
  <c r="D43" i="33"/>
  <c r="AJ42" i="33"/>
  <c r="T42" i="33"/>
  <c r="R42" i="33"/>
  <c r="Q42" i="33"/>
  <c r="I42" i="33"/>
  <c r="D42" i="33"/>
  <c r="AJ41" i="33"/>
  <c r="T41" i="33"/>
  <c r="R41" i="33"/>
  <c r="Q41" i="33"/>
  <c r="I41" i="33"/>
  <c r="D41" i="33"/>
  <c r="AJ40" i="33"/>
  <c r="T40" i="33"/>
  <c r="R40" i="33"/>
  <c r="Q40" i="33"/>
  <c r="I40" i="33"/>
  <c r="D40" i="33"/>
  <c r="AJ39" i="33"/>
  <c r="T39" i="33"/>
  <c r="I39" i="33"/>
  <c r="D39" i="33"/>
  <c r="AJ38" i="33"/>
  <c r="T38" i="33"/>
  <c r="I38" i="33"/>
  <c r="D38" i="33"/>
  <c r="AJ37" i="33"/>
  <c r="T37" i="33"/>
  <c r="I37" i="33"/>
  <c r="D37" i="33"/>
  <c r="AJ36" i="33"/>
  <c r="T36" i="33"/>
  <c r="I36" i="33"/>
  <c r="D36" i="33"/>
  <c r="AJ35" i="33"/>
  <c r="T35" i="33"/>
  <c r="I35" i="33"/>
  <c r="D35" i="33"/>
  <c r="AJ34" i="33"/>
  <c r="T34" i="33"/>
  <c r="I34" i="33"/>
  <c r="D34" i="33"/>
  <c r="AJ33" i="33"/>
  <c r="T33" i="33"/>
  <c r="I33" i="33"/>
  <c r="D33" i="33"/>
  <c r="AJ32" i="33"/>
  <c r="AF32" i="33"/>
  <c r="T32" i="33"/>
  <c r="I32" i="33"/>
  <c r="D32" i="33"/>
  <c r="AJ31" i="33"/>
  <c r="AF31" i="33"/>
  <c r="T31" i="33"/>
  <c r="I31" i="33"/>
  <c r="D31" i="33"/>
  <c r="AJ30" i="33"/>
  <c r="AF30" i="33"/>
  <c r="T30" i="33"/>
  <c r="I30" i="33"/>
  <c r="D30" i="33"/>
  <c r="AJ29" i="33"/>
  <c r="AF29" i="33"/>
  <c r="T29" i="33"/>
  <c r="I29" i="33"/>
  <c r="D29" i="33"/>
  <c r="AJ28" i="33"/>
  <c r="AF28" i="33"/>
  <c r="T28" i="33"/>
  <c r="I28" i="33"/>
  <c r="D28" i="33"/>
  <c r="AJ27" i="33"/>
  <c r="AF27" i="33"/>
  <c r="T27" i="33"/>
  <c r="I27" i="33"/>
  <c r="D27" i="33"/>
  <c r="AJ26" i="33"/>
  <c r="AF26" i="33"/>
  <c r="AB26" i="33"/>
  <c r="T26" i="33"/>
  <c r="I26" i="33"/>
  <c r="D26" i="33"/>
  <c r="AJ25" i="33"/>
  <c r="AF25" i="33"/>
  <c r="AB25" i="33"/>
  <c r="X25" i="33"/>
  <c r="T25" i="33"/>
  <c r="I25" i="33"/>
  <c r="G25" i="33"/>
  <c r="F25" i="33"/>
  <c r="D25" i="33"/>
  <c r="AZ24" i="33"/>
  <c r="AV24" i="33"/>
  <c r="AJ24" i="33"/>
  <c r="AF24" i="33"/>
  <c r="AB24" i="33"/>
  <c r="X24" i="33"/>
  <c r="T24" i="33"/>
  <c r="I24" i="33"/>
  <c r="D24" i="33"/>
  <c r="AZ23" i="33"/>
  <c r="AV23" i="33"/>
  <c r="AJ23" i="33"/>
  <c r="AF23" i="33"/>
  <c r="AB23" i="33"/>
  <c r="X23" i="33"/>
  <c r="T23" i="33"/>
  <c r="I23" i="33"/>
  <c r="D23" i="33"/>
  <c r="AZ22" i="33"/>
  <c r="AV22" i="33"/>
  <c r="AJ22" i="33"/>
  <c r="AF22" i="33"/>
  <c r="AB22" i="33"/>
  <c r="X22" i="33"/>
  <c r="T22" i="33"/>
  <c r="I22" i="33"/>
  <c r="D22" i="33"/>
  <c r="AZ21" i="33"/>
  <c r="AV21" i="33"/>
  <c r="AJ21" i="33"/>
  <c r="AF21" i="33"/>
  <c r="AB21" i="33"/>
  <c r="X21" i="33"/>
  <c r="T21" i="33"/>
  <c r="I21" i="33"/>
  <c r="D21" i="33"/>
  <c r="AZ20" i="33"/>
  <c r="AV20" i="33"/>
  <c r="AJ20" i="33"/>
  <c r="AF20" i="33"/>
  <c r="AB20" i="33"/>
  <c r="X20" i="33"/>
  <c r="T20" i="33"/>
  <c r="I20" i="33"/>
  <c r="D20" i="33"/>
  <c r="AZ19" i="33"/>
  <c r="AV19" i="33"/>
  <c r="AN19" i="33"/>
  <c r="AJ19" i="33"/>
  <c r="AF19" i="33"/>
  <c r="AB19" i="33"/>
  <c r="X19" i="33"/>
  <c r="T19" i="33"/>
  <c r="N19" i="33"/>
  <c r="I19" i="33"/>
  <c r="D19" i="33"/>
  <c r="AZ18" i="33"/>
  <c r="AV18" i="33"/>
  <c r="AN18" i="33"/>
  <c r="AJ18" i="33"/>
  <c r="AF18" i="33"/>
  <c r="AB18" i="33"/>
  <c r="X18" i="33"/>
  <c r="T18" i="33"/>
  <c r="N18" i="33"/>
  <c r="I18" i="33"/>
  <c r="D18" i="33"/>
  <c r="AV17" i="33"/>
  <c r="AN17" i="33"/>
  <c r="AJ17" i="33"/>
  <c r="AF17" i="33"/>
  <c r="AB17" i="33"/>
  <c r="X17" i="33"/>
  <c r="T17" i="33"/>
  <c r="N17" i="33"/>
  <c r="I17" i="33"/>
  <c r="D17" i="33"/>
  <c r="AZ16" i="33"/>
  <c r="AV16" i="33"/>
  <c r="AN16" i="33"/>
  <c r="AJ16" i="33"/>
  <c r="AF16" i="33"/>
  <c r="AB16" i="33"/>
  <c r="X16" i="33"/>
  <c r="T16" i="33"/>
  <c r="N16" i="33"/>
  <c r="I16" i="33"/>
  <c r="D16" i="33"/>
  <c r="AZ15" i="33"/>
  <c r="AV15" i="33"/>
  <c r="AN15" i="33"/>
  <c r="AJ15" i="33"/>
  <c r="AF15" i="33"/>
  <c r="AB15" i="33"/>
  <c r="X15" i="33"/>
  <c r="T15" i="33"/>
  <c r="N15" i="33"/>
  <c r="I15" i="33"/>
  <c r="D15" i="33"/>
  <c r="AV14" i="33"/>
  <c r="AN14" i="33"/>
  <c r="AJ14" i="33"/>
  <c r="AF14" i="33"/>
  <c r="AB14" i="33"/>
  <c r="X14" i="33"/>
  <c r="T14" i="33"/>
  <c r="N14" i="33"/>
  <c r="I14" i="33"/>
  <c r="D14" i="33"/>
  <c r="AZ13" i="33"/>
  <c r="AV13" i="33"/>
  <c r="AN13" i="33"/>
  <c r="AJ13" i="33"/>
  <c r="AF13" i="33"/>
  <c r="AB13" i="33"/>
  <c r="X13" i="33"/>
  <c r="T13" i="33"/>
  <c r="N13" i="33"/>
  <c r="I13" i="33"/>
  <c r="D13" i="33"/>
  <c r="AZ12" i="33"/>
  <c r="AV12" i="33"/>
  <c r="AN12" i="33"/>
  <c r="AJ12" i="33"/>
  <c r="AF12" i="33"/>
  <c r="AB12" i="33"/>
  <c r="X12" i="33"/>
  <c r="T12" i="33"/>
  <c r="N12" i="33"/>
  <c r="I12" i="33"/>
  <c r="D12" i="33"/>
  <c r="AZ11" i="33"/>
  <c r="AV11" i="33"/>
  <c r="AN11" i="33"/>
  <c r="AJ11" i="33"/>
  <c r="AF11" i="33"/>
  <c r="AB11" i="33"/>
  <c r="X11" i="33"/>
  <c r="T11" i="33"/>
  <c r="N11" i="33"/>
  <c r="I11" i="33"/>
  <c r="D11" i="33"/>
  <c r="AV10" i="33"/>
  <c r="AN10" i="33"/>
  <c r="AJ10" i="33"/>
  <c r="AF10" i="33"/>
  <c r="AB10" i="33"/>
  <c r="X10" i="33"/>
  <c r="T10" i="33"/>
  <c r="N10" i="33"/>
  <c r="I10" i="33"/>
  <c r="D10" i="33"/>
  <c r="AZ9" i="33"/>
  <c r="AV9" i="33"/>
  <c r="AN9" i="33"/>
  <c r="AJ9" i="33"/>
  <c r="AF9" i="33"/>
  <c r="AB9" i="33"/>
  <c r="X9" i="33"/>
  <c r="T9" i="33"/>
  <c r="N9" i="33"/>
  <c r="I9" i="33"/>
  <c r="D9" i="33"/>
  <c r="CS8" i="33"/>
  <c r="CR8" i="33"/>
  <c r="CQ8" i="33"/>
  <c r="CP8" i="33"/>
  <c r="CM8" i="33"/>
  <c r="CL8" i="33"/>
  <c r="CK8" i="33"/>
  <c r="CJ8" i="33"/>
  <c r="CG8" i="33"/>
  <c r="CF8" i="33"/>
  <c r="CE8" i="33"/>
  <c r="CD8" i="33"/>
  <c r="CA8" i="33"/>
  <c r="BZ8" i="33"/>
  <c r="BY8" i="33"/>
  <c r="BX8" i="33"/>
  <c r="BW8" i="33"/>
  <c r="BU8" i="33"/>
  <c r="BT8" i="33"/>
  <c r="BS8" i="33"/>
  <c r="BR8" i="33"/>
  <c r="BQ8" i="33"/>
  <c r="BO8" i="33"/>
  <c r="BN8" i="33"/>
  <c r="BM8" i="33"/>
  <c r="BL8" i="33"/>
  <c r="BK8" i="33"/>
  <c r="BI8" i="33"/>
  <c r="BH8" i="33"/>
  <c r="BG8" i="33"/>
  <c r="BF8" i="33"/>
  <c r="AZ8" i="33"/>
  <c r="AV8" i="33"/>
  <c r="AN8" i="33"/>
  <c r="AJ8" i="33"/>
  <c r="AF8" i="33"/>
  <c r="AB8" i="33"/>
  <c r="X8" i="33"/>
  <c r="T8" i="33"/>
  <c r="N8" i="33"/>
  <c r="I8" i="33"/>
  <c r="D8" i="33"/>
  <c r="CS7" i="33"/>
  <c r="CR7" i="33"/>
  <c r="CQ7" i="33"/>
  <c r="CP7" i="33"/>
  <c r="CM7" i="33"/>
  <c r="CL7" i="33"/>
  <c r="CK7" i="33"/>
  <c r="CJ7" i="33"/>
  <c r="CG7" i="33"/>
  <c r="CF7" i="33"/>
  <c r="CE7" i="33"/>
  <c r="CD7" i="33"/>
  <c r="CA7" i="33"/>
  <c r="BZ7" i="33"/>
  <c r="BY7" i="33"/>
  <c r="BX7" i="33"/>
  <c r="BU7" i="33"/>
  <c r="BT7" i="33"/>
  <c r="BS7" i="33"/>
  <c r="BR7" i="33"/>
  <c r="BO7" i="33"/>
  <c r="BN7" i="33"/>
  <c r="BM7" i="33"/>
  <c r="BL7" i="33"/>
  <c r="BI7" i="33"/>
  <c r="BH7" i="33"/>
  <c r="BG7" i="33"/>
  <c r="BF7" i="33"/>
  <c r="AZ7" i="33"/>
  <c r="AV7" i="33"/>
  <c r="AN7" i="33"/>
  <c r="AJ7" i="33"/>
  <c r="AF7" i="33"/>
  <c r="AB7" i="33"/>
  <c r="X7" i="33"/>
  <c r="T7" i="33"/>
  <c r="N7" i="33"/>
  <c r="I7" i="33"/>
  <c r="G7" i="33"/>
  <c r="F7" i="33"/>
  <c r="D7" i="33"/>
  <c r="CS6" i="33"/>
  <c r="CR6" i="33"/>
  <c r="CQ6" i="33"/>
  <c r="CP6" i="33"/>
  <c r="CM6" i="33"/>
  <c r="CL6" i="33"/>
  <c r="CK6" i="33"/>
  <c r="CJ6" i="33"/>
  <c r="CG6" i="33"/>
  <c r="CF6" i="33"/>
  <c r="CE6" i="33"/>
  <c r="CD6" i="33"/>
  <c r="CA6" i="33"/>
  <c r="BZ6" i="33"/>
  <c r="BY6" i="33"/>
  <c r="BX6" i="33"/>
  <c r="BU6" i="33"/>
  <c r="BT6" i="33"/>
  <c r="BS6" i="33"/>
  <c r="BR6" i="33"/>
  <c r="BO6" i="33"/>
  <c r="BN6" i="33"/>
  <c r="BM6" i="33"/>
  <c r="BL6" i="33"/>
  <c r="BI6" i="33"/>
  <c r="BH6" i="33"/>
  <c r="BG6" i="33"/>
  <c r="BF6" i="33"/>
  <c r="AZ6" i="33"/>
  <c r="AV6" i="33"/>
  <c r="AN6" i="33"/>
  <c r="AJ6" i="33"/>
  <c r="AF6" i="33"/>
  <c r="AB6" i="33"/>
  <c r="X6" i="33"/>
  <c r="T6" i="33"/>
  <c r="N6" i="33"/>
  <c r="I6" i="33"/>
  <c r="D6" i="33"/>
  <c r="CS5" i="33"/>
  <c r="CR5" i="33"/>
  <c r="CQ5" i="33"/>
  <c r="CP5" i="33"/>
  <c r="CM5" i="33"/>
  <c r="CL5" i="33"/>
  <c r="CK5" i="33"/>
  <c r="CJ5" i="33"/>
  <c r="CG5" i="33"/>
  <c r="CF5" i="33"/>
  <c r="CE5" i="33"/>
  <c r="CD5" i="33"/>
  <c r="CA5" i="33"/>
  <c r="BZ5" i="33"/>
  <c r="BY5" i="33"/>
  <c r="BX5" i="33"/>
  <c r="BU5" i="33"/>
  <c r="BT5" i="33"/>
  <c r="BS5" i="33"/>
  <c r="BR5" i="33"/>
  <c r="BO5" i="33"/>
  <c r="BN5" i="33"/>
  <c r="BM5" i="33"/>
  <c r="BL5" i="33"/>
  <c r="BI5" i="33"/>
  <c r="BH5" i="33"/>
  <c r="BG5" i="33"/>
  <c r="BF5" i="33"/>
  <c r="AZ5" i="33"/>
  <c r="AV5" i="33"/>
  <c r="AN5" i="33"/>
  <c r="AJ5" i="33"/>
  <c r="AF5" i="33"/>
  <c r="AB5" i="33"/>
  <c r="X5" i="33"/>
  <c r="T5" i="33"/>
  <c r="N5" i="33"/>
  <c r="I5" i="33"/>
  <c r="D5" i="33"/>
  <c r="CS4" i="33"/>
  <c r="CR4" i="33"/>
  <c r="CQ4" i="33"/>
  <c r="CP4" i="33"/>
  <c r="CM4" i="33"/>
  <c r="CL4" i="33"/>
  <c r="CK4" i="33"/>
  <c r="CJ4" i="33"/>
  <c r="CG4" i="33"/>
  <c r="CF4" i="33"/>
  <c r="CE4" i="33"/>
  <c r="CD4" i="33"/>
  <c r="CA4" i="33"/>
  <c r="BZ4" i="33"/>
  <c r="BY4" i="33"/>
  <c r="BX4" i="33"/>
  <c r="BU4" i="33"/>
  <c r="BT4" i="33"/>
  <c r="BS4" i="33"/>
  <c r="BR4" i="33"/>
  <c r="BO4" i="33"/>
  <c r="BN4" i="33"/>
  <c r="BM4" i="33"/>
  <c r="BL4" i="33"/>
  <c r="BI4" i="33"/>
  <c r="BH4" i="33"/>
  <c r="BG4" i="33"/>
  <c r="BF4" i="33"/>
  <c r="AZ4" i="33"/>
  <c r="AV4" i="33"/>
  <c r="AN4" i="33"/>
  <c r="AJ4" i="33"/>
  <c r="AF4" i="33"/>
  <c r="AB4" i="33"/>
  <c r="X4" i="33"/>
  <c r="T4" i="33"/>
  <c r="I4" i="33"/>
  <c r="G4" i="33"/>
  <c r="F4" i="33"/>
  <c r="D4" i="33"/>
  <c r="E36" i="21"/>
  <c r="D36" i="21"/>
  <c r="E35" i="21"/>
  <c r="E34" i="21"/>
  <c r="E33" i="21"/>
  <c r="P32" i="21"/>
  <c r="Q32" i="21" s="1"/>
  <c r="N32" i="21"/>
  <c r="E32" i="21"/>
  <c r="E31" i="21"/>
  <c r="P30" i="21"/>
  <c r="Q30" i="21" s="1"/>
  <c r="F30" i="21" s="1"/>
  <c r="E30" i="21"/>
  <c r="P28" i="21"/>
  <c r="P27" i="21"/>
  <c r="Q27" i="21" s="1"/>
  <c r="F27" i="21" s="1"/>
  <c r="J27" i="21"/>
  <c r="I27" i="21"/>
  <c r="E27" i="21"/>
  <c r="D27" i="21"/>
  <c r="P26" i="21"/>
  <c r="Q26" i="21" s="1"/>
  <c r="E26" i="21"/>
  <c r="P25" i="21"/>
  <c r="Q25" i="21" s="1"/>
  <c r="E25" i="21"/>
  <c r="E24" i="21"/>
  <c r="P23" i="21"/>
  <c r="Q23" i="21" s="1"/>
  <c r="E23" i="21"/>
  <c r="E22" i="21"/>
  <c r="Q21" i="21"/>
  <c r="J21" i="21"/>
  <c r="I21" i="21"/>
  <c r="F21" i="21"/>
  <c r="E21" i="21"/>
  <c r="E20" i="21"/>
  <c r="E19" i="21"/>
  <c r="J18" i="21"/>
  <c r="I18" i="21"/>
  <c r="E18" i="21"/>
  <c r="J17" i="21"/>
  <c r="I17" i="21"/>
  <c r="F17" i="21"/>
  <c r="E17" i="21"/>
  <c r="J16" i="21"/>
  <c r="I16" i="21"/>
  <c r="E16" i="21"/>
  <c r="E15" i="21"/>
  <c r="E14" i="21"/>
  <c r="J13" i="21"/>
  <c r="I13" i="21"/>
  <c r="E13" i="21"/>
  <c r="J12" i="21"/>
  <c r="I12" i="21"/>
  <c r="E12" i="21"/>
  <c r="J11" i="21"/>
  <c r="I11" i="21"/>
  <c r="E11" i="21"/>
  <c r="J10" i="21"/>
  <c r="I10" i="21"/>
  <c r="F10" i="21"/>
  <c r="E10" i="21"/>
  <c r="C10" i="21"/>
  <c r="J9" i="21"/>
  <c r="I9" i="21"/>
  <c r="E9" i="21"/>
  <c r="J8" i="21"/>
  <c r="I8" i="21"/>
  <c r="E8" i="21"/>
  <c r="J7" i="21"/>
  <c r="I7" i="21"/>
  <c r="F7" i="21"/>
  <c r="E7" i="21"/>
  <c r="C7" i="21"/>
  <c r="J6" i="21"/>
  <c r="I6" i="21"/>
  <c r="E6" i="21"/>
  <c r="J5" i="21"/>
  <c r="I5" i="21"/>
  <c r="E5" i="21"/>
  <c r="J4" i="21"/>
  <c r="I4" i="21"/>
  <c r="E4" i="21"/>
  <c r="B73" i="79"/>
  <c r="L42" i="79"/>
  <c r="L41" i="79"/>
  <c r="L40" i="79"/>
  <c r="L39" i="79"/>
  <c r="L38" i="79"/>
  <c r="L37" i="79"/>
  <c r="L36" i="79"/>
  <c r="L35" i="79"/>
  <c r="L34" i="79"/>
  <c r="L33" i="79"/>
  <c r="L30" i="79"/>
  <c r="L29" i="79"/>
  <c r="L26" i="79"/>
  <c r="L25" i="79"/>
  <c r="L24" i="79"/>
  <c r="L23" i="79"/>
  <c r="L22" i="79"/>
  <c r="L21" i="79"/>
  <c r="L20" i="79"/>
  <c r="L19" i="79"/>
  <c r="H18" i="79"/>
  <c r="L13" i="79"/>
  <c r="L12" i="79"/>
  <c r="L11" i="79"/>
  <c r="L10" i="79"/>
  <c r="L9" i="79"/>
  <c r="L8" i="79"/>
  <c r="L7" i="79"/>
  <c r="L6" i="79"/>
  <c r="L5" i="79"/>
  <c r="K5" i="79"/>
  <c r="G5" i="79"/>
  <c r="E5" i="79"/>
  <c r="L4" i="79"/>
  <c r="L3" i="79"/>
  <c r="L2" i="79"/>
  <c r="J7" i="84"/>
  <c r="I7" i="84"/>
  <c r="G7" i="84"/>
  <c r="F7" i="84"/>
  <c r="E7" i="84"/>
  <c r="D7" i="84"/>
  <c r="C7" i="84"/>
  <c r="B7" i="84"/>
  <c r="J6" i="84"/>
  <c r="I6" i="84"/>
  <c r="G6" i="84"/>
  <c r="F6" i="84"/>
  <c r="E6" i="84"/>
  <c r="D6" i="84"/>
  <c r="C6" i="84"/>
  <c r="B6" i="84"/>
  <c r="K3" i="84"/>
  <c r="K7" i="84" s="1"/>
  <c r="K2" i="84"/>
  <c r="K6" i="84" s="1"/>
  <c r="AO212" i="26"/>
  <c r="AN212" i="26"/>
  <c r="AJ212" i="26"/>
  <c r="AI212" i="26"/>
  <c r="M162" i="26"/>
  <c r="L162" i="26"/>
  <c r="K162" i="26"/>
  <c r="J162" i="26"/>
  <c r="I162" i="26"/>
  <c r="H162" i="26"/>
  <c r="G162" i="26"/>
  <c r="F162" i="26"/>
  <c r="E162" i="26"/>
  <c r="D162" i="26"/>
  <c r="C162" i="26"/>
  <c r="B162" i="26"/>
  <c r="Z154" i="26"/>
  <c r="Y154" i="26"/>
  <c r="X154" i="26"/>
  <c r="W154" i="26"/>
  <c r="V154" i="26"/>
  <c r="U154" i="26"/>
  <c r="T154" i="26"/>
  <c r="S154" i="26"/>
  <c r="R154" i="26"/>
  <c r="Q154" i="26"/>
  <c r="P154" i="26"/>
  <c r="O154" i="26"/>
  <c r="M154" i="26"/>
  <c r="L154" i="26"/>
  <c r="K154" i="26"/>
  <c r="J154" i="26"/>
  <c r="I154" i="26"/>
  <c r="H154" i="26"/>
  <c r="G154" i="26"/>
  <c r="F154" i="26"/>
  <c r="E154" i="26"/>
  <c r="D154" i="26"/>
  <c r="C154" i="26"/>
  <c r="B154" i="26"/>
  <c r="AC153" i="26"/>
  <c r="Z153" i="26"/>
  <c r="Y153" i="26"/>
  <c r="X153" i="26"/>
  <c r="W153" i="26"/>
  <c r="V153" i="26"/>
  <c r="U153" i="26"/>
  <c r="T153" i="26"/>
  <c r="S153" i="26"/>
  <c r="R153" i="26"/>
  <c r="Q153" i="26"/>
  <c r="P153" i="26"/>
  <c r="O153" i="26"/>
  <c r="M153" i="26"/>
  <c r="L153" i="26"/>
  <c r="K153" i="26"/>
  <c r="J153" i="26"/>
  <c r="I153" i="26"/>
  <c r="H153" i="26"/>
  <c r="G153" i="26"/>
  <c r="F153" i="26"/>
  <c r="E153" i="26"/>
  <c r="D153" i="26"/>
  <c r="C153" i="26"/>
  <c r="B153" i="26"/>
  <c r="AC152" i="26"/>
  <c r="Z152" i="26"/>
  <c r="Y152" i="26"/>
  <c r="X152" i="26"/>
  <c r="W152" i="26"/>
  <c r="V152" i="26"/>
  <c r="U152" i="26"/>
  <c r="T152" i="26"/>
  <c r="S152" i="26"/>
  <c r="R152" i="26"/>
  <c r="Q152" i="26"/>
  <c r="P152" i="26"/>
  <c r="O152" i="26"/>
  <c r="M152" i="26"/>
  <c r="L152" i="26"/>
  <c r="K152" i="26"/>
  <c r="J152" i="26"/>
  <c r="I152" i="26"/>
  <c r="H152" i="26"/>
  <c r="G152" i="26"/>
  <c r="F152" i="26"/>
  <c r="E152" i="26"/>
  <c r="D152" i="26"/>
  <c r="C152" i="26"/>
  <c r="B152" i="26"/>
  <c r="Z151" i="26"/>
  <c r="Y151" i="26"/>
  <c r="X151" i="26"/>
  <c r="W151" i="26"/>
  <c r="V151" i="26"/>
  <c r="U151" i="26"/>
  <c r="T151" i="26"/>
  <c r="S151" i="26"/>
  <c r="R151" i="26"/>
  <c r="Q151" i="26"/>
  <c r="P151" i="26"/>
  <c r="O151" i="26"/>
  <c r="M151" i="26"/>
  <c r="L151" i="26"/>
  <c r="K151" i="26"/>
  <c r="J151" i="26"/>
  <c r="I151" i="26"/>
  <c r="H151" i="26"/>
  <c r="G151" i="26"/>
  <c r="F151" i="26"/>
  <c r="E151" i="26"/>
  <c r="D151" i="26"/>
  <c r="C151" i="26"/>
  <c r="B151" i="26"/>
  <c r="AC150" i="26"/>
  <c r="Z150" i="26"/>
  <c r="Y150" i="26"/>
  <c r="X150" i="26"/>
  <c r="W150" i="26"/>
  <c r="V150" i="26"/>
  <c r="U150" i="26"/>
  <c r="T150" i="26"/>
  <c r="S150" i="26"/>
  <c r="R150" i="26"/>
  <c r="Q150" i="26"/>
  <c r="P150" i="26"/>
  <c r="O150" i="26"/>
  <c r="M150" i="26"/>
  <c r="L150" i="26"/>
  <c r="K150" i="26"/>
  <c r="J150" i="26"/>
  <c r="I150" i="26"/>
  <c r="H150" i="26"/>
  <c r="G150" i="26"/>
  <c r="F150" i="26"/>
  <c r="E150" i="26"/>
  <c r="D150" i="26"/>
  <c r="C150" i="26"/>
  <c r="B150" i="26"/>
  <c r="Z149" i="26"/>
  <c r="Y149" i="26"/>
  <c r="X149" i="26"/>
  <c r="W149" i="26"/>
  <c r="V149" i="26"/>
  <c r="U149" i="26"/>
  <c r="T149" i="26"/>
  <c r="S149" i="26"/>
  <c r="R149" i="26"/>
  <c r="Q149" i="26"/>
  <c r="P149" i="26"/>
  <c r="O149" i="26"/>
  <c r="M149" i="26"/>
  <c r="L149" i="26"/>
  <c r="K149" i="26"/>
  <c r="J149" i="26"/>
  <c r="I149" i="26"/>
  <c r="H149" i="26"/>
  <c r="G149" i="26"/>
  <c r="F149" i="26"/>
  <c r="E149" i="26"/>
  <c r="D149" i="26"/>
  <c r="C149" i="26"/>
  <c r="B149" i="26"/>
  <c r="Z148" i="26"/>
  <c r="Y148" i="26"/>
  <c r="X148" i="26"/>
  <c r="W148" i="26"/>
  <c r="V148" i="26"/>
  <c r="U148" i="26"/>
  <c r="T148" i="26"/>
  <c r="S148" i="26"/>
  <c r="R148" i="26"/>
  <c r="Q148" i="26"/>
  <c r="P148" i="26"/>
  <c r="O148" i="26"/>
  <c r="M148" i="26"/>
  <c r="L148" i="26"/>
  <c r="K148" i="26"/>
  <c r="J148" i="26"/>
  <c r="I148" i="26"/>
  <c r="H148" i="26"/>
  <c r="G148" i="26"/>
  <c r="F148" i="26"/>
  <c r="E148" i="26"/>
  <c r="D148" i="26"/>
  <c r="C148" i="26"/>
  <c r="B148" i="26"/>
  <c r="Z147" i="26"/>
  <c r="Y147" i="26"/>
  <c r="X147" i="26"/>
  <c r="W147" i="26"/>
  <c r="V147" i="26"/>
  <c r="U147" i="26"/>
  <c r="T147" i="26"/>
  <c r="S147" i="26"/>
  <c r="R147" i="26"/>
  <c r="Q147" i="26"/>
  <c r="P147" i="26"/>
  <c r="O147" i="26"/>
  <c r="M147" i="26"/>
  <c r="L147" i="26"/>
  <c r="K147" i="26"/>
  <c r="J147" i="26"/>
  <c r="I147" i="26"/>
  <c r="H147" i="26"/>
  <c r="G147" i="26"/>
  <c r="F147" i="26"/>
  <c r="E147" i="26"/>
  <c r="D147" i="26"/>
  <c r="C147" i="26"/>
  <c r="B147" i="26"/>
  <c r="Z146" i="26"/>
  <c r="Y146" i="26"/>
  <c r="X146" i="26"/>
  <c r="W146" i="26"/>
  <c r="V146" i="26"/>
  <c r="U146" i="26"/>
  <c r="T146" i="26"/>
  <c r="S146" i="26"/>
  <c r="R146" i="26"/>
  <c r="Q146" i="26"/>
  <c r="P146" i="26"/>
  <c r="O146" i="26"/>
  <c r="M146" i="26"/>
  <c r="L146" i="26"/>
  <c r="K146" i="26"/>
  <c r="J146" i="26"/>
  <c r="I146" i="26"/>
  <c r="H146" i="26"/>
  <c r="G146" i="26"/>
  <c r="F146" i="26"/>
  <c r="E146" i="26"/>
  <c r="D146" i="26"/>
  <c r="C146" i="26"/>
  <c r="B146" i="26"/>
  <c r="M141" i="26"/>
  <c r="L141" i="26"/>
  <c r="K141" i="26"/>
  <c r="J141" i="26"/>
  <c r="I141" i="26"/>
  <c r="H141" i="26"/>
  <c r="G141" i="26"/>
  <c r="F141" i="26"/>
  <c r="E141" i="26"/>
  <c r="D141" i="26"/>
  <c r="C141" i="26"/>
  <c r="B141" i="26"/>
  <c r="Z135" i="26"/>
  <c r="Y135" i="26"/>
  <c r="X135" i="26"/>
  <c r="W135" i="26"/>
  <c r="V135" i="26"/>
  <c r="U135" i="26"/>
  <c r="T135" i="26"/>
  <c r="S135" i="26"/>
  <c r="R135" i="26"/>
  <c r="Q135" i="26"/>
  <c r="P135" i="26"/>
  <c r="O135" i="26"/>
  <c r="M135" i="26"/>
  <c r="L135" i="26"/>
  <c r="K135" i="26"/>
  <c r="J135" i="26"/>
  <c r="I135" i="26"/>
  <c r="H135" i="26"/>
  <c r="G135" i="26"/>
  <c r="F135" i="26"/>
  <c r="E135" i="26"/>
  <c r="D135" i="26"/>
  <c r="C135" i="26"/>
  <c r="B135" i="26"/>
  <c r="Z134" i="26"/>
  <c r="Y134" i="26"/>
  <c r="X134" i="26"/>
  <c r="W134" i="26"/>
  <c r="V134" i="26"/>
  <c r="U134" i="26"/>
  <c r="T134" i="26"/>
  <c r="S134" i="26"/>
  <c r="R134" i="26"/>
  <c r="Q134" i="26"/>
  <c r="P134" i="26"/>
  <c r="O134" i="26"/>
  <c r="M134" i="26"/>
  <c r="L134" i="26"/>
  <c r="K134" i="26"/>
  <c r="J134" i="26"/>
  <c r="I134" i="26"/>
  <c r="H134" i="26"/>
  <c r="G134" i="26"/>
  <c r="F134" i="26"/>
  <c r="E134" i="26"/>
  <c r="D134" i="26"/>
  <c r="C134" i="26"/>
  <c r="B134" i="26"/>
  <c r="Z133" i="26"/>
  <c r="Y133" i="26"/>
  <c r="X133" i="26"/>
  <c r="W133" i="26"/>
  <c r="V133" i="26"/>
  <c r="U133" i="26"/>
  <c r="T133" i="26"/>
  <c r="S133" i="26"/>
  <c r="R133" i="26"/>
  <c r="Q133" i="26"/>
  <c r="P133" i="26"/>
  <c r="O133" i="26"/>
  <c r="M133" i="26"/>
  <c r="L133" i="26"/>
  <c r="K133" i="26"/>
  <c r="J133" i="26"/>
  <c r="I133" i="26"/>
  <c r="H133" i="26"/>
  <c r="G133" i="26"/>
  <c r="F133" i="26"/>
  <c r="E133" i="26"/>
  <c r="D133" i="26"/>
  <c r="C133" i="26"/>
  <c r="B133" i="26"/>
  <c r="Z132" i="26"/>
  <c r="Y132" i="26"/>
  <c r="X132" i="26"/>
  <c r="W132" i="26"/>
  <c r="V132" i="26"/>
  <c r="U132" i="26"/>
  <c r="T132" i="26"/>
  <c r="S132" i="26"/>
  <c r="R132" i="26"/>
  <c r="Q132" i="26"/>
  <c r="P132" i="26"/>
  <c r="O132" i="26"/>
  <c r="M132" i="26"/>
  <c r="L132" i="26"/>
  <c r="K132" i="26"/>
  <c r="J132" i="26"/>
  <c r="I132" i="26"/>
  <c r="H132" i="26"/>
  <c r="G132" i="26"/>
  <c r="F132" i="26"/>
  <c r="E132" i="26"/>
  <c r="D132" i="26"/>
  <c r="C132" i="26"/>
  <c r="B132" i="26"/>
  <c r="Z131" i="26"/>
  <c r="Y131" i="26"/>
  <c r="X131" i="26"/>
  <c r="W131" i="26"/>
  <c r="V131" i="26"/>
  <c r="U131" i="26"/>
  <c r="T131" i="26"/>
  <c r="S131" i="26"/>
  <c r="R131" i="26"/>
  <c r="Q131" i="26"/>
  <c r="P131" i="26"/>
  <c r="O131" i="26"/>
  <c r="M131" i="26"/>
  <c r="L131" i="26"/>
  <c r="K131" i="26"/>
  <c r="J131" i="26"/>
  <c r="I131" i="26"/>
  <c r="H131" i="26"/>
  <c r="G131" i="26"/>
  <c r="F131" i="26"/>
  <c r="E131" i="26"/>
  <c r="D131" i="26"/>
  <c r="C131" i="26"/>
  <c r="B131" i="26"/>
  <c r="Z130" i="26"/>
  <c r="Y130" i="26"/>
  <c r="X130" i="26"/>
  <c r="W130" i="26"/>
  <c r="V130" i="26"/>
  <c r="U130" i="26"/>
  <c r="T130" i="26"/>
  <c r="S130" i="26"/>
  <c r="R130" i="26"/>
  <c r="Q130" i="26"/>
  <c r="P130" i="26"/>
  <c r="O130" i="26"/>
  <c r="M130" i="26"/>
  <c r="L130" i="26"/>
  <c r="K130" i="26"/>
  <c r="J130" i="26"/>
  <c r="I130" i="26"/>
  <c r="H130" i="26"/>
  <c r="G130" i="26"/>
  <c r="F130" i="26"/>
  <c r="E130" i="26"/>
  <c r="D130" i="26"/>
  <c r="C130" i="26"/>
  <c r="B130" i="26"/>
  <c r="Z129" i="26"/>
  <c r="Y129" i="26"/>
  <c r="X129" i="26"/>
  <c r="W129" i="26"/>
  <c r="V129" i="26"/>
  <c r="U129" i="26"/>
  <c r="T129" i="26"/>
  <c r="S129" i="26"/>
  <c r="R129" i="26"/>
  <c r="Q129" i="26"/>
  <c r="P129" i="26"/>
  <c r="O129" i="26"/>
  <c r="M129" i="26"/>
  <c r="L129" i="26"/>
  <c r="K129" i="26"/>
  <c r="J129" i="26"/>
  <c r="I129" i="26"/>
  <c r="H129" i="26"/>
  <c r="G129" i="26"/>
  <c r="F129" i="26"/>
  <c r="E129" i="26"/>
  <c r="D129" i="26"/>
  <c r="C129" i="26"/>
  <c r="B129" i="26"/>
  <c r="Z128" i="26"/>
  <c r="Y128" i="26"/>
  <c r="X128" i="26"/>
  <c r="W128" i="26"/>
  <c r="V128" i="26"/>
  <c r="U128" i="26"/>
  <c r="T128" i="26"/>
  <c r="S128" i="26"/>
  <c r="R128" i="26"/>
  <c r="Q128" i="26"/>
  <c r="P128" i="26"/>
  <c r="O128" i="26"/>
  <c r="M128" i="26"/>
  <c r="L128" i="26"/>
  <c r="K128" i="26"/>
  <c r="J128" i="26"/>
  <c r="I128" i="26"/>
  <c r="H128" i="26"/>
  <c r="G128" i="26"/>
  <c r="F128" i="26"/>
  <c r="E128" i="26"/>
  <c r="D128" i="26"/>
  <c r="C128" i="26"/>
  <c r="B128" i="26"/>
  <c r="Z127" i="26"/>
  <c r="Y127" i="26"/>
  <c r="X127" i="26"/>
  <c r="W127" i="26"/>
  <c r="V127" i="26"/>
  <c r="U127" i="26"/>
  <c r="T127" i="26"/>
  <c r="S127" i="26"/>
  <c r="R127" i="26"/>
  <c r="Q127" i="26"/>
  <c r="P127" i="26"/>
  <c r="O127" i="26"/>
  <c r="M127" i="26"/>
  <c r="L127" i="26"/>
  <c r="K127" i="26"/>
  <c r="J127" i="26"/>
  <c r="I127" i="26"/>
  <c r="H127" i="26"/>
  <c r="G127" i="26"/>
  <c r="F127" i="26"/>
  <c r="E127" i="26"/>
  <c r="D127" i="26"/>
  <c r="C127" i="26"/>
  <c r="B127" i="26"/>
  <c r="Z122" i="26"/>
  <c r="Y122" i="26"/>
  <c r="X122" i="26"/>
  <c r="W122" i="26"/>
  <c r="V122" i="26"/>
  <c r="U122" i="26"/>
  <c r="T122" i="26"/>
  <c r="S122" i="26"/>
  <c r="R122" i="26"/>
  <c r="Q122" i="26"/>
  <c r="P122" i="26"/>
  <c r="O122" i="26"/>
  <c r="M122" i="26"/>
  <c r="L122" i="26"/>
  <c r="K122" i="26"/>
  <c r="J122" i="26"/>
  <c r="I122" i="26"/>
  <c r="H122" i="26"/>
  <c r="G122" i="26"/>
  <c r="F122" i="26"/>
  <c r="E122" i="26"/>
  <c r="D122" i="26"/>
  <c r="C122" i="26"/>
  <c r="B122" i="26"/>
  <c r="Z116" i="26"/>
  <c r="Y116" i="26"/>
  <c r="X116" i="26"/>
  <c r="W116" i="26"/>
  <c r="V116" i="26"/>
  <c r="U116" i="26"/>
  <c r="T116" i="26"/>
  <c r="S116" i="26"/>
  <c r="R116" i="26"/>
  <c r="Q116" i="26"/>
  <c r="P116" i="26"/>
  <c r="O116" i="26"/>
  <c r="M116" i="26"/>
  <c r="L116" i="26"/>
  <c r="K116" i="26"/>
  <c r="J116" i="26"/>
  <c r="I116" i="26"/>
  <c r="H116" i="26"/>
  <c r="G116" i="26"/>
  <c r="F116" i="26"/>
  <c r="E116" i="26"/>
  <c r="D116" i="26"/>
  <c r="C116" i="26"/>
  <c r="B116" i="26"/>
  <c r="Z115" i="26"/>
  <c r="Y115" i="26"/>
  <c r="X115" i="26"/>
  <c r="W115" i="26"/>
  <c r="V115" i="26"/>
  <c r="U115" i="26"/>
  <c r="T115" i="26"/>
  <c r="S115" i="26"/>
  <c r="R115" i="26"/>
  <c r="Q115" i="26"/>
  <c r="P115" i="26"/>
  <c r="O115" i="26"/>
  <c r="M115" i="26"/>
  <c r="L115" i="26"/>
  <c r="K115" i="26"/>
  <c r="J115" i="26"/>
  <c r="I115" i="26"/>
  <c r="H115" i="26"/>
  <c r="G115" i="26"/>
  <c r="F115" i="26"/>
  <c r="E115" i="26"/>
  <c r="D115" i="26"/>
  <c r="C115" i="26"/>
  <c r="B115" i="26"/>
  <c r="Z114" i="26"/>
  <c r="Y114" i="26"/>
  <c r="X114" i="26"/>
  <c r="W114" i="26"/>
  <c r="V114" i="26"/>
  <c r="U114" i="26"/>
  <c r="T114" i="26"/>
  <c r="S114" i="26"/>
  <c r="R114" i="26"/>
  <c r="Q114" i="26"/>
  <c r="P114" i="26"/>
  <c r="O114" i="26"/>
  <c r="M114" i="26"/>
  <c r="L114" i="26"/>
  <c r="K114" i="26"/>
  <c r="J114" i="26"/>
  <c r="I114" i="26"/>
  <c r="H114" i="26"/>
  <c r="G114" i="26"/>
  <c r="F114" i="26"/>
  <c r="E114" i="26"/>
  <c r="D114" i="26"/>
  <c r="C114" i="26"/>
  <c r="B114" i="26"/>
  <c r="AD113" i="26"/>
  <c r="AC113" i="26"/>
  <c r="Z113" i="26"/>
  <c r="Y113" i="26"/>
  <c r="X113" i="26"/>
  <c r="W113" i="26"/>
  <c r="V113" i="26"/>
  <c r="U113" i="26"/>
  <c r="T113" i="26"/>
  <c r="S113" i="26"/>
  <c r="R113" i="26"/>
  <c r="Q113" i="26"/>
  <c r="P113" i="26"/>
  <c r="O113" i="26"/>
  <c r="M113" i="26"/>
  <c r="L113" i="26"/>
  <c r="K113" i="26"/>
  <c r="J113" i="26"/>
  <c r="I113" i="26"/>
  <c r="H113" i="26"/>
  <c r="G113" i="26"/>
  <c r="F113" i="26"/>
  <c r="E113" i="26"/>
  <c r="D113" i="26"/>
  <c r="C113" i="26"/>
  <c r="B113" i="26"/>
  <c r="AD112" i="26"/>
  <c r="AD111" i="26"/>
  <c r="Z111" i="26"/>
  <c r="Y111" i="26"/>
  <c r="X111" i="26"/>
  <c r="W111" i="26"/>
  <c r="V111" i="26"/>
  <c r="U111" i="26"/>
  <c r="T111" i="26"/>
  <c r="S111" i="26"/>
  <c r="R111" i="26"/>
  <c r="Q111" i="26"/>
  <c r="P111" i="26"/>
  <c r="O111" i="26"/>
  <c r="M111" i="26"/>
  <c r="L111" i="26"/>
  <c r="K111" i="26"/>
  <c r="J111" i="26"/>
  <c r="I111" i="26"/>
  <c r="H111" i="26"/>
  <c r="G111" i="26"/>
  <c r="F111" i="26"/>
  <c r="E111" i="26"/>
  <c r="D111" i="26"/>
  <c r="C111" i="26"/>
  <c r="B111" i="26"/>
  <c r="AD110" i="26"/>
  <c r="Z110" i="26"/>
  <c r="Y110" i="26"/>
  <c r="X110" i="26"/>
  <c r="W110" i="26"/>
  <c r="V110" i="26"/>
  <c r="U110" i="26"/>
  <c r="T110" i="26"/>
  <c r="S110" i="26"/>
  <c r="R110" i="26"/>
  <c r="Q110" i="26"/>
  <c r="P110" i="26"/>
  <c r="O110" i="26"/>
  <c r="M110" i="26"/>
  <c r="L110" i="26"/>
  <c r="K110" i="26"/>
  <c r="J110" i="26"/>
  <c r="I110" i="26"/>
  <c r="H110" i="26"/>
  <c r="G110" i="26"/>
  <c r="F110" i="26"/>
  <c r="E110" i="26"/>
  <c r="D110" i="26"/>
  <c r="C110" i="26"/>
  <c r="B110" i="26"/>
  <c r="AD109" i="26"/>
  <c r="Z109" i="26"/>
  <c r="Y109" i="26"/>
  <c r="X109" i="26"/>
  <c r="W109" i="26"/>
  <c r="V109" i="26"/>
  <c r="U109" i="26"/>
  <c r="T109" i="26"/>
  <c r="S109" i="26"/>
  <c r="R109" i="26"/>
  <c r="Q109" i="26"/>
  <c r="P109" i="26"/>
  <c r="O109" i="26"/>
  <c r="M109" i="26"/>
  <c r="L109" i="26"/>
  <c r="K109" i="26"/>
  <c r="J109" i="26"/>
  <c r="I109" i="26"/>
  <c r="H109" i="26"/>
  <c r="G109" i="26"/>
  <c r="F109" i="26"/>
  <c r="E109" i="26"/>
  <c r="D109" i="26"/>
  <c r="C109" i="26"/>
  <c r="B109" i="26"/>
  <c r="AD108" i="26"/>
  <c r="Z108" i="26"/>
  <c r="Y108" i="26"/>
  <c r="X108" i="26"/>
  <c r="W108" i="26"/>
  <c r="V108" i="26"/>
  <c r="U108" i="26"/>
  <c r="T108" i="26"/>
  <c r="S108" i="26"/>
  <c r="R108" i="26"/>
  <c r="Q108" i="26"/>
  <c r="P108" i="26"/>
  <c r="O108" i="26"/>
  <c r="M108" i="26"/>
  <c r="L108" i="26"/>
  <c r="K108" i="26"/>
  <c r="J108" i="26"/>
  <c r="I108" i="26"/>
  <c r="H108" i="26"/>
  <c r="G108" i="26"/>
  <c r="F108" i="26"/>
  <c r="E108" i="26"/>
  <c r="D108" i="26"/>
  <c r="C108" i="26"/>
  <c r="B108" i="26"/>
  <c r="AD107" i="26"/>
  <c r="Z107" i="26"/>
  <c r="Y107" i="26"/>
  <c r="X107" i="26"/>
  <c r="W107" i="26"/>
  <c r="V107" i="26"/>
  <c r="U107" i="26"/>
  <c r="T107" i="26"/>
  <c r="S107" i="26"/>
  <c r="R107" i="26"/>
  <c r="Q107" i="26"/>
  <c r="P107" i="26"/>
  <c r="O107" i="26"/>
  <c r="M107" i="26"/>
  <c r="L107" i="26"/>
  <c r="K107" i="26"/>
  <c r="J107" i="26"/>
  <c r="I107" i="26"/>
  <c r="H107" i="26"/>
  <c r="G107" i="26"/>
  <c r="F107" i="26"/>
  <c r="E107" i="26"/>
  <c r="D107" i="26"/>
  <c r="C107" i="26"/>
  <c r="B107" i="26"/>
  <c r="AD106" i="26"/>
  <c r="AD105" i="26"/>
  <c r="AC103" i="26"/>
  <c r="Z103" i="26"/>
  <c r="Y103" i="26"/>
  <c r="X103" i="26"/>
  <c r="W103" i="26"/>
  <c r="V103" i="26"/>
  <c r="U103" i="26"/>
  <c r="T103" i="26"/>
  <c r="S103" i="26"/>
  <c r="R103" i="26"/>
  <c r="Q103" i="26"/>
  <c r="P103" i="26"/>
  <c r="O103" i="26"/>
  <c r="Z102" i="26"/>
  <c r="Y102" i="26"/>
  <c r="X102" i="26"/>
  <c r="W102" i="26"/>
  <c r="V102" i="26"/>
  <c r="U102" i="26"/>
  <c r="T102" i="26"/>
  <c r="S102" i="26"/>
  <c r="R102" i="26"/>
  <c r="Q102" i="26"/>
  <c r="P102" i="26"/>
  <c r="O102" i="26"/>
  <c r="AD101" i="26"/>
  <c r="Z101" i="26"/>
  <c r="Y101" i="26"/>
  <c r="X101" i="26"/>
  <c r="W101" i="26"/>
  <c r="V101" i="26"/>
  <c r="U101" i="26"/>
  <c r="T101" i="26"/>
  <c r="S101" i="26"/>
  <c r="R101" i="26"/>
  <c r="Q101" i="26"/>
  <c r="P101" i="26"/>
  <c r="O101" i="26"/>
  <c r="AD100" i="26"/>
  <c r="AD99" i="26"/>
  <c r="AD98" i="26"/>
  <c r="Z98" i="26"/>
  <c r="Y98" i="26"/>
  <c r="X98" i="26"/>
  <c r="W98" i="26"/>
  <c r="V98" i="26"/>
  <c r="U98" i="26"/>
  <c r="T98" i="26"/>
  <c r="S98" i="26"/>
  <c r="R98" i="26"/>
  <c r="Q98" i="26"/>
  <c r="P98" i="26"/>
  <c r="O98" i="26"/>
  <c r="AD97" i="26"/>
  <c r="Z97" i="26"/>
  <c r="Y97" i="26"/>
  <c r="X97" i="26"/>
  <c r="W97" i="26"/>
  <c r="V97" i="26"/>
  <c r="U97" i="26"/>
  <c r="T97" i="26"/>
  <c r="S97" i="26"/>
  <c r="R97" i="26"/>
  <c r="Q97" i="26"/>
  <c r="P97" i="26"/>
  <c r="O97" i="26"/>
  <c r="AD96" i="26"/>
  <c r="Z96" i="26"/>
  <c r="Y96" i="26"/>
  <c r="X96" i="26"/>
  <c r="W96" i="26"/>
  <c r="V96" i="26"/>
  <c r="U96" i="26"/>
  <c r="T96" i="26"/>
  <c r="S96" i="26"/>
  <c r="R96" i="26"/>
  <c r="Q96" i="26"/>
  <c r="P96" i="26"/>
  <c r="O96" i="26"/>
  <c r="M96" i="26"/>
  <c r="L96" i="26"/>
  <c r="K96" i="26"/>
  <c r="J96" i="26"/>
  <c r="I96" i="26"/>
  <c r="H96" i="26"/>
  <c r="G96" i="26"/>
  <c r="F96" i="26"/>
  <c r="E96" i="26"/>
  <c r="D96" i="26"/>
  <c r="C96" i="26"/>
  <c r="B96" i="26"/>
  <c r="AD95" i="26"/>
  <c r="Z95" i="26"/>
  <c r="Y95" i="26"/>
  <c r="X95" i="26"/>
  <c r="W95" i="26"/>
  <c r="V95" i="26"/>
  <c r="U95" i="26"/>
  <c r="T95" i="26"/>
  <c r="S95" i="26"/>
  <c r="R95" i="26"/>
  <c r="Q95" i="26"/>
  <c r="P95" i="26"/>
  <c r="O95" i="26"/>
  <c r="Z94" i="26"/>
  <c r="Y94" i="26"/>
  <c r="X94" i="26"/>
  <c r="W94" i="26"/>
  <c r="V94" i="26"/>
  <c r="U94" i="26"/>
  <c r="T94" i="26"/>
  <c r="S94" i="26"/>
  <c r="R94" i="26"/>
  <c r="Q94" i="26"/>
  <c r="P94" i="26"/>
  <c r="O94" i="26"/>
  <c r="Z93" i="26"/>
  <c r="Y93" i="26"/>
  <c r="X93" i="26"/>
  <c r="W93" i="26"/>
  <c r="V93" i="26"/>
  <c r="U93" i="26"/>
  <c r="T93" i="26"/>
  <c r="S93" i="26"/>
  <c r="R93" i="26"/>
  <c r="Q93" i="26"/>
  <c r="P93" i="26"/>
  <c r="O93" i="26"/>
  <c r="AD92" i="26"/>
  <c r="AC92" i="26"/>
  <c r="AD90" i="26" s="1"/>
  <c r="Z92" i="26"/>
  <c r="Y92" i="26"/>
  <c r="X92" i="26"/>
  <c r="W92" i="26"/>
  <c r="V92" i="26"/>
  <c r="U92" i="26"/>
  <c r="T92" i="26"/>
  <c r="S92" i="26"/>
  <c r="R92" i="26"/>
  <c r="Q92" i="26"/>
  <c r="P92" i="26"/>
  <c r="O92" i="26"/>
  <c r="Z91" i="26"/>
  <c r="Y91" i="26"/>
  <c r="X91" i="26"/>
  <c r="W91" i="26"/>
  <c r="V91" i="26"/>
  <c r="U91" i="26"/>
  <c r="T91" i="26"/>
  <c r="S91" i="26"/>
  <c r="R91" i="26"/>
  <c r="Q91" i="26"/>
  <c r="P91" i="26"/>
  <c r="O91" i="26"/>
  <c r="Z90" i="26"/>
  <c r="Y90" i="26"/>
  <c r="X90" i="26"/>
  <c r="W90" i="26"/>
  <c r="V90" i="26"/>
  <c r="U90" i="26"/>
  <c r="T90" i="26"/>
  <c r="S90" i="26"/>
  <c r="R90" i="26"/>
  <c r="Q90" i="26"/>
  <c r="P90" i="26"/>
  <c r="O90" i="26"/>
  <c r="M90" i="26"/>
  <c r="L90" i="26"/>
  <c r="K90" i="26"/>
  <c r="J90" i="26"/>
  <c r="I90" i="26"/>
  <c r="H90" i="26"/>
  <c r="G90" i="26"/>
  <c r="F90" i="26"/>
  <c r="E90" i="26"/>
  <c r="D90" i="26"/>
  <c r="C90" i="26"/>
  <c r="B90" i="26"/>
  <c r="Z89" i="26"/>
  <c r="Y89" i="26"/>
  <c r="X89" i="26"/>
  <c r="W89" i="26"/>
  <c r="V89" i="26"/>
  <c r="U89" i="26"/>
  <c r="T89" i="26"/>
  <c r="S89" i="26"/>
  <c r="R89" i="26"/>
  <c r="Q89" i="26"/>
  <c r="P89" i="26"/>
  <c r="O89" i="26"/>
  <c r="AD88" i="26"/>
  <c r="Z88" i="26"/>
  <c r="Y88" i="26"/>
  <c r="X88" i="26"/>
  <c r="W88" i="26"/>
  <c r="V88" i="26"/>
  <c r="U88" i="26"/>
  <c r="T88" i="26"/>
  <c r="S88" i="26"/>
  <c r="R88" i="26"/>
  <c r="Q88" i="26"/>
  <c r="P88" i="26"/>
  <c r="O88" i="26"/>
  <c r="Z87" i="26"/>
  <c r="Y87" i="26"/>
  <c r="X87" i="26"/>
  <c r="W87" i="26"/>
  <c r="V87" i="26"/>
  <c r="U87" i="26"/>
  <c r="T87" i="26"/>
  <c r="S87" i="26"/>
  <c r="R87" i="26"/>
  <c r="Q87" i="26"/>
  <c r="P87" i="26"/>
  <c r="O87" i="26"/>
  <c r="M87" i="26"/>
  <c r="L87" i="26"/>
  <c r="K87" i="26"/>
  <c r="J87" i="26"/>
  <c r="I87" i="26"/>
  <c r="H87" i="26"/>
  <c r="G87" i="26"/>
  <c r="F87" i="26"/>
  <c r="E87" i="26"/>
  <c r="D87" i="26"/>
  <c r="C87" i="26"/>
  <c r="B87" i="26"/>
  <c r="Z86" i="26"/>
  <c r="Y86" i="26"/>
  <c r="X86" i="26"/>
  <c r="W86" i="26"/>
  <c r="V86" i="26"/>
  <c r="U86" i="26"/>
  <c r="T86" i="26"/>
  <c r="S86" i="26"/>
  <c r="R86" i="26"/>
  <c r="Q86" i="26"/>
  <c r="P86" i="26"/>
  <c r="O86" i="26"/>
  <c r="Z85" i="26"/>
  <c r="Y85" i="26"/>
  <c r="X85" i="26"/>
  <c r="W85" i="26"/>
  <c r="V85" i="26"/>
  <c r="U85" i="26"/>
  <c r="T85" i="26"/>
  <c r="S85" i="26"/>
  <c r="R85" i="26"/>
  <c r="Q85" i="26"/>
  <c r="P85" i="26"/>
  <c r="O85" i="26"/>
  <c r="Z84" i="26"/>
  <c r="Y84" i="26"/>
  <c r="X84" i="26"/>
  <c r="W84" i="26"/>
  <c r="V84" i="26"/>
  <c r="U84" i="26"/>
  <c r="T84" i="26"/>
  <c r="S84" i="26"/>
  <c r="R84" i="26"/>
  <c r="Q84" i="26"/>
  <c r="P84" i="26"/>
  <c r="O84" i="26"/>
  <c r="M84" i="26"/>
  <c r="L84" i="26"/>
  <c r="K84" i="26"/>
  <c r="J84" i="26"/>
  <c r="I84" i="26"/>
  <c r="H84" i="26"/>
  <c r="G84" i="26"/>
  <c r="F84" i="26"/>
  <c r="E84" i="26"/>
  <c r="D84" i="26"/>
  <c r="C84" i="26"/>
  <c r="B84" i="26"/>
  <c r="Z83" i="26"/>
  <c r="Y83" i="26"/>
  <c r="X83" i="26"/>
  <c r="W83" i="26"/>
  <c r="V83" i="26"/>
  <c r="U83" i="26"/>
  <c r="T83" i="26"/>
  <c r="S83" i="26"/>
  <c r="R83" i="26"/>
  <c r="Q83" i="26"/>
  <c r="P83" i="26"/>
  <c r="O83" i="26"/>
  <c r="Z82" i="26"/>
  <c r="Y82" i="26"/>
  <c r="X82" i="26"/>
  <c r="W82" i="26"/>
  <c r="V82" i="26"/>
  <c r="U82" i="26"/>
  <c r="T82" i="26"/>
  <c r="S82" i="26"/>
  <c r="R82" i="26"/>
  <c r="Q82" i="26"/>
  <c r="P82" i="26"/>
  <c r="O82" i="26"/>
  <c r="Z81" i="26"/>
  <c r="Y81" i="26"/>
  <c r="X81" i="26"/>
  <c r="W81" i="26"/>
  <c r="V81" i="26"/>
  <c r="U81" i="26"/>
  <c r="T81" i="26"/>
  <c r="S81" i="26"/>
  <c r="R81" i="26"/>
  <c r="Q81" i="26"/>
  <c r="P81" i="26"/>
  <c r="O81" i="26"/>
  <c r="Z80" i="26"/>
  <c r="Y80" i="26"/>
  <c r="X80" i="26"/>
  <c r="W80" i="26"/>
  <c r="V80" i="26"/>
  <c r="U80" i="26"/>
  <c r="T80" i="26"/>
  <c r="S80" i="26"/>
  <c r="R80" i="26"/>
  <c r="Q80" i="26"/>
  <c r="P80" i="26"/>
  <c r="O80" i="26"/>
  <c r="Z79" i="26"/>
  <c r="Y79" i="26"/>
  <c r="X79" i="26"/>
  <c r="W79" i="26"/>
  <c r="V79" i="26"/>
  <c r="U79" i="26"/>
  <c r="T79" i="26"/>
  <c r="S79" i="26"/>
  <c r="R79" i="26"/>
  <c r="Q79" i="26"/>
  <c r="P79" i="26"/>
  <c r="O79" i="26"/>
  <c r="Z78" i="26"/>
  <c r="Y78" i="26"/>
  <c r="X78" i="26"/>
  <c r="W78" i="26"/>
  <c r="V78" i="26"/>
  <c r="U78" i="26"/>
  <c r="T78" i="26"/>
  <c r="S78" i="26"/>
  <c r="R78" i="26"/>
  <c r="Q78" i="26"/>
  <c r="P78" i="26"/>
  <c r="O78" i="26"/>
  <c r="AE77" i="26"/>
  <c r="AD77" i="26"/>
  <c r="AC155" i="26" s="1"/>
  <c r="Z77" i="26"/>
  <c r="Y77" i="26"/>
  <c r="X77" i="26"/>
  <c r="W77" i="26"/>
  <c r="V77" i="26"/>
  <c r="U77" i="26"/>
  <c r="T77" i="26"/>
  <c r="S77" i="26"/>
  <c r="R77" i="26"/>
  <c r="Q77" i="26"/>
  <c r="P77" i="26"/>
  <c r="O77" i="26"/>
  <c r="M77" i="26"/>
  <c r="L77" i="26"/>
  <c r="K77" i="26"/>
  <c r="J77" i="26"/>
  <c r="I77" i="26"/>
  <c r="H77" i="26"/>
  <c r="G77" i="26"/>
  <c r="F77" i="26"/>
  <c r="E77" i="26"/>
  <c r="D77" i="26"/>
  <c r="C77" i="26"/>
  <c r="B77" i="26"/>
  <c r="Z76" i="26"/>
  <c r="Y76" i="26"/>
  <c r="X76" i="26"/>
  <c r="W76" i="26"/>
  <c r="V76" i="26"/>
  <c r="U76" i="26"/>
  <c r="T76" i="26"/>
  <c r="S76" i="26"/>
  <c r="R76" i="26"/>
  <c r="Q76" i="26"/>
  <c r="P76" i="26"/>
  <c r="O76" i="26"/>
  <c r="AE75" i="26"/>
  <c r="AD75" i="26"/>
  <c r="AD72" i="26" s="1"/>
  <c r="AC151" i="26" s="1"/>
  <c r="AC154" i="26" s="1"/>
  <c r="Z75" i="26"/>
  <c r="Y75" i="26"/>
  <c r="X75" i="26"/>
  <c r="W75" i="26"/>
  <c r="V75" i="26"/>
  <c r="U75" i="26"/>
  <c r="T75" i="26"/>
  <c r="S75" i="26"/>
  <c r="R75" i="26"/>
  <c r="Q75" i="26"/>
  <c r="P75" i="26"/>
  <c r="O75" i="26"/>
  <c r="M75" i="26"/>
  <c r="L75" i="26"/>
  <c r="K75" i="26"/>
  <c r="J75" i="26"/>
  <c r="I75" i="26"/>
  <c r="H75" i="26"/>
  <c r="G75" i="26"/>
  <c r="F75" i="26"/>
  <c r="E75" i="26"/>
  <c r="D75" i="26"/>
  <c r="C75" i="26"/>
  <c r="B75" i="26"/>
  <c r="Z74" i="26"/>
  <c r="Y74" i="26"/>
  <c r="X74" i="26"/>
  <c r="W74" i="26"/>
  <c r="V74" i="26"/>
  <c r="U74" i="26"/>
  <c r="T74" i="26"/>
  <c r="S74" i="26"/>
  <c r="R74" i="26"/>
  <c r="Q74" i="26"/>
  <c r="P74" i="26"/>
  <c r="O74" i="26"/>
  <c r="AO67" i="26"/>
  <c r="Z73" i="26"/>
  <c r="Y73" i="26"/>
  <c r="X73" i="26"/>
  <c r="W73" i="26"/>
  <c r="V73" i="26"/>
  <c r="U73" i="26"/>
  <c r="T73" i="26"/>
  <c r="S73" i="26"/>
  <c r="R73" i="26"/>
  <c r="Q73" i="26"/>
  <c r="P73" i="26"/>
  <c r="O73" i="26"/>
  <c r="Z72" i="26"/>
  <c r="Y72" i="26"/>
  <c r="X72" i="26"/>
  <c r="W72" i="26"/>
  <c r="V72" i="26"/>
  <c r="U72" i="26"/>
  <c r="T72" i="26"/>
  <c r="S72" i="26"/>
  <c r="R72" i="26"/>
  <c r="Q72" i="26"/>
  <c r="P72" i="26"/>
  <c r="O72" i="26"/>
  <c r="AH71" i="26"/>
  <c r="AG71" i="26"/>
  <c r="AN65" i="26" s="1"/>
  <c r="AE71" i="26"/>
  <c r="Z71" i="26"/>
  <c r="Y71" i="26"/>
  <c r="X71" i="26"/>
  <c r="W71" i="26"/>
  <c r="V71" i="26"/>
  <c r="U71" i="26"/>
  <c r="T71" i="26"/>
  <c r="S71" i="26"/>
  <c r="R71" i="26"/>
  <c r="Q71" i="26"/>
  <c r="P71" i="26"/>
  <c r="O71" i="26"/>
  <c r="M71" i="26"/>
  <c r="L71" i="26"/>
  <c r="K71" i="26"/>
  <c r="J71" i="26"/>
  <c r="I71" i="26"/>
  <c r="H71" i="26"/>
  <c r="G71" i="26"/>
  <c r="F71" i="26"/>
  <c r="E71" i="26"/>
  <c r="D71" i="26"/>
  <c r="C71" i="26"/>
  <c r="B71" i="26"/>
  <c r="Z70" i="26"/>
  <c r="Y70" i="26"/>
  <c r="X70" i="26"/>
  <c r="W70" i="26"/>
  <c r="V70" i="26"/>
  <c r="U70" i="26"/>
  <c r="T70" i="26"/>
  <c r="S70" i="26"/>
  <c r="R70" i="26"/>
  <c r="Q70" i="26"/>
  <c r="P70" i="26"/>
  <c r="O70" i="26"/>
  <c r="Z69" i="26"/>
  <c r="Y69" i="26"/>
  <c r="X69" i="26"/>
  <c r="W69" i="26"/>
  <c r="V69" i="26"/>
  <c r="U69" i="26"/>
  <c r="T69" i="26"/>
  <c r="S69" i="26"/>
  <c r="R69" i="26"/>
  <c r="Q69" i="26"/>
  <c r="P69" i="26"/>
  <c r="O69" i="26"/>
  <c r="Z68" i="26"/>
  <c r="Y68" i="26"/>
  <c r="X68" i="26"/>
  <c r="W68" i="26"/>
  <c r="V68" i="26"/>
  <c r="U68" i="26"/>
  <c r="T68" i="26"/>
  <c r="S68" i="26"/>
  <c r="R68" i="26"/>
  <c r="Q68" i="26"/>
  <c r="P68" i="26"/>
  <c r="O68" i="26"/>
  <c r="M68" i="26"/>
  <c r="L68" i="26"/>
  <c r="K68" i="26"/>
  <c r="J68" i="26"/>
  <c r="I68" i="26"/>
  <c r="H68" i="26"/>
  <c r="G68" i="26"/>
  <c r="F68" i="26"/>
  <c r="E68" i="26"/>
  <c r="D68" i="26"/>
  <c r="C68" i="26"/>
  <c r="B68" i="26"/>
  <c r="AN67" i="26"/>
  <c r="AM67" i="26"/>
  <c r="Z67" i="26"/>
  <c r="Y67" i="26"/>
  <c r="X67" i="26"/>
  <c r="W67" i="26"/>
  <c r="V67" i="26"/>
  <c r="U67" i="26"/>
  <c r="T67" i="26"/>
  <c r="S67" i="26"/>
  <c r="R67" i="26"/>
  <c r="Q67" i="26"/>
  <c r="P67" i="26"/>
  <c r="O67" i="26"/>
  <c r="M67" i="26"/>
  <c r="L67" i="26"/>
  <c r="K67" i="26"/>
  <c r="J67" i="26"/>
  <c r="I67" i="26"/>
  <c r="H67" i="26"/>
  <c r="G67" i="26"/>
  <c r="F67" i="26"/>
  <c r="E67" i="26"/>
  <c r="D67" i="26"/>
  <c r="C67" i="26"/>
  <c r="B67" i="26"/>
  <c r="Z66" i="26"/>
  <c r="Y66" i="26"/>
  <c r="X66" i="26"/>
  <c r="W66" i="26"/>
  <c r="V66" i="26"/>
  <c r="U66" i="26"/>
  <c r="T66" i="26"/>
  <c r="S66" i="26"/>
  <c r="R66" i="26"/>
  <c r="Q66" i="26"/>
  <c r="P66" i="26"/>
  <c r="O66" i="26"/>
  <c r="AO65" i="26"/>
  <c r="AM65" i="26"/>
  <c r="Z65" i="26"/>
  <c r="Y65" i="26"/>
  <c r="X65" i="26"/>
  <c r="W65" i="26"/>
  <c r="V65" i="26"/>
  <c r="U65" i="26"/>
  <c r="T65" i="26"/>
  <c r="S65" i="26"/>
  <c r="R65" i="26"/>
  <c r="Q65" i="26"/>
  <c r="P65" i="26"/>
  <c r="O65" i="26"/>
  <c r="M65" i="26"/>
  <c r="L65" i="26"/>
  <c r="K65" i="26"/>
  <c r="J65" i="26"/>
  <c r="I65" i="26"/>
  <c r="H65" i="26"/>
  <c r="G65" i="26"/>
  <c r="F65" i="26"/>
  <c r="E65" i="26"/>
  <c r="D65" i="26"/>
  <c r="C65" i="26"/>
  <c r="B65" i="26"/>
  <c r="Z64" i="26"/>
  <c r="Y64" i="26"/>
  <c r="X64" i="26"/>
  <c r="W64" i="26"/>
  <c r="V64" i="26"/>
  <c r="U64" i="26"/>
  <c r="T64" i="26"/>
  <c r="S64" i="26"/>
  <c r="R64" i="26"/>
  <c r="Q64" i="26"/>
  <c r="P64" i="26"/>
  <c r="O64" i="26"/>
  <c r="Z63" i="26"/>
  <c r="Y63" i="26"/>
  <c r="X63" i="26"/>
  <c r="W63" i="26"/>
  <c r="V63" i="26"/>
  <c r="U63" i="26"/>
  <c r="T63" i="26"/>
  <c r="S63" i="26"/>
  <c r="R63" i="26"/>
  <c r="Q63" i="26"/>
  <c r="P63" i="26"/>
  <c r="O63" i="26"/>
  <c r="Z60" i="26"/>
  <c r="Y60" i="26"/>
  <c r="X60" i="26"/>
  <c r="W60" i="26"/>
  <c r="V60" i="26"/>
  <c r="U60" i="26"/>
  <c r="T60" i="26"/>
  <c r="S60" i="26"/>
  <c r="R60" i="26"/>
  <c r="Q60" i="26"/>
  <c r="P60" i="26"/>
  <c r="O60" i="26"/>
  <c r="I59" i="26"/>
  <c r="Z58" i="26"/>
  <c r="Y58" i="26"/>
  <c r="X58" i="26"/>
  <c r="W58" i="26"/>
  <c r="V58" i="26"/>
  <c r="U58" i="26"/>
  <c r="T58" i="26"/>
  <c r="S58" i="26"/>
  <c r="R58" i="26"/>
  <c r="Q58" i="26"/>
  <c r="P58" i="26"/>
  <c r="O58" i="26"/>
  <c r="Z57" i="26"/>
  <c r="Y57" i="26"/>
  <c r="X57" i="26"/>
  <c r="W57" i="26"/>
  <c r="V57" i="26"/>
  <c r="U57" i="26"/>
  <c r="T57" i="26"/>
  <c r="S57" i="26"/>
  <c r="R57" i="26"/>
  <c r="Q57" i="26"/>
  <c r="P57" i="26"/>
  <c r="O57" i="26"/>
  <c r="Z55" i="26"/>
  <c r="Y55" i="26"/>
  <c r="X55" i="26"/>
  <c r="W55" i="26"/>
  <c r="V55" i="26"/>
  <c r="U55" i="26"/>
  <c r="T55" i="26"/>
  <c r="S55" i="26"/>
  <c r="R55" i="26"/>
  <c r="Q55" i="26"/>
  <c r="P55" i="26"/>
  <c r="O55" i="26"/>
  <c r="I54" i="26"/>
  <c r="I137" i="26" s="1"/>
  <c r="Z52" i="26"/>
  <c r="Y52" i="26"/>
  <c r="X52" i="26"/>
  <c r="W52" i="26"/>
  <c r="V52" i="26"/>
  <c r="U52" i="26"/>
  <c r="T52" i="26"/>
  <c r="S52" i="26"/>
  <c r="R52" i="26"/>
  <c r="Q52" i="26"/>
  <c r="P52" i="26"/>
  <c r="O52" i="26"/>
  <c r="Z51" i="26"/>
  <c r="Y51" i="26"/>
  <c r="X51" i="26"/>
  <c r="W51" i="26"/>
  <c r="V51" i="26"/>
  <c r="U51" i="26"/>
  <c r="T51" i="26"/>
  <c r="S51" i="26"/>
  <c r="R51" i="26"/>
  <c r="Q51" i="26"/>
  <c r="P51" i="26"/>
  <c r="O51" i="26"/>
  <c r="Z50" i="26"/>
  <c r="Y50" i="26"/>
  <c r="X50" i="26"/>
  <c r="W50" i="26"/>
  <c r="V50" i="26"/>
  <c r="U50" i="26"/>
  <c r="T50" i="26"/>
  <c r="S50" i="26"/>
  <c r="R50" i="26"/>
  <c r="Q50" i="26"/>
  <c r="P50" i="26"/>
  <c r="O50" i="26"/>
  <c r="J50" i="26"/>
  <c r="I50" i="26"/>
  <c r="Z49" i="26"/>
  <c r="Y49" i="26"/>
  <c r="X49" i="26"/>
  <c r="W49" i="26"/>
  <c r="V49" i="26"/>
  <c r="U49" i="26"/>
  <c r="T49" i="26"/>
  <c r="S49" i="26"/>
  <c r="R49" i="26"/>
  <c r="Q49" i="26"/>
  <c r="P49" i="26"/>
  <c r="O49" i="26"/>
  <c r="Z48" i="26"/>
  <c r="Y48" i="26"/>
  <c r="X48" i="26"/>
  <c r="W48" i="26"/>
  <c r="V48" i="26"/>
  <c r="U48" i="26"/>
  <c r="T48" i="26"/>
  <c r="S48" i="26"/>
  <c r="R48" i="26"/>
  <c r="Q48" i="26"/>
  <c r="P48" i="26"/>
  <c r="O48" i="26"/>
  <c r="M48" i="26"/>
  <c r="L48" i="26"/>
  <c r="K48" i="26"/>
  <c r="J48" i="26"/>
  <c r="I48" i="26"/>
  <c r="H48" i="26"/>
  <c r="G48" i="26"/>
  <c r="F48" i="26"/>
  <c r="E48" i="26"/>
  <c r="D48" i="26"/>
  <c r="C48" i="26"/>
  <c r="B48" i="26"/>
  <c r="Z47" i="26"/>
  <c r="Y47" i="26"/>
  <c r="X47" i="26"/>
  <c r="W47" i="26"/>
  <c r="V47" i="26"/>
  <c r="U47" i="26"/>
  <c r="T47" i="26"/>
  <c r="S47" i="26"/>
  <c r="R47" i="26"/>
  <c r="Q47" i="26"/>
  <c r="P47" i="26"/>
  <c r="O47" i="26"/>
  <c r="Z46" i="26"/>
  <c r="Y46" i="26"/>
  <c r="X46" i="26"/>
  <c r="W46" i="26"/>
  <c r="V46" i="26"/>
  <c r="U46" i="26"/>
  <c r="T46" i="26"/>
  <c r="S46" i="26"/>
  <c r="R46" i="26"/>
  <c r="Q46" i="26"/>
  <c r="P46" i="26"/>
  <c r="O46" i="26"/>
  <c r="D46" i="26"/>
  <c r="Z45" i="26"/>
  <c r="Y45" i="26"/>
  <c r="X45" i="26"/>
  <c r="W45" i="26"/>
  <c r="V45" i="26"/>
  <c r="U45" i="26"/>
  <c r="T45" i="26"/>
  <c r="S45" i="26"/>
  <c r="R45" i="26"/>
  <c r="Q45" i="26"/>
  <c r="P45" i="26"/>
  <c r="O45" i="26"/>
  <c r="M45" i="26"/>
  <c r="L45" i="26"/>
  <c r="K45" i="26"/>
  <c r="J45" i="26"/>
  <c r="I45" i="26"/>
  <c r="H45" i="26"/>
  <c r="G45" i="26"/>
  <c r="F45" i="26"/>
  <c r="E45" i="26"/>
  <c r="D45" i="26"/>
  <c r="C45" i="26"/>
  <c r="B45" i="26"/>
  <c r="Z44" i="26"/>
  <c r="Y44" i="26"/>
  <c r="X44" i="26"/>
  <c r="W44" i="26"/>
  <c r="V44" i="26"/>
  <c r="U44" i="26"/>
  <c r="T44" i="26"/>
  <c r="S44" i="26"/>
  <c r="R44" i="26"/>
  <c r="Q44" i="26"/>
  <c r="P44" i="26"/>
  <c r="O44" i="26"/>
  <c r="Z43" i="26"/>
  <c r="Y43" i="26"/>
  <c r="X43" i="26"/>
  <c r="W43" i="26"/>
  <c r="V43" i="26"/>
  <c r="U43" i="26"/>
  <c r="T43" i="26"/>
  <c r="S43" i="26"/>
  <c r="R43" i="26"/>
  <c r="Q43" i="26"/>
  <c r="P43" i="26"/>
  <c r="O43" i="26"/>
  <c r="M43" i="26"/>
  <c r="I43" i="26"/>
  <c r="D43" i="26"/>
  <c r="Z42" i="26"/>
  <c r="Y42" i="26"/>
  <c r="X42" i="26"/>
  <c r="W42" i="26"/>
  <c r="V42" i="26"/>
  <c r="U42" i="26"/>
  <c r="T42" i="26"/>
  <c r="S42" i="26"/>
  <c r="R42" i="26"/>
  <c r="Q42" i="26"/>
  <c r="P42" i="26"/>
  <c r="O42" i="26"/>
  <c r="L42" i="26"/>
  <c r="K42" i="26"/>
  <c r="Z41" i="26"/>
  <c r="Y41" i="26"/>
  <c r="X41" i="26"/>
  <c r="W41" i="26"/>
  <c r="V41" i="26"/>
  <c r="U41" i="26"/>
  <c r="T41" i="26"/>
  <c r="S41" i="26"/>
  <c r="R41" i="26"/>
  <c r="Q41" i="26"/>
  <c r="P41" i="26"/>
  <c r="O41" i="26"/>
  <c r="M41" i="26"/>
  <c r="L41" i="26"/>
  <c r="K41" i="26"/>
  <c r="J41" i="26"/>
  <c r="I41" i="26"/>
  <c r="H41" i="26"/>
  <c r="G41" i="26"/>
  <c r="F41" i="26"/>
  <c r="E41" i="26"/>
  <c r="D41" i="26"/>
  <c r="C41" i="26"/>
  <c r="B41" i="26"/>
  <c r="Z40" i="26"/>
  <c r="Y40" i="26"/>
  <c r="X40" i="26"/>
  <c r="W40" i="26"/>
  <c r="V40" i="26"/>
  <c r="U40" i="26"/>
  <c r="T40" i="26"/>
  <c r="S40" i="26"/>
  <c r="R40" i="26"/>
  <c r="Q40" i="26"/>
  <c r="P40" i="26"/>
  <c r="O40" i="26"/>
  <c r="G40" i="26"/>
  <c r="F40" i="26"/>
  <c r="C40" i="26"/>
  <c r="B40" i="26"/>
  <c r="Z39" i="26"/>
  <c r="Y39" i="26"/>
  <c r="X39" i="26"/>
  <c r="W39" i="26"/>
  <c r="V39" i="26"/>
  <c r="U39" i="26"/>
  <c r="T39" i="26"/>
  <c r="S39" i="26"/>
  <c r="R39" i="26"/>
  <c r="Q39" i="26"/>
  <c r="P39" i="26"/>
  <c r="O39" i="26"/>
  <c r="K39" i="26"/>
  <c r="G39" i="26"/>
  <c r="Z38" i="26"/>
  <c r="Y38" i="26"/>
  <c r="X38" i="26"/>
  <c r="W38" i="26"/>
  <c r="V38" i="26"/>
  <c r="U38" i="26"/>
  <c r="T38" i="26"/>
  <c r="S38" i="26"/>
  <c r="R38" i="26"/>
  <c r="Q38" i="26"/>
  <c r="P38" i="26"/>
  <c r="O38" i="26"/>
  <c r="M38" i="26"/>
  <c r="L38" i="26"/>
  <c r="K38" i="26"/>
  <c r="J38" i="26"/>
  <c r="I38" i="26"/>
  <c r="H38" i="26"/>
  <c r="G38" i="26"/>
  <c r="F38" i="26"/>
  <c r="E38" i="26"/>
  <c r="D38" i="26"/>
  <c r="C38" i="26"/>
  <c r="B38" i="26"/>
  <c r="Z37" i="26"/>
  <c r="Y37" i="26"/>
  <c r="X37" i="26"/>
  <c r="W37" i="26"/>
  <c r="V37" i="26"/>
  <c r="U37" i="26"/>
  <c r="T37" i="26"/>
  <c r="S37" i="26"/>
  <c r="R37" i="26"/>
  <c r="Q37" i="26"/>
  <c r="P37" i="26"/>
  <c r="O37" i="26"/>
  <c r="Z36" i="26"/>
  <c r="Y36" i="26"/>
  <c r="X36" i="26"/>
  <c r="W36" i="26"/>
  <c r="V36" i="26"/>
  <c r="U36" i="26"/>
  <c r="T36" i="26"/>
  <c r="S36" i="26"/>
  <c r="R36" i="26"/>
  <c r="Q36" i="26"/>
  <c r="P36" i="26"/>
  <c r="O36" i="26"/>
  <c r="Z35" i="26"/>
  <c r="Y35" i="26"/>
  <c r="X35" i="26"/>
  <c r="W35" i="26"/>
  <c r="V35" i="26"/>
  <c r="U35" i="26"/>
  <c r="T35" i="26"/>
  <c r="S35" i="26"/>
  <c r="R35" i="26"/>
  <c r="Q35" i="26"/>
  <c r="P35" i="26"/>
  <c r="O35" i="26"/>
  <c r="Z34" i="26"/>
  <c r="Y34" i="26"/>
  <c r="X34" i="26"/>
  <c r="W34" i="26"/>
  <c r="V34" i="26"/>
  <c r="U34" i="26"/>
  <c r="T34" i="26"/>
  <c r="S34" i="26"/>
  <c r="R34" i="26"/>
  <c r="Q34" i="26"/>
  <c r="P34" i="26"/>
  <c r="O34" i="26"/>
  <c r="Z33" i="26"/>
  <c r="Y33" i="26"/>
  <c r="X33" i="26"/>
  <c r="W33" i="26"/>
  <c r="V33" i="26"/>
  <c r="U33" i="26"/>
  <c r="T33" i="26"/>
  <c r="S33" i="26"/>
  <c r="R33" i="26"/>
  <c r="Q33" i="26"/>
  <c r="P33" i="26"/>
  <c r="O33" i="26"/>
  <c r="Z30" i="26"/>
  <c r="Y30" i="26"/>
  <c r="X30" i="26"/>
  <c r="W30" i="26"/>
  <c r="V30" i="26"/>
  <c r="U30" i="26"/>
  <c r="T30" i="26"/>
  <c r="S30" i="26"/>
  <c r="R30" i="26"/>
  <c r="Q30" i="26"/>
  <c r="P30" i="26"/>
  <c r="O30" i="26"/>
  <c r="Z28" i="26"/>
  <c r="Y28" i="26"/>
  <c r="X28" i="26"/>
  <c r="W28" i="26"/>
  <c r="V28" i="26"/>
  <c r="U28" i="26"/>
  <c r="T28" i="26"/>
  <c r="S28" i="26"/>
  <c r="R28" i="26"/>
  <c r="Q28" i="26"/>
  <c r="P28" i="26"/>
  <c r="O28" i="26"/>
  <c r="AE27" i="26"/>
  <c r="Z27" i="26"/>
  <c r="Y27" i="26"/>
  <c r="X27" i="26"/>
  <c r="W27" i="26"/>
  <c r="V27" i="26"/>
  <c r="U27" i="26"/>
  <c r="T27" i="26"/>
  <c r="S27" i="26"/>
  <c r="R27" i="26"/>
  <c r="Q27" i="26"/>
  <c r="P27" i="26"/>
  <c r="O27" i="26"/>
  <c r="AZ26" i="26"/>
  <c r="AY26" i="26"/>
  <c r="AT26" i="26"/>
  <c r="AS26" i="26"/>
  <c r="AN26" i="26"/>
  <c r="AE26" i="26"/>
  <c r="Z25" i="26"/>
  <c r="Y25" i="26"/>
  <c r="X25" i="26"/>
  <c r="W25" i="26"/>
  <c r="V25" i="26"/>
  <c r="U25" i="26"/>
  <c r="T25" i="26"/>
  <c r="S25" i="26"/>
  <c r="R25" i="26"/>
  <c r="Q25" i="26"/>
  <c r="P25" i="26"/>
  <c r="O25" i="26"/>
  <c r="BC24" i="26"/>
  <c r="F24" i="26"/>
  <c r="E24" i="26"/>
  <c r="BC23" i="26"/>
  <c r="AU23" i="26"/>
  <c r="BC22" i="26"/>
  <c r="AU22" i="26"/>
  <c r="Z22" i="26"/>
  <c r="Y22" i="26"/>
  <c r="X22" i="26"/>
  <c r="W22" i="26"/>
  <c r="V22" i="26"/>
  <c r="U22" i="26"/>
  <c r="T22" i="26"/>
  <c r="S22" i="26"/>
  <c r="R22" i="26"/>
  <c r="Q22" i="26"/>
  <c r="P22" i="26"/>
  <c r="O22" i="26"/>
  <c r="BC21" i="26"/>
  <c r="AU21" i="26"/>
  <c r="Z21" i="26"/>
  <c r="Y21" i="26"/>
  <c r="X21" i="26"/>
  <c r="W21" i="26"/>
  <c r="V21" i="26"/>
  <c r="U21" i="26"/>
  <c r="T21" i="26"/>
  <c r="S21" i="26"/>
  <c r="R21" i="26"/>
  <c r="Q21" i="26"/>
  <c r="P21" i="26"/>
  <c r="O21" i="26"/>
  <c r="BC20" i="26"/>
  <c r="Z20" i="26"/>
  <c r="Y20" i="26"/>
  <c r="X20" i="26"/>
  <c r="W20" i="26"/>
  <c r="V20" i="26"/>
  <c r="U20" i="26"/>
  <c r="T20" i="26"/>
  <c r="S20" i="26"/>
  <c r="R20" i="26"/>
  <c r="Q20" i="26"/>
  <c r="P20" i="26"/>
  <c r="O20" i="26"/>
  <c r="AU19" i="26"/>
  <c r="Z19" i="26"/>
  <c r="Y19" i="26"/>
  <c r="X19" i="26"/>
  <c r="W19" i="26"/>
  <c r="V19" i="26"/>
  <c r="U19" i="26"/>
  <c r="T19" i="26"/>
  <c r="S19" i="26"/>
  <c r="R19" i="26"/>
  <c r="Q19" i="26"/>
  <c r="P19" i="26"/>
  <c r="O19" i="26"/>
  <c r="BC18" i="26"/>
  <c r="AU18" i="26"/>
  <c r="Z18" i="26"/>
  <c r="Y18" i="26"/>
  <c r="X18" i="26"/>
  <c r="W18" i="26"/>
  <c r="V18" i="26"/>
  <c r="U18" i="26"/>
  <c r="T18" i="26"/>
  <c r="S18" i="26"/>
  <c r="R18" i="26"/>
  <c r="Q18" i="26"/>
  <c r="P18" i="26"/>
  <c r="O18" i="26"/>
  <c r="M18" i="26"/>
  <c r="L18" i="26"/>
  <c r="K18" i="26"/>
  <c r="J18" i="26"/>
  <c r="I18" i="26"/>
  <c r="H18" i="26"/>
  <c r="G18" i="26"/>
  <c r="F18" i="26"/>
  <c r="E18" i="26"/>
  <c r="D18" i="26"/>
  <c r="C18" i="26"/>
  <c r="B18" i="26"/>
  <c r="AU17" i="26"/>
  <c r="Z17" i="26"/>
  <c r="Y17" i="26"/>
  <c r="X17" i="26"/>
  <c r="W17" i="26"/>
  <c r="V17" i="26"/>
  <c r="U17" i="26"/>
  <c r="T17" i="26"/>
  <c r="S17" i="26"/>
  <c r="R17" i="26"/>
  <c r="Q17" i="26"/>
  <c r="P17" i="26"/>
  <c r="O17" i="26"/>
  <c r="AU16" i="26"/>
  <c r="Z16" i="26"/>
  <c r="Y16" i="26"/>
  <c r="X16" i="26"/>
  <c r="W16" i="26"/>
  <c r="V16" i="26"/>
  <c r="U16" i="26"/>
  <c r="T16" i="26"/>
  <c r="S16" i="26"/>
  <c r="R16" i="26"/>
  <c r="Q16" i="26"/>
  <c r="P16" i="26"/>
  <c r="O16" i="26"/>
  <c r="BC15" i="26"/>
  <c r="AU15" i="26"/>
  <c r="Z15" i="26"/>
  <c r="Y15" i="26"/>
  <c r="X15" i="26"/>
  <c r="W15" i="26"/>
  <c r="V15" i="26"/>
  <c r="U15" i="26"/>
  <c r="T15" i="26"/>
  <c r="S15" i="26"/>
  <c r="R15" i="26"/>
  <c r="Q15" i="26"/>
  <c r="P15" i="26"/>
  <c r="O15" i="26"/>
  <c r="M15" i="26"/>
  <c r="L15" i="26"/>
  <c r="K15" i="26"/>
  <c r="J15" i="26"/>
  <c r="I15" i="26"/>
  <c r="H15" i="26"/>
  <c r="G15" i="26"/>
  <c r="F15" i="26"/>
  <c r="E15" i="26"/>
  <c r="D15" i="26"/>
  <c r="C15" i="26"/>
  <c r="B15" i="26"/>
  <c r="AU14" i="26"/>
  <c r="Z14" i="26"/>
  <c r="Y14" i="26"/>
  <c r="X14" i="26"/>
  <c r="W14" i="26"/>
  <c r="V14" i="26"/>
  <c r="U14" i="26"/>
  <c r="T14" i="26"/>
  <c r="S14" i="26"/>
  <c r="R14" i="26"/>
  <c r="Q14" i="26"/>
  <c r="P14" i="26"/>
  <c r="O14" i="26"/>
  <c r="AU13" i="26"/>
  <c r="Z13" i="26"/>
  <c r="Y13" i="26"/>
  <c r="X13" i="26"/>
  <c r="W13" i="26"/>
  <c r="V13" i="26"/>
  <c r="U13" i="26"/>
  <c r="T13" i="26"/>
  <c r="S13" i="26"/>
  <c r="R13" i="26"/>
  <c r="Q13" i="26"/>
  <c r="P13" i="26"/>
  <c r="O13" i="26"/>
  <c r="AU12" i="26"/>
  <c r="Z12" i="26"/>
  <c r="Y12" i="26"/>
  <c r="X12" i="26"/>
  <c r="W12" i="26"/>
  <c r="V12" i="26"/>
  <c r="U12" i="26"/>
  <c r="T12" i="26"/>
  <c r="S12" i="26"/>
  <c r="R12" i="26"/>
  <c r="Q12" i="26"/>
  <c r="P12" i="26"/>
  <c r="O12" i="26"/>
  <c r="BC11" i="26"/>
  <c r="AU11" i="26"/>
  <c r="Z11" i="26"/>
  <c r="Y11" i="26"/>
  <c r="X11" i="26"/>
  <c r="W11" i="26"/>
  <c r="V11" i="26"/>
  <c r="U11" i="26"/>
  <c r="T11" i="26"/>
  <c r="S11" i="26"/>
  <c r="R11" i="26"/>
  <c r="Q11" i="26"/>
  <c r="P11" i="26"/>
  <c r="O11" i="26"/>
  <c r="M11" i="26"/>
  <c r="L11" i="26"/>
  <c r="K11" i="26"/>
  <c r="J11" i="26"/>
  <c r="I11" i="26"/>
  <c r="H11" i="26"/>
  <c r="G11" i="26"/>
  <c r="F11" i="26"/>
  <c r="E11" i="26"/>
  <c r="D11" i="26"/>
  <c r="C11" i="26"/>
  <c r="B11" i="26"/>
  <c r="AU10" i="26"/>
  <c r="Z10" i="26"/>
  <c r="Y10" i="26"/>
  <c r="X10" i="26"/>
  <c r="W10" i="26"/>
  <c r="V10" i="26"/>
  <c r="U10" i="26"/>
  <c r="T10" i="26"/>
  <c r="S10" i="26"/>
  <c r="R10" i="26"/>
  <c r="Q10" i="26"/>
  <c r="P10" i="26"/>
  <c r="O10" i="26"/>
  <c r="G10" i="26"/>
  <c r="F10" i="26"/>
  <c r="C10" i="26"/>
  <c r="B10" i="26"/>
  <c r="AU9" i="26"/>
  <c r="Z9" i="26"/>
  <c r="Y9" i="26"/>
  <c r="X9" i="26"/>
  <c r="W9" i="26"/>
  <c r="V9" i="26"/>
  <c r="U9" i="26"/>
  <c r="T9" i="26"/>
  <c r="S9" i="26"/>
  <c r="R9" i="26"/>
  <c r="Q9" i="26"/>
  <c r="P9" i="26"/>
  <c r="O9" i="26"/>
  <c r="AU8" i="26"/>
  <c r="Z8" i="26"/>
  <c r="Y8" i="26"/>
  <c r="X8" i="26"/>
  <c r="W8" i="26"/>
  <c r="V8" i="26"/>
  <c r="U8" i="26"/>
  <c r="T8" i="26"/>
  <c r="S8" i="26"/>
  <c r="R8" i="26"/>
  <c r="Q8" i="26"/>
  <c r="P8" i="26"/>
  <c r="O8" i="26"/>
  <c r="M8" i="26"/>
  <c r="L8" i="26"/>
  <c r="K8" i="26"/>
  <c r="J8" i="26"/>
  <c r="I8" i="26"/>
  <c r="H8" i="26"/>
  <c r="G8" i="26"/>
  <c r="F8" i="26"/>
  <c r="E8" i="26"/>
  <c r="D8" i="26"/>
  <c r="C8" i="26"/>
  <c r="B8" i="26"/>
  <c r="AU7" i="26"/>
  <c r="Z7" i="26"/>
  <c r="Y7" i="26"/>
  <c r="X7" i="26"/>
  <c r="W7" i="26"/>
  <c r="V7" i="26"/>
  <c r="U7" i="26"/>
  <c r="T7" i="26"/>
  <c r="S7" i="26"/>
  <c r="R7" i="26"/>
  <c r="Q7" i="26"/>
  <c r="P7" i="26"/>
  <c r="O7" i="26"/>
  <c r="AU6" i="26"/>
  <c r="Z6" i="26"/>
  <c r="Y6" i="26"/>
  <c r="X6" i="26"/>
  <c r="W6" i="26"/>
  <c r="V6" i="26"/>
  <c r="U6" i="26"/>
  <c r="T6" i="26"/>
  <c r="S6" i="26"/>
  <c r="R6" i="26"/>
  <c r="Q6" i="26"/>
  <c r="P6" i="26"/>
  <c r="O6" i="26"/>
  <c r="AU5" i="26"/>
  <c r="Z5" i="26"/>
  <c r="Y5" i="26"/>
  <c r="X5" i="26"/>
  <c r="W5" i="26"/>
  <c r="V5" i="26"/>
  <c r="U5" i="26"/>
  <c r="T5" i="26"/>
  <c r="S5" i="26"/>
  <c r="R5" i="26"/>
  <c r="Q5" i="26"/>
  <c r="P5" i="26"/>
  <c r="O5" i="26"/>
  <c r="AU4" i="26"/>
  <c r="Z4" i="26"/>
  <c r="Y4" i="26"/>
  <c r="X4" i="26"/>
  <c r="W4" i="26"/>
  <c r="V4" i="26"/>
  <c r="U4" i="26"/>
  <c r="T4" i="26"/>
  <c r="S4" i="26"/>
  <c r="R4" i="26"/>
  <c r="Q4" i="26"/>
  <c r="P4" i="26"/>
  <c r="O4" i="26"/>
  <c r="Z3" i="26"/>
  <c r="Y3" i="26"/>
  <c r="X3" i="26"/>
  <c r="W3" i="26"/>
  <c r="V3" i="26"/>
  <c r="U3" i="26"/>
  <c r="T3" i="26"/>
  <c r="S3" i="26"/>
  <c r="R3" i="26"/>
  <c r="Q3" i="26"/>
  <c r="P3" i="26"/>
  <c r="O3" i="26"/>
  <c r="Y5" i="11"/>
  <c r="X5" i="11"/>
  <c r="W5" i="11"/>
  <c r="V5" i="11"/>
  <c r="I201" i="13"/>
  <c r="K200" i="13"/>
  <c r="I200" i="13"/>
  <c r="H200" i="13"/>
  <c r="G200" i="13"/>
  <c r="F200" i="13"/>
  <c r="D200" i="13"/>
  <c r="C200" i="13"/>
  <c r="B200" i="13"/>
  <c r="K199" i="13"/>
  <c r="I199" i="13"/>
  <c r="H199" i="13"/>
  <c r="G199" i="13"/>
  <c r="K198" i="13"/>
  <c r="I198" i="13"/>
  <c r="H198" i="13"/>
  <c r="G198" i="13"/>
  <c r="K197" i="13"/>
  <c r="I197" i="13"/>
  <c r="H197" i="13"/>
  <c r="G197" i="13"/>
  <c r="K196" i="13"/>
  <c r="I196" i="13"/>
  <c r="H196" i="13"/>
  <c r="G196" i="13"/>
  <c r="K195" i="13"/>
  <c r="I195" i="13"/>
  <c r="H195" i="13"/>
  <c r="G195" i="13"/>
  <c r="K194" i="13"/>
  <c r="I194" i="13"/>
  <c r="H194" i="13"/>
  <c r="G194" i="13"/>
  <c r="K193" i="13"/>
  <c r="I193" i="13"/>
  <c r="H193" i="13"/>
  <c r="G193" i="13"/>
  <c r="K192" i="13"/>
  <c r="I192" i="13"/>
  <c r="H192" i="13"/>
  <c r="G192" i="13"/>
  <c r="I189" i="13"/>
  <c r="H189" i="13"/>
  <c r="G189" i="13"/>
  <c r="F189" i="13"/>
  <c r="E189" i="13"/>
  <c r="K188" i="13"/>
  <c r="I188" i="13"/>
  <c r="H188" i="13"/>
  <c r="G188" i="13"/>
  <c r="K187" i="13"/>
  <c r="I187" i="13"/>
  <c r="H187" i="13"/>
  <c r="G187" i="13"/>
  <c r="K186" i="13"/>
  <c r="I186" i="13"/>
  <c r="H186" i="13"/>
  <c r="G186" i="13"/>
  <c r="K185" i="13"/>
  <c r="I185" i="13"/>
  <c r="H185" i="13"/>
  <c r="G185" i="13"/>
  <c r="K184" i="13"/>
  <c r="I184" i="13"/>
  <c r="H184" i="13"/>
  <c r="G184" i="13"/>
  <c r="K183" i="13"/>
  <c r="I183" i="13"/>
  <c r="H183" i="13"/>
  <c r="G183" i="13"/>
  <c r="K182" i="13"/>
  <c r="I182" i="13"/>
  <c r="H182" i="13"/>
  <c r="G182" i="13"/>
  <c r="K181" i="13"/>
  <c r="I181" i="13"/>
  <c r="H181" i="13"/>
  <c r="G181" i="13"/>
  <c r="K180" i="13"/>
  <c r="I180" i="13"/>
  <c r="H180" i="13"/>
  <c r="G180" i="13"/>
  <c r="I177" i="13"/>
  <c r="H177" i="13"/>
  <c r="G177" i="13"/>
  <c r="K176" i="13"/>
  <c r="I176" i="13"/>
  <c r="H176" i="13"/>
  <c r="G176" i="13"/>
  <c r="F176" i="13"/>
  <c r="D176" i="13"/>
  <c r="C176" i="13"/>
  <c r="B176" i="13"/>
  <c r="K175" i="13"/>
  <c r="I175" i="13"/>
  <c r="H175" i="13"/>
  <c r="G175" i="13"/>
  <c r="K174" i="13"/>
  <c r="I174" i="13"/>
  <c r="H174" i="13"/>
  <c r="G174" i="13"/>
  <c r="K173" i="13"/>
  <c r="I173" i="13"/>
  <c r="H173" i="13"/>
  <c r="G173" i="13"/>
  <c r="K172" i="13"/>
  <c r="I172" i="13"/>
  <c r="H172" i="13"/>
  <c r="G172" i="13"/>
  <c r="K171" i="13"/>
  <c r="I171" i="13"/>
  <c r="H171" i="13"/>
  <c r="G171" i="13"/>
  <c r="K170" i="13"/>
  <c r="I170" i="13"/>
  <c r="H170" i="13"/>
  <c r="G170" i="13"/>
  <c r="K169" i="13"/>
  <c r="I169" i="13"/>
  <c r="H169" i="13"/>
  <c r="G169" i="13"/>
  <c r="K168" i="13"/>
  <c r="I168" i="13"/>
  <c r="H168" i="13"/>
  <c r="G168" i="13"/>
  <c r="I165" i="13"/>
  <c r="H165" i="13"/>
  <c r="G165" i="13"/>
  <c r="F165" i="13"/>
  <c r="E165" i="13"/>
  <c r="D165" i="13"/>
  <c r="C165" i="13"/>
  <c r="K165" i="13" s="1"/>
  <c r="B165" i="13"/>
  <c r="K164" i="13"/>
  <c r="I164" i="13"/>
  <c r="H164" i="13"/>
  <c r="G164" i="13"/>
  <c r="K163" i="13"/>
  <c r="I163" i="13"/>
  <c r="H163" i="13"/>
  <c r="G163" i="13"/>
  <c r="K162" i="13"/>
  <c r="I162" i="13"/>
  <c r="H162" i="13"/>
  <c r="G162" i="13"/>
  <c r="K161" i="13"/>
  <c r="I161" i="13"/>
  <c r="H161" i="13"/>
  <c r="G161" i="13"/>
  <c r="K160" i="13"/>
  <c r="I160" i="13"/>
  <c r="H160" i="13"/>
  <c r="G160" i="13"/>
  <c r="K159" i="13"/>
  <c r="I159" i="13"/>
  <c r="H159" i="13"/>
  <c r="G159" i="13"/>
  <c r="K158" i="13"/>
  <c r="I158" i="13"/>
  <c r="H158" i="13"/>
  <c r="G158" i="13"/>
  <c r="K157" i="13"/>
  <c r="I157" i="13"/>
  <c r="H157" i="13"/>
  <c r="G157" i="13"/>
  <c r="K156" i="13"/>
  <c r="I156" i="13"/>
  <c r="H156" i="13"/>
  <c r="G156" i="13"/>
  <c r="K153" i="13"/>
  <c r="I153" i="13"/>
  <c r="H153" i="13"/>
  <c r="G153" i="13"/>
  <c r="K152" i="13"/>
  <c r="I152" i="13"/>
  <c r="H152" i="13"/>
  <c r="G152" i="13"/>
  <c r="K151" i="13"/>
  <c r="I151" i="13"/>
  <c r="H151" i="13"/>
  <c r="G151" i="13"/>
  <c r="K150" i="13"/>
  <c r="I150" i="13"/>
  <c r="H150" i="13"/>
  <c r="G150" i="13"/>
  <c r="K149" i="13"/>
  <c r="I149" i="13"/>
  <c r="H149" i="13"/>
  <c r="G149" i="13"/>
  <c r="K148" i="13"/>
  <c r="I148" i="13"/>
  <c r="H148" i="13"/>
  <c r="G148" i="13"/>
  <c r="K147" i="13"/>
  <c r="I147" i="13"/>
  <c r="H147" i="13"/>
  <c r="G147" i="13"/>
  <c r="K146" i="13"/>
  <c r="I146" i="13"/>
  <c r="H146" i="13"/>
  <c r="G146" i="13"/>
  <c r="K145" i="13"/>
  <c r="I145" i="13"/>
  <c r="H145" i="13"/>
  <c r="G145" i="13"/>
  <c r="K144" i="13"/>
  <c r="I144" i="13"/>
  <c r="H144" i="13"/>
  <c r="G144" i="13"/>
  <c r="I141" i="13"/>
  <c r="H141" i="13"/>
  <c r="G141" i="13"/>
  <c r="F141" i="13"/>
  <c r="D141" i="13"/>
  <c r="C141" i="13"/>
  <c r="K141" i="13" s="1"/>
  <c r="B141" i="13"/>
  <c r="K140" i="13"/>
  <c r="I140" i="13"/>
  <c r="H140" i="13"/>
  <c r="G140" i="13"/>
  <c r="K139" i="13"/>
  <c r="I139" i="13"/>
  <c r="H139" i="13"/>
  <c r="G139" i="13"/>
  <c r="K138" i="13"/>
  <c r="I138" i="13"/>
  <c r="H138" i="13"/>
  <c r="G138" i="13"/>
  <c r="K137" i="13"/>
  <c r="I137" i="13"/>
  <c r="H137" i="13"/>
  <c r="G137" i="13"/>
  <c r="K136" i="13"/>
  <c r="I136" i="13"/>
  <c r="H136" i="13"/>
  <c r="G136" i="13"/>
  <c r="K135" i="13"/>
  <c r="I135" i="13"/>
  <c r="H135" i="13"/>
  <c r="G135" i="13"/>
  <c r="K134" i="13"/>
  <c r="I134" i="13"/>
  <c r="H134" i="13"/>
  <c r="G134" i="13"/>
  <c r="K133" i="13"/>
  <c r="I133" i="13"/>
  <c r="H133" i="13"/>
  <c r="G133" i="13"/>
  <c r="K132" i="13"/>
  <c r="I132" i="13"/>
  <c r="H132" i="13"/>
  <c r="G132" i="13"/>
  <c r="K127" i="13"/>
  <c r="I127" i="13"/>
  <c r="H127" i="13"/>
  <c r="G127" i="13"/>
  <c r="K126" i="13"/>
  <c r="I126" i="13"/>
  <c r="H126" i="13"/>
  <c r="G126" i="13"/>
  <c r="K125" i="13"/>
  <c r="I125" i="13"/>
  <c r="H125" i="13"/>
  <c r="G125" i="13"/>
  <c r="K124" i="13"/>
  <c r="I124" i="13"/>
  <c r="H124" i="13"/>
  <c r="G124" i="13"/>
  <c r="K123" i="13"/>
  <c r="I123" i="13"/>
  <c r="H123" i="13"/>
  <c r="G123" i="13"/>
  <c r="K122" i="13"/>
  <c r="I122" i="13"/>
  <c r="H122" i="13"/>
  <c r="G122" i="13"/>
  <c r="K121" i="13"/>
  <c r="I121" i="13"/>
  <c r="H121" i="13"/>
  <c r="G121" i="13"/>
  <c r="K120" i="13"/>
  <c r="I120" i="13"/>
  <c r="H120" i="13"/>
  <c r="G120" i="13"/>
  <c r="K119" i="13"/>
  <c r="I119" i="13"/>
  <c r="H119" i="13"/>
  <c r="G119" i="13"/>
  <c r="M115" i="13"/>
  <c r="I115" i="13"/>
  <c r="H115" i="13"/>
  <c r="G115" i="13"/>
  <c r="F115" i="13"/>
  <c r="E115" i="13"/>
  <c r="D115" i="13"/>
  <c r="C115" i="13"/>
  <c r="K115" i="13" s="1"/>
  <c r="B115" i="13"/>
  <c r="M114" i="13"/>
  <c r="K114" i="13"/>
  <c r="I114" i="13"/>
  <c r="H114" i="13"/>
  <c r="G114" i="13"/>
  <c r="F114" i="13"/>
  <c r="D114" i="13"/>
  <c r="C114" i="13"/>
  <c r="B114" i="13"/>
  <c r="M113" i="13"/>
  <c r="K113" i="13"/>
  <c r="I113" i="13"/>
  <c r="H113" i="13"/>
  <c r="G113" i="13"/>
  <c r="M112" i="13"/>
  <c r="K112" i="13"/>
  <c r="I112" i="13"/>
  <c r="H112" i="13"/>
  <c r="G112" i="13"/>
  <c r="M111" i="13"/>
  <c r="K111" i="13"/>
  <c r="I111" i="13"/>
  <c r="H111" i="13"/>
  <c r="G111" i="13"/>
  <c r="M110" i="13"/>
  <c r="K110" i="13"/>
  <c r="I110" i="13"/>
  <c r="H110" i="13"/>
  <c r="G110" i="13"/>
  <c r="M109" i="13"/>
  <c r="K109" i="13"/>
  <c r="I109" i="13"/>
  <c r="H109" i="13"/>
  <c r="G109" i="13"/>
  <c r="M108" i="13"/>
  <c r="K108" i="13"/>
  <c r="I108" i="13"/>
  <c r="H108" i="13"/>
  <c r="G108" i="13"/>
  <c r="M107" i="13"/>
  <c r="K107" i="13"/>
  <c r="I107" i="13"/>
  <c r="H107" i="13"/>
  <c r="G107" i="13"/>
  <c r="M106" i="13"/>
  <c r="K106" i="13"/>
  <c r="I106" i="13"/>
  <c r="H106" i="13"/>
  <c r="G106" i="13"/>
  <c r="M102" i="13"/>
  <c r="M101" i="13"/>
  <c r="I101" i="13"/>
  <c r="F101" i="13"/>
  <c r="E101" i="13"/>
  <c r="D101" i="13"/>
  <c r="C101" i="13"/>
  <c r="K101" i="13" s="1"/>
  <c r="B101" i="13"/>
  <c r="M100" i="13"/>
  <c r="K100" i="13"/>
  <c r="I100" i="13"/>
  <c r="M99" i="13"/>
  <c r="K99" i="13"/>
  <c r="J99" i="13"/>
  <c r="I99" i="13"/>
  <c r="M98" i="13"/>
  <c r="K98" i="13"/>
  <c r="J98" i="13"/>
  <c r="I98" i="13"/>
  <c r="M97" i="13"/>
  <c r="K97" i="13"/>
  <c r="J97" i="13"/>
  <c r="I97" i="13"/>
  <c r="K96" i="13"/>
  <c r="I96" i="13"/>
  <c r="K95" i="13"/>
  <c r="I95" i="13"/>
  <c r="K94" i="13"/>
  <c r="I94" i="13"/>
  <c r="K93" i="13"/>
  <c r="I93" i="13"/>
  <c r="K92" i="13"/>
  <c r="I92" i="13"/>
  <c r="AK86"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C86" i="13"/>
  <c r="B86" i="13"/>
  <c r="Q82" i="13"/>
  <c r="O82" i="13"/>
  <c r="N82" i="13"/>
  <c r="T79" i="13"/>
  <c r="S79" i="13"/>
  <c r="R79" i="13"/>
  <c r="Q79" i="13"/>
  <c r="P79" i="13"/>
  <c r="O79" i="13"/>
  <c r="N79" i="13"/>
  <c r="M79" i="13"/>
  <c r="L79" i="13"/>
  <c r="K79" i="13"/>
  <c r="J79" i="13"/>
  <c r="I79" i="13"/>
  <c r="H79" i="13"/>
  <c r="G79" i="13"/>
  <c r="F79" i="13"/>
  <c r="E79" i="13"/>
  <c r="D79" i="13"/>
  <c r="C79" i="13"/>
  <c r="B79" i="13"/>
  <c r="Q75" i="13"/>
  <c r="P75" i="13"/>
  <c r="O75" i="13"/>
  <c r="N75" i="13"/>
  <c r="AL72" i="13"/>
  <c r="AK72"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C72" i="13"/>
  <c r="B72" i="13"/>
  <c r="AL71" i="13"/>
  <c r="AL70" i="13"/>
  <c r="AL69" i="13"/>
  <c r="Q68" i="13"/>
  <c r="P68" i="13"/>
  <c r="O68" i="13"/>
  <c r="N68" i="13"/>
  <c r="BP67" i="13"/>
  <c r="BO67" i="13"/>
  <c r="BN67" i="13"/>
  <c r="BM67" i="13"/>
  <c r="BJ67" i="13"/>
  <c r="BI67" i="13"/>
  <c r="BH67" i="13"/>
  <c r="BG67" i="13"/>
  <c r="BF67" i="13"/>
  <c r="BP66" i="13"/>
  <c r="BO66" i="13"/>
  <c r="BN66" i="13"/>
  <c r="BM66" i="13"/>
  <c r="BL66" i="13"/>
  <c r="BK66" i="13"/>
  <c r="BJ66" i="13"/>
  <c r="BI66" i="13"/>
  <c r="BH66" i="13"/>
  <c r="BG66" i="13"/>
  <c r="BF66" i="13"/>
  <c r="AK66" i="13"/>
  <c r="AJ66" i="13"/>
  <c r="AI66" i="13"/>
  <c r="AH66" i="13"/>
  <c r="AG66" i="13"/>
  <c r="BP65" i="13"/>
  <c r="BO65" i="13"/>
  <c r="BN65" i="13"/>
  <c r="BM65" i="13"/>
  <c r="BL65" i="13"/>
  <c r="BK65" i="13"/>
  <c r="BJ65" i="13"/>
  <c r="BI65" i="13"/>
  <c r="BH65" i="13"/>
  <c r="BG65" i="13"/>
  <c r="BF65" i="13"/>
  <c r="AK65" i="13"/>
  <c r="AJ65" i="13"/>
  <c r="AI65" i="13"/>
  <c r="AH65" i="13"/>
  <c r="AG65" i="13"/>
  <c r="AF65" i="13"/>
  <c r="AE65" i="13"/>
  <c r="AD65" i="13"/>
  <c r="AC65" i="13"/>
  <c r="AB65" i="13"/>
  <c r="AA65" i="13"/>
  <c r="Z65" i="13"/>
  <c r="Y65" i="13"/>
  <c r="X65" i="13"/>
  <c r="W65" i="13"/>
  <c r="V65" i="13"/>
  <c r="U65" i="13"/>
  <c r="T65" i="13"/>
  <c r="S65" i="13"/>
  <c r="R65" i="13"/>
  <c r="Q65" i="13"/>
  <c r="P65" i="13"/>
  <c r="O65" i="13"/>
  <c r="N65" i="13"/>
  <c r="M65" i="13"/>
  <c r="L65" i="13"/>
  <c r="K65" i="13"/>
  <c r="J65" i="13"/>
  <c r="I65" i="13"/>
  <c r="H65" i="13"/>
  <c r="G65" i="13"/>
  <c r="F65" i="13"/>
  <c r="E65" i="13"/>
  <c r="D65" i="13"/>
  <c r="C65" i="13"/>
  <c r="B65" i="13"/>
  <c r="BP64" i="13"/>
  <c r="BO64" i="13"/>
  <c r="BN64" i="13"/>
  <c r="BM64" i="13"/>
  <c r="BL64" i="13"/>
  <c r="BK64" i="13"/>
  <c r="BJ64" i="13"/>
  <c r="BI64" i="13"/>
  <c r="BH64" i="13"/>
  <c r="BG64" i="13"/>
  <c r="BF64" i="13"/>
  <c r="BP63" i="13"/>
  <c r="BO63" i="13"/>
  <c r="BN63" i="13"/>
  <c r="BM63" i="13"/>
  <c r="BJ63" i="13"/>
  <c r="BI63" i="13"/>
  <c r="BH63" i="13"/>
  <c r="BG63" i="13"/>
  <c r="BF63" i="13"/>
  <c r="Q61" i="13"/>
  <c r="P61" i="13"/>
  <c r="O61" i="13"/>
  <c r="N61" i="13"/>
  <c r="N59" i="13"/>
  <c r="M59" i="13"/>
  <c r="L59" i="13"/>
  <c r="K59" i="13"/>
  <c r="J59" i="13"/>
  <c r="I59" i="13"/>
  <c r="H59" i="13"/>
  <c r="G59" i="13"/>
  <c r="F59" i="13"/>
  <c r="E59" i="13"/>
  <c r="D59" i="13"/>
  <c r="C59" i="13"/>
  <c r="B59" i="13"/>
  <c r="AN54" i="13"/>
  <c r="AA52" i="13"/>
  <c r="W52" i="13"/>
  <c r="V52" i="13"/>
  <c r="U52" i="13"/>
  <c r="T52" i="13"/>
  <c r="S52" i="13"/>
  <c r="R52" i="13"/>
  <c r="Q52" i="13"/>
  <c r="P52" i="13"/>
  <c r="O52" i="13"/>
  <c r="N52" i="13"/>
  <c r="M52" i="13"/>
  <c r="L52" i="13"/>
  <c r="K52" i="13"/>
  <c r="J52" i="13"/>
  <c r="I52" i="13"/>
  <c r="H52" i="13"/>
  <c r="G52" i="13"/>
  <c r="F52" i="13"/>
  <c r="E52" i="13"/>
  <c r="D52" i="13"/>
  <c r="C52" i="13"/>
  <c r="B52" i="13"/>
  <c r="AA51" i="13"/>
  <c r="AA50" i="13"/>
  <c r="R50" i="13"/>
  <c r="AA49" i="13"/>
  <c r="O48" i="13"/>
  <c r="N48" i="13"/>
  <c r="AA45" i="13"/>
  <c r="W45" i="13"/>
  <c r="V45" i="13"/>
  <c r="U45" i="13"/>
  <c r="T45" i="13"/>
  <c r="S45" i="13"/>
  <c r="R45" i="13"/>
  <c r="Q45" i="13"/>
  <c r="P45" i="13"/>
  <c r="O45" i="13"/>
  <c r="N45" i="13"/>
  <c r="M45" i="13"/>
  <c r="L45" i="13"/>
  <c r="K45" i="13"/>
  <c r="J45" i="13"/>
  <c r="I45" i="13"/>
  <c r="H45" i="13"/>
  <c r="G45" i="13"/>
  <c r="F45" i="13"/>
  <c r="E45" i="13"/>
  <c r="D45" i="13"/>
  <c r="C45" i="13"/>
  <c r="B45" i="13"/>
  <c r="AA44" i="13"/>
  <c r="AA43" i="13"/>
  <c r="AA42" i="13"/>
  <c r="O41" i="13"/>
  <c r="N41" i="13"/>
  <c r="BE38" i="13"/>
  <c r="BD38" i="13"/>
  <c r="BC38" i="13"/>
  <c r="BB38" i="13"/>
  <c r="BA38" i="13"/>
  <c r="AZ38" i="13"/>
  <c r="AY38" i="13"/>
  <c r="AX38" i="13"/>
  <c r="AW38" i="13"/>
  <c r="AV38" i="13"/>
  <c r="AU38" i="13"/>
  <c r="AA38" i="13"/>
  <c r="W38" i="13"/>
  <c r="V38" i="13"/>
  <c r="U38" i="13"/>
  <c r="T38" i="13"/>
  <c r="S38" i="13"/>
  <c r="R38" i="13"/>
  <c r="Q38" i="13"/>
  <c r="P38" i="13"/>
  <c r="O38" i="13"/>
  <c r="N38" i="13"/>
  <c r="M38" i="13"/>
  <c r="L38" i="13"/>
  <c r="K38" i="13"/>
  <c r="J38" i="13"/>
  <c r="I38" i="13"/>
  <c r="H38" i="13"/>
  <c r="G38" i="13"/>
  <c r="F38" i="13"/>
  <c r="E38" i="13"/>
  <c r="D38" i="13"/>
  <c r="C38" i="13"/>
  <c r="B38" i="13"/>
  <c r="BF37" i="13"/>
  <c r="BE37" i="13"/>
  <c r="BD37" i="13"/>
  <c r="BC37" i="13"/>
  <c r="BB37" i="13"/>
  <c r="BA37" i="13"/>
  <c r="AZ37" i="13"/>
  <c r="AY37" i="13"/>
  <c r="AX37" i="13"/>
  <c r="AW37" i="13"/>
  <c r="AV37" i="13"/>
  <c r="AQ37" i="13"/>
  <c r="AA37" i="13"/>
  <c r="BF36" i="13"/>
  <c r="BE36" i="13"/>
  <c r="BD36" i="13"/>
  <c r="BC36" i="13"/>
  <c r="BB36" i="13"/>
  <c r="BA36" i="13"/>
  <c r="AZ36" i="13"/>
  <c r="AY36" i="13"/>
  <c r="AX36" i="13"/>
  <c r="AW36" i="13"/>
  <c r="AV36" i="13"/>
  <c r="AA36" i="13"/>
  <c r="BF35" i="13"/>
  <c r="BE35" i="13"/>
  <c r="BD35" i="13"/>
  <c r="BC35" i="13"/>
  <c r="BB35" i="13"/>
  <c r="BA35" i="13"/>
  <c r="AZ35" i="13"/>
  <c r="AY35" i="13"/>
  <c r="AX35" i="13"/>
  <c r="AW35" i="13"/>
  <c r="AV35" i="13"/>
  <c r="AA35" i="13"/>
  <c r="BF34" i="13"/>
  <c r="BE34" i="13"/>
  <c r="BD34" i="13"/>
  <c r="BC34" i="13"/>
  <c r="BB34" i="13"/>
  <c r="BA34" i="13"/>
  <c r="AZ34" i="13"/>
  <c r="AY34" i="13"/>
  <c r="AX34" i="13"/>
  <c r="AW34" i="13"/>
  <c r="AV34" i="13"/>
  <c r="O34" i="13"/>
  <c r="N34" i="13"/>
  <c r="R31" i="13"/>
  <c r="P31" i="13"/>
  <c r="O31" i="13"/>
  <c r="N31" i="13"/>
  <c r="M31" i="13"/>
  <c r="L31" i="13"/>
  <c r="K31" i="13"/>
  <c r="J31" i="13"/>
  <c r="I31" i="13"/>
  <c r="H31" i="13"/>
  <c r="G31" i="13"/>
  <c r="F31" i="13"/>
  <c r="E31" i="13"/>
  <c r="D31" i="13"/>
  <c r="C31" i="13"/>
  <c r="B31" i="13"/>
  <c r="R30" i="13"/>
  <c r="R29" i="13"/>
  <c r="R28" i="13"/>
  <c r="O27" i="13"/>
  <c r="N27" i="13"/>
  <c r="R24" i="13"/>
  <c r="P24" i="13"/>
  <c r="O24" i="13"/>
  <c r="N24" i="13"/>
  <c r="M24" i="13"/>
  <c r="L24" i="13"/>
  <c r="K24" i="13"/>
  <c r="J24" i="13"/>
  <c r="I24" i="13"/>
  <c r="H24" i="13"/>
  <c r="G24" i="13"/>
  <c r="F24" i="13"/>
  <c r="E24" i="13"/>
  <c r="D24" i="13"/>
  <c r="C24" i="13"/>
  <c r="B24" i="13"/>
  <c r="R23" i="13"/>
  <c r="R22" i="13"/>
  <c r="R21" i="13"/>
  <c r="O20" i="13"/>
  <c r="N20" i="13"/>
  <c r="U17" i="13"/>
  <c r="T17" i="13"/>
  <c r="S17" i="13"/>
  <c r="R17" i="13"/>
  <c r="Q17" i="13"/>
  <c r="P17" i="13"/>
  <c r="O17" i="13"/>
  <c r="N17" i="13"/>
  <c r="M17" i="13"/>
  <c r="L17" i="13"/>
  <c r="K17" i="13"/>
  <c r="J17" i="13"/>
  <c r="I17" i="13"/>
  <c r="H17" i="13"/>
  <c r="G17" i="13"/>
  <c r="F17" i="13"/>
  <c r="E17" i="13"/>
  <c r="D17" i="13"/>
  <c r="C17" i="13"/>
  <c r="B17" i="13"/>
  <c r="O13" i="13"/>
  <c r="N13" i="13"/>
  <c r="AK10" i="13"/>
  <c r="AJ10" i="13"/>
  <c r="AI10" i="13"/>
  <c r="AH10" i="13"/>
  <c r="AG10" i="13"/>
  <c r="AF10" i="13"/>
  <c r="AE10" i="13"/>
  <c r="AD10" i="13"/>
  <c r="AC10" i="13"/>
  <c r="AB10" i="13"/>
  <c r="AA10" i="13"/>
  <c r="Z10" i="13"/>
  <c r="Y10" i="13"/>
  <c r="X10" i="13"/>
  <c r="W10" i="13"/>
  <c r="V10" i="13"/>
  <c r="U10" i="13"/>
  <c r="T10" i="13"/>
  <c r="S10" i="13"/>
  <c r="R10" i="13"/>
  <c r="Q10" i="13"/>
  <c r="P10" i="13"/>
  <c r="O10" i="13"/>
  <c r="N10" i="13"/>
  <c r="M10" i="13"/>
  <c r="L10" i="13"/>
  <c r="K10" i="13"/>
  <c r="J10" i="13"/>
  <c r="I10" i="13"/>
  <c r="H10" i="13"/>
  <c r="G10" i="13"/>
  <c r="F10" i="13"/>
  <c r="E10" i="13"/>
  <c r="D10" i="13"/>
  <c r="C10" i="13"/>
  <c r="B10" i="13"/>
  <c r="L9" i="13"/>
  <c r="K9" i="13"/>
  <c r="I9" i="13"/>
  <c r="H9" i="13"/>
  <c r="G9" i="13"/>
  <c r="C9" i="13"/>
  <c r="BF7" i="13"/>
  <c r="BE7" i="13"/>
  <c r="BD7" i="13"/>
  <c r="BC7" i="13"/>
  <c r="BB7" i="13"/>
  <c r="BA7" i="13"/>
  <c r="AZ7" i="13"/>
  <c r="AY7" i="13"/>
  <c r="AX7" i="13"/>
  <c r="AW7" i="13"/>
  <c r="AV7" i="13"/>
  <c r="AU7" i="13"/>
  <c r="BC6" i="13"/>
  <c r="BB6" i="13"/>
  <c r="AW6" i="13"/>
  <c r="AV6" i="13"/>
  <c r="AK6" i="13"/>
  <c r="AJ6" i="13"/>
  <c r="AI6" i="13"/>
  <c r="AH6" i="13"/>
  <c r="AG6" i="13"/>
  <c r="AF6" i="13"/>
  <c r="AE6" i="13"/>
  <c r="AD6" i="13"/>
  <c r="AC6" i="13"/>
  <c r="AB6" i="13"/>
  <c r="AA6" i="13"/>
  <c r="Z6" i="13"/>
  <c r="Y6" i="13"/>
  <c r="X6" i="13"/>
  <c r="W6" i="13"/>
  <c r="V6" i="13"/>
  <c r="U6" i="13"/>
  <c r="T6" i="13"/>
  <c r="S6" i="13"/>
  <c r="R6" i="13"/>
  <c r="Q6" i="13"/>
  <c r="P6" i="13"/>
  <c r="O6" i="13"/>
  <c r="N6" i="13"/>
  <c r="M6" i="13"/>
  <c r="L6" i="13"/>
  <c r="K6" i="13"/>
  <c r="J6" i="13"/>
  <c r="I6" i="13"/>
  <c r="H6" i="13"/>
  <c r="G6" i="13"/>
  <c r="F6" i="13"/>
  <c r="E6" i="13"/>
  <c r="D6" i="13"/>
  <c r="C6" i="13"/>
  <c r="B6" i="13"/>
  <c r="BF5" i="13"/>
  <c r="BE5" i="13"/>
  <c r="BD5" i="13"/>
  <c r="BC5" i="13"/>
  <c r="BB5" i="13"/>
  <c r="BA5" i="13"/>
  <c r="AZ5" i="13"/>
  <c r="AY5" i="13"/>
  <c r="AX5" i="13"/>
  <c r="AW5" i="13"/>
  <c r="AV5" i="13"/>
  <c r="AU5" i="13"/>
  <c r="Y5" i="13"/>
  <c r="X5" i="13"/>
  <c r="W5" i="13"/>
  <c r="V5" i="13"/>
  <c r="U5" i="13"/>
  <c r="T5" i="13"/>
  <c r="S5" i="13"/>
  <c r="R5" i="13"/>
  <c r="Q5" i="13"/>
  <c r="P5" i="13"/>
  <c r="O5" i="13"/>
  <c r="N5" i="13"/>
  <c r="BF4" i="13"/>
  <c r="BE4" i="13"/>
  <c r="BD4" i="13"/>
  <c r="BC4" i="13"/>
  <c r="BB4" i="13"/>
  <c r="BA4" i="13"/>
  <c r="AZ4" i="13"/>
  <c r="AY4" i="13"/>
  <c r="AX4" i="13"/>
  <c r="AW4" i="13"/>
  <c r="AV4" i="13"/>
  <c r="AU4" i="13"/>
  <c r="BF3" i="13"/>
  <c r="BE3" i="13"/>
  <c r="BD3" i="13"/>
  <c r="BC3" i="13"/>
  <c r="BB3" i="13"/>
  <c r="BA3" i="13"/>
  <c r="AZ3" i="13"/>
  <c r="AY3" i="13"/>
  <c r="AX3" i="13"/>
  <c r="AW3" i="13"/>
  <c r="AV3" i="13"/>
  <c r="AU3" i="13"/>
  <c r="D279" i="20"/>
  <c r="D278" i="20"/>
  <c r="D277" i="20"/>
  <c r="D276" i="20"/>
  <c r="D275" i="20"/>
  <c r="D274" i="20"/>
  <c r="D273" i="20"/>
  <c r="D272" i="20"/>
  <c r="D271" i="20"/>
  <c r="D270" i="20"/>
  <c r="D269" i="20"/>
  <c r="D268" i="20"/>
  <c r="D267" i="20"/>
  <c r="D266" i="20"/>
  <c r="J265" i="20"/>
  <c r="D265" i="20"/>
  <c r="K264" i="20"/>
  <c r="J264" i="20"/>
  <c r="D264" i="20"/>
  <c r="K263" i="20"/>
  <c r="J263" i="20"/>
  <c r="D263" i="20"/>
  <c r="J262" i="20"/>
  <c r="D262" i="20"/>
  <c r="J261" i="20"/>
  <c r="G261" i="20"/>
  <c r="F261" i="20"/>
  <c r="D261" i="20"/>
  <c r="J260" i="20"/>
  <c r="D260" i="20"/>
  <c r="J259" i="20"/>
  <c r="D259" i="20"/>
  <c r="J258" i="20"/>
  <c r="D258" i="20"/>
  <c r="J257" i="20"/>
  <c r="D257" i="20"/>
  <c r="J256" i="20"/>
  <c r="D256" i="20"/>
  <c r="J255" i="20"/>
  <c r="D255" i="20"/>
  <c r="J254" i="20"/>
  <c r="D254" i="20"/>
  <c r="J253" i="20"/>
  <c r="D253" i="20"/>
  <c r="J252" i="20"/>
  <c r="D252" i="20"/>
  <c r="J251" i="20"/>
  <c r="D251" i="20"/>
  <c r="J250" i="20"/>
  <c r="D250" i="20"/>
  <c r="J249" i="20"/>
  <c r="D249" i="20"/>
  <c r="J248" i="20"/>
  <c r="D248" i="20"/>
  <c r="J247" i="20"/>
  <c r="D247" i="20"/>
  <c r="J246" i="20"/>
  <c r="D246" i="20"/>
  <c r="J245" i="20"/>
  <c r="D245" i="20"/>
  <c r="J244" i="20"/>
  <c r="D244" i="20"/>
  <c r="J243" i="20"/>
  <c r="G243" i="20"/>
  <c r="F243" i="20"/>
  <c r="D243" i="20"/>
  <c r="J242" i="20"/>
  <c r="D242" i="20"/>
  <c r="J241" i="20"/>
  <c r="D241" i="20"/>
  <c r="J240" i="20"/>
  <c r="D240" i="20"/>
  <c r="J239" i="20"/>
  <c r="D239" i="20"/>
  <c r="J238" i="20"/>
  <c r="D238" i="20"/>
  <c r="J237" i="20"/>
  <c r="D237" i="20"/>
  <c r="J236" i="20"/>
  <c r="D236" i="20"/>
  <c r="J235" i="20"/>
  <c r="D235" i="20"/>
  <c r="J234" i="20"/>
  <c r="D234" i="20"/>
  <c r="J233" i="20"/>
  <c r="G233" i="20"/>
  <c r="F233" i="20"/>
  <c r="D233" i="20"/>
  <c r="J232" i="20"/>
  <c r="G232" i="20"/>
  <c r="F232" i="20"/>
  <c r="D232" i="20"/>
  <c r="J231" i="20"/>
  <c r="D231" i="20"/>
  <c r="J230" i="20"/>
  <c r="D230" i="20"/>
  <c r="J229" i="20"/>
  <c r="D229" i="20"/>
  <c r="J228" i="20"/>
  <c r="D228" i="20"/>
  <c r="J227" i="20"/>
  <c r="D227" i="20"/>
  <c r="J226" i="20"/>
  <c r="D226" i="20"/>
  <c r="J225" i="20"/>
  <c r="D225" i="20"/>
  <c r="J224" i="20"/>
  <c r="D224" i="20"/>
  <c r="J223" i="20"/>
  <c r="D223" i="20"/>
  <c r="J222" i="20"/>
  <c r="D222" i="20"/>
  <c r="J221" i="20"/>
  <c r="D221" i="20"/>
  <c r="J220" i="20"/>
  <c r="D220" i="20"/>
  <c r="J219" i="20"/>
  <c r="D219" i="20"/>
  <c r="J218" i="20"/>
  <c r="G218" i="20"/>
  <c r="F218" i="20"/>
  <c r="D218" i="20"/>
  <c r="J217" i="20"/>
  <c r="D217" i="20"/>
  <c r="J216" i="20"/>
  <c r="D216" i="20"/>
  <c r="J215" i="20"/>
  <c r="D215" i="20"/>
  <c r="J214" i="20"/>
  <c r="D214" i="20"/>
  <c r="J213" i="20"/>
  <c r="G213" i="20"/>
  <c r="F213" i="20"/>
  <c r="D213" i="20"/>
  <c r="J212" i="20"/>
  <c r="D212" i="20"/>
  <c r="J211" i="20"/>
  <c r="D211" i="20"/>
  <c r="J210" i="20"/>
  <c r="D210" i="20"/>
  <c r="J209" i="20"/>
  <c r="D209" i="20"/>
  <c r="J208" i="20"/>
  <c r="D208" i="20"/>
  <c r="J207" i="20"/>
  <c r="D207" i="20"/>
  <c r="J206" i="20"/>
  <c r="D206" i="20"/>
  <c r="J205" i="20"/>
  <c r="D205" i="20"/>
  <c r="J204" i="20"/>
  <c r="D204" i="20"/>
  <c r="J203" i="20"/>
  <c r="D203" i="20"/>
  <c r="J202" i="20"/>
  <c r="D202" i="20"/>
  <c r="J201" i="20"/>
  <c r="D201" i="20"/>
  <c r="J200" i="20"/>
  <c r="D200" i="20"/>
  <c r="J199" i="20"/>
  <c r="D199" i="20"/>
  <c r="J198" i="20"/>
  <c r="D198" i="20"/>
  <c r="J197" i="20"/>
  <c r="D197" i="20"/>
  <c r="J196" i="20"/>
  <c r="D196" i="20"/>
  <c r="J195" i="20"/>
  <c r="D195" i="20"/>
  <c r="J194" i="20"/>
  <c r="D194" i="20"/>
  <c r="J193" i="20"/>
  <c r="D193" i="20"/>
  <c r="J192" i="20"/>
  <c r="D192" i="20"/>
  <c r="J191" i="20"/>
  <c r="D191" i="20"/>
  <c r="J190" i="20"/>
  <c r="D190" i="20"/>
  <c r="J189" i="20"/>
  <c r="D189" i="20"/>
  <c r="J188" i="20"/>
  <c r="D188" i="20"/>
  <c r="J187" i="20"/>
  <c r="D187" i="20"/>
  <c r="J186" i="20"/>
  <c r="D186" i="20"/>
  <c r="J185" i="20"/>
  <c r="D185" i="20"/>
  <c r="J184" i="20"/>
  <c r="D184" i="20"/>
  <c r="J183" i="20"/>
  <c r="D183" i="20"/>
  <c r="J182" i="20"/>
  <c r="D182" i="20"/>
  <c r="J181" i="20"/>
  <c r="D181" i="20"/>
  <c r="J180" i="20"/>
  <c r="D180" i="20"/>
  <c r="J179" i="20"/>
  <c r="D179" i="20"/>
  <c r="J178" i="20"/>
  <c r="D178" i="20"/>
  <c r="J177" i="20"/>
  <c r="D177" i="20"/>
  <c r="J176" i="20"/>
  <c r="D176" i="20"/>
  <c r="J175" i="20"/>
  <c r="D175" i="20"/>
  <c r="J174" i="20"/>
  <c r="D174" i="20"/>
  <c r="J173" i="20"/>
  <c r="G173" i="20"/>
  <c r="F173" i="20"/>
  <c r="D173" i="20"/>
  <c r="J172" i="20"/>
  <c r="D172" i="20"/>
  <c r="J171" i="20"/>
  <c r="D171" i="20"/>
  <c r="J170" i="20"/>
  <c r="D170" i="20"/>
  <c r="J169" i="20"/>
  <c r="D169" i="20"/>
  <c r="J168" i="20"/>
  <c r="D168" i="20"/>
  <c r="J167" i="20"/>
  <c r="D167" i="20"/>
  <c r="J166" i="20"/>
  <c r="D166" i="20"/>
  <c r="J165" i="20"/>
  <c r="D165" i="20"/>
  <c r="J164" i="20"/>
  <c r="D164" i="20"/>
  <c r="J163" i="20"/>
  <c r="D163" i="20"/>
  <c r="J162" i="20"/>
  <c r="D162" i="20"/>
  <c r="J161" i="20"/>
  <c r="D161" i="20"/>
  <c r="J160" i="20"/>
  <c r="D160" i="20"/>
  <c r="J159" i="20"/>
  <c r="D159" i="20"/>
  <c r="J158" i="20"/>
  <c r="D158" i="20"/>
  <c r="J157" i="20"/>
  <c r="D157" i="20"/>
  <c r="J156" i="20"/>
  <c r="D156" i="20"/>
  <c r="J155" i="20"/>
  <c r="D155" i="20"/>
  <c r="J154" i="20"/>
  <c r="D154" i="20"/>
  <c r="J153" i="20"/>
  <c r="D153" i="20"/>
  <c r="J152" i="20"/>
  <c r="D152" i="20"/>
  <c r="J151" i="20"/>
  <c r="D151" i="20"/>
  <c r="J150" i="20"/>
  <c r="D150" i="20"/>
  <c r="J149" i="20"/>
  <c r="D149" i="20"/>
  <c r="J148" i="20"/>
  <c r="D148" i="20"/>
  <c r="J147" i="20"/>
  <c r="D147" i="20"/>
  <c r="J146" i="20"/>
  <c r="D146" i="20"/>
  <c r="J145" i="20"/>
  <c r="D145" i="20"/>
  <c r="J144" i="20"/>
  <c r="G144" i="20"/>
  <c r="F144" i="20"/>
  <c r="D144" i="20"/>
  <c r="J143" i="20"/>
  <c r="D143" i="20"/>
  <c r="J142" i="20"/>
  <c r="D142" i="20"/>
  <c r="J141" i="20"/>
  <c r="D141" i="20"/>
  <c r="J140" i="20"/>
  <c r="D140" i="20"/>
  <c r="J139" i="20"/>
  <c r="D139" i="20"/>
  <c r="J138" i="20"/>
  <c r="D138" i="20"/>
  <c r="J137" i="20"/>
  <c r="D137" i="20"/>
  <c r="J136" i="20"/>
  <c r="D136" i="20"/>
  <c r="J135" i="20"/>
  <c r="D135" i="20"/>
  <c r="J134" i="20"/>
  <c r="D134" i="20"/>
  <c r="J133" i="20"/>
  <c r="D133" i="20"/>
  <c r="J132" i="20"/>
  <c r="D132" i="20"/>
  <c r="J131" i="20"/>
  <c r="D131" i="20"/>
  <c r="J130" i="20"/>
  <c r="D130" i="20"/>
  <c r="J129" i="20"/>
  <c r="D129" i="20"/>
  <c r="J128" i="20"/>
  <c r="G128" i="20"/>
  <c r="F128" i="20"/>
  <c r="D128" i="20"/>
  <c r="J127" i="20"/>
  <c r="D127" i="20"/>
  <c r="J126" i="20"/>
  <c r="D126" i="20"/>
  <c r="J125" i="20"/>
  <c r="D125" i="20"/>
  <c r="J124" i="20"/>
  <c r="D124" i="20"/>
  <c r="J123" i="20"/>
  <c r="D123" i="20"/>
  <c r="J122" i="20"/>
  <c r="D122" i="20"/>
  <c r="J121" i="20"/>
  <c r="D121" i="20"/>
  <c r="J120" i="20"/>
  <c r="D120" i="20"/>
  <c r="J119" i="20"/>
  <c r="D119" i="20"/>
  <c r="J118" i="20"/>
  <c r="D118" i="20"/>
  <c r="J117" i="20"/>
  <c r="D117" i="20"/>
  <c r="J116" i="20"/>
  <c r="D116" i="20"/>
  <c r="J115" i="20"/>
  <c r="D115" i="20"/>
  <c r="J114" i="20"/>
  <c r="D114" i="20"/>
  <c r="J113" i="20"/>
  <c r="D113" i="20"/>
  <c r="J112" i="20"/>
  <c r="D112" i="20"/>
  <c r="J111" i="20"/>
  <c r="G111" i="20"/>
  <c r="F111" i="20"/>
  <c r="D111" i="20"/>
  <c r="J110" i="20"/>
  <c r="D110" i="20"/>
  <c r="J109" i="20"/>
  <c r="D109" i="20"/>
  <c r="J108" i="20"/>
  <c r="D108" i="20"/>
  <c r="J107" i="20"/>
  <c r="D107" i="20"/>
  <c r="J106" i="20"/>
  <c r="D106" i="20"/>
  <c r="J105" i="20"/>
  <c r="D105" i="20"/>
  <c r="J104" i="20"/>
  <c r="D104" i="20"/>
  <c r="J103" i="20"/>
  <c r="D103" i="20"/>
  <c r="J102" i="20"/>
  <c r="D102" i="20"/>
  <c r="J101" i="20"/>
  <c r="D101" i="20"/>
  <c r="J100" i="20"/>
  <c r="D100" i="20"/>
  <c r="J99" i="20"/>
  <c r="D99" i="20"/>
  <c r="J98" i="20"/>
  <c r="D98" i="20"/>
  <c r="J97" i="20"/>
  <c r="D97" i="20"/>
  <c r="J96" i="20"/>
  <c r="D96" i="20"/>
  <c r="J95" i="20"/>
  <c r="D95" i="20"/>
  <c r="J94" i="20"/>
  <c r="D94" i="20"/>
  <c r="J93" i="20"/>
  <c r="D93" i="20"/>
  <c r="J92" i="20"/>
  <c r="D92" i="20"/>
  <c r="J91" i="20"/>
  <c r="D91" i="20"/>
  <c r="J90" i="20"/>
  <c r="D90" i="20"/>
  <c r="J89" i="20"/>
  <c r="D89" i="20"/>
  <c r="J88" i="20"/>
  <c r="D88" i="20"/>
  <c r="J87" i="20"/>
  <c r="G87" i="20"/>
  <c r="F87" i="20"/>
  <c r="D87" i="20"/>
  <c r="J86" i="20"/>
  <c r="D86" i="20"/>
  <c r="J85" i="20"/>
  <c r="D85" i="20"/>
  <c r="J84" i="20"/>
  <c r="D84" i="20"/>
  <c r="J83" i="20"/>
  <c r="D83" i="20"/>
  <c r="J82" i="20"/>
  <c r="D82" i="20"/>
  <c r="J81" i="20"/>
  <c r="D81" i="20"/>
  <c r="J80" i="20"/>
  <c r="D80" i="20"/>
  <c r="J79" i="20"/>
  <c r="D79" i="20"/>
  <c r="J78" i="20"/>
  <c r="D78" i="20"/>
  <c r="J77" i="20"/>
  <c r="D77" i="20"/>
  <c r="J76" i="20"/>
  <c r="D76" i="20"/>
  <c r="J75" i="20"/>
  <c r="D75" i="20"/>
  <c r="J74" i="20"/>
  <c r="D74" i="20"/>
  <c r="J73" i="20"/>
  <c r="D73" i="20"/>
  <c r="J72" i="20"/>
  <c r="D72" i="20"/>
  <c r="J71" i="20"/>
  <c r="D71" i="20"/>
  <c r="J70" i="20"/>
  <c r="G70" i="20"/>
  <c r="F70" i="20"/>
  <c r="D70" i="20"/>
  <c r="J69" i="20"/>
  <c r="D69" i="20"/>
  <c r="J68" i="20"/>
  <c r="D68" i="20"/>
  <c r="J67" i="20"/>
  <c r="D67" i="20"/>
  <c r="J66" i="20"/>
  <c r="D66" i="20"/>
  <c r="J65" i="20"/>
  <c r="D65" i="20"/>
  <c r="J64" i="20"/>
  <c r="D64" i="20"/>
  <c r="J63" i="20"/>
  <c r="D63" i="20"/>
  <c r="J62" i="20"/>
  <c r="D62" i="20"/>
  <c r="J61" i="20"/>
  <c r="G61" i="20"/>
  <c r="F61" i="20"/>
  <c r="D61" i="20"/>
  <c r="J60" i="20"/>
  <c r="D60" i="20"/>
  <c r="J59" i="20"/>
  <c r="D59" i="20"/>
  <c r="J58" i="20"/>
  <c r="D58" i="20"/>
  <c r="J57" i="20"/>
  <c r="D57" i="20"/>
  <c r="J56" i="20"/>
  <c r="D56" i="20"/>
  <c r="J55" i="20"/>
  <c r="D55" i="20"/>
  <c r="J54" i="20"/>
  <c r="D54" i="20"/>
  <c r="J53" i="20"/>
  <c r="D53" i="20"/>
  <c r="J52" i="20"/>
  <c r="D52" i="20"/>
  <c r="J51" i="20"/>
  <c r="D51" i="20"/>
  <c r="J50" i="20"/>
  <c r="D50" i="20"/>
  <c r="J49" i="20"/>
  <c r="D49" i="20"/>
  <c r="N48" i="20"/>
  <c r="J48" i="20"/>
  <c r="D48" i="20"/>
  <c r="N47" i="20"/>
  <c r="J47" i="20"/>
  <c r="G47" i="20"/>
  <c r="F47" i="20"/>
  <c r="D47" i="20"/>
  <c r="AD46" i="20"/>
  <c r="N46" i="20"/>
  <c r="J46" i="20"/>
  <c r="D46" i="20"/>
  <c r="AD45" i="20"/>
  <c r="N45" i="20"/>
  <c r="J45" i="20"/>
  <c r="D45" i="20"/>
  <c r="AD44" i="20"/>
  <c r="N44" i="20"/>
  <c r="J44" i="20"/>
  <c r="D44" i="20"/>
  <c r="AD43" i="20"/>
  <c r="N43" i="20"/>
  <c r="J43" i="20"/>
  <c r="D43" i="20"/>
  <c r="AD42" i="20"/>
  <c r="N42" i="20"/>
  <c r="J42" i="20"/>
  <c r="D42" i="20"/>
  <c r="AD41" i="20"/>
  <c r="N41" i="20"/>
  <c r="J41" i="20"/>
  <c r="D41" i="20"/>
  <c r="AD40" i="20"/>
  <c r="N40" i="20"/>
  <c r="J40" i="20"/>
  <c r="D40" i="20"/>
  <c r="AD39" i="20"/>
  <c r="N39" i="20"/>
  <c r="J39" i="20"/>
  <c r="D39" i="20"/>
  <c r="AD38" i="20"/>
  <c r="N38" i="20"/>
  <c r="J38" i="20"/>
  <c r="D38" i="20"/>
  <c r="AD37" i="20"/>
  <c r="N37" i="20"/>
  <c r="J37" i="20"/>
  <c r="D37" i="20"/>
  <c r="AD36" i="20"/>
  <c r="N36" i="20"/>
  <c r="J36" i="20"/>
  <c r="D36" i="20"/>
  <c r="AD35" i="20"/>
  <c r="N35" i="20"/>
  <c r="J35" i="20"/>
  <c r="D35" i="20"/>
  <c r="AD34" i="20"/>
  <c r="N34" i="20"/>
  <c r="J34" i="20"/>
  <c r="D34" i="20"/>
  <c r="AD33" i="20"/>
  <c r="N33" i="20"/>
  <c r="J33" i="20"/>
  <c r="D33" i="20"/>
  <c r="AD32" i="20"/>
  <c r="Z32" i="20"/>
  <c r="N32" i="20"/>
  <c r="J32" i="20"/>
  <c r="D32" i="20"/>
  <c r="AD31" i="20"/>
  <c r="Z31" i="20"/>
  <c r="N31" i="20"/>
  <c r="J31" i="20"/>
  <c r="D31" i="20"/>
  <c r="AD30" i="20"/>
  <c r="Z30" i="20"/>
  <c r="N30" i="20"/>
  <c r="J30" i="20"/>
  <c r="D30" i="20"/>
  <c r="AD29" i="20"/>
  <c r="Z29" i="20"/>
  <c r="N29" i="20"/>
  <c r="J29" i="20"/>
  <c r="D29" i="20"/>
  <c r="AD28" i="20"/>
  <c r="Z28" i="20"/>
  <c r="N28" i="20"/>
  <c r="J28" i="20"/>
  <c r="D28" i="20"/>
  <c r="AD27" i="20"/>
  <c r="Z27" i="20"/>
  <c r="N27" i="20"/>
  <c r="J27" i="20"/>
  <c r="D27" i="20"/>
  <c r="AD26" i="20"/>
  <c r="Z26" i="20"/>
  <c r="V26" i="20"/>
  <c r="N26" i="20"/>
  <c r="J26" i="20"/>
  <c r="D26" i="20"/>
  <c r="AD25" i="20"/>
  <c r="Z25" i="20"/>
  <c r="V25" i="20"/>
  <c r="R25" i="20"/>
  <c r="N25" i="20"/>
  <c r="J25" i="20"/>
  <c r="G25" i="20"/>
  <c r="F25" i="20"/>
  <c r="D25" i="20"/>
  <c r="AT24" i="20"/>
  <c r="AP24" i="20"/>
  <c r="AD24" i="20"/>
  <c r="Z24" i="20"/>
  <c r="V24" i="20"/>
  <c r="R24" i="20"/>
  <c r="N24" i="20"/>
  <c r="J24" i="20"/>
  <c r="D24" i="20"/>
  <c r="AT23" i="20"/>
  <c r="AP23" i="20"/>
  <c r="AD23" i="20"/>
  <c r="Z23" i="20"/>
  <c r="V23" i="20"/>
  <c r="R23" i="20"/>
  <c r="N23" i="20"/>
  <c r="J23" i="20"/>
  <c r="D23" i="20"/>
  <c r="AT22" i="20"/>
  <c r="AP22" i="20"/>
  <c r="AD22" i="20"/>
  <c r="Z22" i="20"/>
  <c r="V22" i="20"/>
  <c r="R22" i="20"/>
  <c r="N22" i="20"/>
  <c r="J22" i="20"/>
  <c r="D22" i="20"/>
  <c r="AT21" i="20"/>
  <c r="AP21" i="20"/>
  <c r="AD21" i="20"/>
  <c r="Z21" i="20"/>
  <c r="V21" i="20"/>
  <c r="R21" i="20"/>
  <c r="N21" i="20"/>
  <c r="J21" i="20"/>
  <c r="D21" i="20"/>
  <c r="AT20" i="20"/>
  <c r="AP20" i="20"/>
  <c r="AD20" i="20"/>
  <c r="Z20" i="20"/>
  <c r="V20" i="20"/>
  <c r="R20" i="20"/>
  <c r="N20" i="20"/>
  <c r="J20" i="20"/>
  <c r="D20" i="20"/>
  <c r="AT19" i="20"/>
  <c r="AP19" i="20"/>
  <c r="AH19" i="20"/>
  <c r="AD19" i="20"/>
  <c r="Z19" i="20"/>
  <c r="V19" i="20"/>
  <c r="R19" i="20"/>
  <c r="N19" i="20"/>
  <c r="J19" i="20"/>
  <c r="D19" i="20"/>
  <c r="AT18" i="20"/>
  <c r="AP18" i="20"/>
  <c r="AH18" i="20"/>
  <c r="AD18" i="20"/>
  <c r="Z18" i="20"/>
  <c r="V18" i="20"/>
  <c r="R18" i="20"/>
  <c r="N18" i="20"/>
  <c r="J18" i="20"/>
  <c r="D18" i="20"/>
  <c r="AP17" i="20"/>
  <c r="AH17" i="20"/>
  <c r="AD17" i="20"/>
  <c r="Z17" i="20"/>
  <c r="V17" i="20"/>
  <c r="R17" i="20"/>
  <c r="N17" i="20"/>
  <c r="J17" i="20"/>
  <c r="D17" i="20"/>
  <c r="AT16" i="20"/>
  <c r="AP16" i="20"/>
  <c r="AH16" i="20"/>
  <c r="AD16" i="20"/>
  <c r="Z16" i="20"/>
  <c r="V16" i="20"/>
  <c r="R16" i="20"/>
  <c r="N16" i="20"/>
  <c r="J16" i="20"/>
  <c r="D16" i="20"/>
  <c r="AT15" i="20"/>
  <c r="AP15" i="20"/>
  <c r="AH15" i="20"/>
  <c r="AD15" i="20"/>
  <c r="Z15" i="20"/>
  <c r="V15" i="20"/>
  <c r="R15" i="20"/>
  <c r="N15" i="20"/>
  <c r="J15" i="20"/>
  <c r="D15" i="20"/>
  <c r="AP14" i="20"/>
  <c r="AH14" i="20"/>
  <c r="AD14" i="20"/>
  <c r="Z14" i="20"/>
  <c r="V14" i="20"/>
  <c r="R14" i="20"/>
  <c r="N14" i="20"/>
  <c r="J14" i="20"/>
  <c r="D14" i="20"/>
  <c r="AT13" i="20"/>
  <c r="AP13" i="20"/>
  <c r="AH13" i="20"/>
  <c r="AD13" i="20"/>
  <c r="Z13" i="20"/>
  <c r="V13" i="20"/>
  <c r="R13" i="20"/>
  <c r="N13" i="20"/>
  <c r="J13" i="20"/>
  <c r="D13" i="20"/>
  <c r="AT12" i="20"/>
  <c r="AP12" i="20"/>
  <c r="AH12" i="20"/>
  <c r="AD12" i="20"/>
  <c r="Z12" i="20"/>
  <c r="V12" i="20"/>
  <c r="R12" i="20"/>
  <c r="N12" i="20"/>
  <c r="J12" i="20"/>
  <c r="D12" i="20"/>
  <c r="AT11" i="20"/>
  <c r="AP11" i="20"/>
  <c r="AH11" i="20"/>
  <c r="AD11" i="20"/>
  <c r="Z11" i="20"/>
  <c r="V11" i="20"/>
  <c r="R11" i="20"/>
  <c r="N11" i="20"/>
  <c r="J11" i="20"/>
  <c r="D11" i="20"/>
  <c r="AP10" i="20"/>
  <c r="AH10" i="20"/>
  <c r="AD10" i="20"/>
  <c r="Z10" i="20"/>
  <c r="V10" i="20"/>
  <c r="R10" i="20"/>
  <c r="N10" i="20"/>
  <c r="J10" i="20"/>
  <c r="D10" i="20"/>
  <c r="AT9" i="20"/>
  <c r="AP9" i="20"/>
  <c r="AH9" i="20"/>
  <c r="AD9" i="20"/>
  <c r="Z9" i="20"/>
  <c r="V9" i="20"/>
  <c r="R9" i="20"/>
  <c r="N9" i="20"/>
  <c r="J9" i="20"/>
  <c r="D9" i="20"/>
  <c r="CM8" i="20"/>
  <c r="CL8" i="20"/>
  <c r="CK8" i="20"/>
  <c r="CJ8" i="20"/>
  <c r="CG8" i="20"/>
  <c r="CF8" i="20"/>
  <c r="CE8" i="20"/>
  <c r="CD8" i="20"/>
  <c r="CA8" i="20"/>
  <c r="BZ8" i="20"/>
  <c r="BY8" i="20"/>
  <c r="BX8" i="20"/>
  <c r="BU8" i="20"/>
  <c r="BT8" i="20"/>
  <c r="BS8" i="20"/>
  <c r="BR8" i="20"/>
  <c r="BQ8" i="20"/>
  <c r="BO8" i="20"/>
  <c r="BN8" i="20"/>
  <c r="BM8" i="20"/>
  <c r="BL8" i="20"/>
  <c r="BK8" i="20"/>
  <c r="BI8" i="20"/>
  <c r="BH8" i="20"/>
  <c r="BG8" i="20"/>
  <c r="BF8" i="20"/>
  <c r="BE8" i="20"/>
  <c r="BC8" i="20"/>
  <c r="BB8" i="20"/>
  <c r="BA8" i="20"/>
  <c r="AZ8" i="20"/>
  <c r="AT8" i="20"/>
  <c r="AP8" i="20"/>
  <c r="AH8" i="20"/>
  <c r="AD8" i="20"/>
  <c r="Z8" i="20"/>
  <c r="V8" i="20"/>
  <c r="R8" i="20"/>
  <c r="N8" i="20"/>
  <c r="J8" i="20"/>
  <c r="D8" i="20"/>
  <c r="CM7" i="20"/>
  <c r="CL7" i="20"/>
  <c r="CK7" i="20"/>
  <c r="CJ7" i="20"/>
  <c r="CG7" i="20"/>
  <c r="CF7" i="20"/>
  <c r="CE7" i="20"/>
  <c r="CD7" i="20"/>
  <c r="CA7" i="20"/>
  <c r="BZ7" i="20"/>
  <c r="BY7" i="20"/>
  <c r="BX7" i="20"/>
  <c r="BU7" i="20"/>
  <c r="BT7" i="20"/>
  <c r="BS7" i="20"/>
  <c r="BR7" i="20"/>
  <c r="BO7" i="20"/>
  <c r="BN7" i="20"/>
  <c r="BM7" i="20"/>
  <c r="BL7" i="20"/>
  <c r="BI7" i="20"/>
  <c r="BH7" i="20"/>
  <c r="BG7" i="20"/>
  <c r="BF7" i="20"/>
  <c r="BC7" i="20"/>
  <c r="BB7" i="20"/>
  <c r="BA7" i="20"/>
  <c r="AZ7" i="20"/>
  <c r="AT7" i="20"/>
  <c r="AP7" i="20"/>
  <c r="AH7" i="20"/>
  <c r="AD7" i="20"/>
  <c r="Z7" i="20"/>
  <c r="V7" i="20"/>
  <c r="R7" i="20"/>
  <c r="N7" i="20"/>
  <c r="J7" i="20"/>
  <c r="G7" i="20"/>
  <c r="F7" i="20"/>
  <c r="D7" i="20"/>
  <c r="CM6" i="20"/>
  <c r="CL6" i="20"/>
  <c r="CK6" i="20"/>
  <c r="CJ6" i="20"/>
  <c r="CG6" i="20"/>
  <c r="CF6" i="20"/>
  <c r="CE6" i="20"/>
  <c r="CD6" i="20"/>
  <c r="CA6" i="20"/>
  <c r="BZ6" i="20"/>
  <c r="BY6" i="20"/>
  <c r="BX6" i="20"/>
  <c r="BU6" i="20"/>
  <c r="BT6" i="20"/>
  <c r="BS6" i="20"/>
  <c r="BR6" i="20"/>
  <c r="BO6" i="20"/>
  <c r="BN6" i="20"/>
  <c r="BM6" i="20"/>
  <c r="BL6" i="20"/>
  <c r="BI6" i="20"/>
  <c r="BH6" i="20"/>
  <c r="BG6" i="20"/>
  <c r="BF6" i="20"/>
  <c r="BC6" i="20"/>
  <c r="BB6" i="20"/>
  <c r="BA6" i="20"/>
  <c r="AZ6" i="20"/>
  <c r="AT6" i="20"/>
  <c r="AP6" i="20"/>
  <c r="AH6" i="20"/>
  <c r="AD6" i="20"/>
  <c r="Z6" i="20"/>
  <c r="V6" i="20"/>
  <c r="R6" i="20"/>
  <c r="N6" i="20"/>
  <c r="J6" i="20"/>
  <c r="D6" i="20"/>
  <c r="CM5" i="20"/>
  <c r="CL5" i="20"/>
  <c r="CK5" i="20"/>
  <c r="CJ5" i="20"/>
  <c r="CG5" i="20"/>
  <c r="CF5" i="20"/>
  <c r="CE5" i="20"/>
  <c r="CD5" i="20"/>
  <c r="CA5" i="20"/>
  <c r="BZ5" i="20"/>
  <c r="BY5" i="20"/>
  <c r="BX5" i="20"/>
  <c r="BU5" i="20"/>
  <c r="BT5" i="20"/>
  <c r="BS5" i="20"/>
  <c r="BR5" i="20"/>
  <c r="BO5" i="20"/>
  <c r="BN5" i="20"/>
  <c r="BM5" i="20"/>
  <c r="BL5" i="20"/>
  <c r="BI5" i="20"/>
  <c r="BH5" i="20"/>
  <c r="BG5" i="20"/>
  <c r="BF5" i="20"/>
  <c r="BC5" i="20"/>
  <c r="BB5" i="20"/>
  <c r="BA5" i="20"/>
  <c r="AZ5" i="20"/>
  <c r="AT5" i="20"/>
  <c r="AP5" i="20"/>
  <c r="AH5" i="20"/>
  <c r="AD5" i="20"/>
  <c r="Z5" i="20"/>
  <c r="V5" i="20"/>
  <c r="R5" i="20"/>
  <c r="N5" i="20"/>
  <c r="J5" i="20"/>
  <c r="D5" i="20"/>
  <c r="CM4" i="20"/>
  <c r="CL4" i="20"/>
  <c r="CK4" i="20"/>
  <c r="CJ4" i="20"/>
  <c r="CG4" i="20"/>
  <c r="CF4" i="20"/>
  <c r="CE4" i="20"/>
  <c r="CD4" i="20"/>
  <c r="CA4" i="20"/>
  <c r="BZ4" i="20"/>
  <c r="BY4" i="20"/>
  <c r="BX4" i="20"/>
  <c r="BU4" i="20"/>
  <c r="BT4" i="20"/>
  <c r="BS4" i="20"/>
  <c r="BR4" i="20"/>
  <c r="BO4" i="20"/>
  <c r="BN4" i="20"/>
  <c r="BM4" i="20"/>
  <c r="BL4" i="20"/>
  <c r="BI4" i="20"/>
  <c r="BH4" i="20"/>
  <c r="BG4" i="20"/>
  <c r="BF4" i="20"/>
  <c r="BC4" i="20"/>
  <c r="BB4" i="20"/>
  <c r="BA4" i="20"/>
  <c r="AZ4" i="20"/>
  <c r="AT4" i="20"/>
  <c r="AP4" i="20"/>
  <c r="AH4" i="20"/>
  <c r="AD4" i="20"/>
  <c r="Z4" i="20"/>
  <c r="V4" i="20"/>
  <c r="R4" i="20"/>
  <c r="N4" i="20"/>
  <c r="J4" i="20"/>
  <c r="G4" i="20"/>
  <c r="F4" i="20"/>
  <c r="D4" i="20"/>
  <c r="M177" i="10"/>
  <c r="L177" i="10"/>
  <c r="K177" i="10"/>
  <c r="H176" i="10"/>
  <c r="D176" i="10"/>
  <c r="M175" i="10"/>
  <c r="L175" i="10"/>
  <c r="M174" i="10"/>
  <c r="L174" i="10"/>
  <c r="C174" i="10"/>
  <c r="C176" i="10" s="1"/>
  <c r="M173" i="10"/>
  <c r="L173" i="10"/>
  <c r="N168" i="10"/>
  <c r="M168" i="10"/>
  <c r="L168" i="10"/>
  <c r="K168" i="10"/>
  <c r="H167" i="10"/>
  <c r="D167" i="10"/>
  <c r="C167" i="10"/>
  <c r="M166" i="10"/>
  <c r="L166" i="10"/>
  <c r="K166" i="10"/>
  <c r="M165" i="10"/>
  <c r="L165" i="10"/>
  <c r="K165" i="10"/>
  <c r="M164" i="10"/>
  <c r="L164" i="10"/>
  <c r="K164" i="10"/>
  <c r="H156" i="10"/>
  <c r="C156" i="10"/>
  <c r="D154" i="10"/>
  <c r="D147" i="10"/>
  <c r="O146" i="10"/>
  <c r="M146" i="10"/>
  <c r="L146" i="10"/>
  <c r="K146" i="10"/>
  <c r="H145" i="10"/>
  <c r="D145" i="10"/>
  <c r="C145" i="10"/>
  <c r="M144" i="10"/>
  <c r="L144" i="10"/>
  <c r="K144" i="10"/>
  <c r="D144" i="10"/>
  <c r="M143" i="10"/>
  <c r="L143" i="10"/>
  <c r="K143" i="10"/>
  <c r="D143" i="10"/>
  <c r="M142" i="10"/>
  <c r="L142" i="10"/>
  <c r="K142" i="10"/>
  <c r="D142" i="10"/>
  <c r="M141" i="10"/>
  <c r="C141" i="10"/>
  <c r="Q136" i="10"/>
  <c r="O136" i="10"/>
  <c r="H135" i="10"/>
  <c r="C135" i="10"/>
  <c r="D133" i="10"/>
  <c r="C131" i="10"/>
  <c r="Q123" i="10"/>
  <c r="O123" i="10"/>
  <c r="E122" i="10"/>
  <c r="E121" i="10"/>
  <c r="O114" i="10"/>
  <c r="H113" i="10"/>
  <c r="C113" i="10"/>
  <c r="D111" i="10"/>
  <c r="Q109" i="10"/>
  <c r="O109" i="10"/>
  <c r="M109" i="10"/>
  <c r="L109" i="10"/>
  <c r="K109" i="10"/>
  <c r="J109" i="10"/>
  <c r="H109" i="10"/>
  <c r="F109" i="10"/>
  <c r="D109" i="10"/>
  <c r="C109" i="10"/>
  <c r="D104" i="10"/>
  <c r="O103" i="10"/>
  <c r="M103" i="10"/>
  <c r="L103" i="10"/>
  <c r="K103" i="10"/>
  <c r="H102" i="10"/>
  <c r="C102" i="10"/>
  <c r="M101" i="10"/>
  <c r="K101" i="10"/>
  <c r="D101" i="10"/>
  <c r="M100" i="10"/>
  <c r="L100" i="10"/>
  <c r="K100" i="10"/>
  <c r="D100" i="10"/>
  <c r="M99" i="10"/>
  <c r="L99" i="10"/>
  <c r="K99" i="10"/>
  <c r="Q98" i="10"/>
  <c r="O98" i="10"/>
  <c r="M98" i="10"/>
  <c r="L98" i="10"/>
  <c r="K98" i="10"/>
  <c r="J98" i="10"/>
  <c r="H98" i="10"/>
  <c r="F98" i="10"/>
  <c r="D98" i="10"/>
  <c r="C98" i="10"/>
  <c r="D93" i="10"/>
  <c r="Q92" i="10"/>
  <c r="O92" i="10"/>
  <c r="M92" i="10"/>
  <c r="L92" i="10"/>
  <c r="K92" i="10"/>
  <c r="H91" i="10"/>
  <c r="C91" i="10"/>
  <c r="M89" i="10"/>
  <c r="L89" i="10"/>
  <c r="K89" i="10"/>
  <c r="D89" i="10"/>
  <c r="M88" i="10"/>
  <c r="L88" i="10"/>
  <c r="K88" i="10"/>
  <c r="D88" i="10"/>
  <c r="M87" i="10"/>
  <c r="L87" i="10"/>
  <c r="K87" i="10"/>
  <c r="H87" i="10"/>
  <c r="D87" i="10"/>
  <c r="D91" i="10" s="1"/>
  <c r="O86" i="10"/>
  <c r="J86" i="10"/>
  <c r="O80" i="10"/>
  <c r="H79" i="10"/>
  <c r="C79" i="10"/>
  <c r="D77" i="10"/>
  <c r="Q75" i="10"/>
  <c r="O75" i="10"/>
  <c r="L75" i="10"/>
  <c r="K75" i="10"/>
  <c r="J75" i="10"/>
  <c r="H75" i="10"/>
  <c r="F75" i="10"/>
  <c r="D75" i="10"/>
  <c r="C75" i="10"/>
  <c r="H68" i="10"/>
  <c r="C68" i="10"/>
  <c r="D65" i="10"/>
  <c r="J63" i="10"/>
  <c r="C63" i="10"/>
  <c r="O57" i="10"/>
  <c r="Q55" i="10"/>
  <c r="Q54" i="10"/>
  <c r="Q53" i="10"/>
  <c r="O52" i="10"/>
  <c r="J52" i="10"/>
  <c r="F52" i="10"/>
  <c r="O46" i="10"/>
  <c r="Q44" i="10"/>
  <c r="Q43" i="10"/>
  <c r="Q42" i="10"/>
  <c r="J41" i="10"/>
  <c r="F41" i="10"/>
  <c r="O35" i="10"/>
  <c r="Q33" i="10"/>
  <c r="Q32" i="10"/>
  <c r="Q31" i="10"/>
  <c r="J30" i="10"/>
  <c r="F30" i="10"/>
  <c r="O24" i="10"/>
  <c r="Q22" i="10"/>
  <c r="Q21" i="10"/>
  <c r="M21" i="10"/>
  <c r="K21" i="10"/>
  <c r="Q20" i="10"/>
  <c r="M20" i="10"/>
  <c r="K20" i="10"/>
  <c r="J19" i="10"/>
  <c r="F19" i="10"/>
  <c r="Q16" i="10"/>
  <c r="M16" i="10"/>
  <c r="L16" i="10"/>
  <c r="L15" i="10"/>
  <c r="Z14" i="10"/>
  <c r="Y14" i="10"/>
  <c r="V14" i="10"/>
  <c r="U14" i="10"/>
  <c r="T14" i="10"/>
  <c r="W20" i="10" s="1"/>
  <c r="N14" i="10"/>
  <c r="M14" i="10"/>
  <c r="L14" i="10"/>
  <c r="Z13" i="10"/>
  <c r="Z15" i="10" s="1"/>
  <c r="Y13" i="10"/>
  <c r="Y15" i="10" s="1"/>
  <c r="V13" i="10"/>
  <c r="V15" i="10" s="1"/>
  <c r="U13" i="10"/>
  <c r="U15" i="10" s="1"/>
  <c r="T13" i="10"/>
  <c r="Q13" i="10"/>
  <c r="Q15" i="10" s="1"/>
  <c r="N13" i="10"/>
  <c r="M13" i="10"/>
  <c r="L13" i="10"/>
  <c r="N12" i="10"/>
  <c r="D8" i="10"/>
  <c r="O7" i="10"/>
  <c r="M7" i="10"/>
  <c r="L7" i="10"/>
  <c r="K7" i="10"/>
  <c r="H6" i="10"/>
  <c r="C6" i="10"/>
  <c r="M5" i="10"/>
  <c r="L5" i="10"/>
  <c r="K5" i="10"/>
  <c r="D5" i="10"/>
  <c r="M4" i="10"/>
  <c r="L4" i="10"/>
  <c r="K4" i="10"/>
  <c r="D4" i="10"/>
  <c r="M3" i="10"/>
  <c r="L3" i="10"/>
  <c r="K3" i="10"/>
  <c r="D3" i="10"/>
  <c r="D6" i="10" s="1"/>
  <c r="O115" i="38"/>
  <c r="N115" i="38"/>
  <c r="M115" i="38"/>
  <c r="L115" i="38"/>
  <c r="K115" i="38"/>
  <c r="J115" i="38"/>
  <c r="I115" i="38"/>
  <c r="H115" i="38"/>
  <c r="G115" i="38"/>
  <c r="F115" i="38"/>
  <c r="E115" i="38"/>
  <c r="D115" i="38"/>
  <c r="C115" i="38"/>
  <c r="O114" i="38"/>
  <c r="N114" i="38"/>
  <c r="M114" i="38"/>
  <c r="L114" i="38"/>
  <c r="K114" i="38"/>
  <c r="J114" i="38"/>
  <c r="I114" i="38"/>
  <c r="H114" i="38"/>
  <c r="G114" i="38"/>
  <c r="F114" i="38"/>
  <c r="E114" i="38"/>
  <c r="D114" i="38"/>
  <c r="C114" i="38"/>
  <c r="O113" i="38"/>
  <c r="N113" i="38"/>
  <c r="M113" i="38"/>
  <c r="L113" i="38"/>
  <c r="K113" i="38"/>
  <c r="J113" i="38"/>
  <c r="I113" i="38"/>
  <c r="H113" i="38"/>
  <c r="G113" i="38"/>
  <c r="F113" i="38"/>
  <c r="E113" i="38"/>
  <c r="D113" i="38"/>
  <c r="C113" i="38"/>
  <c r="O112" i="38"/>
  <c r="N112" i="38"/>
  <c r="M112" i="38"/>
  <c r="L112" i="38"/>
  <c r="K112" i="38"/>
  <c r="J112" i="38"/>
  <c r="I112" i="38"/>
  <c r="H112" i="38"/>
  <c r="G112" i="38"/>
  <c r="F112" i="38"/>
  <c r="E112" i="38"/>
  <c r="D112" i="38"/>
  <c r="C112" i="38"/>
  <c r="O111" i="38"/>
  <c r="N111" i="38"/>
  <c r="M111" i="38"/>
  <c r="L111" i="38"/>
  <c r="K111" i="38"/>
  <c r="J111" i="38"/>
  <c r="I111" i="38"/>
  <c r="H111" i="38"/>
  <c r="G111" i="38"/>
  <c r="F111" i="38"/>
  <c r="E111" i="38"/>
  <c r="D111" i="38"/>
  <c r="C111" i="38"/>
  <c r="O110" i="38"/>
  <c r="N110" i="38"/>
  <c r="M110" i="38"/>
  <c r="L110" i="38"/>
  <c r="K110" i="38"/>
  <c r="J110" i="38"/>
  <c r="I110" i="38"/>
  <c r="H110" i="38"/>
  <c r="G110" i="38"/>
  <c r="F110" i="38"/>
  <c r="E110" i="38"/>
  <c r="D110" i="38"/>
  <c r="C110" i="38"/>
  <c r="O109" i="38"/>
  <c r="N109" i="38"/>
  <c r="M109" i="38"/>
  <c r="L109" i="38"/>
  <c r="K109" i="38"/>
  <c r="J109" i="38"/>
  <c r="I109" i="38"/>
  <c r="H109" i="38"/>
  <c r="G109" i="38"/>
  <c r="F109" i="38"/>
  <c r="E109" i="38"/>
  <c r="D109" i="38"/>
  <c r="C109" i="38"/>
  <c r="O108" i="38"/>
  <c r="N108" i="38"/>
  <c r="M108" i="38"/>
  <c r="L108" i="38"/>
  <c r="K108" i="38"/>
  <c r="J108" i="38"/>
  <c r="I108" i="38"/>
  <c r="H108" i="38"/>
  <c r="G108" i="38"/>
  <c r="F108" i="38"/>
  <c r="E108" i="38"/>
  <c r="D108" i="38"/>
  <c r="C108" i="38"/>
  <c r="O107" i="38"/>
  <c r="N107" i="38"/>
  <c r="M107" i="38"/>
  <c r="L107" i="38"/>
  <c r="K107" i="38"/>
  <c r="J107" i="38"/>
  <c r="I107" i="38"/>
  <c r="H107" i="38"/>
  <c r="G107" i="38"/>
  <c r="F107" i="38"/>
  <c r="E107" i="38"/>
  <c r="D107" i="38"/>
  <c r="C107" i="38"/>
  <c r="O106" i="38"/>
  <c r="N106" i="38"/>
  <c r="M106" i="38"/>
  <c r="L106" i="38"/>
  <c r="K106" i="38"/>
  <c r="J106" i="38"/>
  <c r="I106" i="38"/>
  <c r="H106" i="38"/>
  <c r="G106" i="38"/>
  <c r="F106" i="38"/>
  <c r="E106" i="38"/>
  <c r="D106" i="38"/>
  <c r="C106" i="38"/>
  <c r="O105" i="38"/>
  <c r="N105" i="38"/>
  <c r="M105" i="38"/>
  <c r="L105" i="38"/>
  <c r="K105" i="38"/>
  <c r="J105" i="38"/>
  <c r="I105" i="38"/>
  <c r="H105" i="38"/>
  <c r="G105" i="38"/>
  <c r="F105" i="38"/>
  <c r="E105" i="38"/>
  <c r="D105" i="38"/>
  <c r="C105" i="38"/>
  <c r="O104" i="38"/>
  <c r="N104" i="38"/>
  <c r="M104" i="38"/>
  <c r="L104" i="38"/>
  <c r="K104" i="38"/>
  <c r="J104" i="38"/>
  <c r="I104" i="38"/>
  <c r="H104" i="38"/>
  <c r="G104" i="38"/>
  <c r="F104" i="38"/>
  <c r="E104" i="38"/>
  <c r="D104" i="38"/>
  <c r="C104" i="38"/>
  <c r="O103" i="38"/>
  <c r="N103" i="38"/>
  <c r="M103" i="38"/>
  <c r="L103" i="38"/>
  <c r="K103" i="38"/>
  <c r="J103" i="38"/>
  <c r="I103" i="38"/>
  <c r="H103" i="38"/>
  <c r="G103" i="38"/>
  <c r="F103" i="38"/>
  <c r="E103" i="38"/>
  <c r="D103" i="38"/>
  <c r="C103" i="38"/>
  <c r="O102" i="38"/>
  <c r="N102" i="38"/>
  <c r="M102" i="38"/>
  <c r="L102" i="38"/>
  <c r="K102" i="38"/>
  <c r="J102" i="38"/>
  <c r="I102" i="38"/>
  <c r="H102" i="38"/>
  <c r="G102" i="38"/>
  <c r="F102" i="38"/>
  <c r="E102" i="38"/>
  <c r="D102" i="38"/>
  <c r="C102" i="38"/>
  <c r="O101" i="38"/>
  <c r="N101" i="38"/>
  <c r="M101" i="38"/>
  <c r="L101" i="38"/>
  <c r="K101" i="38"/>
  <c r="J101" i="38"/>
  <c r="I101" i="38"/>
  <c r="H101" i="38"/>
  <c r="G101" i="38"/>
  <c r="F101" i="38"/>
  <c r="E101" i="38"/>
  <c r="D101" i="38"/>
  <c r="C101" i="38"/>
  <c r="O100" i="38"/>
  <c r="N100" i="38"/>
  <c r="M100" i="38"/>
  <c r="L100" i="38"/>
  <c r="K100" i="38"/>
  <c r="J100" i="38"/>
  <c r="I100" i="38"/>
  <c r="H100" i="38"/>
  <c r="G100" i="38"/>
  <c r="F100" i="38"/>
  <c r="E100" i="38"/>
  <c r="D100" i="38"/>
  <c r="C100" i="38"/>
  <c r="C99" i="38"/>
  <c r="C98" i="38"/>
  <c r="O97" i="38"/>
  <c r="N97" i="38"/>
  <c r="M97" i="38"/>
  <c r="L97" i="38"/>
  <c r="K97" i="38"/>
  <c r="J97" i="38"/>
  <c r="I97" i="38"/>
  <c r="H97" i="38"/>
  <c r="G97" i="38"/>
  <c r="F97" i="38"/>
  <c r="E97" i="38"/>
  <c r="D97" i="38"/>
  <c r="C97" i="38"/>
  <c r="O96" i="38"/>
  <c r="N96" i="38"/>
  <c r="M96" i="38"/>
  <c r="L96" i="38"/>
  <c r="K96" i="38"/>
  <c r="J96" i="38"/>
  <c r="I96" i="38"/>
  <c r="H96" i="38"/>
  <c r="G96" i="38"/>
  <c r="F96" i="38"/>
  <c r="E96" i="38"/>
  <c r="D96" i="38"/>
  <c r="C96" i="38"/>
  <c r="O95" i="38"/>
  <c r="N95" i="38"/>
  <c r="M95" i="38"/>
  <c r="L95" i="38"/>
  <c r="K95" i="38"/>
  <c r="J95" i="38"/>
  <c r="I95" i="38"/>
  <c r="H95" i="38"/>
  <c r="G95" i="38"/>
  <c r="F95" i="38"/>
  <c r="E95" i="38"/>
  <c r="D95" i="38"/>
  <c r="C95" i="38"/>
  <c r="O92" i="38"/>
  <c r="N92" i="38"/>
  <c r="M92" i="38"/>
  <c r="L92" i="38"/>
  <c r="K92" i="38"/>
  <c r="J92" i="38"/>
  <c r="I92" i="38"/>
  <c r="H92" i="38"/>
  <c r="G92" i="38"/>
  <c r="F92" i="38"/>
  <c r="E92" i="38"/>
  <c r="D92" i="38"/>
  <c r="C92" i="38"/>
  <c r="C91" i="38"/>
  <c r="C90" i="38"/>
  <c r="C89" i="38"/>
  <c r="C88" i="38"/>
  <c r="C87" i="38"/>
  <c r="C86" i="38"/>
  <c r="C85" i="38"/>
  <c r="C84" i="38"/>
  <c r="C83" i="38"/>
  <c r="C82" i="38"/>
  <c r="C81" i="38"/>
  <c r="C80" i="38"/>
  <c r="O79" i="38"/>
  <c r="N79" i="38"/>
  <c r="M79" i="38"/>
  <c r="L79" i="38"/>
  <c r="K79" i="38"/>
  <c r="J79" i="38"/>
  <c r="I79" i="38"/>
  <c r="H79" i="38"/>
  <c r="G79" i="38"/>
  <c r="F79" i="38"/>
  <c r="E79" i="38"/>
  <c r="D79" i="38"/>
  <c r="C79" i="38"/>
  <c r="C78" i="38"/>
  <c r="C77" i="38"/>
  <c r="C76" i="38"/>
  <c r="C75" i="38"/>
  <c r="C74" i="38"/>
  <c r="C73" i="38"/>
  <c r="C72" i="38"/>
  <c r="O69" i="38"/>
  <c r="N69" i="38"/>
  <c r="M69" i="38"/>
  <c r="L69" i="38"/>
  <c r="K69" i="38"/>
  <c r="J69" i="38"/>
  <c r="I69" i="38"/>
  <c r="H69" i="38"/>
  <c r="G69" i="38"/>
  <c r="F69" i="38"/>
  <c r="E69" i="38"/>
  <c r="D69" i="38"/>
  <c r="C69" i="38"/>
  <c r="O68" i="38"/>
  <c r="N68" i="38"/>
  <c r="M68" i="38"/>
  <c r="L68" i="38"/>
  <c r="K68" i="38"/>
  <c r="J68" i="38"/>
  <c r="I68" i="38"/>
  <c r="H68" i="38"/>
  <c r="G68" i="38"/>
  <c r="F68" i="38"/>
  <c r="E68" i="38"/>
  <c r="D68" i="38"/>
  <c r="C68" i="38"/>
  <c r="O67" i="38"/>
  <c r="N67" i="38"/>
  <c r="M67" i="38"/>
  <c r="L67" i="38"/>
  <c r="K67" i="38"/>
  <c r="J67" i="38"/>
  <c r="I67" i="38"/>
  <c r="H67" i="38"/>
  <c r="G67" i="38"/>
  <c r="F67" i="38"/>
  <c r="E67" i="38"/>
  <c r="D67" i="38"/>
  <c r="C67" i="38"/>
  <c r="O66" i="38"/>
  <c r="N66" i="38"/>
  <c r="M66" i="38"/>
  <c r="L66" i="38"/>
  <c r="K66" i="38"/>
  <c r="J66" i="38"/>
  <c r="I66" i="38"/>
  <c r="H66" i="38"/>
  <c r="G66" i="38"/>
  <c r="F66" i="38"/>
  <c r="E66" i="38"/>
  <c r="D66" i="38"/>
  <c r="C66" i="38"/>
  <c r="O65" i="38"/>
  <c r="N65" i="38"/>
  <c r="M65" i="38"/>
  <c r="L65" i="38"/>
  <c r="K65" i="38"/>
  <c r="J65" i="38"/>
  <c r="I65" i="38"/>
  <c r="H65" i="38"/>
  <c r="G65" i="38"/>
  <c r="F65" i="38"/>
  <c r="E65" i="38"/>
  <c r="D65" i="38"/>
  <c r="C65" i="38"/>
  <c r="O64" i="38"/>
  <c r="N64" i="38"/>
  <c r="M64" i="38"/>
  <c r="L64" i="38"/>
  <c r="K64" i="38"/>
  <c r="J64" i="38"/>
  <c r="I64" i="38"/>
  <c r="H64" i="38"/>
  <c r="G64" i="38"/>
  <c r="F64" i="38"/>
  <c r="E64" i="38"/>
  <c r="D64" i="38"/>
  <c r="C64" i="38"/>
  <c r="O63" i="38"/>
  <c r="N63" i="38"/>
  <c r="M63" i="38"/>
  <c r="L63" i="38"/>
  <c r="K63" i="38"/>
  <c r="J63" i="38"/>
  <c r="I63" i="38"/>
  <c r="H63" i="38"/>
  <c r="G63" i="38"/>
  <c r="F63" i="38"/>
  <c r="E63" i="38"/>
  <c r="D63" i="38"/>
  <c r="C63" i="38"/>
  <c r="O62" i="38"/>
  <c r="N62" i="38"/>
  <c r="M62" i="38"/>
  <c r="L62" i="38"/>
  <c r="K62" i="38"/>
  <c r="J62" i="38"/>
  <c r="I62" i="38"/>
  <c r="H62" i="38"/>
  <c r="G62" i="38"/>
  <c r="F62" i="38"/>
  <c r="E62" i="38"/>
  <c r="D62" i="38"/>
  <c r="C62" i="38"/>
  <c r="O61" i="38"/>
  <c r="N61" i="38"/>
  <c r="M61" i="38"/>
  <c r="L61" i="38"/>
  <c r="K61" i="38"/>
  <c r="J61" i="38"/>
  <c r="I61" i="38"/>
  <c r="H61" i="38"/>
  <c r="G61" i="38"/>
  <c r="F61" i="38"/>
  <c r="E61" i="38"/>
  <c r="D61" i="38"/>
  <c r="C61" i="38"/>
  <c r="O60" i="38"/>
  <c r="N60" i="38"/>
  <c r="M60" i="38"/>
  <c r="L60" i="38"/>
  <c r="K60" i="38"/>
  <c r="J60" i="38"/>
  <c r="I60" i="38"/>
  <c r="H60" i="38"/>
  <c r="G60" i="38"/>
  <c r="F60" i="38"/>
  <c r="E60" i="38"/>
  <c r="D60" i="38"/>
  <c r="C60" i="38"/>
  <c r="O59" i="38"/>
  <c r="N59" i="38"/>
  <c r="M59" i="38"/>
  <c r="L59" i="38"/>
  <c r="K59" i="38"/>
  <c r="J59" i="38"/>
  <c r="I59" i="38"/>
  <c r="H59" i="38"/>
  <c r="G59" i="38"/>
  <c r="F59" i="38"/>
  <c r="E59" i="38"/>
  <c r="D59" i="38"/>
  <c r="C59" i="38"/>
  <c r="O58" i="38"/>
  <c r="N58" i="38"/>
  <c r="M58" i="38"/>
  <c r="L58" i="38"/>
  <c r="K58" i="38"/>
  <c r="J58" i="38"/>
  <c r="I58" i="38"/>
  <c r="H58" i="38"/>
  <c r="G58" i="38"/>
  <c r="F58" i="38"/>
  <c r="E58" i="38"/>
  <c r="D58" i="38"/>
  <c r="C58" i="38"/>
  <c r="O57" i="38"/>
  <c r="N57" i="38"/>
  <c r="M57" i="38"/>
  <c r="L57" i="38"/>
  <c r="K57" i="38"/>
  <c r="J57" i="38"/>
  <c r="I57" i="38"/>
  <c r="H57" i="38"/>
  <c r="G57" i="38"/>
  <c r="F57" i="38"/>
  <c r="E57" i="38"/>
  <c r="D57" i="38"/>
  <c r="C57" i="38"/>
  <c r="O56" i="38"/>
  <c r="N56" i="38"/>
  <c r="M56" i="38"/>
  <c r="L56" i="38"/>
  <c r="K56" i="38"/>
  <c r="J56" i="38"/>
  <c r="I56" i="38"/>
  <c r="H56" i="38"/>
  <c r="G56" i="38"/>
  <c r="F56" i="38"/>
  <c r="E56" i="38"/>
  <c r="D56" i="38"/>
  <c r="C56" i="38"/>
  <c r="O55" i="38"/>
  <c r="N55" i="38"/>
  <c r="M55" i="38"/>
  <c r="L55" i="38"/>
  <c r="K55" i="38"/>
  <c r="J55" i="38"/>
  <c r="I55" i="38"/>
  <c r="H55" i="38"/>
  <c r="G55" i="38"/>
  <c r="F55" i="38"/>
  <c r="E55" i="38"/>
  <c r="D55" i="38"/>
  <c r="C55" i="38"/>
  <c r="O54" i="38"/>
  <c r="N54" i="38"/>
  <c r="M54" i="38"/>
  <c r="L54" i="38"/>
  <c r="K54" i="38"/>
  <c r="J54" i="38"/>
  <c r="I54" i="38"/>
  <c r="H54" i="38"/>
  <c r="G54" i="38"/>
  <c r="F54" i="38"/>
  <c r="E54" i="38"/>
  <c r="D54" i="38"/>
  <c r="C54" i="38"/>
  <c r="C53" i="38"/>
  <c r="C52" i="38"/>
  <c r="O51" i="38"/>
  <c r="N51" i="38"/>
  <c r="M51" i="38"/>
  <c r="L51" i="38"/>
  <c r="K51" i="38"/>
  <c r="J51" i="38"/>
  <c r="I51" i="38"/>
  <c r="H51" i="38"/>
  <c r="G51" i="38"/>
  <c r="F51" i="38"/>
  <c r="E51" i="38"/>
  <c r="D51" i="38"/>
  <c r="C51" i="38"/>
  <c r="O50" i="38"/>
  <c r="N50" i="38"/>
  <c r="M50" i="38"/>
  <c r="L50" i="38"/>
  <c r="K50" i="38"/>
  <c r="J50" i="38"/>
  <c r="I50" i="38"/>
  <c r="H50" i="38"/>
  <c r="G50" i="38"/>
  <c r="F50" i="38"/>
  <c r="E50" i="38"/>
  <c r="D50" i="38"/>
  <c r="C50" i="38"/>
  <c r="O49" i="38"/>
  <c r="N49" i="38"/>
  <c r="M49" i="38"/>
  <c r="L49" i="38"/>
  <c r="K49" i="38"/>
  <c r="J49" i="38"/>
  <c r="I49" i="38"/>
  <c r="H49" i="38"/>
  <c r="G49" i="38"/>
  <c r="F49" i="38"/>
  <c r="E49" i="38"/>
  <c r="D49" i="38"/>
  <c r="C49" i="38"/>
  <c r="O46" i="38"/>
  <c r="N46" i="38"/>
  <c r="M46" i="38"/>
  <c r="L46" i="38"/>
  <c r="K46" i="38"/>
  <c r="J46" i="38"/>
  <c r="I46" i="38"/>
  <c r="H46" i="38"/>
  <c r="G46" i="38"/>
  <c r="F46" i="38"/>
  <c r="E46" i="38"/>
  <c r="D46" i="38"/>
  <c r="C46" i="38"/>
  <c r="C45" i="38"/>
  <c r="C44" i="38"/>
  <c r="C43" i="38"/>
  <c r="C42" i="38"/>
  <c r="C41" i="38"/>
  <c r="C40" i="38"/>
  <c r="C39" i="38"/>
  <c r="C38" i="38"/>
  <c r="C37" i="38"/>
  <c r="C36" i="38"/>
  <c r="C35" i="38"/>
  <c r="C34" i="38"/>
  <c r="O33" i="38"/>
  <c r="N33" i="38"/>
  <c r="M33" i="38"/>
  <c r="L33" i="38"/>
  <c r="K33" i="38"/>
  <c r="J33" i="38"/>
  <c r="I33" i="38"/>
  <c r="H33" i="38"/>
  <c r="G33" i="38"/>
  <c r="F33" i="38"/>
  <c r="E33" i="38"/>
  <c r="D33" i="38"/>
  <c r="C33" i="38"/>
  <c r="C32" i="38"/>
  <c r="C31" i="38"/>
  <c r="C30" i="38"/>
  <c r="C29" i="38"/>
  <c r="D28" i="38"/>
  <c r="C28" i="38"/>
  <c r="D27" i="38"/>
  <c r="C27" i="38"/>
  <c r="C26" i="38"/>
  <c r="O23" i="38"/>
  <c r="N23" i="38"/>
  <c r="M23" i="38"/>
  <c r="L23" i="38"/>
  <c r="K23" i="38"/>
  <c r="J23" i="38"/>
  <c r="I23" i="38"/>
  <c r="H23" i="38"/>
  <c r="G23" i="38"/>
  <c r="F23" i="38"/>
  <c r="E23" i="38"/>
  <c r="D23" i="38"/>
  <c r="C23" i="38"/>
  <c r="C22" i="38"/>
  <c r="C21" i="38"/>
  <c r="C20" i="38"/>
  <c r="C19" i="38"/>
  <c r="C16" i="38"/>
  <c r="C15" i="38"/>
  <c r="C14" i="38"/>
  <c r="C13" i="38"/>
  <c r="C12" i="38"/>
  <c r="C11" i="38"/>
  <c r="O10" i="38"/>
  <c r="N10" i="38"/>
  <c r="M10" i="38"/>
  <c r="L10" i="38"/>
  <c r="K10" i="38"/>
  <c r="J10" i="38"/>
  <c r="I10" i="38"/>
  <c r="H10" i="38"/>
  <c r="G10" i="38"/>
  <c r="F10" i="38"/>
  <c r="E10" i="38"/>
  <c r="D10" i="38"/>
  <c r="C10" i="38"/>
  <c r="C9" i="38"/>
  <c r="C8" i="38"/>
  <c r="C7" i="38"/>
  <c r="C6" i="38"/>
  <c r="C5" i="38"/>
  <c r="C4" i="38"/>
  <c r="C3" i="38"/>
  <c r="G41" i="19"/>
  <c r="E41" i="19"/>
  <c r="E42" i="19" s="1"/>
  <c r="G40" i="19"/>
  <c r="E40" i="19"/>
  <c r="B39" i="19"/>
  <c r="G34" i="19"/>
  <c r="E34" i="19"/>
  <c r="E35" i="19" s="1"/>
  <c r="G33" i="19"/>
  <c r="E33" i="19"/>
  <c r="B32" i="19"/>
  <c r="G27" i="19"/>
  <c r="E27" i="19"/>
  <c r="E28" i="19" s="1"/>
  <c r="G26" i="19"/>
  <c r="E26" i="19"/>
  <c r="B25" i="19"/>
  <c r="J21" i="19"/>
  <c r="I21" i="19"/>
  <c r="H21" i="19"/>
  <c r="G21" i="19"/>
  <c r="B21" i="19"/>
  <c r="J20" i="19"/>
  <c r="I20" i="19"/>
  <c r="H20" i="19"/>
  <c r="G20" i="19"/>
  <c r="F20" i="19"/>
  <c r="F21" i="19" s="1"/>
  <c r="E20" i="19"/>
  <c r="E21" i="19" s="1"/>
  <c r="D20" i="19"/>
  <c r="D21" i="19" s="1"/>
  <c r="C20" i="19"/>
  <c r="C21" i="19" s="1"/>
  <c r="B20" i="19"/>
  <c r="J19" i="19"/>
  <c r="I19" i="19"/>
  <c r="H19" i="19"/>
  <c r="G19" i="19"/>
  <c r="F19" i="19"/>
  <c r="E19" i="19"/>
  <c r="D19" i="19"/>
  <c r="C19" i="19"/>
  <c r="B19" i="19"/>
  <c r="B18" i="19"/>
  <c r="J13" i="19"/>
  <c r="I13" i="19"/>
  <c r="H13" i="19"/>
  <c r="G13" i="19"/>
  <c r="B13" i="19"/>
  <c r="J12" i="19"/>
  <c r="I12" i="19"/>
  <c r="H12" i="19"/>
  <c r="G12" i="19"/>
  <c r="F12" i="19"/>
  <c r="F13" i="19" s="1"/>
  <c r="E12" i="19"/>
  <c r="E13" i="19" s="1"/>
  <c r="D12" i="19"/>
  <c r="D13" i="19" s="1"/>
  <c r="C12" i="19"/>
  <c r="C13" i="19" s="1"/>
  <c r="B12" i="19"/>
  <c r="J11" i="19"/>
  <c r="I11" i="19"/>
  <c r="H11" i="19"/>
  <c r="G11" i="19"/>
  <c r="F11" i="19"/>
  <c r="E11" i="19"/>
  <c r="D11" i="19"/>
  <c r="C11" i="19"/>
  <c r="B11" i="19"/>
  <c r="J6" i="19"/>
  <c r="I6" i="19"/>
  <c r="H6" i="19"/>
  <c r="G6" i="19"/>
  <c r="B6" i="19"/>
  <c r="J5" i="19"/>
  <c r="I5" i="19"/>
  <c r="H5" i="19"/>
  <c r="G5" i="19"/>
  <c r="F5" i="19"/>
  <c r="F6" i="19" s="1"/>
  <c r="E5" i="19"/>
  <c r="E6" i="19" s="1"/>
  <c r="D5" i="19"/>
  <c r="D6" i="19" s="1"/>
  <c r="C5" i="19"/>
  <c r="C6" i="19" s="1"/>
  <c r="B5" i="19"/>
  <c r="J4" i="19"/>
  <c r="I4" i="19"/>
  <c r="H4" i="19"/>
  <c r="G4" i="19"/>
  <c r="F4" i="19"/>
  <c r="E4" i="19"/>
  <c r="D4" i="19"/>
  <c r="C4" i="19"/>
  <c r="B4" i="19"/>
  <c r="Z132" i="122"/>
  <c r="Y132" i="122"/>
  <c r="X132" i="122"/>
  <c r="W132" i="122"/>
  <c r="V132" i="122"/>
  <c r="U132" i="122"/>
  <c r="T132" i="122"/>
  <c r="S132" i="122"/>
  <c r="R132" i="122"/>
  <c r="Q132" i="122"/>
  <c r="P132" i="122"/>
  <c r="O132" i="122"/>
  <c r="Z131" i="122"/>
  <c r="Y131" i="122"/>
  <c r="X131" i="122"/>
  <c r="W131" i="122"/>
  <c r="V131" i="122"/>
  <c r="U131" i="122"/>
  <c r="T131" i="122"/>
  <c r="S131" i="122"/>
  <c r="R131" i="122"/>
  <c r="Q131" i="122"/>
  <c r="P131" i="122"/>
  <c r="O131" i="122"/>
  <c r="Z130" i="122"/>
  <c r="Y130" i="122"/>
  <c r="X130" i="122"/>
  <c r="W130" i="122"/>
  <c r="V130" i="122"/>
  <c r="U130" i="122"/>
  <c r="T130" i="122"/>
  <c r="S130" i="122"/>
  <c r="R130" i="122"/>
  <c r="Q130" i="122"/>
  <c r="P130" i="122"/>
  <c r="O130" i="122"/>
  <c r="Z127" i="122"/>
  <c r="Y127" i="122"/>
  <c r="X127" i="122"/>
  <c r="W127" i="122"/>
  <c r="V127" i="122"/>
  <c r="U127" i="122"/>
  <c r="T127" i="122"/>
  <c r="S127" i="122"/>
  <c r="R127" i="122"/>
  <c r="Q127" i="122"/>
  <c r="P127" i="122"/>
  <c r="O127" i="122"/>
  <c r="Z126" i="122"/>
  <c r="Y126" i="122"/>
  <c r="X126" i="122"/>
  <c r="W126" i="122"/>
  <c r="V126" i="122"/>
  <c r="U126" i="122"/>
  <c r="T126" i="122"/>
  <c r="S126" i="122"/>
  <c r="R126" i="122"/>
  <c r="Q126" i="122"/>
  <c r="P126" i="122"/>
  <c r="O126" i="122"/>
  <c r="R125" i="122"/>
  <c r="R124" i="122"/>
  <c r="Z97" i="122"/>
  <c r="Y97" i="122"/>
  <c r="X97" i="122"/>
  <c r="W97" i="122"/>
  <c r="V97" i="122"/>
  <c r="U97" i="122"/>
  <c r="T97" i="122"/>
  <c r="S97" i="122"/>
  <c r="R97" i="122"/>
  <c r="Q97" i="122"/>
  <c r="P97" i="122"/>
  <c r="O97" i="122"/>
  <c r="Z96" i="122"/>
  <c r="Y96" i="122"/>
  <c r="X96" i="122"/>
  <c r="W96" i="122"/>
  <c r="V96" i="122"/>
  <c r="U96" i="122"/>
  <c r="T96" i="122"/>
  <c r="S96" i="122"/>
  <c r="R96" i="122"/>
  <c r="Q96" i="122"/>
  <c r="P96" i="122"/>
  <c r="O96" i="122"/>
  <c r="I86" i="122"/>
  <c r="C86" i="122"/>
  <c r="G85" i="122"/>
  <c r="Z83" i="122"/>
  <c r="Y83" i="122"/>
  <c r="X83" i="122"/>
  <c r="W83" i="122"/>
  <c r="V83" i="122"/>
  <c r="U83" i="122"/>
  <c r="T83" i="122"/>
  <c r="S83" i="122"/>
  <c r="R83" i="122"/>
  <c r="Q83" i="122"/>
  <c r="P83" i="122"/>
  <c r="O83" i="122"/>
  <c r="Z82" i="122"/>
  <c r="Y82" i="122"/>
  <c r="X82" i="122"/>
  <c r="W82" i="122"/>
  <c r="V82" i="122"/>
  <c r="U82" i="122"/>
  <c r="T82" i="122"/>
  <c r="S82" i="122"/>
  <c r="R82" i="122"/>
  <c r="Q82" i="122"/>
  <c r="P82" i="122"/>
  <c r="O82" i="122"/>
  <c r="I72" i="122"/>
  <c r="E72" i="122"/>
  <c r="Z69" i="122"/>
  <c r="Y69" i="122"/>
  <c r="X69" i="122"/>
  <c r="W69" i="122"/>
  <c r="V69" i="122"/>
  <c r="U69" i="122"/>
  <c r="T69" i="122"/>
  <c r="S69" i="122"/>
  <c r="R69" i="122"/>
  <c r="Q69" i="122"/>
  <c r="P69" i="122"/>
  <c r="O69" i="122"/>
  <c r="Z68" i="122"/>
  <c r="Y68" i="122"/>
  <c r="X68" i="122"/>
  <c r="W68" i="122"/>
  <c r="V68" i="122"/>
  <c r="U68" i="122"/>
  <c r="T68" i="122"/>
  <c r="S68" i="122"/>
  <c r="R68" i="122"/>
  <c r="Q68" i="122"/>
  <c r="P68" i="122"/>
  <c r="O68" i="122"/>
  <c r="L58" i="122"/>
  <c r="K58" i="122"/>
  <c r="I58" i="122"/>
  <c r="G58" i="122"/>
  <c r="F58" i="122"/>
  <c r="D58" i="122"/>
  <c r="F57" i="122"/>
  <c r="I46" i="122"/>
  <c r="E46" i="122"/>
  <c r="L45" i="122"/>
  <c r="M34" i="122"/>
  <c r="L34" i="122"/>
  <c r="J34" i="122"/>
  <c r="I34" i="122"/>
  <c r="I33" i="122"/>
  <c r="G33" i="122"/>
  <c r="AW5" i="122" s="1"/>
  <c r="I20" i="122"/>
  <c r="H19" i="122"/>
  <c r="Z17" i="122"/>
  <c r="Y17" i="122"/>
  <c r="X17" i="122"/>
  <c r="W17" i="122"/>
  <c r="V17" i="122"/>
  <c r="U17" i="122"/>
  <c r="T17" i="122"/>
  <c r="S17" i="122"/>
  <c r="R17" i="122"/>
  <c r="Q17" i="122"/>
  <c r="P17" i="122"/>
  <c r="O17" i="122"/>
  <c r="Z15" i="122"/>
  <c r="Y15" i="122"/>
  <c r="X15" i="122"/>
  <c r="W15" i="122"/>
  <c r="V15" i="122"/>
  <c r="U15" i="122"/>
  <c r="T15" i="122"/>
  <c r="S15" i="122"/>
  <c r="R15" i="122"/>
  <c r="Q15" i="122"/>
  <c r="P15" i="122"/>
  <c r="O15" i="122"/>
  <c r="BN13" i="122"/>
  <c r="BM13" i="122"/>
  <c r="BN12" i="122"/>
  <c r="BM12" i="122"/>
  <c r="BN11" i="122"/>
  <c r="BM11" i="122"/>
  <c r="Z11" i="122"/>
  <c r="Y11" i="122"/>
  <c r="X11" i="122"/>
  <c r="W11" i="122"/>
  <c r="V11" i="122"/>
  <c r="U11" i="122"/>
  <c r="T11" i="122"/>
  <c r="S11" i="122"/>
  <c r="R11" i="122"/>
  <c r="Q11" i="122"/>
  <c r="P11" i="122"/>
  <c r="O11" i="122"/>
  <c r="BN10" i="122"/>
  <c r="BM10" i="122"/>
  <c r="Z10" i="122"/>
  <c r="Y10" i="122"/>
  <c r="X10" i="122"/>
  <c r="W10" i="122"/>
  <c r="V10" i="122"/>
  <c r="U10" i="122"/>
  <c r="T10" i="122"/>
  <c r="S10" i="122"/>
  <c r="R10" i="122"/>
  <c r="Q10" i="122"/>
  <c r="P10" i="122"/>
  <c r="O10" i="122"/>
  <c r="Z9" i="122"/>
  <c r="Y9" i="122"/>
  <c r="X9" i="122"/>
  <c r="W9" i="122"/>
  <c r="V9" i="122"/>
  <c r="U9" i="122"/>
  <c r="T9" i="122"/>
  <c r="S9" i="122"/>
  <c r="R9" i="122"/>
  <c r="Q9" i="122"/>
  <c r="P9" i="122"/>
  <c r="O9" i="122"/>
  <c r="Z8" i="122"/>
  <c r="Y8" i="122"/>
  <c r="X8" i="122"/>
  <c r="W8" i="122"/>
  <c r="V8" i="122"/>
  <c r="U8" i="122"/>
  <c r="T8" i="122"/>
  <c r="S8" i="122"/>
  <c r="R8" i="122"/>
  <c r="Q8" i="122"/>
  <c r="P8" i="122"/>
  <c r="O8" i="122"/>
  <c r="BN7" i="122"/>
  <c r="BM7" i="122"/>
  <c r="BN6" i="122"/>
  <c r="BM6" i="122"/>
  <c r="BJ6" i="122"/>
  <c r="BI6" i="122"/>
  <c r="BN5" i="122"/>
  <c r="BM5" i="122"/>
  <c r="BJ5" i="122"/>
  <c r="BI5" i="122"/>
  <c r="BN4" i="122"/>
  <c r="BM4" i="122"/>
  <c r="I4" i="122"/>
  <c r="BN3" i="122"/>
  <c r="BM3" i="122"/>
  <c r="BM78" i="16"/>
  <c r="AR65" i="16"/>
  <c r="AP65" i="16"/>
  <c r="AE65" i="16"/>
  <c r="AR63" i="16"/>
  <c r="AP63" i="16"/>
  <c r="AR61" i="16"/>
  <c r="AQ61" i="16"/>
  <c r="AP61" i="16"/>
  <c r="AF61" i="16"/>
  <c r="AR59" i="16"/>
  <c r="AQ59" i="16"/>
  <c r="AP59" i="16"/>
  <c r="R59" i="16"/>
  <c r="N59" i="16"/>
  <c r="AU11" i="122" s="1"/>
  <c r="G59" i="16"/>
  <c r="AR58" i="16"/>
  <c r="AQ58" i="16"/>
  <c r="AP58" i="16"/>
  <c r="N56" i="16"/>
  <c r="X53" i="16"/>
  <c r="Y53" i="16" s="1"/>
  <c r="AR52" i="16"/>
  <c r="AQ52" i="16"/>
  <c r="AP52" i="16"/>
  <c r="X51" i="16"/>
  <c r="AA51" i="16" s="1"/>
  <c r="X50" i="16"/>
  <c r="Y50" i="16" s="1"/>
  <c r="X49" i="16"/>
  <c r="AA49" i="16" s="1"/>
  <c r="R48" i="16"/>
  <c r="G48" i="16"/>
  <c r="R47" i="16"/>
  <c r="G47" i="16"/>
  <c r="R46" i="16"/>
  <c r="G46" i="16"/>
  <c r="N45" i="16"/>
  <c r="AU6" i="122" s="1"/>
  <c r="R44" i="16"/>
  <c r="N44" i="16"/>
  <c r="AU5" i="122" s="1"/>
  <c r="G44" i="16"/>
  <c r="T42" i="16"/>
  <c r="S42" i="16"/>
  <c r="AR41" i="16"/>
  <c r="AQ41" i="16"/>
  <c r="AP41" i="16"/>
  <c r="R41" i="16"/>
  <c r="AR39" i="16"/>
  <c r="AQ39" i="16"/>
  <c r="AP39" i="16"/>
  <c r="AF39" i="16"/>
  <c r="G37" i="16"/>
  <c r="E37" i="16"/>
  <c r="D37" i="16"/>
  <c r="C37" i="16"/>
  <c r="J37" i="16" s="1"/>
  <c r="AR34" i="16"/>
  <c r="AQ34" i="16"/>
  <c r="AP34" i="16"/>
  <c r="AR32" i="16"/>
  <c r="AQ32" i="16"/>
  <c r="AP32" i="16"/>
  <c r="AR30" i="16"/>
  <c r="AQ30" i="16"/>
  <c r="AP30" i="16"/>
  <c r="R30" i="16"/>
  <c r="R32" i="16" s="1"/>
  <c r="N30" i="16"/>
  <c r="G30" i="16"/>
  <c r="G32" i="16" s="1"/>
  <c r="AR29" i="16"/>
  <c r="AQ29" i="16"/>
  <c r="AP29" i="16"/>
  <c r="R29" i="16"/>
  <c r="N29" i="16"/>
  <c r="G29" i="16"/>
  <c r="R27" i="16"/>
  <c r="N27" i="16"/>
  <c r="G27" i="16"/>
  <c r="AR26" i="16"/>
  <c r="AQ26" i="16"/>
  <c r="AP26" i="16"/>
  <c r="R26" i="16"/>
  <c r="N26" i="16"/>
  <c r="G26" i="16"/>
  <c r="AR25" i="16"/>
  <c r="AQ25" i="16"/>
  <c r="AP25" i="16"/>
  <c r="N25" i="16"/>
  <c r="N68" i="16" s="1"/>
  <c r="AR24" i="16"/>
  <c r="AQ24" i="16"/>
  <c r="AP24" i="16"/>
  <c r="R24" i="16"/>
  <c r="N24" i="16"/>
  <c r="G24" i="16"/>
  <c r="AR23" i="16"/>
  <c r="AQ23" i="16"/>
  <c r="AP23" i="16"/>
  <c r="X23" i="16"/>
  <c r="Z23" i="16" s="1"/>
  <c r="AR21" i="16"/>
  <c r="AQ21" i="16"/>
  <c r="AP21" i="16"/>
  <c r="AR20" i="16"/>
  <c r="AQ20" i="16"/>
  <c r="AP20" i="16"/>
  <c r="R20" i="16"/>
  <c r="N20" i="16"/>
  <c r="G20" i="16"/>
  <c r="AR19" i="16"/>
  <c r="AQ19" i="16"/>
  <c r="AP19" i="16"/>
  <c r="R19" i="16"/>
  <c r="N19" i="16"/>
  <c r="G19" i="16"/>
  <c r="AR18" i="16"/>
  <c r="AQ18" i="16"/>
  <c r="AP18" i="16"/>
  <c r="R18" i="16"/>
  <c r="N18" i="16"/>
  <c r="G18" i="16"/>
  <c r="AR17" i="16"/>
  <c r="AQ17" i="16"/>
  <c r="AP17" i="16"/>
  <c r="AR16" i="16"/>
  <c r="AQ16" i="16"/>
  <c r="AP16" i="16"/>
  <c r="AR15" i="16"/>
  <c r="AQ15" i="16"/>
  <c r="AP15" i="16"/>
  <c r="R15" i="16"/>
  <c r="D66" i="10" s="1"/>
  <c r="N15" i="16"/>
  <c r="G15" i="16"/>
  <c r="AR14" i="16"/>
  <c r="AQ14" i="16"/>
  <c r="AP14" i="16"/>
  <c r="AR13" i="16"/>
  <c r="AQ13" i="16"/>
  <c r="AP13" i="16"/>
  <c r="R13" i="16"/>
  <c r="N13" i="16"/>
  <c r="G13" i="16"/>
  <c r="AR12" i="16"/>
  <c r="AQ12" i="16"/>
  <c r="AP12" i="16"/>
  <c r="R12" i="16"/>
  <c r="N12" i="16"/>
  <c r="G12" i="16"/>
  <c r="AR11" i="16"/>
  <c r="AQ11" i="16"/>
  <c r="AP11" i="16"/>
  <c r="AC11" i="16"/>
  <c r="L101" i="10" s="1"/>
  <c r="AR10" i="16"/>
  <c r="AQ10" i="16"/>
  <c r="AP10" i="16"/>
  <c r="R10" i="16"/>
  <c r="D112" i="10" s="1"/>
  <c r="N10" i="16"/>
  <c r="G10" i="16"/>
  <c r="AR9" i="16"/>
  <c r="AQ9" i="16"/>
  <c r="AP9" i="16"/>
  <c r="G9" i="16"/>
  <c r="AR8" i="16"/>
  <c r="AQ8" i="16"/>
  <c r="AP8" i="16"/>
  <c r="AR7" i="16"/>
  <c r="AQ7" i="16"/>
  <c r="AP7" i="16"/>
  <c r="AR6" i="16"/>
  <c r="AQ6" i="16"/>
  <c r="AP6" i="16"/>
  <c r="AR5" i="16"/>
  <c r="AQ5" i="16"/>
  <c r="AP5" i="16"/>
  <c r="R5" i="16"/>
  <c r="F34" i="19" s="1"/>
  <c r="F35" i="19" s="1"/>
  <c r="N5" i="16"/>
  <c r="G5" i="16"/>
  <c r="F33" i="19" s="1"/>
  <c r="CW75" i="114"/>
  <c r="CJ75" i="114"/>
  <c r="BD75" i="114"/>
  <c r="CW74" i="114"/>
  <c r="CU74" i="114"/>
  <c r="M54" i="26" s="1"/>
  <c r="M137" i="26" s="1"/>
  <c r="AH74" i="114"/>
  <c r="M86" i="122" s="1"/>
  <c r="AZ11" i="122" s="1"/>
  <c r="AG74" i="114"/>
  <c r="AF74" i="114"/>
  <c r="AE74" i="114"/>
  <c r="M72" i="122" s="1"/>
  <c r="AZ10" i="122" s="1"/>
  <c r="AD74" i="114"/>
  <c r="M58" i="122" s="1"/>
  <c r="AZ7" i="122" s="1"/>
  <c r="AC74" i="114"/>
  <c r="AB74" i="114"/>
  <c r="AA74" i="114"/>
  <c r="M46" i="122" s="1"/>
  <c r="Z74" i="114"/>
  <c r="Y74" i="114"/>
  <c r="M20" i="122" s="1"/>
  <c r="AZ4" i="122" s="1"/>
  <c r="X74" i="114"/>
  <c r="W74" i="114"/>
  <c r="V74" i="114"/>
  <c r="U74" i="114"/>
  <c r="T74" i="114"/>
  <c r="S74" i="114"/>
  <c r="Q74" i="114"/>
  <c r="P74" i="114"/>
  <c r="O74" i="114"/>
  <c r="N74" i="114"/>
  <c r="M74" i="114"/>
  <c r="L74" i="114"/>
  <c r="K74" i="114"/>
  <c r="J74" i="114"/>
  <c r="I74" i="114"/>
  <c r="H74" i="114"/>
  <c r="G74" i="114"/>
  <c r="F74" i="114"/>
  <c r="E74" i="114"/>
  <c r="D74" i="114"/>
  <c r="C74" i="114"/>
  <c r="B74" i="114"/>
  <c r="CW73" i="114"/>
  <c r="CU73" i="114"/>
  <c r="L54" i="26" s="1"/>
  <c r="L137" i="26" s="1"/>
  <c r="AH73" i="114"/>
  <c r="L86" i="122" s="1"/>
  <c r="AG73" i="114"/>
  <c r="AF73" i="114"/>
  <c r="AE73" i="114"/>
  <c r="L72" i="122" s="1"/>
  <c r="AD73" i="114"/>
  <c r="AC73" i="114"/>
  <c r="AB73" i="114"/>
  <c r="AA73" i="114"/>
  <c r="L46" i="122" s="1"/>
  <c r="Z73" i="114"/>
  <c r="Y73" i="114"/>
  <c r="L20" i="122" s="1"/>
  <c r="X73" i="114"/>
  <c r="W73" i="114"/>
  <c r="V73" i="114"/>
  <c r="U73" i="114"/>
  <c r="T73" i="114"/>
  <c r="S73" i="114"/>
  <c r="Q73" i="114"/>
  <c r="P73" i="114"/>
  <c r="O73" i="114"/>
  <c r="N73" i="114"/>
  <c r="M73" i="114"/>
  <c r="L73" i="114"/>
  <c r="K73" i="114"/>
  <c r="J73" i="114"/>
  <c r="I73" i="114"/>
  <c r="H73" i="114"/>
  <c r="G73" i="114"/>
  <c r="F73" i="114"/>
  <c r="E73" i="114"/>
  <c r="D73" i="114"/>
  <c r="C73" i="114"/>
  <c r="B73" i="114"/>
  <c r="CX72" i="114"/>
  <c r="CW72" i="114"/>
  <c r="CU72" i="114"/>
  <c r="K54" i="26" s="1"/>
  <c r="K137" i="26" s="1"/>
  <c r="AH72" i="114"/>
  <c r="K86" i="122" s="1"/>
  <c r="AG72" i="114"/>
  <c r="AF72" i="114"/>
  <c r="AE72" i="114"/>
  <c r="K72" i="122" s="1"/>
  <c r="AD72" i="114"/>
  <c r="AC72" i="114"/>
  <c r="AB72" i="114"/>
  <c r="AA72" i="114"/>
  <c r="K46" i="122" s="1"/>
  <c r="Z72" i="114"/>
  <c r="K34" i="122" s="1"/>
  <c r="Y72" i="114"/>
  <c r="K20" i="122" s="1"/>
  <c r="X72" i="114"/>
  <c r="W72" i="114"/>
  <c r="V72" i="114"/>
  <c r="U72" i="114"/>
  <c r="T72" i="114"/>
  <c r="S72" i="114"/>
  <c r="Q72" i="114"/>
  <c r="P72" i="114"/>
  <c r="O72" i="114"/>
  <c r="N72" i="114"/>
  <c r="M72" i="114"/>
  <c r="L72" i="114"/>
  <c r="K72" i="114"/>
  <c r="J72" i="114"/>
  <c r="I72" i="114"/>
  <c r="H72" i="114"/>
  <c r="G72" i="114"/>
  <c r="F72" i="114"/>
  <c r="E72" i="114"/>
  <c r="D72" i="114"/>
  <c r="C72" i="114"/>
  <c r="B72" i="114"/>
  <c r="CX71" i="114"/>
  <c r="CW71" i="114"/>
  <c r="CU71" i="114"/>
  <c r="CV71" i="114" s="1"/>
  <c r="J59" i="26" s="1"/>
  <c r="J4" i="122" s="1"/>
  <c r="AH71" i="114"/>
  <c r="J86" i="122" s="1"/>
  <c r="AG71" i="114"/>
  <c r="AF71" i="114"/>
  <c r="AE71" i="114"/>
  <c r="J72" i="122" s="1"/>
  <c r="AD71" i="114"/>
  <c r="J58" i="122" s="1"/>
  <c r="AC71" i="114"/>
  <c r="AB71" i="114"/>
  <c r="AA71" i="114"/>
  <c r="J46" i="122" s="1"/>
  <c r="Z71" i="114"/>
  <c r="Y71" i="114"/>
  <c r="J20" i="122" s="1"/>
  <c r="X71" i="114"/>
  <c r="W71" i="114"/>
  <c r="V71" i="114"/>
  <c r="U71" i="114"/>
  <c r="T71" i="114"/>
  <c r="S71" i="114"/>
  <c r="Q71" i="114"/>
  <c r="P71" i="114"/>
  <c r="O71" i="114"/>
  <c r="N71" i="114"/>
  <c r="M71" i="114"/>
  <c r="L71" i="114"/>
  <c r="K71" i="114"/>
  <c r="J71" i="114"/>
  <c r="I71" i="114"/>
  <c r="H71" i="114"/>
  <c r="G71" i="114"/>
  <c r="F71" i="114"/>
  <c r="E71" i="114"/>
  <c r="D71" i="114"/>
  <c r="C71" i="114"/>
  <c r="B71" i="114"/>
  <c r="CX69" i="114"/>
  <c r="CW69" i="114"/>
  <c r="AH69" i="114"/>
  <c r="H86" i="122" s="1"/>
  <c r="AG69" i="114"/>
  <c r="AF69" i="114"/>
  <c r="AE69" i="114"/>
  <c r="H72" i="122" s="1"/>
  <c r="AD69" i="114"/>
  <c r="H58" i="122" s="1"/>
  <c r="AC69" i="114"/>
  <c r="AB69" i="114"/>
  <c r="AA69" i="114"/>
  <c r="H46" i="122" s="1"/>
  <c r="Z69" i="114"/>
  <c r="H34" i="122" s="1"/>
  <c r="Y69" i="114"/>
  <c r="H20" i="122" s="1"/>
  <c r="X69" i="114"/>
  <c r="W69" i="114"/>
  <c r="V69" i="114"/>
  <c r="U69" i="114"/>
  <c r="T69" i="114"/>
  <c r="S69" i="114"/>
  <c r="Q69" i="114"/>
  <c r="P69" i="114"/>
  <c r="O69" i="114"/>
  <c r="N69" i="114"/>
  <c r="M69" i="114"/>
  <c r="L69" i="114"/>
  <c r="K69" i="114"/>
  <c r="J69" i="114"/>
  <c r="I69" i="114"/>
  <c r="H69" i="114"/>
  <c r="G69" i="114"/>
  <c r="F69" i="114"/>
  <c r="D69" i="114"/>
  <c r="C69" i="114"/>
  <c r="B69" i="114"/>
  <c r="CX68" i="114"/>
  <c r="CW68" i="114"/>
  <c r="CU68" i="114"/>
  <c r="CV68" i="114" s="1"/>
  <c r="G59" i="26" s="1"/>
  <c r="G4" i="122" s="1"/>
  <c r="AH68" i="114"/>
  <c r="G86" i="122" s="1"/>
  <c r="AG68" i="114"/>
  <c r="AF68" i="114"/>
  <c r="AE68" i="114"/>
  <c r="G72" i="122" s="1"/>
  <c r="AD68" i="114"/>
  <c r="AC68" i="114"/>
  <c r="AB68" i="114"/>
  <c r="AA68" i="114"/>
  <c r="G46" i="122" s="1"/>
  <c r="AZ6" i="122" s="1"/>
  <c r="Z68" i="114"/>
  <c r="G34" i="122" s="1"/>
  <c r="AZ5" i="122" s="1"/>
  <c r="Y68" i="114"/>
  <c r="G20" i="122" s="1"/>
  <c r="X68" i="114"/>
  <c r="W68" i="114"/>
  <c r="V68" i="114"/>
  <c r="U68" i="114"/>
  <c r="T68" i="114"/>
  <c r="S68" i="114"/>
  <c r="Q68" i="114"/>
  <c r="Q75" i="114" s="1"/>
  <c r="O27" i="16" s="1"/>
  <c r="P68" i="114"/>
  <c r="O68" i="114"/>
  <c r="N68" i="114"/>
  <c r="M68" i="114"/>
  <c r="L68" i="114"/>
  <c r="K68" i="114"/>
  <c r="J68" i="114"/>
  <c r="I68" i="114"/>
  <c r="H68" i="114"/>
  <c r="G68" i="114"/>
  <c r="F68" i="114"/>
  <c r="E68" i="114"/>
  <c r="D68" i="114"/>
  <c r="C68" i="114"/>
  <c r="B68" i="114"/>
  <c r="CX67" i="114"/>
  <c r="CW67" i="114"/>
  <c r="CU67" i="114"/>
  <c r="F54" i="26" s="1"/>
  <c r="F137" i="26" s="1"/>
  <c r="AH67" i="114"/>
  <c r="F86" i="122" s="1"/>
  <c r="AG67" i="114"/>
  <c r="AF67" i="114"/>
  <c r="AE67" i="114"/>
  <c r="F72" i="122" s="1"/>
  <c r="AD67" i="114"/>
  <c r="AC67" i="114"/>
  <c r="AB67" i="114"/>
  <c r="AA67" i="114"/>
  <c r="F46" i="122" s="1"/>
  <c r="Z67" i="114"/>
  <c r="F34" i="122" s="1"/>
  <c r="Y67" i="114"/>
  <c r="F20" i="122" s="1"/>
  <c r="X67" i="114"/>
  <c r="W67" i="114"/>
  <c r="V67" i="114"/>
  <c r="U67" i="114"/>
  <c r="T67" i="114"/>
  <c r="S67" i="114"/>
  <c r="Q67" i="114"/>
  <c r="P67" i="114"/>
  <c r="O67" i="114"/>
  <c r="N67" i="114"/>
  <c r="M67" i="114"/>
  <c r="L67" i="114"/>
  <c r="K67" i="114"/>
  <c r="J67" i="114"/>
  <c r="I67" i="114"/>
  <c r="H67" i="114"/>
  <c r="G67" i="114"/>
  <c r="F67" i="114"/>
  <c r="E67" i="114"/>
  <c r="D67" i="114"/>
  <c r="C67" i="114"/>
  <c r="B67" i="114"/>
  <c r="CX66" i="114"/>
  <c r="CW66" i="114"/>
  <c r="CV66" i="114"/>
  <c r="E59" i="26" s="1"/>
  <c r="E4" i="122" s="1"/>
  <c r="CU66" i="114"/>
  <c r="E54" i="26" s="1"/>
  <c r="E137" i="26" s="1"/>
  <c r="AH66" i="114"/>
  <c r="E86" i="122" s="1"/>
  <c r="AG66" i="114"/>
  <c r="AF66" i="114"/>
  <c r="AE66" i="114"/>
  <c r="AD66" i="114"/>
  <c r="E58" i="122" s="1"/>
  <c r="AC66" i="114"/>
  <c r="AB66" i="114"/>
  <c r="AA66" i="114"/>
  <c r="Z66" i="114"/>
  <c r="E34" i="122" s="1"/>
  <c r="Y66" i="114"/>
  <c r="E20" i="122" s="1"/>
  <c r="X66" i="114"/>
  <c r="W66" i="114"/>
  <c r="V66" i="114"/>
  <c r="U66" i="114"/>
  <c r="T66" i="114"/>
  <c r="S66" i="114"/>
  <c r="Q66" i="114"/>
  <c r="P66" i="114"/>
  <c r="O66" i="114"/>
  <c r="N66" i="114"/>
  <c r="M66" i="114"/>
  <c r="L66" i="114"/>
  <c r="K66" i="114"/>
  <c r="J66" i="114"/>
  <c r="I66" i="114"/>
  <c r="H66" i="114"/>
  <c r="G66" i="114"/>
  <c r="F66" i="114"/>
  <c r="E66" i="114"/>
  <c r="D66" i="114"/>
  <c r="C66" i="114"/>
  <c r="B66" i="114"/>
  <c r="CX65" i="114"/>
  <c r="CW65" i="114"/>
  <c r="BJ65" i="114"/>
  <c r="AQ65" i="114"/>
  <c r="CU65" i="114" s="1"/>
  <c r="CV65" i="114" s="1"/>
  <c r="D59" i="26" s="1"/>
  <c r="D4" i="122" s="1"/>
  <c r="AH65" i="114"/>
  <c r="D86" i="122" s="1"/>
  <c r="AG65" i="114"/>
  <c r="AF65" i="114"/>
  <c r="AE65" i="114"/>
  <c r="D72" i="122" s="1"/>
  <c r="AD65" i="114"/>
  <c r="AC65" i="114"/>
  <c r="AB65" i="114"/>
  <c r="AA65" i="114"/>
  <c r="D46" i="122" s="1"/>
  <c r="Z65" i="114"/>
  <c r="D34" i="122" s="1"/>
  <c r="Y65" i="114"/>
  <c r="D20" i="122" s="1"/>
  <c r="X65" i="114"/>
  <c r="W65" i="114"/>
  <c r="V65" i="114"/>
  <c r="U65" i="114"/>
  <c r="T65" i="114"/>
  <c r="S65" i="114"/>
  <c r="Q65" i="114"/>
  <c r="P65" i="114"/>
  <c r="O65" i="114"/>
  <c r="N65" i="114"/>
  <c r="M65" i="114"/>
  <c r="L65" i="114"/>
  <c r="K65" i="114"/>
  <c r="J65" i="114"/>
  <c r="I65" i="114"/>
  <c r="H65" i="114"/>
  <c r="G65" i="114"/>
  <c r="F65" i="114"/>
  <c r="E65" i="114"/>
  <c r="D65" i="114"/>
  <c r="C65" i="114"/>
  <c r="B65" i="114"/>
  <c r="CX64" i="114"/>
  <c r="CU64" i="114"/>
  <c r="C54" i="26" s="1"/>
  <c r="C137" i="26" s="1"/>
  <c r="BK64" i="114"/>
  <c r="CW64" i="114" s="1"/>
  <c r="AH64" i="114"/>
  <c r="AG64" i="114"/>
  <c r="AF64" i="114"/>
  <c r="AD64" i="114"/>
  <c r="C58" i="122" s="1"/>
  <c r="AC64" i="114"/>
  <c r="AB64" i="114"/>
  <c r="AA64" i="114"/>
  <c r="Z64" i="114"/>
  <c r="C34" i="122" s="1"/>
  <c r="Y64" i="114"/>
  <c r="C20" i="122" s="1"/>
  <c r="X64" i="114"/>
  <c r="W64" i="114"/>
  <c r="V64" i="114"/>
  <c r="U64" i="114"/>
  <c r="T64" i="114"/>
  <c r="S64" i="114"/>
  <c r="Q64" i="114"/>
  <c r="P64" i="114"/>
  <c r="O64" i="114"/>
  <c r="N64" i="114"/>
  <c r="M64" i="114"/>
  <c r="L64" i="114"/>
  <c r="K64" i="114"/>
  <c r="J64" i="114"/>
  <c r="I64" i="114"/>
  <c r="H64" i="114"/>
  <c r="G64" i="114"/>
  <c r="F64" i="114"/>
  <c r="E64" i="114"/>
  <c r="D64" i="114"/>
  <c r="C64" i="114"/>
  <c r="B64" i="114"/>
  <c r="CX63" i="114"/>
  <c r="CW63" i="114"/>
  <c r="CU63" i="114"/>
  <c r="B54" i="26" s="1"/>
  <c r="AH63" i="114"/>
  <c r="B86" i="122" s="1"/>
  <c r="O86" i="122" s="1"/>
  <c r="AG63" i="114"/>
  <c r="AF63" i="114"/>
  <c r="AE63" i="114"/>
  <c r="AD63" i="114"/>
  <c r="B58" i="122" s="1"/>
  <c r="O58" i="122" s="1"/>
  <c r="AC63" i="114"/>
  <c r="AB63" i="114"/>
  <c r="AB75" i="114" s="1"/>
  <c r="O47" i="16" s="1"/>
  <c r="AA63" i="114"/>
  <c r="AA75" i="114" s="1"/>
  <c r="O46" i="16" s="1"/>
  <c r="Z63" i="114"/>
  <c r="B34" i="122" s="1"/>
  <c r="O34" i="122" s="1"/>
  <c r="Y63" i="114"/>
  <c r="X63" i="114"/>
  <c r="W63" i="114"/>
  <c r="V63" i="114"/>
  <c r="V75" i="114" s="1"/>
  <c r="O29" i="16" s="1"/>
  <c r="U63" i="114"/>
  <c r="T63" i="114"/>
  <c r="S63" i="114"/>
  <c r="S75" i="114" s="1"/>
  <c r="O24" i="16" s="1"/>
  <c r="F177" i="13" s="1"/>
  <c r="Q63" i="114"/>
  <c r="P63" i="114"/>
  <c r="O63" i="114"/>
  <c r="N63" i="114"/>
  <c r="M63" i="114"/>
  <c r="L63" i="114"/>
  <c r="K63" i="114"/>
  <c r="J63" i="114"/>
  <c r="I63" i="114"/>
  <c r="H63" i="114"/>
  <c r="G63" i="114"/>
  <c r="F63" i="114"/>
  <c r="F75" i="114" s="1"/>
  <c r="O10" i="16" s="1"/>
  <c r="D115" i="10" s="1"/>
  <c r="E63" i="114"/>
  <c r="D63" i="114"/>
  <c r="C63" i="114"/>
  <c r="B63" i="114"/>
  <c r="AH62" i="114"/>
  <c r="AG62" i="114"/>
  <c r="AF62" i="114"/>
  <c r="AE62" i="114"/>
  <c r="AD62" i="114"/>
  <c r="AC62" i="114"/>
  <c r="AB62" i="114"/>
  <c r="AA62" i="114"/>
  <c r="Z62" i="114"/>
  <c r="Y62" i="114"/>
  <c r="X62" i="114"/>
  <c r="W62" i="114"/>
  <c r="V62" i="114"/>
  <c r="U62" i="114"/>
  <c r="T62" i="114"/>
  <c r="S62" i="114"/>
  <c r="Q62" i="114"/>
  <c r="P62" i="114"/>
  <c r="O62" i="114"/>
  <c r="N62" i="114"/>
  <c r="M62" i="114"/>
  <c r="L62" i="114"/>
  <c r="K62" i="114"/>
  <c r="J62" i="114"/>
  <c r="I62" i="114"/>
  <c r="H62" i="114"/>
  <c r="G62" i="114"/>
  <c r="F62" i="114"/>
  <c r="E62" i="114"/>
  <c r="D62" i="114"/>
  <c r="C62" i="114"/>
  <c r="B62" i="114"/>
  <c r="AH61" i="114"/>
  <c r="AG61" i="114"/>
  <c r="AF61" i="114"/>
  <c r="AE61" i="114"/>
  <c r="AD61" i="114"/>
  <c r="AC61" i="114"/>
  <c r="AB61" i="114"/>
  <c r="AA61" i="114"/>
  <c r="Z61" i="114"/>
  <c r="Y61" i="114"/>
  <c r="X61" i="114"/>
  <c r="W61" i="114"/>
  <c r="V61" i="114"/>
  <c r="U61" i="114"/>
  <c r="T61" i="114"/>
  <c r="S61" i="114"/>
  <c r="Q61" i="114"/>
  <c r="P61" i="114"/>
  <c r="O61" i="114"/>
  <c r="N61" i="114"/>
  <c r="M61" i="114"/>
  <c r="L61" i="114"/>
  <c r="K61" i="114"/>
  <c r="J61" i="114"/>
  <c r="I61" i="114"/>
  <c r="H61" i="114"/>
  <c r="G61" i="114"/>
  <c r="F61" i="114"/>
  <c r="E61" i="114"/>
  <c r="D61" i="114"/>
  <c r="C61" i="114"/>
  <c r="B61" i="114"/>
  <c r="AH60" i="114"/>
  <c r="AG60" i="114"/>
  <c r="AF60" i="114"/>
  <c r="AE60" i="114"/>
  <c r="AD60" i="114"/>
  <c r="AC60" i="114"/>
  <c r="AB60" i="114"/>
  <c r="AA60" i="114"/>
  <c r="Z60" i="114"/>
  <c r="Y60" i="114"/>
  <c r="X60" i="114"/>
  <c r="W60" i="114"/>
  <c r="V60" i="114"/>
  <c r="U60" i="114"/>
  <c r="T60" i="114"/>
  <c r="S60" i="114"/>
  <c r="Q60" i="114"/>
  <c r="P60" i="114"/>
  <c r="O60" i="114"/>
  <c r="N60" i="114"/>
  <c r="M60" i="114"/>
  <c r="L60" i="114"/>
  <c r="K60" i="114"/>
  <c r="J60" i="114"/>
  <c r="I60" i="114"/>
  <c r="H60" i="114"/>
  <c r="G60" i="114"/>
  <c r="F60" i="114"/>
  <c r="E60" i="114"/>
  <c r="D60" i="114"/>
  <c r="C60" i="114"/>
  <c r="B60" i="114"/>
  <c r="AH59" i="114"/>
  <c r="AG59" i="114"/>
  <c r="AF59" i="114"/>
  <c r="AE59" i="114"/>
  <c r="AD59" i="114"/>
  <c r="AC59" i="114"/>
  <c r="AB59" i="114"/>
  <c r="AA59" i="114"/>
  <c r="Z59" i="114"/>
  <c r="Y59" i="114"/>
  <c r="X59" i="114"/>
  <c r="W59" i="114"/>
  <c r="V59" i="114"/>
  <c r="U59" i="114"/>
  <c r="T59" i="114"/>
  <c r="S59" i="114"/>
  <c r="Q59" i="114"/>
  <c r="P59" i="114"/>
  <c r="O59" i="114"/>
  <c r="N59" i="114"/>
  <c r="M59" i="114"/>
  <c r="L59" i="114"/>
  <c r="K59" i="114"/>
  <c r="J59" i="114"/>
  <c r="I59" i="114"/>
  <c r="H59" i="114"/>
  <c r="G59" i="114"/>
  <c r="F59" i="114"/>
  <c r="E59" i="114"/>
  <c r="D59" i="114"/>
  <c r="C59" i="114"/>
  <c r="B59" i="114"/>
  <c r="AH58" i="114"/>
  <c r="AG58" i="114"/>
  <c r="AF58" i="114"/>
  <c r="AE58" i="114"/>
  <c r="AD58" i="114"/>
  <c r="AC58" i="114"/>
  <c r="AB58" i="114"/>
  <c r="AA58" i="114"/>
  <c r="Z58" i="114"/>
  <c r="Y58" i="114"/>
  <c r="X58" i="114"/>
  <c r="W58" i="114"/>
  <c r="V58" i="114"/>
  <c r="U58" i="114"/>
  <c r="T58" i="114"/>
  <c r="S58" i="114"/>
  <c r="Q58" i="114"/>
  <c r="P58" i="114"/>
  <c r="O58" i="114"/>
  <c r="N58" i="114"/>
  <c r="M58" i="114"/>
  <c r="L58" i="114"/>
  <c r="K58" i="114"/>
  <c r="J58" i="114"/>
  <c r="I58" i="114"/>
  <c r="H58" i="114"/>
  <c r="G58" i="114"/>
  <c r="F58" i="114"/>
  <c r="E58" i="114"/>
  <c r="D58" i="114"/>
  <c r="C58" i="114"/>
  <c r="B58" i="114"/>
  <c r="AH57" i="114"/>
  <c r="AG57" i="114"/>
  <c r="AF57" i="114"/>
  <c r="AE57" i="114"/>
  <c r="AD57" i="114"/>
  <c r="AC57" i="114"/>
  <c r="AB57" i="114"/>
  <c r="AA57" i="114"/>
  <c r="Z57" i="114"/>
  <c r="Y57" i="114"/>
  <c r="X57" i="114"/>
  <c r="W57" i="114"/>
  <c r="V57" i="114"/>
  <c r="U57" i="114"/>
  <c r="T57" i="114"/>
  <c r="S57" i="114"/>
  <c r="Q57" i="114"/>
  <c r="P57" i="114"/>
  <c r="O57" i="114"/>
  <c r="N57" i="114"/>
  <c r="M57" i="114"/>
  <c r="L57" i="114"/>
  <c r="K57" i="114"/>
  <c r="J57" i="114"/>
  <c r="I57" i="114"/>
  <c r="H57" i="114"/>
  <c r="G57" i="114"/>
  <c r="F57" i="114"/>
  <c r="E57" i="114"/>
  <c r="D57" i="114"/>
  <c r="C57" i="114"/>
  <c r="B57" i="114"/>
  <c r="AH56" i="114"/>
  <c r="AG56" i="114"/>
  <c r="AF56" i="114"/>
  <c r="AE56" i="114"/>
  <c r="AD56" i="114"/>
  <c r="AC56" i="114"/>
  <c r="AB56" i="114"/>
  <c r="AA56" i="114"/>
  <c r="Z56" i="114"/>
  <c r="Y56" i="114"/>
  <c r="X56" i="114"/>
  <c r="W56" i="114"/>
  <c r="V56" i="114"/>
  <c r="U56" i="114"/>
  <c r="T56" i="114"/>
  <c r="S56" i="114"/>
  <c r="Q56" i="114"/>
  <c r="P56" i="114"/>
  <c r="O56" i="114"/>
  <c r="N56" i="114"/>
  <c r="M56" i="114"/>
  <c r="L56" i="114"/>
  <c r="K56" i="114"/>
  <c r="J56" i="114"/>
  <c r="I56" i="114"/>
  <c r="H56" i="114"/>
  <c r="G56" i="114"/>
  <c r="F56" i="114"/>
  <c r="E56" i="114"/>
  <c r="D56" i="114"/>
  <c r="C56" i="114"/>
  <c r="B56" i="114"/>
  <c r="AH55" i="114"/>
  <c r="AG55" i="114"/>
  <c r="AF55" i="114"/>
  <c r="AE55" i="114"/>
  <c r="AD55" i="114"/>
  <c r="AC55" i="114"/>
  <c r="AB55" i="114"/>
  <c r="AA55" i="114"/>
  <c r="Z55" i="114"/>
  <c r="Y55" i="114"/>
  <c r="X55" i="114"/>
  <c r="W55" i="114"/>
  <c r="V55" i="114"/>
  <c r="U55" i="114"/>
  <c r="T55" i="114"/>
  <c r="S55" i="114"/>
  <c r="Q55" i="114"/>
  <c r="P55" i="114"/>
  <c r="O55" i="114"/>
  <c r="N55" i="114"/>
  <c r="M55" i="114"/>
  <c r="L55" i="114"/>
  <c r="K55" i="114"/>
  <c r="J55" i="114"/>
  <c r="I55" i="114"/>
  <c r="H55" i="114"/>
  <c r="G55" i="114"/>
  <c r="F55" i="114"/>
  <c r="E55" i="114"/>
  <c r="D55" i="114"/>
  <c r="C55" i="114"/>
  <c r="B55" i="114"/>
  <c r="AH54" i="114"/>
  <c r="AG54" i="114"/>
  <c r="AF54" i="114"/>
  <c r="AE54" i="114"/>
  <c r="AD54" i="114"/>
  <c r="AC54" i="114"/>
  <c r="AB54" i="114"/>
  <c r="AA54" i="114"/>
  <c r="Z54" i="114"/>
  <c r="Y54" i="114"/>
  <c r="X54" i="114"/>
  <c r="W54" i="114"/>
  <c r="V54" i="114"/>
  <c r="U54" i="114"/>
  <c r="T54" i="114"/>
  <c r="S54" i="114"/>
  <c r="Q54" i="114"/>
  <c r="P54" i="114"/>
  <c r="O54" i="114"/>
  <c r="N54" i="114"/>
  <c r="M54" i="114"/>
  <c r="L54" i="114"/>
  <c r="K54" i="114"/>
  <c r="J54" i="114"/>
  <c r="I54" i="114"/>
  <c r="H54" i="114"/>
  <c r="G54" i="114"/>
  <c r="F54" i="114"/>
  <c r="E54" i="114"/>
  <c r="D54" i="114"/>
  <c r="C54" i="114"/>
  <c r="B54" i="114"/>
  <c r="AH53" i="114"/>
  <c r="AG53" i="114"/>
  <c r="AF53" i="114"/>
  <c r="AE53" i="114"/>
  <c r="AD53" i="114"/>
  <c r="AC53" i="114"/>
  <c r="AB53" i="114"/>
  <c r="AA53" i="114"/>
  <c r="Z53" i="114"/>
  <c r="Y53" i="114"/>
  <c r="X53" i="114"/>
  <c r="W53" i="114"/>
  <c r="V53" i="114"/>
  <c r="U53" i="114"/>
  <c r="T53" i="114"/>
  <c r="S53" i="114"/>
  <c r="Q53" i="114"/>
  <c r="P53" i="114"/>
  <c r="O53" i="114"/>
  <c r="N53" i="114"/>
  <c r="M53" i="114"/>
  <c r="L53" i="114"/>
  <c r="K53" i="114"/>
  <c r="J53" i="114"/>
  <c r="I53" i="114"/>
  <c r="H53" i="114"/>
  <c r="G53" i="114"/>
  <c r="F53" i="114"/>
  <c r="E53" i="114"/>
  <c r="D53" i="114"/>
  <c r="C53" i="114"/>
  <c r="B53" i="114"/>
  <c r="AH52" i="114"/>
  <c r="AG52" i="114"/>
  <c r="AF52" i="114"/>
  <c r="AE52" i="114"/>
  <c r="AD52" i="114"/>
  <c r="AC52" i="114"/>
  <c r="AB52" i="114"/>
  <c r="AA52" i="114"/>
  <c r="Z52" i="114"/>
  <c r="Y52" i="114"/>
  <c r="X52" i="114"/>
  <c r="W52" i="114"/>
  <c r="V52" i="114"/>
  <c r="U52" i="114"/>
  <c r="T52" i="114"/>
  <c r="S52" i="114"/>
  <c r="Q52" i="114"/>
  <c r="P52" i="114"/>
  <c r="O52" i="114"/>
  <c r="N52" i="114"/>
  <c r="M52" i="114"/>
  <c r="L52" i="114"/>
  <c r="K52" i="114"/>
  <c r="J52" i="114"/>
  <c r="I52" i="114"/>
  <c r="H52" i="114"/>
  <c r="G52" i="114"/>
  <c r="F52" i="114"/>
  <c r="E52" i="114"/>
  <c r="D52" i="114"/>
  <c r="C52" i="114"/>
  <c r="B52" i="114"/>
  <c r="AH51" i="114"/>
  <c r="AG51" i="114"/>
  <c r="AF51" i="114"/>
  <c r="AE51" i="114"/>
  <c r="AD51" i="114"/>
  <c r="AC51" i="114"/>
  <c r="AB51" i="114"/>
  <c r="AA51" i="114"/>
  <c r="Z51" i="114"/>
  <c r="Y51" i="114"/>
  <c r="X51" i="114"/>
  <c r="W51" i="114"/>
  <c r="V51" i="114"/>
  <c r="U51" i="114"/>
  <c r="T51" i="114"/>
  <c r="S51" i="114"/>
  <c r="Q51" i="114"/>
  <c r="P51" i="114"/>
  <c r="O51" i="114"/>
  <c r="N51" i="114"/>
  <c r="M51" i="114"/>
  <c r="L51" i="114"/>
  <c r="K51" i="114"/>
  <c r="J51" i="114"/>
  <c r="I51" i="114"/>
  <c r="H51" i="114"/>
  <c r="G51" i="114"/>
  <c r="F51" i="114"/>
  <c r="E51" i="114"/>
  <c r="D51" i="114"/>
  <c r="C51" i="114"/>
  <c r="B51" i="114"/>
  <c r="AH50" i="114"/>
  <c r="AG50" i="114"/>
  <c r="AF50" i="114"/>
  <c r="AE50" i="114"/>
  <c r="AD50" i="114"/>
  <c r="AC50" i="114"/>
  <c r="AB50" i="114"/>
  <c r="AA50" i="114"/>
  <c r="Z50" i="114"/>
  <c r="Y50" i="114"/>
  <c r="X50" i="114"/>
  <c r="W50" i="114"/>
  <c r="V50" i="114"/>
  <c r="U50" i="114"/>
  <c r="T50" i="114"/>
  <c r="S50" i="114"/>
  <c r="Q50" i="114"/>
  <c r="P50" i="114"/>
  <c r="O50" i="114"/>
  <c r="N50" i="114"/>
  <c r="M50" i="114"/>
  <c r="L50" i="114"/>
  <c r="K50" i="114"/>
  <c r="J50" i="114"/>
  <c r="I50" i="114"/>
  <c r="H50" i="114"/>
  <c r="G50" i="114"/>
  <c r="F50" i="114"/>
  <c r="E50" i="114"/>
  <c r="D50" i="114"/>
  <c r="C50" i="114"/>
  <c r="B50" i="114"/>
  <c r="AH49" i="114"/>
  <c r="AG49" i="114"/>
  <c r="AF49" i="114"/>
  <c r="AE49" i="114"/>
  <c r="AD49" i="114"/>
  <c r="AC49" i="114"/>
  <c r="AB49" i="114"/>
  <c r="AA49" i="114"/>
  <c r="Z49" i="114"/>
  <c r="Y49" i="114"/>
  <c r="X49" i="114"/>
  <c r="W49" i="114"/>
  <c r="V49" i="114"/>
  <c r="U49" i="114"/>
  <c r="T49" i="114"/>
  <c r="S49" i="114"/>
  <c r="Q49" i="114"/>
  <c r="P49" i="114"/>
  <c r="O49" i="114"/>
  <c r="N49" i="114"/>
  <c r="M49" i="114"/>
  <c r="L49" i="114"/>
  <c r="K49" i="114"/>
  <c r="J49" i="114"/>
  <c r="I49" i="114"/>
  <c r="H49" i="114"/>
  <c r="G49" i="114"/>
  <c r="F49" i="114"/>
  <c r="E49" i="114"/>
  <c r="D49" i="114"/>
  <c r="C49" i="114"/>
  <c r="B49" i="114"/>
  <c r="AH48" i="114"/>
  <c r="AG48" i="114"/>
  <c r="AF48" i="114"/>
  <c r="AE48" i="114"/>
  <c r="AD48" i="114"/>
  <c r="AC48" i="114"/>
  <c r="AB48" i="114"/>
  <c r="AA48" i="114"/>
  <c r="Z48" i="114"/>
  <c r="Y48" i="114"/>
  <c r="X48" i="114"/>
  <c r="W48" i="114"/>
  <c r="V48" i="114"/>
  <c r="U48" i="114"/>
  <c r="T48" i="114"/>
  <c r="S48" i="114"/>
  <c r="Q48" i="114"/>
  <c r="P48" i="114"/>
  <c r="O48" i="114"/>
  <c r="N48" i="114"/>
  <c r="M48" i="114"/>
  <c r="L48" i="114"/>
  <c r="K48" i="114"/>
  <c r="J48" i="114"/>
  <c r="I48" i="114"/>
  <c r="H48" i="114"/>
  <c r="G48" i="114"/>
  <c r="F48" i="114"/>
  <c r="E48" i="114"/>
  <c r="D48" i="114"/>
  <c r="C48" i="114"/>
  <c r="B48" i="114"/>
  <c r="AH47" i="114"/>
  <c r="AG47" i="114"/>
  <c r="AF47" i="114"/>
  <c r="AE47" i="114"/>
  <c r="AD47" i="114"/>
  <c r="AC47" i="114"/>
  <c r="AB47" i="114"/>
  <c r="AA47" i="114"/>
  <c r="Z47" i="114"/>
  <c r="Y47" i="114"/>
  <c r="X47" i="114"/>
  <c r="W47" i="114"/>
  <c r="V47" i="114"/>
  <c r="U47" i="114"/>
  <c r="T47" i="114"/>
  <c r="S47" i="114"/>
  <c r="Q47" i="114"/>
  <c r="P47" i="114"/>
  <c r="O47" i="114"/>
  <c r="N47" i="114"/>
  <c r="M47" i="114"/>
  <c r="L47" i="114"/>
  <c r="K47" i="114"/>
  <c r="J47" i="114"/>
  <c r="I47" i="114"/>
  <c r="H47" i="114"/>
  <c r="G47" i="114"/>
  <c r="F47" i="114"/>
  <c r="E47" i="114"/>
  <c r="D47" i="114"/>
  <c r="C47" i="114"/>
  <c r="B47" i="114"/>
  <c r="AH46" i="114"/>
  <c r="AG46" i="114"/>
  <c r="AF46" i="114"/>
  <c r="AE46" i="114"/>
  <c r="AD46" i="114"/>
  <c r="AC46" i="114"/>
  <c r="AB46" i="114"/>
  <c r="AA46" i="114"/>
  <c r="Z46" i="114"/>
  <c r="Y46" i="114"/>
  <c r="X46" i="114"/>
  <c r="W46" i="114"/>
  <c r="V46" i="114"/>
  <c r="U46" i="114"/>
  <c r="T46" i="114"/>
  <c r="S46" i="114"/>
  <c r="Q46" i="114"/>
  <c r="P46" i="114"/>
  <c r="O46" i="114"/>
  <c r="N46" i="114"/>
  <c r="M46" i="114"/>
  <c r="L46" i="114"/>
  <c r="K46" i="114"/>
  <c r="J46" i="114"/>
  <c r="I46" i="114"/>
  <c r="H46" i="114"/>
  <c r="G46" i="114"/>
  <c r="F46" i="114"/>
  <c r="E46" i="114"/>
  <c r="D46" i="114"/>
  <c r="C46" i="114"/>
  <c r="B46" i="114"/>
  <c r="AH45" i="114"/>
  <c r="AG45" i="114"/>
  <c r="AF45" i="114"/>
  <c r="AE45" i="114"/>
  <c r="AD45" i="114"/>
  <c r="AC45" i="114"/>
  <c r="AB45" i="114"/>
  <c r="AA45" i="114"/>
  <c r="Z45" i="114"/>
  <c r="Y45" i="114"/>
  <c r="X45" i="114"/>
  <c r="W45" i="114"/>
  <c r="V45" i="114"/>
  <c r="U45" i="114"/>
  <c r="T45" i="114"/>
  <c r="S45" i="114"/>
  <c r="Q45" i="114"/>
  <c r="P45" i="114"/>
  <c r="O45" i="114"/>
  <c r="N45" i="114"/>
  <c r="M45" i="114"/>
  <c r="L45" i="114"/>
  <c r="K45" i="114"/>
  <c r="J45" i="114"/>
  <c r="I45" i="114"/>
  <c r="H45" i="114"/>
  <c r="G45" i="114"/>
  <c r="F45" i="114"/>
  <c r="E45" i="114"/>
  <c r="D45" i="114"/>
  <c r="C45" i="114"/>
  <c r="B45" i="114"/>
  <c r="AH44" i="114"/>
  <c r="AG44" i="114"/>
  <c r="AF44" i="114"/>
  <c r="AE44" i="114"/>
  <c r="AD44" i="114"/>
  <c r="AC44" i="114"/>
  <c r="AB44" i="114"/>
  <c r="AA44" i="114"/>
  <c r="Z44" i="114"/>
  <c r="Y44" i="114"/>
  <c r="X44" i="114"/>
  <c r="W44" i="114"/>
  <c r="V44" i="114"/>
  <c r="U44" i="114"/>
  <c r="T44" i="114"/>
  <c r="S44" i="114"/>
  <c r="Q44" i="114"/>
  <c r="P44" i="114"/>
  <c r="O44" i="114"/>
  <c r="N44" i="114"/>
  <c r="M44" i="114"/>
  <c r="L44" i="114"/>
  <c r="K44" i="114"/>
  <c r="J44" i="114"/>
  <c r="I44" i="114"/>
  <c r="H44" i="114"/>
  <c r="G44" i="114"/>
  <c r="F44" i="114"/>
  <c r="E44" i="114"/>
  <c r="D44" i="114"/>
  <c r="C44" i="114"/>
  <c r="B44" i="114"/>
  <c r="AH43" i="114"/>
  <c r="AG43" i="114"/>
  <c r="AF43" i="114"/>
  <c r="AE43" i="114"/>
  <c r="AD43" i="114"/>
  <c r="AC43" i="114"/>
  <c r="AB43" i="114"/>
  <c r="AA43" i="114"/>
  <c r="Z43" i="114"/>
  <c r="Y43" i="114"/>
  <c r="X43" i="114"/>
  <c r="W43" i="114"/>
  <c r="V43" i="114"/>
  <c r="U43" i="114"/>
  <c r="T43" i="114"/>
  <c r="S43" i="114"/>
  <c r="Q43" i="114"/>
  <c r="P43" i="114"/>
  <c r="O43" i="114"/>
  <c r="N43" i="114"/>
  <c r="M43" i="114"/>
  <c r="L43" i="114"/>
  <c r="K43" i="114"/>
  <c r="J43" i="114"/>
  <c r="I43" i="114"/>
  <c r="H43" i="114"/>
  <c r="G43" i="114"/>
  <c r="F43" i="114"/>
  <c r="E43" i="114"/>
  <c r="D43" i="114"/>
  <c r="C43" i="114"/>
  <c r="B43" i="114"/>
  <c r="AH42" i="114"/>
  <c r="AG42" i="114"/>
  <c r="AF42" i="114"/>
  <c r="AE42" i="114"/>
  <c r="AD42" i="114"/>
  <c r="AC42" i="114"/>
  <c r="AB42" i="114"/>
  <c r="AA42" i="114"/>
  <c r="Z42" i="114"/>
  <c r="Y42" i="114"/>
  <c r="X42" i="114"/>
  <c r="W42" i="114"/>
  <c r="V42" i="114"/>
  <c r="U42" i="114"/>
  <c r="T42" i="114"/>
  <c r="S42" i="114"/>
  <c r="Q42" i="114"/>
  <c r="P42" i="114"/>
  <c r="O42" i="114"/>
  <c r="N42" i="114"/>
  <c r="M42" i="114"/>
  <c r="L42" i="114"/>
  <c r="K42" i="114"/>
  <c r="J42" i="114"/>
  <c r="I42" i="114"/>
  <c r="H42" i="114"/>
  <c r="G42" i="114"/>
  <c r="F42" i="114"/>
  <c r="E42" i="114"/>
  <c r="D42" i="114"/>
  <c r="C42" i="114"/>
  <c r="B42" i="114"/>
  <c r="AH41" i="114"/>
  <c r="AG41" i="114"/>
  <c r="AF41" i="114"/>
  <c r="AE41" i="114"/>
  <c r="AD41" i="114"/>
  <c r="AC41" i="114"/>
  <c r="AB41" i="114"/>
  <c r="AA41" i="114"/>
  <c r="Z41" i="114"/>
  <c r="Y41" i="114"/>
  <c r="X41" i="114"/>
  <c r="W41" i="114"/>
  <c r="V41" i="114"/>
  <c r="U41" i="114"/>
  <c r="T41" i="114"/>
  <c r="S41" i="114"/>
  <c r="Q41" i="114"/>
  <c r="P41" i="114"/>
  <c r="O41" i="114"/>
  <c r="N41" i="114"/>
  <c r="M41" i="114"/>
  <c r="L41" i="114"/>
  <c r="K41" i="114"/>
  <c r="J41" i="114"/>
  <c r="I41" i="114"/>
  <c r="H41" i="114"/>
  <c r="G41" i="114"/>
  <c r="F41" i="114"/>
  <c r="E41" i="114"/>
  <c r="D41" i="114"/>
  <c r="C41" i="114"/>
  <c r="B41" i="114"/>
  <c r="AH40" i="114"/>
  <c r="AH76" i="114" s="1"/>
  <c r="D59" i="16" s="1"/>
  <c r="AG40" i="114"/>
  <c r="AG76" i="114" s="1"/>
  <c r="D57" i="16" s="1"/>
  <c r="AF40" i="114"/>
  <c r="AF76" i="114" s="1"/>
  <c r="D55" i="16" s="1"/>
  <c r="AE40" i="114"/>
  <c r="AE76" i="114" s="1"/>
  <c r="D54" i="16" s="1"/>
  <c r="AD40" i="114"/>
  <c r="AD76" i="114" s="1"/>
  <c r="D52" i="16" s="1"/>
  <c r="AC40" i="114"/>
  <c r="AC76" i="114" s="1"/>
  <c r="D48" i="16" s="1"/>
  <c r="AB40" i="114"/>
  <c r="AB76" i="114" s="1"/>
  <c r="D47" i="16" s="1"/>
  <c r="AA40" i="114"/>
  <c r="AA76" i="114" s="1"/>
  <c r="D46" i="16" s="1"/>
  <c r="Z40" i="114"/>
  <c r="Z76" i="114" s="1"/>
  <c r="D44" i="16" s="1"/>
  <c r="Y40" i="114"/>
  <c r="Y76" i="114" s="1"/>
  <c r="D41" i="16" s="1"/>
  <c r="X40" i="114"/>
  <c r="X76" i="114" s="1"/>
  <c r="D34" i="16" s="1"/>
  <c r="W40" i="114"/>
  <c r="W76" i="114" s="1"/>
  <c r="D30" i="16" s="1"/>
  <c r="D32" i="16" s="1"/>
  <c r="V40" i="114"/>
  <c r="U40" i="114"/>
  <c r="U76" i="114" s="1"/>
  <c r="D14" i="16" s="1"/>
  <c r="T40" i="114"/>
  <c r="T76" i="114" s="1"/>
  <c r="D26" i="16" s="1"/>
  <c r="S40" i="114"/>
  <c r="Q40" i="114"/>
  <c r="Q76" i="114" s="1"/>
  <c r="D27" i="16" s="1"/>
  <c r="P40" i="114"/>
  <c r="P76" i="114" s="1"/>
  <c r="O40" i="114"/>
  <c r="N40" i="114"/>
  <c r="N76" i="114" s="1"/>
  <c r="D19" i="16" s="1"/>
  <c r="M40" i="114"/>
  <c r="M76" i="114" s="1"/>
  <c r="D18" i="16" s="1"/>
  <c r="L40" i="114"/>
  <c r="L76" i="114" s="1"/>
  <c r="D17" i="16" s="1"/>
  <c r="K40" i="114"/>
  <c r="K76" i="114" s="1"/>
  <c r="D16" i="16" s="1"/>
  <c r="J40" i="114"/>
  <c r="J76" i="114" s="1"/>
  <c r="D13" i="16" s="1"/>
  <c r="I40" i="114"/>
  <c r="I76" i="114" s="1"/>
  <c r="D15" i="16" s="1"/>
  <c r="H40" i="114"/>
  <c r="H76" i="114" s="1"/>
  <c r="D21" i="16" s="1"/>
  <c r="G40" i="114"/>
  <c r="G76" i="114" s="1"/>
  <c r="D12" i="16" s="1"/>
  <c r="F40" i="114"/>
  <c r="E40" i="114"/>
  <c r="D40" i="114"/>
  <c r="D76" i="114" s="1"/>
  <c r="D7" i="16" s="1"/>
  <c r="C26" i="19" s="1"/>
  <c r="C40" i="114"/>
  <c r="C76" i="114" s="1"/>
  <c r="D6" i="16" s="1"/>
  <c r="C40" i="19" s="1"/>
  <c r="B40" i="114"/>
  <c r="B76" i="114" s="1"/>
  <c r="D5" i="16" s="1"/>
  <c r="C33" i="19" s="1"/>
  <c r="AH39" i="114"/>
  <c r="AG39" i="114"/>
  <c r="AF39" i="114"/>
  <c r="AE39" i="114"/>
  <c r="AD39" i="114"/>
  <c r="AC39" i="114"/>
  <c r="AB39" i="114"/>
  <c r="AA39" i="114"/>
  <c r="Z39" i="114"/>
  <c r="Y39" i="114"/>
  <c r="X39" i="114"/>
  <c r="W39" i="114"/>
  <c r="V39" i="114"/>
  <c r="U39" i="114"/>
  <c r="T39" i="114"/>
  <c r="S39" i="114"/>
  <c r="Q39" i="114"/>
  <c r="P39" i="114"/>
  <c r="O39" i="114"/>
  <c r="N39" i="114"/>
  <c r="M39" i="114"/>
  <c r="L39" i="114"/>
  <c r="K39" i="114"/>
  <c r="J39" i="114"/>
  <c r="I39" i="114"/>
  <c r="H39" i="114"/>
  <c r="G39" i="114"/>
  <c r="F39" i="114"/>
  <c r="E39" i="114"/>
  <c r="D39" i="114"/>
  <c r="C39" i="114"/>
  <c r="B39" i="114"/>
  <c r="CU38" i="114"/>
  <c r="M53" i="26" s="1"/>
  <c r="AH38" i="114"/>
  <c r="AG38" i="114"/>
  <c r="AF38" i="114"/>
  <c r="AE38" i="114"/>
  <c r="AD38" i="114"/>
  <c r="AC38" i="114"/>
  <c r="AB38" i="114"/>
  <c r="AA38" i="114"/>
  <c r="Z38" i="114"/>
  <c r="Y38" i="114"/>
  <c r="X38" i="114"/>
  <c r="W38" i="114"/>
  <c r="V38" i="114"/>
  <c r="U38" i="114"/>
  <c r="T38" i="114"/>
  <c r="S38" i="114"/>
  <c r="Q38" i="114"/>
  <c r="O38" i="114"/>
  <c r="N38" i="114"/>
  <c r="M38" i="114"/>
  <c r="L38" i="114"/>
  <c r="K38" i="114"/>
  <c r="J38" i="114"/>
  <c r="I38" i="114"/>
  <c r="H38" i="114"/>
  <c r="G38" i="114"/>
  <c r="F38" i="114"/>
  <c r="E38" i="114"/>
  <c r="D38" i="114"/>
  <c r="C38" i="114"/>
  <c r="B38" i="114"/>
  <c r="CV37" i="114"/>
  <c r="L56" i="26" s="1"/>
  <c r="CU37" i="114"/>
  <c r="L53" i="26" s="1"/>
  <c r="AH37" i="114"/>
  <c r="AG37" i="114"/>
  <c r="AF37" i="114"/>
  <c r="AE37" i="114"/>
  <c r="AD37" i="114"/>
  <c r="AC37" i="114"/>
  <c r="AB37" i="114"/>
  <c r="AA37" i="114"/>
  <c r="Z37" i="114"/>
  <c r="Y37" i="114"/>
  <c r="X37" i="114"/>
  <c r="W37" i="114"/>
  <c r="V37" i="114"/>
  <c r="U37" i="114"/>
  <c r="T37" i="114"/>
  <c r="S37" i="114"/>
  <c r="Q37" i="114"/>
  <c r="O37" i="114"/>
  <c r="N37" i="114"/>
  <c r="M37" i="114"/>
  <c r="L37" i="114"/>
  <c r="K37" i="114"/>
  <c r="J37" i="114"/>
  <c r="I37" i="114"/>
  <c r="H37" i="114"/>
  <c r="G37" i="114"/>
  <c r="F37" i="114"/>
  <c r="E37" i="114"/>
  <c r="D37" i="114"/>
  <c r="C37" i="114"/>
  <c r="B37" i="114"/>
  <c r="CU36" i="114"/>
  <c r="K53" i="26" s="1"/>
  <c r="AH36" i="114"/>
  <c r="AG36" i="114"/>
  <c r="AF36" i="114"/>
  <c r="AE36" i="114"/>
  <c r="AD36" i="114"/>
  <c r="AC36" i="114"/>
  <c r="AB36" i="114"/>
  <c r="AA36" i="114"/>
  <c r="Z36" i="114"/>
  <c r="Y36" i="114"/>
  <c r="X36" i="114"/>
  <c r="W36" i="114"/>
  <c r="V36" i="114"/>
  <c r="U36" i="114"/>
  <c r="T36" i="114"/>
  <c r="S36" i="114"/>
  <c r="Q36" i="114"/>
  <c r="O36" i="114"/>
  <c r="N36" i="114"/>
  <c r="M36" i="114"/>
  <c r="L36" i="114"/>
  <c r="K36" i="114"/>
  <c r="J36" i="114"/>
  <c r="I36" i="114"/>
  <c r="H36" i="114"/>
  <c r="G36" i="114"/>
  <c r="F36" i="114"/>
  <c r="E36" i="114"/>
  <c r="D36" i="114"/>
  <c r="C36" i="114"/>
  <c r="B36" i="114"/>
  <c r="CU35" i="114"/>
  <c r="J53" i="26" s="1"/>
  <c r="AH35" i="114"/>
  <c r="AG35" i="114"/>
  <c r="AF35" i="114"/>
  <c r="AE35" i="114"/>
  <c r="AD35" i="114"/>
  <c r="AC35" i="114"/>
  <c r="AB35" i="114"/>
  <c r="AA35" i="114"/>
  <c r="Z35" i="114"/>
  <c r="Y35" i="114"/>
  <c r="X35" i="114"/>
  <c r="W35" i="114"/>
  <c r="V35" i="114"/>
  <c r="U35" i="114"/>
  <c r="T35" i="114"/>
  <c r="S35" i="114"/>
  <c r="Q35" i="114"/>
  <c r="O35" i="114"/>
  <c r="N35" i="114"/>
  <c r="M35" i="114"/>
  <c r="L35" i="114"/>
  <c r="K35" i="114"/>
  <c r="J35" i="114"/>
  <c r="I35" i="114"/>
  <c r="H35" i="114"/>
  <c r="G35" i="114"/>
  <c r="F35" i="114"/>
  <c r="E35" i="114"/>
  <c r="D35" i="114"/>
  <c r="C35" i="114"/>
  <c r="B35" i="114"/>
  <c r="CU34" i="114"/>
  <c r="I53" i="26" s="1"/>
  <c r="AH34" i="114"/>
  <c r="AG34" i="114"/>
  <c r="AF34" i="114"/>
  <c r="AE34" i="114"/>
  <c r="AD34" i="114"/>
  <c r="AC34" i="114"/>
  <c r="AB34" i="114"/>
  <c r="AA34" i="114"/>
  <c r="Z34" i="114"/>
  <c r="Y34" i="114"/>
  <c r="X34" i="114"/>
  <c r="W34" i="114"/>
  <c r="V34" i="114"/>
  <c r="U34" i="114"/>
  <c r="T34" i="114"/>
  <c r="S34" i="114"/>
  <c r="Q34" i="114"/>
  <c r="O34" i="114"/>
  <c r="N34" i="114"/>
  <c r="M34" i="114"/>
  <c r="L34" i="114"/>
  <c r="K34" i="114"/>
  <c r="J34" i="114"/>
  <c r="I34" i="114"/>
  <c r="H34" i="114"/>
  <c r="G34" i="114"/>
  <c r="F34" i="114"/>
  <c r="E34" i="114"/>
  <c r="D34" i="114"/>
  <c r="C34" i="114"/>
  <c r="B34" i="114"/>
  <c r="CU33" i="114"/>
  <c r="H53" i="26" s="1"/>
  <c r="AH33" i="114"/>
  <c r="AG33" i="114"/>
  <c r="AF33" i="114"/>
  <c r="AE33" i="114"/>
  <c r="AD33" i="114"/>
  <c r="AC33" i="114"/>
  <c r="AB33" i="114"/>
  <c r="AA33" i="114"/>
  <c r="Z33" i="114"/>
  <c r="Y33" i="114"/>
  <c r="X33" i="114"/>
  <c r="W33" i="114"/>
  <c r="V33" i="114"/>
  <c r="U33" i="114"/>
  <c r="T33" i="114"/>
  <c r="S33" i="114"/>
  <c r="Q33" i="114"/>
  <c r="O33" i="114"/>
  <c r="N33" i="114"/>
  <c r="M33" i="114"/>
  <c r="L33" i="114"/>
  <c r="K33" i="114"/>
  <c r="J33" i="114"/>
  <c r="I33" i="114"/>
  <c r="H33" i="114"/>
  <c r="G33" i="114"/>
  <c r="F33" i="114"/>
  <c r="E33" i="114"/>
  <c r="D33" i="114"/>
  <c r="C33" i="114"/>
  <c r="B33" i="114"/>
  <c r="CU32" i="114"/>
  <c r="G53" i="26" s="1"/>
  <c r="AH32" i="114"/>
  <c r="AG32" i="114"/>
  <c r="AF32" i="114"/>
  <c r="AE32" i="114"/>
  <c r="AD32" i="114"/>
  <c r="AC32" i="114"/>
  <c r="AB32" i="114"/>
  <c r="AA32" i="114"/>
  <c r="Z32" i="114"/>
  <c r="Y32" i="114"/>
  <c r="X32" i="114"/>
  <c r="W32" i="114"/>
  <c r="V32" i="114"/>
  <c r="U32" i="114"/>
  <c r="T32" i="114"/>
  <c r="S32" i="114"/>
  <c r="Q32" i="114"/>
  <c r="O32" i="114"/>
  <c r="N32" i="114"/>
  <c r="M32" i="114"/>
  <c r="L32" i="114"/>
  <c r="K32" i="114"/>
  <c r="J32" i="114"/>
  <c r="I32" i="114"/>
  <c r="H32" i="114"/>
  <c r="G32" i="114"/>
  <c r="F32" i="114"/>
  <c r="E32" i="114"/>
  <c r="D32" i="114"/>
  <c r="C32" i="114"/>
  <c r="B32" i="114"/>
  <c r="CU31" i="114"/>
  <c r="F53" i="26" s="1"/>
  <c r="AH31" i="114"/>
  <c r="AG31" i="114"/>
  <c r="AF31" i="114"/>
  <c r="AE31" i="114"/>
  <c r="AD31" i="114"/>
  <c r="AC31" i="114"/>
  <c r="AB31" i="114"/>
  <c r="AA31" i="114"/>
  <c r="Z31" i="114"/>
  <c r="Y31" i="114"/>
  <c r="X31" i="114"/>
  <c r="W31" i="114"/>
  <c r="V31" i="114"/>
  <c r="U31" i="114"/>
  <c r="T31" i="114"/>
  <c r="S31" i="114"/>
  <c r="Q31" i="114"/>
  <c r="O31" i="114"/>
  <c r="N31" i="114"/>
  <c r="M31" i="114"/>
  <c r="L31" i="114"/>
  <c r="K31" i="114"/>
  <c r="J31" i="114"/>
  <c r="I31" i="114"/>
  <c r="H31" i="114"/>
  <c r="G31" i="114"/>
  <c r="F31" i="114"/>
  <c r="E31" i="114"/>
  <c r="D31" i="114"/>
  <c r="C31" i="114"/>
  <c r="B31" i="114"/>
  <c r="CU30" i="114"/>
  <c r="CV30" i="114" s="1"/>
  <c r="E56" i="26" s="1"/>
  <c r="AH30" i="114"/>
  <c r="AG30" i="114"/>
  <c r="AF30" i="114"/>
  <c r="AE30" i="114"/>
  <c r="AD30" i="114"/>
  <c r="AC30" i="114"/>
  <c r="AB30" i="114"/>
  <c r="AA30" i="114"/>
  <c r="Z30" i="114"/>
  <c r="Y30" i="114"/>
  <c r="X30" i="114"/>
  <c r="W30" i="114"/>
  <c r="V30" i="114"/>
  <c r="U30" i="114"/>
  <c r="T30" i="114"/>
  <c r="S30" i="114"/>
  <c r="Q30" i="114"/>
  <c r="O30" i="114"/>
  <c r="N30" i="114"/>
  <c r="M30" i="114"/>
  <c r="L30" i="114"/>
  <c r="K30" i="114"/>
  <c r="J30" i="114"/>
  <c r="I30" i="114"/>
  <c r="H30" i="114"/>
  <c r="G30" i="114"/>
  <c r="F30" i="114"/>
  <c r="E30" i="114"/>
  <c r="D30" i="114"/>
  <c r="C30" i="114"/>
  <c r="B30" i="114"/>
  <c r="CV29" i="114"/>
  <c r="D56" i="26" s="1"/>
  <c r="CU29" i="114"/>
  <c r="D53" i="26" s="1"/>
  <c r="AH29" i="114"/>
  <c r="AG29" i="114"/>
  <c r="AF29" i="114"/>
  <c r="AE29" i="114"/>
  <c r="AD29" i="114"/>
  <c r="AC29" i="114"/>
  <c r="AB29" i="114"/>
  <c r="AA29" i="114"/>
  <c r="Z29" i="114"/>
  <c r="Y29" i="114"/>
  <c r="X29" i="114"/>
  <c r="W29" i="114"/>
  <c r="V29" i="114"/>
  <c r="U29" i="114"/>
  <c r="T29" i="114"/>
  <c r="S29" i="114"/>
  <c r="Q29" i="114"/>
  <c r="O29" i="114"/>
  <c r="N29" i="114"/>
  <c r="M29" i="114"/>
  <c r="L29" i="114"/>
  <c r="K29" i="114"/>
  <c r="J29" i="114"/>
  <c r="I29" i="114"/>
  <c r="H29" i="114"/>
  <c r="G29" i="114"/>
  <c r="F29" i="114"/>
  <c r="E29" i="114"/>
  <c r="D29" i="114"/>
  <c r="C29" i="114"/>
  <c r="B29" i="114"/>
  <c r="CU28" i="114"/>
  <c r="C53" i="26" s="1"/>
  <c r="AH28" i="114"/>
  <c r="AG28" i="114"/>
  <c r="AF28" i="114"/>
  <c r="AE28" i="114"/>
  <c r="AD28" i="114"/>
  <c r="AC28" i="114"/>
  <c r="AB28" i="114"/>
  <c r="AA28" i="114"/>
  <c r="Z28" i="114"/>
  <c r="Y28" i="114"/>
  <c r="X28" i="114"/>
  <c r="W28" i="114"/>
  <c r="V28" i="114"/>
  <c r="U28" i="114"/>
  <c r="T28" i="114"/>
  <c r="S28" i="114"/>
  <c r="Q28" i="114"/>
  <c r="O28" i="114"/>
  <c r="N28" i="114"/>
  <c r="M28" i="114"/>
  <c r="L28" i="114"/>
  <c r="K28" i="114"/>
  <c r="J28" i="114"/>
  <c r="I28" i="114"/>
  <c r="H28" i="114"/>
  <c r="G28" i="114"/>
  <c r="F28" i="114"/>
  <c r="E28" i="114"/>
  <c r="D28" i="114"/>
  <c r="C28" i="114"/>
  <c r="B28" i="114"/>
  <c r="CU27" i="114"/>
  <c r="B53" i="26" s="1"/>
  <c r="O53" i="26" s="1"/>
  <c r="P53" i="26" s="1"/>
  <c r="AH27" i="114"/>
  <c r="AG27" i="114"/>
  <c r="AF27" i="114"/>
  <c r="AE27" i="114"/>
  <c r="AD27" i="114"/>
  <c r="AC27" i="114"/>
  <c r="AB27" i="114"/>
  <c r="AA27" i="114"/>
  <c r="Z27" i="114"/>
  <c r="Y27" i="114"/>
  <c r="X27" i="114"/>
  <c r="W27" i="114"/>
  <c r="V27" i="114"/>
  <c r="U27" i="114"/>
  <c r="T27" i="114"/>
  <c r="S27" i="114"/>
  <c r="Q27" i="114"/>
  <c r="O27" i="114"/>
  <c r="N27" i="114"/>
  <c r="M27" i="114"/>
  <c r="L27" i="114"/>
  <c r="K27" i="114"/>
  <c r="J27" i="114"/>
  <c r="I27" i="114"/>
  <c r="H27" i="114"/>
  <c r="G27" i="114"/>
  <c r="F27" i="114"/>
  <c r="E27" i="114"/>
  <c r="D27" i="114"/>
  <c r="C27" i="114"/>
  <c r="B27" i="114"/>
  <c r="CU26" i="114"/>
  <c r="CV26" i="114" s="1"/>
  <c r="CU25" i="114"/>
  <c r="CV25" i="114" s="1"/>
  <c r="CU24" i="114"/>
  <c r="CV24" i="114" s="1"/>
  <c r="CU23" i="114"/>
  <c r="CV23" i="114" s="1"/>
  <c r="CU22" i="114"/>
  <c r="CV22" i="114" s="1"/>
  <c r="CU21" i="114"/>
  <c r="CV21" i="114" s="1"/>
  <c r="CU20" i="114"/>
  <c r="CV20" i="114" s="1"/>
  <c r="CU19" i="114"/>
  <c r="CV19" i="114" s="1"/>
  <c r="CU18" i="114"/>
  <c r="CV18" i="114" s="1"/>
  <c r="CU17" i="114"/>
  <c r="CV17" i="114" s="1"/>
  <c r="CU16" i="114"/>
  <c r="CV16" i="114" s="1"/>
  <c r="CU15" i="114"/>
  <c r="CV15" i="114" s="1"/>
  <c r="AH14" i="114"/>
  <c r="AG14" i="114"/>
  <c r="AF14" i="114"/>
  <c r="AE14" i="114"/>
  <c r="AD14" i="114"/>
  <c r="AC14" i="114"/>
  <c r="AB14" i="114"/>
  <c r="AA14" i="114"/>
  <c r="Z14" i="114"/>
  <c r="Y14" i="114"/>
  <c r="X14" i="114"/>
  <c r="W14" i="114"/>
  <c r="V14" i="114"/>
  <c r="U14" i="114"/>
  <c r="T14" i="114"/>
  <c r="S14" i="114"/>
  <c r="Q14" i="114"/>
  <c r="O14" i="114"/>
  <c r="N14" i="114"/>
  <c r="M14" i="114"/>
  <c r="L14" i="114"/>
  <c r="K14" i="114"/>
  <c r="J14" i="114"/>
  <c r="I14" i="114"/>
  <c r="H14" i="114"/>
  <c r="G14" i="114"/>
  <c r="F14" i="114"/>
  <c r="E14" i="114"/>
  <c r="D14" i="114"/>
  <c r="C14" i="114"/>
  <c r="B14" i="114"/>
  <c r="BE13" i="114"/>
  <c r="Y13" i="114" s="1"/>
  <c r="AH13" i="114"/>
  <c r="AG13" i="114"/>
  <c r="AF13" i="114"/>
  <c r="AE13" i="114"/>
  <c r="AD13" i="114"/>
  <c r="AC13" i="114"/>
  <c r="AB13" i="114"/>
  <c r="AA13" i="114"/>
  <c r="Z13" i="114"/>
  <c r="X13" i="114"/>
  <c r="W13" i="114"/>
  <c r="V13" i="114"/>
  <c r="U13" i="114"/>
  <c r="T13" i="114"/>
  <c r="S13" i="114"/>
  <c r="Q13" i="114"/>
  <c r="O13" i="114"/>
  <c r="N13" i="114"/>
  <c r="M13" i="114"/>
  <c r="L13" i="114"/>
  <c r="K13" i="114"/>
  <c r="J13" i="114"/>
  <c r="I13" i="114"/>
  <c r="H13" i="114"/>
  <c r="G13" i="114"/>
  <c r="F13" i="114"/>
  <c r="E13" i="114"/>
  <c r="D13" i="114"/>
  <c r="C13" i="114"/>
  <c r="B13" i="114"/>
  <c r="AH12" i="114"/>
  <c r="AG12" i="114"/>
  <c r="AF12" i="114"/>
  <c r="AE12" i="114"/>
  <c r="AD12" i="114"/>
  <c r="AC12" i="114"/>
  <c r="AB12" i="114"/>
  <c r="AA12" i="114"/>
  <c r="Z12" i="114"/>
  <c r="Y12" i="114"/>
  <c r="X12" i="114"/>
  <c r="W12" i="114"/>
  <c r="V12" i="114"/>
  <c r="U12" i="114"/>
  <c r="T12" i="114"/>
  <c r="S12" i="114"/>
  <c r="Q12" i="114"/>
  <c r="O12" i="114"/>
  <c r="N12" i="114"/>
  <c r="M12" i="114"/>
  <c r="L12" i="114"/>
  <c r="K12" i="114"/>
  <c r="J12" i="114"/>
  <c r="I12" i="114"/>
  <c r="H12" i="114"/>
  <c r="G12" i="114"/>
  <c r="F12" i="114"/>
  <c r="E12" i="114"/>
  <c r="D12" i="114"/>
  <c r="C12" i="114"/>
  <c r="B12" i="114"/>
  <c r="AH11" i="114"/>
  <c r="AG11" i="114"/>
  <c r="AF11" i="114"/>
  <c r="AE11" i="114"/>
  <c r="AD11" i="114"/>
  <c r="AC11" i="114"/>
  <c r="AB11" i="114"/>
  <c r="AA11" i="114"/>
  <c r="Z11" i="114"/>
  <c r="Y11" i="114"/>
  <c r="X11" i="114"/>
  <c r="W11" i="114"/>
  <c r="V11" i="114"/>
  <c r="U11" i="114"/>
  <c r="T11" i="114"/>
  <c r="S11" i="114"/>
  <c r="Q11" i="114"/>
  <c r="O11" i="114"/>
  <c r="N11" i="114"/>
  <c r="M11" i="114"/>
  <c r="L11" i="114"/>
  <c r="K11" i="114"/>
  <c r="J11" i="114"/>
  <c r="I11" i="114"/>
  <c r="H11" i="114"/>
  <c r="G11" i="114"/>
  <c r="F11" i="114"/>
  <c r="E11" i="114"/>
  <c r="D11" i="114"/>
  <c r="C11" i="114"/>
  <c r="B11" i="114"/>
  <c r="AH10" i="114"/>
  <c r="AG10" i="114"/>
  <c r="AF10" i="114"/>
  <c r="AE10" i="114"/>
  <c r="AD10" i="114"/>
  <c r="AC10" i="114"/>
  <c r="AB10" i="114"/>
  <c r="AA10" i="114"/>
  <c r="Z10" i="114"/>
  <c r="Y10" i="114"/>
  <c r="X10" i="114"/>
  <c r="W10" i="114"/>
  <c r="V10" i="114"/>
  <c r="U10" i="114"/>
  <c r="T10" i="114"/>
  <c r="S10" i="114"/>
  <c r="Q10" i="114"/>
  <c r="O10" i="114"/>
  <c r="N10" i="114"/>
  <c r="M10" i="114"/>
  <c r="L10" i="114"/>
  <c r="K10" i="114"/>
  <c r="J10" i="114"/>
  <c r="I10" i="114"/>
  <c r="H10" i="114"/>
  <c r="G10" i="114"/>
  <c r="F10" i="114"/>
  <c r="E10" i="114"/>
  <c r="D10" i="114"/>
  <c r="C10" i="114"/>
  <c r="B10" i="114"/>
  <c r="AH9" i="114"/>
  <c r="AG9" i="114"/>
  <c r="AF9" i="114"/>
  <c r="AE9" i="114"/>
  <c r="AD9" i="114"/>
  <c r="AC9" i="114"/>
  <c r="AB9" i="114"/>
  <c r="AA9" i="114"/>
  <c r="Z9" i="114"/>
  <c r="Y9" i="114"/>
  <c r="X9" i="114"/>
  <c r="W9" i="114"/>
  <c r="V9" i="114"/>
  <c r="U9" i="114"/>
  <c r="T9" i="114"/>
  <c r="S9" i="114"/>
  <c r="Q9" i="114"/>
  <c r="O9" i="114"/>
  <c r="N9" i="114"/>
  <c r="M9" i="114"/>
  <c r="L9" i="114"/>
  <c r="K9" i="114"/>
  <c r="J9" i="114"/>
  <c r="I9" i="114"/>
  <c r="H9" i="114"/>
  <c r="G9" i="114"/>
  <c r="F9" i="114"/>
  <c r="E9" i="114"/>
  <c r="D9" i="114"/>
  <c r="C9" i="114"/>
  <c r="B9" i="114"/>
  <c r="AH8" i="114"/>
  <c r="AG8" i="114"/>
  <c r="AF8" i="114"/>
  <c r="AE8" i="114"/>
  <c r="AD8" i="114"/>
  <c r="AC8" i="114"/>
  <c r="AB8" i="114"/>
  <c r="AA8" i="114"/>
  <c r="Z8" i="114"/>
  <c r="Y8" i="114"/>
  <c r="X8" i="114"/>
  <c r="W8" i="114"/>
  <c r="V8" i="114"/>
  <c r="U8" i="114"/>
  <c r="T8" i="114"/>
  <c r="S8" i="114"/>
  <c r="Q8" i="114"/>
  <c r="O8" i="114"/>
  <c r="N8" i="114"/>
  <c r="M8" i="114"/>
  <c r="L8" i="114"/>
  <c r="K8" i="114"/>
  <c r="J8" i="114"/>
  <c r="I8" i="114"/>
  <c r="H8" i="114"/>
  <c r="G8" i="114"/>
  <c r="F8" i="114"/>
  <c r="E8" i="114"/>
  <c r="D8" i="114"/>
  <c r="C8" i="114"/>
  <c r="B8" i="114"/>
  <c r="AH7" i="114"/>
  <c r="AG7" i="114"/>
  <c r="AF7" i="114"/>
  <c r="AE7" i="114"/>
  <c r="AD7" i="114"/>
  <c r="AC7" i="114"/>
  <c r="AB7" i="114"/>
  <c r="AA7" i="114"/>
  <c r="Z7" i="114"/>
  <c r="Y7" i="114"/>
  <c r="X7" i="114"/>
  <c r="W7" i="114"/>
  <c r="V7" i="114"/>
  <c r="U7" i="114"/>
  <c r="T7" i="114"/>
  <c r="S7" i="114"/>
  <c r="Q7" i="114"/>
  <c r="O7" i="114"/>
  <c r="N7" i="114"/>
  <c r="M7" i="114"/>
  <c r="L7" i="114"/>
  <c r="K7" i="114"/>
  <c r="J7" i="114"/>
  <c r="I7" i="114"/>
  <c r="H7" i="114"/>
  <c r="G7" i="114"/>
  <c r="F7" i="114"/>
  <c r="E7" i="114"/>
  <c r="D7" i="114"/>
  <c r="C7" i="114"/>
  <c r="B7" i="114"/>
  <c r="AH6" i="114"/>
  <c r="AG6" i="114"/>
  <c r="AF6" i="114"/>
  <c r="AE6" i="114"/>
  <c r="AD6" i="114"/>
  <c r="AC6" i="114"/>
  <c r="AB6" i="114"/>
  <c r="AA6" i="114"/>
  <c r="Z6" i="114"/>
  <c r="Y6" i="114"/>
  <c r="X6" i="114"/>
  <c r="W6" i="114"/>
  <c r="V6" i="114"/>
  <c r="U6" i="114"/>
  <c r="T6" i="114"/>
  <c r="S6" i="114"/>
  <c r="Q6" i="114"/>
  <c r="O6" i="114"/>
  <c r="N6" i="114"/>
  <c r="M6" i="114"/>
  <c r="L6" i="114"/>
  <c r="K6" i="114"/>
  <c r="J6" i="114"/>
  <c r="I6" i="114"/>
  <c r="H6" i="114"/>
  <c r="G6" i="114"/>
  <c r="F6" i="114"/>
  <c r="E6" i="114"/>
  <c r="D6" i="114"/>
  <c r="C6" i="114"/>
  <c r="B6" i="114"/>
  <c r="AH5" i="114"/>
  <c r="AG5" i="114"/>
  <c r="AF5" i="114"/>
  <c r="AE5" i="114"/>
  <c r="AD5" i="114"/>
  <c r="AC5" i="114"/>
  <c r="AB5" i="114"/>
  <c r="AA5" i="114"/>
  <c r="Z5" i="114"/>
  <c r="Y5" i="114"/>
  <c r="X5" i="114"/>
  <c r="W5" i="114"/>
  <c r="V5" i="114"/>
  <c r="U5" i="114"/>
  <c r="T5" i="114"/>
  <c r="S5" i="114"/>
  <c r="Q5" i="114"/>
  <c r="O5" i="114"/>
  <c r="N5" i="114"/>
  <c r="M5" i="114"/>
  <c r="L5" i="114"/>
  <c r="K5" i="114"/>
  <c r="J5" i="114"/>
  <c r="I5" i="114"/>
  <c r="H5" i="114"/>
  <c r="G5" i="114"/>
  <c r="F5" i="114"/>
  <c r="E5" i="114"/>
  <c r="D5" i="114"/>
  <c r="C5" i="114"/>
  <c r="B5" i="114"/>
  <c r="AH4" i="114"/>
  <c r="AG4" i="114"/>
  <c r="AF4" i="114"/>
  <c r="AE4" i="114"/>
  <c r="AD4" i="114"/>
  <c r="AC4" i="114"/>
  <c r="AB4" i="114"/>
  <c r="AA4" i="114"/>
  <c r="Z4" i="114"/>
  <c r="Y4" i="114"/>
  <c r="X4" i="114"/>
  <c r="W4" i="114"/>
  <c r="V4" i="114"/>
  <c r="U4" i="114"/>
  <c r="T4" i="114"/>
  <c r="S4" i="114"/>
  <c r="Q4" i="114"/>
  <c r="O4" i="114"/>
  <c r="N4" i="114"/>
  <c r="M4" i="114"/>
  <c r="L4" i="114"/>
  <c r="K4" i="114"/>
  <c r="J4" i="114"/>
  <c r="I4" i="114"/>
  <c r="H4" i="114"/>
  <c r="G4" i="114"/>
  <c r="F4" i="114"/>
  <c r="E4" i="114"/>
  <c r="D4" i="114"/>
  <c r="C4" i="114"/>
  <c r="B4" i="114"/>
  <c r="AH3" i="114"/>
  <c r="AG3" i="114"/>
  <c r="AF3" i="114"/>
  <c r="AE3" i="114"/>
  <c r="AD3" i="114"/>
  <c r="AC3" i="114"/>
  <c r="AB3" i="114"/>
  <c r="AA3" i="114"/>
  <c r="Z3" i="114"/>
  <c r="Y3" i="114"/>
  <c r="X3" i="114"/>
  <c r="W3" i="114"/>
  <c r="V3" i="114"/>
  <c r="U3" i="114"/>
  <c r="T3" i="114"/>
  <c r="S3" i="114"/>
  <c r="Q3" i="114"/>
  <c r="O3" i="114"/>
  <c r="N3" i="114"/>
  <c r="M3" i="114"/>
  <c r="L3" i="114"/>
  <c r="K3" i="114"/>
  <c r="J3" i="114"/>
  <c r="I3" i="114"/>
  <c r="H3" i="114"/>
  <c r="G3" i="114"/>
  <c r="F3" i="114"/>
  <c r="E3" i="114"/>
  <c r="D3" i="114"/>
  <c r="C3" i="114"/>
  <c r="B3" i="114"/>
  <c r="AG76" i="115"/>
  <c r="AF76" i="115"/>
  <c r="G57" i="16" s="1"/>
  <c r="AE76" i="115"/>
  <c r="G55" i="16" s="1"/>
  <c r="AB76" i="115"/>
  <c r="AA76" i="115"/>
  <c r="Z76" i="115"/>
  <c r="Y76" i="115"/>
  <c r="V76" i="115"/>
  <c r="U76" i="115"/>
  <c r="S76" i="115"/>
  <c r="R76" i="115"/>
  <c r="Q76" i="115"/>
  <c r="P76" i="115"/>
  <c r="O76" i="115"/>
  <c r="N76" i="115"/>
  <c r="M76" i="115"/>
  <c r="L76" i="115"/>
  <c r="G17" i="16" s="1"/>
  <c r="J76" i="115"/>
  <c r="I76" i="115"/>
  <c r="H76" i="115"/>
  <c r="G21" i="16" s="1"/>
  <c r="G76" i="115"/>
  <c r="F76" i="115"/>
  <c r="B76" i="115"/>
  <c r="AG75" i="115"/>
  <c r="AF75" i="115"/>
  <c r="AB75" i="115"/>
  <c r="AA75" i="115"/>
  <c r="Z75" i="115"/>
  <c r="Y75" i="115"/>
  <c r="V75" i="115"/>
  <c r="U75" i="115"/>
  <c r="T75" i="115"/>
  <c r="R14" i="16" s="1"/>
  <c r="S75" i="115"/>
  <c r="R75" i="115"/>
  <c r="Q75" i="115"/>
  <c r="P75" i="115"/>
  <c r="O75" i="115"/>
  <c r="N75" i="115"/>
  <c r="M75" i="115"/>
  <c r="L75" i="115"/>
  <c r="N17" i="16" s="1"/>
  <c r="J75" i="115"/>
  <c r="I75" i="115"/>
  <c r="G75" i="115"/>
  <c r="F75" i="115"/>
  <c r="D75" i="115"/>
  <c r="R7" i="16" s="1"/>
  <c r="F27" i="19" s="1"/>
  <c r="F28" i="19" s="1"/>
  <c r="B75" i="115"/>
  <c r="CU74" i="115"/>
  <c r="AT12" i="122" s="1"/>
  <c r="CS74" i="115"/>
  <c r="CT74" i="115" s="1"/>
  <c r="AT3" i="122" s="1"/>
  <c r="AG74" i="115"/>
  <c r="AF74" i="115"/>
  <c r="AE74" i="115"/>
  <c r="AE75" i="115" s="1"/>
  <c r="R55" i="16" s="1"/>
  <c r="AD74" i="115"/>
  <c r="AC74" i="115"/>
  <c r="AB74" i="115"/>
  <c r="AA74" i="115"/>
  <c r="Z74" i="115"/>
  <c r="Y74" i="115"/>
  <c r="X74" i="115"/>
  <c r="X76" i="115" s="1"/>
  <c r="G41" i="16" s="1"/>
  <c r="W74" i="115"/>
  <c r="V74" i="115"/>
  <c r="U74" i="115"/>
  <c r="T74" i="115"/>
  <c r="S74" i="115"/>
  <c r="R74" i="115"/>
  <c r="Q74" i="115"/>
  <c r="P74" i="115"/>
  <c r="O74" i="115"/>
  <c r="N74" i="115"/>
  <c r="M74" i="115"/>
  <c r="L74" i="115"/>
  <c r="K74" i="115"/>
  <c r="J74" i="115"/>
  <c r="I74" i="115"/>
  <c r="H74" i="115"/>
  <c r="G74" i="115"/>
  <c r="F74" i="115"/>
  <c r="E74" i="115"/>
  <c r="E76" i="115" s="1"/>
  <c r="D74" i="115"/>
  <c r="C74" i="115"/>
  <c r="B74" i="115"/>
  <c r="CV73" i="115"/>
  <c r="CU73" i="115"/>
  <c r="CT73" i="115"/>
  <c r="CS73" i="115"/>
  <c r="AG73" i="115"/>
  <c r="AF73" i="115"/>
  <c r="AE73" i="115"/>
  <c r="AD73" i="115"/>
  <c r="AC73" i="115"/>
  <c r="AB73" i="115"/>
  <c r="AA73" i="115"/>
  <c r="Z73" i="115"/>
  <c r="Y73" i="115"/>
  <c r="X73" i="115"/>
  <c r="W73" i="115"/>
  <c r="V73" i="115"/>
  <c r="U73" i="115"/>
  <c r="T73" i="115"/>
  <c r="S73" i="115"/>
  <c r="R73" i="115"/>
  <c r="Q73" i="115"/>
  <c r="P73" i="115"/>
  <c r="O73" i="115"/>
  <c r="N73" i="115"/>
  <c r="M73" i="115"/>
  <c r="L73" i="115"/>
  <c r="K73" i="115"/>
  <c r="J73" i="115"/>
  <c r="I73" i="115"/>
  <c r="H73" i="115"/>
  <c r="G73" i="115"/>
  <c r="F73" i="115"/>
  <c r="E73" i="115"/>
  <c r="D73" i="115"/>
  <c r="C73" i="115"/>
  <c r="B73" i="115"/>
  <c r="CU72" i="115"/>
  <c r="CS72" i="115"/>
  <c r="CT72" i="115" s="1"/>
  <c r="AG72" i="115"/>
  <c r="AF72" i="115"/>
  <c r="AE72" i="115"/>
  <c r="AD72" i="115"/>
  <c r="AC72" i="115"/>
  <c r="AB72" i="115"/>
  <c r="AA72" i="115"/>
  <c r="Z72" i="115"/>
  <c r="Y72" i="115"/>
  <c r="X72" i="115"/>
  <c r="W72" i="115"/>
  <c r="V72" i="115"/>
  <c r="U72" i="115"/>
  <c r="T72" i="115"/>
  <c r="S72" i="115"/>
  <c r="R72" i="115"/>
  <c r="Q72" i="115"/>
  <c r="P72" i="115"/>
  <c r="O72" i="115"/>
  <c r="N72" i="115"/>
  <c r="M72" i="115"/>
  <c r="L72" i="115"/>
  <c r="K72" i="115"/>
  <c r="J72" i="115"/>
  <c r="I72" i="115"/>
  <c r="H72" i="115"/>
  <c r="G72" i="115"/>
  <c r="F72" i="115"/>
  <c r="E72" i="115"/>
  <c r="D72" i="115"/>
  <c r="D76" i="115" s="1"/>
  <c r="G7" i="16" s="1"/>
  <c r="F26" i="19" s="1"/>
  <c r="C72" i="115"/>
  <c r="B72" i="115"/>
  <c r="CU71" i="115"/>
  <c r="CS71" i="115"/>
  <c r="CT71" i="115" s="1"/>
  <c r="AG71" i="115"/>
  <c r="AF71" i="115"/>
  <c r="AE71" i="115"/>
  <c r="AD71" i="115"/>
  <c r="AC71" i="115"/>
  <c r="AC75" i="115" s="1"/>
  <c r="AB71" i="115"/>
  <c r="AA71" i="115"/>
  <c r="Z71" i="115"/>
  <c r="Y71" i="115"/>
  <c r="X71" i="115"/>
  <c r="W71" i="115"/>
  <c r="V71" i="115"/>
  <c r="U71" i="115"/>
  <c r="T71" i="115"/>
  <c r="S71" i="115"/>
  <c r="R71" i="115"/>
  <c r="Q71" i="115"/>
  <c r="P71" i="115"/>
  <c r="O71" i="115"/>
  <c r="N71" i="115"/>
  <c r="M71" i="115"/>
  <c r="L71" i="115"/>
  <c r="K71" i="115"/>
  <c r="J71" i="115"/>
  <c r="I71" i="115"/>
  <c r="H71" i="115"/>
  <c r="G71" i="115"/>
  <c r="F71" i="115"/>
  <c r="E71" i="115"/>
  <c r="D71" i="115"/>
  <c r="C71" i="115"/>
  <c r="B71" i="115"/>
  <c r="CU70" i="115"/>
  <c r="CS70" i="115"/>
  <c r="CT70" i="115" s="1"/>
  <c r="AG70" i="115"/>
  <c r="AF70" i="115"/>
  <c r="AE70" i="115"/>
  <c r="AD70" i="115"/>
  <c r="AD76" i="115" s="1"/>
  <c r="G54" i="16" s="1"/>
  <c r="G61" i="16" s="1"/>
  <c r="AC70" i="115"/>
  <c r="AB70" i="115"/>
  <c r="AA70" i="115"/>
  <c r="Z70" i="115"/>
  <c r="Y70" i="115"/>
  <c r="X70" i="115"/>
  <c r="W70" i="115"/>
  <c r="V70" i="115"/>
  <c r="U70" i="115"/>
  <c r="T70" i="115"/>
  <c r="T76" i="115" s="1"/>
  <c r="G14" i="16" s="1"/>
  <c r="S70" i="115"/>
  <c r="R70" i="115"/>
  <c r="Q70" i="115"/>
  <c r="P70" i="115"/>
  <c r="O70" i="115"/>
  <c r="N70" i="115"/>
  <c r="M70" i="115"/>
  <c r="L70" i="115"/>
  <c r="K70" i="115"/>
  <c r="K76" i="115" s="1"/>
  <c r="G16" i="16" s="1"/>
  <c r="J70" i="115"/>
  <c r="I70" i="115"/>
  <c r="H70" i="115"/>
  <c r="H75" i="115" s="1"/>
  <c r="G70" i="115"/>
  <c r="F70" i="115"/>
  <c r="E70" i="115"/>
  <c r="D70" i="115"/>
  <c r="C70" i="115"/>
  <c r="C75" i="115" s="1"/>
  <c r="B70" i="115"/>
  <c r="CU69" i="115"/>
  <c r="CV69" i="115" s="1"/>
  <c r="AG69" i="115"/>
  <c r="AF69" i="115"/>
  <c r="CS69" i="115" s="1"/>
  <c r="CT69" i="115" s="1"/>
  <c r="AE69" i="115"/>
  <c r="AD69" i="115"/>
  <c r="AC69" i="115"/>
  <c r="AB69" i="115"/>
  <c r="AA69" i="115"/>
  <c r="Z69" i="115"/>
  <c r="Y69" i="115"/>
  <c r="X69" i="115"/>
  <c r="W69" i="115"/>
  <c r="V69" i="115"/>
  <c r="U69" i="115"/>
  <c r="T69" i="115"/>
  <c r="S69" i="115"/>
  <c r="R69" i="115"/>
  <c r="Q69" i="115"/>
  <c r="P69" i="115"/>
  <c r="O69" i="115"/>
  <c r="N69" i="115"/>
  <c r="M69" i="115"/>
  <c r="L69" i="115"/>
  <c r="K69" i="115"/>
  <c r="J69" i="115"/>
  <c r="I69" i="115"/>
  <c r="H69" i="115"/>
  <c r="G69" i="115"/>
  <c r="F69" i="115"/>
  <c r="E69" i="115"/>
  <c r="D69" i="115"/>
  <c r="C69" i="115"/>
  <c r="B69" i="115"/>
  <c r="CV68" i="115"/>
  <c r="CU68" i="115"/>
  <c r="CT68" i="115"/>
  <c r="CS68" i="115"/>
  <c r="AG68" i="115"/>
  <c r="AF68" i="115"/>
  <c r="AE68" i="115"/>
  <c r="AD68" i="115"/>
  <c r="AC68" i="115"/>
  <c r="AB68" i="115"/>
  <c r="AA68" i="115"/>
  <c r="Z68" i="115"/>
  <c r="Y68" i="115"/>
  <c r="X68" i="115"/>
  <c r="W68" i="115"/>
  <c r="V68" i="115"/>
  <c r="U68" i="115"/>
  <c r="T68" i="115"/>
  <c r="S68" i="115"/>
  <c r="R68" i="115"/>
  <c r="Q68" i="115"/>
  <c r="P68" i="115"/>
  <c r="O68" i="115"/>
  <c r="N68" i="115"/>
  <c r="M68" i="115"/>
  <c r="L68" i="115"/>
  <c r="K68" i="115"/>
  <c r="J68" i="115"/>
  <c r="I68" i="115"/>
  <c r="H68" i="115"/>
  <c r="G68" i="115"/>
  <c r="F68" i="115"/>
  <c r="E68" i="115"/>
  <c r="D68" i="115"/>
  <c r="C68" i="115"/>
  <c r="B68" i="115"/>
  <c r="CV67" i="115"/>
  <c r="CU67" i="115"/>
  <c r="CT67" i="115"/>
  <c r="CS67" i="115"/>
  <c r="AG67" i="115"/>
  <c r="AF67" i="115"/>
  <c r="AE67" i="115"/>
  <c r="AD67" i="115"/>
  <c r="AC67" i="115"/>
  <c r="AB67" i="115"/>
  <c r="AA67" i="115"/>
  <c r="Z67" i="115"/>
  <c r="Y67" i="115"/>
  <c r="X67" i="115"/>
  <c r="W67" i="115"/>
  <c r="V67" i="115"/>
  <c r="U67" i="115"/>
  <c r="T67" i="115"/>
  <c r="S67" i="115"/>
  <c r="R67" i="115"/>
  <c r="Q67" i="115"/>
  <c r="P67" i="115"/>
  <c r="O67" i="115"/>
  <c r="N67" i="115"/>
  <c r="M67" i="115"/>
  <c r="L67" i="115"/>
  <c r="K67" i="115"/>
  <c r="J67" i="115"/>
  <c r="I67" i="115"/>
  <c r="H67" i="115"/>
  <c r="G67" i="115"/>
  <c r="F67" i="115"/>
  <c r="E67" i="115"/>
  <c r="D67" i="115"/>
  <c r="C67" i="115"/>
  <c r="B67" i="115"/>
  <c r="CV66" i="115"/>
  <c r="CU66" i="115"/>
  <c r="CT66" i="115"/>
  <c r="CS66" i="115"/>
  <c r="AG66" i="115"/>
  <c r="AF66" i="115"/>
  <c r="AE66" i="115"/>
  <c r="AD66" i="115"/>
  <c r="AC66" i="115"/>
  <c r="AB66" i="115"/>
  <c r="AA66" i="115"/>
  <c r="Z66" i="115"/>
  <c r="Y66" i="115"/>
  <c r="X66" i="115"/>
  <c r="W66" i="115"/>
  <c r="V66" i="115"/>
  <c r="U66" i="115"/>
  <c r="T66" i="115"/>
  <c r="S66" i="115"/>
  <c r="R66" i="115"/>
  <c r="Q66" i="115"/>
  <c r="P66" i="115"/>
  <c r="O66" i="115"/>
  <c r="N66" i="115"/>
  <c r="M66" i="115"/>
  <c r="L66" i="115"/>
  <c r="K66" i="115"/>
  <c r="J66" i="115"/>
  <c r="I66" i="115"/>
  <c r="H66" i="115"/>
  <c r="G66" i="115"/>
  <c r="F66" i="115"/>
  <c r="E66" i="115"/>
  <c r="D66" i="115"/>
  <c r="C66" i="115"/>
  <c r="B66" i="115"/>
  <c r="CV65" i="115"/>
  <c r="CU65" i="115"/>
  <c r="CT65" i="115"/>
  <c r="CS65" i="115"/>
  <c r="AG65" i="115"/>
  <c r="AF65" i="115"/>
  <c r="AE65" i="115"/>
  <c r="AD65" i="115"/>
  <c r="AC65" i="115"/>
  <c r="AB65" i="115"/>
  <c r="AA65" i="115"/>
  <c r="Z65" i="115"/>
  <c r="Y65" i="115"/>
  <c r="X65" i="115"/>
  <c r="W65" i="115"/>
  <c r="V65" i="115"/>
  <c r="U65" i="115"/>
  <c r="T65" i="115"/>
  <c r="S65" i="115"/>
  <c r="R65" i="115"/>
  <c r="Q65" i="115"/>
  <c r="P65" i="115"/>
  <c r="O65" i="115"/>
  <c r="N65" i="115"/>
  <c r="M65" i="115"/>
  <c r="L65" i="115"/>
  <c r="K65" i="115"/>
  <c r="J65" i="115"/>
  <c r="I65" i="115"/>
  <c r="H65" i="115"/>
  <c r="G65" i="115"/>
  <c r="F65" i="115"/>
  <c r="E65" i="115"/>
  <c r="D65" i="115"/>
  <c r="C65" i="115"/>
  <c r="B65" i="115"/>
  <c r="CV64" i="115"/>
  <c r="CU64" i="115"/>
  <c r="CT64" i="115"/>
  <c r="CS64" i="115"/>
  <c r="AG64" i="115"/>
  <c r="AF64" i="115"/>
  <c r="AE64" i="115"/>
  <c r="AD64" i="115"/>
  <c r="AC64" i="115"/>
  <c r="AB64" i="115"/>
  <c r="AA64" i="115"/>
  <c r="Z64" i="115"/>
  <c r="Y64" i="115"/>
  <c r="X64" i="115"/>
  <c r="W64" i="115"/>
  <c r="V64" i="115"/>
  <c r="U64" i="115"/>
  <c r="T64" i="115"/>
  <c r="S64" i="115"/>
  <c r="R64" i="115"/>
  <c r="Q64" i="115"/>
  <c r="P64" i="115"/>
  <c r="O64" i="115"/>
  <c r="N64" i="115"/>
  <c r="M64" i="115"/>
  <c r="L64" i="115"/>
  <c r="K64" i="115"/>
  <c r="J64" i="115"/>
  <c r="I64" i="115"/>
  <c r="H64" i="115"/>
  <c r="G64" i="115"/>
  <c r="F64" i="115"/>
  <c r="E64" i="115"/>
  <c r="D64" i="115"/>
  <c r="C64" i="115"/>
  <c r="B64" i="115"/>
  <c r="CV63" i="115"/>
  <c r="CU63" i="115"/>
  <c r="CT63" i="115"/>
  <c r="CS63" i="115"/>
  <c r="AG63" i="115"/>
  <c r="AF63" i="115"/>
  <c r="AE63" i="115"/>
  <c r="AD63" i="115"/>
  <c r="AC63" i="115"/>
  <c r="AB63" i="115"/>
  <c r="AA63" i="115"/>
  <c r="Z63" i="115"/>
  <c r="Y63" i="115"/>
  <c r="X63" i="115"/>
  <c r="W63" i="115"/>
  <c r="V63" i="115"/>
  <c r="U63" i="115"/>
  <c r="T63" i="115"/>
  <c r="S63" i="115"/>
  <c r="R63" i="115"/>
  <c r="Q63" i="115"/>
  <c r="P63" i="115"/>
  <c r="O63" i="115"/>
  <c r="N63" i="115"/>
  <c r="M63" i="115"/>
  <c r="L63" i="115"/>
  <c r="K63" i="115"/>
  <c r="J63" i="115"/>
  <c r="I63" i="115"/>
  <c r="H63" i="115"/>
  <c r="G63" i="115"/>
  <c r="F63" i="115"/>
  <c r="E63" i="115"/>
  <c r="D63" i="115"/>
  <c r="C63" i="115"/>
  <c r="B63" i="115"/>
  <c r="AG62" i="115"/>
  <c r="AF62" i="115"/>
  <c r="AE62" i="115"/>
  <c r="AD62" i="115"/>
  <c r="AC62" i="115"/>
  <c r="AB62" i="115"/>
  <c r="AA62" i="115"/>
  <c r="Z62" i="115"/>
  <c r="Y62" i="115"/>
  <c r="X62" i="115"/>
  <c r="W62" i="115"/>
  <c r="V62" i="115"/>
  <c r="U62" i="115"/>
  <c r="T62" i="115"/>
  <c r="S62" i="115"/>
  <c r="R62" i="115"/>
  <c r="Q62" i="115"/>
  <c r="O62" i="115"/>
  <c r="N62" i="115"/>
  <c r="M62" i="115"/>
  <c r="L62" i="115"/>
  <c r="K62" i="115"/>
  <c r="J62" i="115"/>
  <c r="I62" i="115"/>
  <c r="H62" i="115"/>
  <c r="G62" i="115"/>
  <c r="F62" i="115"/>
  <c r="E62" i="115"/>
  <c r="D62" i="115"/>
  <c r="C62" i="115"/>
  <c r="B62" i="115"/>
  <c r="AG61" i="115"/>
  <c r="AF61" i="115"/>
  <c r="AE61" i="115"/>
  <c r="AD61" i="115"/>
  <c r="AC61" i="115"/>
  <c r="AB61" i="115"/>
  <c r="AA61" i="115"/>
  <c r="Z61" i="115"/>
  <c r="Y61" i="115"/>
  <c r="X61" i="115"/>
  <c r="W61" i="115"/>
  <c r="V61" i="115"/>
  <c r="U61" i="115"/>
  <c r="T61" i="115"/>
  <c r="S61" i="115"/>
  <c r="R61" i="115"/>
  <c r="Q61" i="115"/>
  <c r="O61" i="115"/>
  <c r="N61" i="115"/>
  <c r="M61" i="115"/>
  <c r="L61" i="115"/>
  <c r="K61" i="115"/>
  <c r="J61" i="115"/>
  <c r="I61" i="115"/>
  <c r="H61" i="115"/>
  <c r="G61" i="115"/>
  <c r="F61" i="115"/>
  <c r="E61" i="115"/>
  <c r="D61" i="115"/>
  <c r="C61" i="115"/>
  <c r="B61" i="115"/>
  <c r="AG60" i="115"/>
  <c r="AF60" i="115"/>
  <c r="AE60" i="115"/>
  <c r="AD60" i="115"/>
  <c r="AC60" i="115"/>
  <c r="AB60" i="115"/>
  <c r="AA60" i="115"/>
  <c r="Z60" i="115"/>
  <c r="Y60" i="115"/>
  <c r="X60" i="115"/>
  <c r="W60" i="115"/>
  <c r="V60" i="115"/>
  <c r="U60" i="115"/>
  <c r="T60" i="115"/>
  <c r="S60" i="115"/>
  <c r="R60" i="115"/>
  <c r="Q60" i="115"/>
  <c r="O60" i="115"/>
  <c r="N60" i="115"/>
  <c r="M60" i="115"/>
  <c r="L60" i="115"/>
  <c r="K60" i="115"/>
  <c r="J60" i="115"/>
  <c r="I60" i="115"/>
  <c r="H60" i="115"/>
  <c r="G60" i="115"/>
  <c r="F60" i="115"/>
  <c r="E60" i="115"/>
  <c r="D60" i="115"/>
  <c r="C60" i="115"/>
  <c r="B60" i="115"/>
  <c r="AG59" i="115"/>
  <c r="AF59" i="115"/>
  <c r="AE59" i="115"/>
  <c r="AD59" i="115"/>
  <c r="AC59" i="115"/>
  <c r="AB59" i="115"/>
  <c r="AA59" i="115"/>
  <c r="Z59" i="115"/>
  <c r="Y59" i="115"/>
  <c r="X59" i="115"/>
  <c r="W59" i="115"/>
  <c r="V59" i="115"/>
  <c r="U59" i="115"/>
  <c r="T59" i="115"/>
  <c r="S59" i="115"/>
  <c r="R59" i="115"/>
  <c r="Q59" i="115"/>
  <c r="O59" i="115"/>
  <c r="N59" i="115"/>
  <c r="M59" i="115"/>
  <c r="L59" i="115"/>
  <c r="K59" i="115"/>
  <c r="J59" i="115"/>
  <c r="I59" i="115"/>
  <c r="H59" i="115"/>
  <c r="G59" i="115"/>
  <c r="F59" i="115"/>
  <c r="E59" i="115"/>
  <c r="D59" i="115"/>
  <c r="C59" i="115"/>
  <c r="B59" i="115"/>
  <c r="AG58" i="115"/>
  <c r="AF58" i="115"/>
  <c r="AE58" i="115"/>
  <c r="AD58" i="115"/>
  <c r="AC58" i="115"/>
  <c r="AB58" i="115"/>
  <c r="AA58" i="115"/>
  <c r="Z58" i="115"/>
  <c r="Y58" i="115"/>
  <c r="X58" i="115"/>
  <c r="W58" i="115"/>
  <c r="V58" i="115"/>
  <c r="U58" i="115"/>
  <c r="T58" i="115"/>
  <c r="S58" i="115"/>
  <c r="R58" i="115"/>
  <c r="Q58" i="115"/>
  <c r="O58" i="115"/>
  <c r="N58" i="115"/>
  <c r="M58" i="115"/>
  <c r="L58" i="115"/>
  <c r="K58" i="115"/>
  <c r="J58" i="115"/>
  <c r="I58" i="115"/>
  <c r="H58" i="115"/>
  <c r="G58" i="115"/>
  <c r="F58" i="115"/>
  <c r="E58" i="115"/>
  <c r="D58" i="115"/>
  <c r="C58" i="115"/>
  <c r="B58" i="115"/>
  <c r="AG57" i="115"/>
  <c r="AF57" i="115"/>
  <c r="AE57" i="115"/>
  <c r="AD57" i="115"/>
  <c r="AC57" i="115"/>
  <c r="AB57" i="115"/>
  <c r="AA57" i="115"/>
  <c r="Z57" i="115"/>
  <c r="Y57" i="115"/>
  <c r="X57" i="115"/>
  <c r="W57" i="115"/>
  <c r="V57" i="115"/>
  <c r="U57" i="115"/>
  <c r="T57" i="115"/>
  <c r="S57" i="115"/>
  <c r="R57" i="115"/>
  <c r="Q57" i="115"/>
  <c r="O57" i="115"/>
  <c r="N57" i="115"/>
  <c r="M57" i="115"/>
  <c r="L57" i="115"/>
  <c r="K57" i="115"/>
  <c r="J57" i="115"/>
  <c r="I57" i="115"/>
  <c r="H57" i="115"/>
  <c r="G57" i="115"/>
  <c r="F57" i="115"/>
  <c r="E57" i="115"/>
  <c r="D57" i="115"/>
  <c r="C57" i="115"/>
  <c r="B57" i="115"/>
  <c r="AG56" i="115"/>
  <c r="AF56" i="115"/>
  <c r="AE56" i="115"/>
  <c r="AD56" i="115"/>
  <c r="AC56" i="115"/>
  <c r="AB56" i="115"/>
  <c r="AA56" i="115"/>
  <c r="Z56" i="115"/>
  <c r="Y56" i="115"/>
  <c r="X56" i="115"/>
  <c r="W56" i="115"/>
  <c r="V56" i="115"/>
  <c r="U56" i="115"/>
  <c r="T56" i="115"/>
  <c r="S56" i="115"/>
  <c r="R56" i="115"/>
  <c r="Q56" i="115"/>
  <c r="O56" i="115"/>
  <c r="N56" i="115"/>
  <c r="M56" i="115"/>
  <c r="L56" i="115"/>
  <c r="K56" i="115"/>
  <c r="J56" i="115"/>
  <c r="I56" i="115"/>
  <c r="H56" i="115"/>
  <c r="G56" i="115"/>
  <c r="F56" i="115"/>
  <c r="E56" i="115"/>
  <c r="D56" i="115"/>
  <c r="C56" i="115"/>
  <c r="B56" i="115"/>
  <c r="AG55" i="115"/>
  <c r="AF55" i="115"/>
  <c r="AE55" i="115"/>
  <c r="AD55" i="115"/>
  <c r="AC55" i="115"/>
  <c r="AB55" i="115"/>
  <c r="AA55" i="115"/>
  <c r="Z55" i="115"/>
  <c r="Y55" i="115"/>
  <c r="X55" i="115"/>
  <c r="W55" i="115"/>
  <c r="V55" i="115"/>
  <c r="U55" i="115"/>
  <c r="T55" i="115"/>
  <c r="S55" i="115"/>
  <c r="R55" i="115"/>
  <c r="Q55" i="115"/>
  <c r="O55" i="115"/>
  <c r="N55" i="115"/>
  <c r="M55" i="115"/>
  <c r="L55" i="115"/>
  <c r="K55" i="115"/>
  <c r="J55" i="115"/>
  <c r="I55" i="115"/>
  <c r="H55" i="115"/>
  <c r="G55" i="115"/>
  <c r="F55" i="115"/>
  <c r="E55" i="115"/>
  <c r="D55" i="115"/>
  <c r="C55" i="115"/>
  <c r="B55" i="115"/>
  <c r="AG54" i="115"/>
  <c r="AF54" i="115"/>
  <c r="AE54" i="115"/>
  <c r="AD54" i="115"/>
  <c r="AC54" i="115"/>
  <c r="AB54" i="115"/>
  <c r="AA54" i="115"/>
  <c r="Z54" i="115"/>
  <c r="Y54" i="115"/>
  <c r="X54" i="115"/>
  <c r="W54" i="115"/>
  <c r="V54" i="115"/>
  <c r="U54" i="115"/>
  <c r="T54" i="115"/>
  <c r="S54" i="115"/>
  <c r="R54" i="115"/>
  <c r="Q54" i="115"/>
  <c r="O54" i="115"/>
  <c r="N54" i="115"/>
  <c r="M54" i="115"/>
  <c r="L54" i="115"/>
  <c r="K54" i="115"/>
  <c r="J54" i="115"/>
  <c r="I54" i="115"/>
  <c r="H54" i="115"/>
  <c r="G54" i="115"/>
  <c r="F54" i="115"/>
  <c r="E54" i="115"/>
  <c r="D54" i="115"/>
  <c r="C54" i="115"/>
  <c r="B54" i="115"/>
  <c r="AG53" i="115"/>
  <c r="AF53" i="115"/>
  <c r="AE53" i="115"/>
  <c r="AD53" i="115"/>
  <c r="AC53" i="115"/>
  <c r="AB53" i="115"/>
  <c r="AA53" i="115"/>
  <c r="Z53" i="115"/>
  <c r="Y53" i="115"/>
  <c r="X53" i="115"/>
  <c r="W53" i="115"/>
  <c r="V53" i="115"/>
  <c r="U53" i="115"/>
  <c r="T53" i="115"/>
  <c r="S53" i="115"/>
  <c r="R53" i="115"/>
  <c r="Q53" i="115"/>
  <c r="O53" i="115"/>
  <c r="N53" i="115"/>
  <c r="M53" i="115"/>
  <c r="L53" i="115"/>
  <c r="K53" i="115"/>
  <c r="J53" i="115"/>
  <c r="I53" i="115"/>
  <c r="H53" i="115"/>
  <c r="G53" i="115"/>
  <c r="F53" i="115"/>
  <c r="E53" i="115"/>
  <c r="D53" i="115"/>
  <c r="C53" i="115"/>
  <c r="B53" i="115"/>
  <c r="AG52" i="115"/>
  <c r="AF52" i="115"/>
  <c r="AE52" i="115"/>
  <c r="AD52" i="115"/>
  <c r="AC52" i="115"/>
  <c r="AB52" i="115"/>
  <c r="AA52" i="115"/>
  <c r="Z52" i="115"/>
  <c r="Y52" i="115"/>
  <c r="X52" i="115"/>
  <c r="W52" i="115"/>
  <c r="V52" i="115"/>
  <c r="U52" i="115"/>
  <c r="T52" i="115"/>
  <c r="S52" i="115"/>
  <c r="R52" i="115"/>
  <c r="Q52" i="115"/>
  <c r="O52" i="115"/>
  <c r="N52" i="115"/>
  <c r="M52" i="115"/>
  <c r="L52" i="115"/>
  <c r="K52" i="115"/>
  <c r="J52" i="115"/>
  <c r="I52" i="115"/>
  <c r="H52" i="115"/>
  <c r="G52" i="115"/>
  <c r="F52" i="115"/>
  <c r="E52" i="115"/>
  <c r="D52" i="115"/>
  <c r="C52" i="115"/>
  <c r="B52" i="115"/>
  <c r="AG51" i="115"/>
  <c r="AF51" i="115"/>
  <c r="AE51" i="115"/>
  <c r="AD51" i="115"/>
  <c r="AC51" i="115"/>
  <c r="AB51" i="115"/>
  <c r="AA51" i="115"/>
  <c r="Z51" i="115"/>
  <c r="Y51" i="115"/>
  <c r="X51" i="115"/>
  <c r="W51" i="115"/>
  <c r="V51" i="115"/>
  <c r="U51" i="115"/>
  <c r="T51" i="115"/>
  <c r="S51" i="115"/>
  <c r="R51" i="115"/>
  <c r="Q51" i="115"/>
  <c r="O51" i="115"/>
  <c r="N51" i="115"/>
  <c r="M51" i="115"/>
  <c r="L51" i="115"/>
  <c r="K51" i="115"/>
  <c r="J51" i="115"/>
  <c r="I51" i="115"/>
  <c r="H51" i="115"/>
  <c r="G51" i="115"/>
  <c r="F51" i="115"/>
  <c r="E51" i="115"/>
  <c r="D51" i="115"/>
  <c r="C51" i="115"/>
  <c r="B51" i="115"/>
  <c r="AG50" i="115"/>
  <c r="AF50" i="115"/>
  <c r="AE50" i="115"/>
  <c r="AD50" i="115"/>
  <c r="AC50" i="115"/>
  <c r="AB50" i="115"/>
  <c r="AA50" i="115"/>
  <c r="Z50" i="115"/>
  <c r="Y50" i="115"/>
  <c r="X50" i="115"/>
  <c r="W50" i="115"/>
  <c r="V50" i="115"/>
  <c r="U50" i="115"/>
  <c r="T50" i="115"/>
  <c r="S50" i="115"/>
  <c r="R50" i="115"/>
  <c r="Q50" i="115"/>
  <c r="O50" i="115"/>
  <c r="N50" i="115"/>
  <c r="M50" i="115"/>
  <c r="L50" i="115"/>
  <c r="K50" i="115"/>
  <c r="J50" i="115"/>
  <c r="I50" i="115"/>
  <c r="H50" i="115"/>
  <c r="G50" i="115"/>
  <c r="F50" i="115"/>
  <c r="E50" i="115"/>
  <c r="D50" i="115"/>
  <c r="C50" i="115"/>
  <c r="B50" i="115"/>
  <c r="AG49" i="115"/>
  <c r="AF49" i="115"/>
  <c r="AE49" i="115"/>
  <c r="AD49" i="115"/>
  <c r="AC49" i="115"/>
  <c r="AB49" i="115"/>
  <c r="AA49" i="115"/>
  <c r="Z49" i="115"/>
  <c r="Y49" i="115"/>
  <c r="X49" i="115"/>
  <c r="W49" i="115"/>
  <c r="V49" i="115"/>
  <c r="U49" i="115"/>
  <c r="T49" i="115"/>
  <c r="S49" i="115"/>
  <c r="R49" i="115"/>
  <c r="Q49" i="115"/>
  <c r="O49" i="115"/>
  <c r="N49" i="115"/>
  <c r="M49" i="115"/>
  <c r="L49" i="115"/>
  <c r="K49" i="115"/>
  <c r="J49" i="115"/>
  <c r="I49" i="115"/>
  <c r="H49" i="115"/>
  <c r="G49" i="115"/>
  <c r="F49" i="115"/>
  <c r="E49" i="115"/>
  <c r="D49" i="115"/>
  <c r="C49" i="115"/>
  <c r="B49" i="115"/>
  <c r="AG48" i="115"/>
  <c r="AF48" i="115"/>
  <c r="AE48" i="115"/>
  <c r="AD48" i="115"/>
  <c r="AC48" i="115"/>
  <c r="AB48" i="115"/>
  <c r="AA48" i="115"/>
  <c r="Z48" i="115"/>
  <c r="Y48" i="115"/>
  <c r="X48" i="115"/>
  <c r="W48" i="115"/>
  <c r="V48" i="115"/>
  <c r="U48" i="115"/>
  <c r="T48" i="115"/>
  <c r="S48" i="115"/>
  <c r="R48" i="115"/>
  <c r="Q48" i="115"/>
  <c r="O48" i="115"/>
  <c r="N48" i="115"/>
  <c r="M48" i="115"/>
  <c r="L48" i="115"/>
  <c r="K48" i="115"/>
  <c r="J48" i="115"/>
  <c r="I48" i="115"/>
  <c r="H48" i="115"/>
  <c r="G48" i="115"/>
  <c r="F48" i="115"/>
  <c r="E48" i="115"/>
  <c r="D48" i="115"/>
  <c r="C48" i="115"/>
  <c r="B48" i="115"/>
  <c r="AG47" i="115"/>
  <c r="AF47" i="115"/>
  <c r="AE47" i="115"/>
  <c r="AD47" i="115"/>
  <c r="AC47" i="115"/>
  <c r="AB47" i="115"/>
  <c r="AA47" i="115"/>
  <c r="Z47" i="115"/>
  <c r="Y47" i="115"/>
  <c r="X47" i="115"/>
  <c r="W47" i="115"/>
  <c r="V47" i="115"/>
  <c r="U47" i="115"/>
  <c r="T47" i="115"/>
  <c r="S47" i="115"/>
  <c r="R47" i="115"/>
  <c r="Q47" i="115"/>
  <c r="O47" i="115"/>
  <c r="N47" i="115"/>
  <c r="M47" i="115"/>
  <c r="L47" i="115"/>
  <c r="K47" i="115"/>
  <c r="J47" i="115"/>
  <c r="I47" i="115"/>
  <c r="H47" i="115"/>
  <c r="G47" i="115"/>
  <c r="F47" i="115"/>
  <c r="E47" i="115"/>
  <c r="D47" i="115"/>
  <c r="C47" i="115"/>
  <c r="B47" i="115"/>
  <c r="AG46" i="115"/>
  <c r="AF46" i="115"/>
  <c r="AE46" i="115"/>
  <c r="AD46" i="115"/>
  <c r="AC46" i="115"/>
  <c r="AB46" i="115"/>
  <c r="AA46" i="115"/>
  <c r="Z46" i="115"/>
  <c r="Y46" i="115"/>
  <c r="X46" i="115"/>
  <c r="W46" i="115"/>
  <c r="V46" i="115"/>
  <c r="U46" i="115"/>
  <c r="T46" i="115"/>
  <c r="S46" i="115"/>
  <c r="R46" i="115"/>
  <c r="Q46" i="115"/>
  <c r="O46" i="115"/>
  <c r="N46" i="115"/>
  <c r="M46" i="115"/>
  <c r="L46" i="115"/>
  <c r="K46" i="115"/>
  <c r="J46" i="115"/>
  <c r="I46" i="115"/>
  <c r="H46" i="115"/>
  <c r="G46" i="115"/>
  <c r="F46" i="115"/>
  <c r="E46" i="115"/>
  <c r="D46" i="115"/>
  <c r="C46" i="115"/>
  <c r="B46" i="115"/>
  <c r="AG45" i="115"/>
  <c r="AF45" i="115"/>
  <c r="AE45" i="115"/>
  <c r="AD45" i="115"/>
  <c r="AC45" i="115"/>
  <c r="AB45" i="115"/>
  <c r="AA45" i="115"/>
  <c r="Z45" i="115"/>
  <c r="Y45" i="115"/>
  <c r="X45" i="115"/>
  <c r="W45" i="115"/>
  <c r="V45" i="115"/>
  <c r="U45" i="115"/>
  <c r="T45" i="115"/>
  <c r="S45" i="115"/>
  <c r="R45" i="115"/>
  <c r="Q45" i="115"/>
  <c r="O45" i="115"/>
  <c r="N45" i="115"/>
  <c r="M45" i="115"/>
  <c r="L45" i="115"/>
  <c r="K45" i="115"/>
  <c r="J45" i="115"/>
  <c r="I45" i="115"/>
  <c r="H45" i="115"/>
  <c r="G45" i="115"/>
  <c r="F45" i="115"/>
  <c r="E45" i="115"/>
  <c r="D45" i="115"/>
  <c r="C45" i="115"/>
  <c r="B45" i="115"/>
  <c r="AG44" i="115"/>
  <c r="AF44" i="115"/>
  <c r="AE44" i="115"/>
  <c r="AD44" i="115"/>
  <c r="AC44" i="115"/>
  <c r="AB44" i="115"/>
  <c r="AA44" i="115"/>
  <c r="Z44" i="115"/>
  <c r="Y44" i="115"/>
  <c r="X44" i="115"/>
  <c r="W44" i="115"/>
  <c r="V44" i="115"/>
  <c r="U44" i="115"/>
  <c r="T44" i="115"/>
  <c r="S44" i="115"/>
  <c r="R44" i="115"/>
  <c r="Q44" i="115"/>
  <c r="O44" i="115"/>
  <c r="N44" i="115"/>
  <c r="M44" i="115"/>
  <c r="L44" i="115"/>
  <c r="K44" i="115"/>
  <c r="J44" i="115"/>
  <c r="I44" i="115"/>
  <c r="H44" i="115"/>
  <c r="G44" i="115"/>
  <c r="F44" i="115"/>
  <c r="E44" i="115"/>
  <c r="D44" i="115"/>
  <c r="C44" i="115"/>
  <c r="B44" i="115"/>
  <c r="AG43" i="115"/>
  <c r="AF43" i="115"/>
  <c r="AE43" i="115"/>
  <c r="AD43" i="115"/>
  <c r="AC43" i="115"/>
  <c r="AB43" i="115"/>
  <c r="AA43" i="115"/>
  <c r="Z43" i="115"/>
  <c r="Y43" i="115"/>
  <c r="X43" i="115"/>
  <c r="W43" i="115"/>
  <c r="V43" i="115"/>
  <c r="U43" i="115"/>
  <c r="T43" i="115"/>
  <c r="S43" i="115"/>
  <c r="R43" i="115"/>
  <c r="Q43" i="115"/>
  <c r="O43" i="115"/>
  <c r="N43" i="115"/>
  <c r="M43" i="115"/>
  <c r="L43" i="115"/>
  <c r="K43" i="115"/>
  <c r="J43" i="115"/>
  <c r="I43" i="115"/>
  <c r="H43" i="115"/>
  <c r="G43" i="115"/>
  <c r="F43" i="115"/>
  <c r="E43" i="115"/>
  <c r="D43" i="115"/>
  <c r="C43" i="115"/>
  <c r="B43" i="115"/>
  <c r="AG42" i="115"/>
  <c r="AF42" i="115"/>
  <c r="AE42" i="115"/>
  <c r="AD42" i="115"/>
  <c r="AC42" i="115"/>
  <c r="AB42" i="115"/>
  <c r="AA42" i="115"/>
  <c r="Z42" i="115"/>
  <c r="Y42" i="115"/>
  <c r="X42" i="115"/>
  <c r="W42" i="115"/>
  <c r="V42" i="115"/>
  <c r="U42" i="115"/>
  <c r="T42" i="115"/>
  <c r="S42" i="115"/>
  <c r="R42" i="115"/>
  <c r="Q42" i="115"/>
  <c r="O42" i="115"/>
  <c r="N42" i="115"/>
  <c r="M42" i="115"/>
  <c r="L42" i="115"/>
  <c r="K42" i="115"/>
  <c r="J42" i="115"/>
  <c r="I42" i="115"/>
  <c r="H42" i="115"/>
  <c r="G42" i="115"/>
  <c r="F42" i="115"/>
  <c r="E42" i="115"/>
  <c r="D42" i="115"/>
  <c r="C42" i="115"/>
  <c r="B42" i="115"/>
  <c r="AG41" i="115"/>
  <c r="AF41" i="115"/>
  <c r="AE41" i="115"/>
  <c r="AD41" i="115"/>
  <c r="AC41" i="115"/>
  <c r="AB41" i="115"/>
  <c r="AA41" i="115"/>
  <c r="Z41" i="115"/>
  <c r="Y41" i="115"/>
  <c r="X41" i="115"/>
  <c r="W41" i="115"/>
  <c r="V41" i="115"/>
  <c r="U41" i="115"/>
  <c r="T41" i="115"/>
  <c r="S41" i="115"/>
  <c r="R41" i="115"/>
  <c r="Q41" i="115"/>
  <c r="O41" i="115"/>
  <c r="N41" i="115"/>
  <c r="M41" i="115"/>
  <c r="L41" i="115"/>
  <c r="K41" i="115"/>
  <c r="J41" i="115"/>
  <c r="I41" i="115"/>
  <c r="H41" i="115"/>
  <c r="G41" i="115"/>
  <c r="F41" i="115"/>
  <c r="E41" i="115"/>
  <c r="D41" i="115"/>
  <c r="C41" i="115"/>
  <c r="B41" i="115"/>
  <c r="AG40" i="115"/>
  <c r="AF40" i="115"/>
  <c r="AE40" i="115"/>
  <c r="AD40" i="115"/>
  <c r="AC40" i="115"/>
  <c r="AB40" i="115"/>
  <c r="AA40" i="115"/>
  <c r="Z40" i="115"/>
  <c r="Y40" i="115"/>
  <c r="X40" i="115"/>
  <c r="W40" i="115"/>
  <c r="V40" i="115"/>
  <c r="U40" i="115"/>
  <c r="T40" i="115"/>
  <c r="S40" i="115"/>
  <c r="R40" i="115"/>
  <c r="Q40" i="115"/>
  <c r="O40" i="115"/>
  <c r="N40" i="115"/>
  <c r="M40" i="115"/>
  <c r="L40" i="115"/>
  <c r="K40" i="115"/>
  <c r="J40" i="115"/>
  <c r="I40" i="115"/>
  <c r="H40" i="115"/>
  <c r="G40" i="115"/>
  <c r="F40" i="115"/>
  <c r="E40" i="115"/>
  <c r="D40" i="115"/>
  <c r="C40" i="115"/>
  <c r="B40" i="115"/>
  <c r="AG39" i="115"/>
  <c r="AF39" i="115"/>
  <c r="AE39" i="115"/>
  <c r="AD39" i="115"/>
  <c r="AC39" i="115"/>
  <c r="AB39" i="115"/>
  <c r="AA39" i="115"/>
  <c r="Z39" i="115"/>
  <c r="Y39" i="115"/>
  <c r="X39" i="115"/>
  <c r="W39" i="115"/>
  <c r="V39" i="115"/>
  <c r="U39" i="115"/>
  <c r="T39" i="115"/>
  <c r="S39" i="115"/>
  <c r="R39" i="115"/>
  <c r="Q39" i="115"/>
  <c r="O39" i="115"/>
  <c r="N39" i="115"/>
  <c r="M39" i="115"/>
  <c r="L39" i="115"/>
  <c r="K39" i="115"/>
  <c r="J39" i="115"/>
  <c r="I39" i="115"/>
  <c r="H39" i="115"/>
  <c r="G39" i="115"/>
  <c r="F39" i="115"/>
  <c r="E39" i="115"/>
  <c r="D39" i="115"/>
  <c r="C39" i="115"/>
  <c r="B39" i="115"/>
  <c r="CS38" i="115"/>
  <c r="AG38" i="115"/>
  <c r="AF38" i="115"/>
  <c r="AE38" i="115"/>
  <c r="AD38" i="115"/>
  <c r="AC38" i="115"/>
  <c r="AB38" i="115"/>
  <c r="AA38" i="115"/>
  <c r="Z38" i="115"/>
  <c r="Y38" i="115"/>
  <c r="X38" i="115"/>
  <c r="W38" i="115"/>
  <c r="V38" i="115"/>
  <c r="U38" i="115"/>
  <c r="T38" i="115"/>
  <c r="S38" i="115"/>
  <c r="R38" i="115"/>
  <c r="Q38" i="115"/>
  <c r="O38" i="115"/>
  <c r="N38" i="115"/>
  <c r="M38" i="115"/>
  <c r="L38" i="115"/>
  <c r="K38" i="115"/>
  <c r="J38" i="115"/>
  <c r="I38" i="115"/>
  <c r="H38" i="115"/>
  <c r="G38" i="115"/>
  <c r="F38" i="115"/>
  <c r="E38" i="115"/>
  <c r="D38" i="115"/>
  <c r="C38" i="115"/>
  <c r="B38" i="115"/>
  <c r="CS37" i="115"/>
  <c r="AG37" i="115"/>
  <c r="AF37" i="115"/>
  <c r="AE37" i="115"/>
  <c r="AD37" i="115"/>
  <c r="AC37" i="115"/>
  <c r="AB37" i="115"/>
  <c r="AA37" i="115"/>
  <c r="Z37" i="115"/>
  <c r="Y37" i="115"/>
  <c r="X37" i="115"/>
  <c r="W37" i="115"/>
  <c r="V37" i="115"/>
  <c r="U37" i="115"/>
  <c r="T37" i="115"/>
  <c r="S37" i="115"/>
  <c r="R37" i="115"/>
  <c r="Q37" i="115"/>
  <c r="O37" i="115"/>
  <c r="N37" i="115"/>
  <c r="M37" i="115"/>
  <c r="L37" i="115"/>
  <c r="K37" i="115"/>
  <c r="J37" i="115"/>
  <c r="I37" i="115"/>
  <c r="H37" i="115"/>
  <c r="G37" i="115"/>
  <c r="F37" i="115"/>
  <c r="E37" i="115"/>
  <c r="D37" i="115"/>
  <c r="C37" i="115"/>
  <c r="B37" i="115"/>
  <c r="CS36" i="115"/>
  <c r="AG36" i="115"/>
  <c r="AF36" i="115"/>
  <c r="AE36" i="115"/>
  <c r="AD36" i="115"/>
  <c r="AC36" i="115"/>
  <c r="AB36" i="115"/>
  <c r="AA36" i="115"/>
  <c r="Z36" i="115"/>
  <c r="Y36" i="115"/>
  <c r="X36" i="115"/>
  <c r="W36" i="115"/>
  <c r="V36" i="115"/>
  <c r="U36" i="115"/>
  <c r="T36" i="115"/>
  <c r="S36" i="115"/>
  <c r="R36" i="115"/>
  <c r="Q36" i="115"/>
  <c r="O36" i="115"/>
  <c r="N36" i="115"/>
  <c r="M36" i="115"/>
  <c r="L36" i="115"/>
  <c r="K36" i="115"/>
  <c r="J36" i="115"/>
  <c r="I36" i="115"/>
  <c r="H36" i="115"/>
  <c r="G36" i="115"/>
  <c r="F36" i="115"/>
  <c r="E36" i="115"/>
  <c r="D36" i="115"/>
  <c r="C36" i="115"/>
  <c r="B36" i="115"/>
  <c r="CS35" i="115"/>
  <c r="AG35" i="115"/>
  <c r="AF35" i="115"/>
  <c r="AE35" i="115"/>
  <c r="AD35" i="115"/>
  <c r="AC35" i="115"/>
  <c r="AB35" i="115"/>
  <c r="AA35" i="115"/>
  <c r="Z35" i="115"/>
  <c r="Y35" i="115"/>
  <c r="X35" i="115"/>
  <c r="W35" i="115"/>
  <c r="V35" i="115"/>
  <c r="U35" i="115"/>
  <c r="T35" i="115"/>
  <c r="S35" i="115"/>
  <c r="R35" i="115"/>
  <c r="Q35" i="115"/>
  <c r="O35" i="115"/>
  <c r="N35" i="115"/>
  <c r="M35" i="115"/>
  <c r="L35" i="115"/>
  <c r="K35" i="115"/>
  <c r="J35" i="115"/>
  <c r="I35" i="115"/>
  <c r="H35" i="115"/>
  <c r="G35" i="115"/>
  <c r="F35" i="115"/>
  <c r="E35" i="115"/>
  <c r="D35" i="115"/>
  <c r="C35" i="115"/>
  <c r="B35" i="115"/>
  <c r="CS34" i="115"/>
  <c r="AG34" i="115"/>
  <c r="AF34" i="115"/>
  <c r="AE34" i="115"/>
  <c r="AD34" i="115"/>
  <c r="AC34" i="115"/>
  <c r="AB34" i="115"/>
  <c r="AA34" i="115"/>
  <c r="Z34" i="115"/>
  <c r="Y34" i="115"/>
  <c r="X34" i="115"/>
  <c r="W34" i="115"/>
  <c r="V34" i="115"/>
  <c r="U34" i="115"/>
  <c r="T34" i="115"/>
  <c r="S34" i="115"/>
  <c r="R34" i="115"/>
  <c r="Q34" i="115"/>
  <c r="O34" i="115"/>
  <c r="N34" i="115"/>
  <c r="M34" i="115"/>
  <c r="L34" i="115"/>
  <c r="K34" i="115"/>
  <c r="J34" i="115"/>
  <c r="I34" i="115"/>
  <c r="H34" i="115"/>
  <c r="G34" i="115"/>
  <c r="F34" i="115"/>
  <c r="E34" i="115"/>
  <c r="D34" i="115"/>
  <c r="C34" i="115"/>
  <c r="B34" i="115"/>
  <c r="CS33" i="115"/>
  <c r="AG33" i="115"/>
  <c r="AF33" i="115"/>
  <c r="AE33" i="115"/>
  <c r="AD33" i="115"/>
  <c r="AC33" i="115"/>
  <c r="AB33" i="115"/>
  <c r="AA33" i="115"/>
  <c r="Z33" i="115"/>
  <c r="Y33" i="115"/>
  <c r="X33" i="115"/>
  <c r="W33" i="115"/>
  <c r="V33" i="115"/>
  <c r="U33" i="115"/>
  <c r="T33" i="115"/>
  <c r="S33" i="115"/>
  <c r="R33" i="115"/>
  <c r="Q33" i="115"/>
  <c r="O33" i="115"/>
  <c r="N33" i="115"/>
  <c r="M33" i="115"/>
  <c r="L33" i="115"/>
  <c r="K33" i="115"/>
  <c r="J33" i="115"/>
  <c r="I33" i="115"/>
  <c r="H33" i="115"/>
  <c r="G33" i="115"/>
  <c r="F33" i="115"/>
  <c r="E33" i="115"/>
  <c r="D33" i="115"/>
  <c r="C33" i="115"/>
  <c r="B33" i="115"/>
  <c r="CS32" i="115"/>
  <c r="AG32" i="115"/>
  <c r="AF32" i="115"/>
  <c r="AE32" i="115"/>
  <c r="AD32" i="115"/>
  <c r="AC32" i="115"/>
  <c r="AB32" i="115"/>
  <c r="AA32" i="115"/>
  <c r="Z32" i="115"/>
  <c r="Y32" i="115"/>
  <c r="X32" i="115"/>
  <c r="W32" i="115"/>
  <c r="V32" i="115"/>
  <c r="U32" i="115"/>
  <c r="T32" i="115"/>
  <c r="S32" i="115"/>
  <c r="R32" i="115"/>
  <c r="Q32" i="115"/>
  <c r="O32" i="115"/>
  <c r="N32" i="115"/>
  <c r="M32" i="115"/>
  <c r="L32" i="115"/>
  <c r="K32" i="115"/>
  <c r="J32" i="115"/>
  <c r="I32" i="115"/>
  <c r="H32" i="115"/>
  <c r="G32" i="115"/>
  <c r="F32" i="115"/>
  <c r="E32" i="115"/>
  <c r="D32" i="115"/>
  <c r="C32" i="115"/>
  <c r="B32" i="115"/>
  <c r="CS31" i="115"/>
  <c r="AG31" i="115"/>
  <c r="AF31" i="115"/>
  <c r="AE31" i="115"/>
  <c r="AD31" i="115"/>
  <c r="AC31" i="115"/>
  <c r="AB31" i="115"/>
  <c r="AA31" i="115"/>
  <c r="Z31" i="115"/>
  <c r="Y31" i="115"/>
  <c r="X31" i="115"/>
  <c r="W31" i="115"/>
  <c r="V31" i="115"/>
  <c r="U31" i="115"/>
  <c r="T31" i="115"/>
  <c r="S31" i="115"/>
  <c r="R31" i="115"/>
  <c r="Q31" i="115"/>
  <c r="O31" i="115"/>
  <c r="N31" i="115"/>
  <c r="M31" i="115"/>
  <c r="L31" i="115"/>
  <c r="K31" i="115"/>
  <c r="J31" i="115"/>
  <c r="I31" i="115"/>
  <c r="H31" i="115"/>
  <c r="G31" i="115"/>
  <c r="F31" i="115"/>
  <c r="E31" i="115"/>
  <c r="D31" i="115"/>
  <c r="C31" i="115"/>
  <c r="B31" i="115"/>
  <c r="CS30" i="115"/>
  <c r="AG30" i="115"/>
  <c r="AF30" i="115"/>
  <c r="AE30" i="115"/>
  <c r="AD30" i="115"/>
  <c r="AC30" i="115"/>
  <c r="AB30" i="115"/>
  <c r="AA30" i="115"/>
  <c r="Z30" i="115"/>
  <c r="Y30" i="115"/>
  <c r="X30" i="115"/>
  <c r="W30" i="115"/>
  <c r="V30" i="115"/>
  <c r="U30" i="115"/>
  <c r="T30" i="115"/>
  <c r="S30" i="115"/>
  <c r="R30" i="115"/>
  <c r="Q30" i="115"/>
  <c r="O30" i="115"/>
  <c r="N30" i="115"/>
  <c r="M30" i="115"/>
  <c r="L30" i="115"/>
  <c r="K30" i="115"/>
  <c r="J30" i="115"/>
  <c r="I30" i="115"/>
  <c r="H30" i="115"/>
  <c r="G30" i="115"/>
  <c r="F30" i="115"/>
  <c r="E30" i="115"/>
  <c r="D30" i="115"/>
  <c r="C30" i="115"/>
  <c r="B30" i="115"/>
  <c r="CS29" i="115"/>
  <c r="AG29" i="115"/>
  <c r="AF29" i="115"/>
  <c r="AE29" i="115"/>
  <c r="AD29" i="115"/>
  <c r="AC29" i="115"/>
  <c r="AB29" i="115"/>
  <c r="AA29" i="115"/>
  <c r="Z29" i="115"/>
  <c r="Y29" i="115"/>
  <c r="X29" i="115"/>
  <c r="W29" i="115"/>
  <c r="V29" i="115"/>
  <c r="U29" i="115"/>
  <c r="T29" i="115"/>
  <c r="S29" i="115"/>
  <c r="R29" i="115"/>
  <c r="Q29" i="115"/>
  <c r="O29" i="115"/>
  <c r="N29" i="115"/>
  <c r="M29" i="115"/>
  <c r="L29" i="115"/>
  <c r="K29" i="115"/>
  <c r="J29" i="115"/>
  <c r="I29" i="115"/>
  <c r="H29" i="115"/>
  <c r="G29" i="115"/>
  <c r="F29" i="115"/>
  <c r="E29" i="115"/>
  <c r="D29" i="115"/>
  <c r="C29" i="115"/>
  <c r="B29" i="115"/>
  <c r="CS28" i="115"/>
  <c r="AG28" i="115"/>
  <c r="AF28" i="115"/>
  <c r="AE28" i="115"/>
  <c r="AD28" i="115"/>
  <c r="AC28" i="115"/>
  <c r="AB28" i="115"/>
  <c r="AA28" i="115"/>
  <c r="Z28" i="115"/>
  <c r="Y28" i="115"/>
  <c r="X28" i="115"/>
  <c r="W28" i="115"/>
  <c r="V28" i="115"/>
  <c r="U28" i="115"/>
  <c r="T28" i="115"/>
  <c r="S28" i="115"/>
  <c r="R28" i="115"/>
  <c r="Q28" i="115"/>
  <c r="O28" i="115"/>
  <c r="N28" i="115"/>
  <c r="M28" i="115"/>
  <c r="L28" i="115"/>
  <c r="K28" i="115"/>
  <c r="J28" i="115"/>
  <c r="I28" i="115"/>
  <c r="H28" i="115"/>
  <c r="G28" i="115"/>
  <c r="F28" i="115"/>
  <c r="E28" i="115"/>
  <c r="D28" i="115"/>
  <c r="C28" i="115"/>
  <c r="B28" i="115"/>
  <c r="CS27" i="115"/>
  <c r="AG27" i="115"/>
  <c r="AF27" i="115"/>
  <c r="AE27" i="115"/>
  <c r="AD27" i="115"/>
  <c r="AC27" i="115"/>
  <c r="AB27" i="115"/>
  <c r="AA27" i="115"/>
  <c r="Z27" i="115"/>
  <c r="Y27" i="115"/>
  <c r="X27" i="115"/>
  <c r="W27" i="115"/>
  <c r="V27" i="115"/>
  <c r="U27" i="115"/>
  <c r="T27" i="115"/>
  <c r="S27" i="115"/>
  <c r="R27" i="115"/>
  <c r="Q27" i="115"/>
  <c r="O27" i="115"/>
  <c r="N27" i="115"/>
  <c r="M27" i="115"/>
  <c r="L27" i="115"/>
  <c r="K27" i="115"/>
  <c r="J27" i="115"/>
  <c r="I27" i="115"/>
  <c r="H27" i="115"/>
  <c r="G27" i="115"/>
  <c r="F27" i="115"/>
  <c r="E27" i="115"/>
  <c r="D27" i="115"/>
  <c r="C27" i="115"/>
  <c r="B27" i="115"/>
  <c r="AG14" i="115"/>
  <c r="AF14" i="115"/>
  <c r="AE14" i="115"/>
  <c r="AD14" i="115"/>
  <c r="AC14" i="115"/>
  <c r="AB14" i="115"/>
  <c r="AA14" i="115"/>
  <c r="Z14" i="115"/>
  <c r="Y14" i="115"/>
  <c r="X14" i="115"/>
  <c r="W14" i="115"/>
  <c r="V14" i="115"/>
  <c r="U14" i="115"/>
  <c r="T14" i="115"/>
  <c r="S14" i="115"/>
  <c r="R14" i="115"/>
  <c r="Q14" i="115"/>
  <c r="O14" i="115"/>
  <c r="N14" i="115"/>
  <c r="M14" i="115"/>
  <c r="L14" i="115"/>
  <c r="K14" i="115"/>
  <c r="J14" i="115"/>
  <c r="I14" i="115"/>
  <c r="H14" i="115"/>
  <c r="G14" i="115"/>
  <c r="F14" i="115"/>
  <c r="E14" i="115"/>
  <c r="D14" i="115"/>
  <c r="C14" i="115"/>
  <c r="B14" i="115"/>
  <c r="AG13" i="115"/>
  <c r="AF13" i="115"/>
  <c r="AE13" i="115"/>
  <c r="AD13" i="115"/>
  <c r="AC13" i="115"/>
  <c r="AB13" i="115"/>
  <c r="AA13" i="115"/>
  <c r="Z13" i="115"/>
  <c r="Y13" i="115"/>
  <c r="X13" i="115"/>
  <c r="W13" i="115"/>
  <c r="V13" i="115"/>
  <c r="U13" i="115"/>
  <c r="T13" i="115"/>
  <c r="S13" i="115"/>
  <c r="R13" i="115"/>
  <c r="Q13" i="115"/>
  <c r="O13" i="115"/>
  <c r="N13" i="115"/>
  <c r="M13" i="115"/>
  <c r="L13" i="115"/>
  <c r="K13" i="115"/>
  <c r="J13" i="115"/>
  <c r="I13" i="115"/>
  <c r="H13" i="115"/>
  <c r="G13" i="115"/>
  <c r="F13" i="115"/>
  <c r="E13" i="115"/>
  <c r="D13" i="115"/>
  <c r="C13" i="115"/>
  <c r="B13" i="115"/>
  <c r="AG12" i="115"/>
  <c r="AF12" i="115"/>
  <c r="AE12" i="115"/>
  <c r="AD12" i="115"/>
  <c r="AC12" i="115"/>
  <c r="AB12" i="115"/>
  <c r="AA12" i="115"/>
  <c r="Z12" i="115"/>
  <c r="Y12" i="115"/>
  <c r="X12" i="115"/>
  <c r="W12" i="115"/>
  <c r="V12" i="115"/>
  <c r="U12" i="115"/>
  <c r="T12" i="115"/>
  <c r="S12" i="115"/>
  <c r="R12" i="115"/>
  <c r="Q12" i="115"/>
  <c r="O12" i="115"/>
  <c r="N12" i="115"/>
  <c r="M12" i="115"/>
  <c r="L12" i="115"/>
  <c r="K12" i="115"/>
  <c r="J12" i="115"/>
  <c r="I12" i="115"/>
  <c r="H12" i="115"/>
  <c r="G12" i="115"/>
  <c r="F12" i="115"/>
  <c r="E12" i="115"/>
  <c r="D12" i="115"/>
  <c r="C12" i="115"/>
  <c r="B12" i="115"/>
  <c r="AG11" i="115"/>
  <c r="AF11" i="115"/>
  <c r="AE11" i="115"/>
  <c r="AD11" i="115"/>
  <c r="AC11" i="115"/>
  <c r="AB11" i="115"/>
  <c r="AA11" i="115"/>
  <c r="Z11" i="115"/>
  <c r="Y11" i="115"/>
  <c r="X11" i="115"/>
  <c r="W11" i="115"/>
  <c r="V11" i="115"/>
  <c r="U11" i="115"/>
  <c r="T11" i="115"/>
  <c r="S11" i="115"/>
  <c r="R11" i="115"/>
  <c r="Q11" i="115"/>
  <c r="O11" i="115"/>
  <c r="N11" i="115"/>
  <c r="M11" i="115"/>
  <c r="L11" i="115"/>
  <c r="K11" i="115"/>
  <c r="J11" i="115"/>
  <c r="I11" i="115"/>
  <c r="H11" i="115"/>
  <c r="G11" i="115"/>
  <c r="F11" i="115"/>
  <c r="E11" i="115"/>
  <c r="D11" i="115"/>
  <c r="C11" i="115"/>
  <c r="B11" i="115"/>
  <c r="AG10" i="115"/>
  <c r="AF10" i="115"/>
  <c r="AE10" i="115"/>
  <c r="AD10" i="115"/>
  <c r="AC10" i="115"/>
  <c r="AB10" i="115"/>
  <c r="AA10" i="115"/>
  <c r="Z10" i="115"/>
  <c r="Y10" i="115"/>
  <c r="X10" i="115"/>
  <c r="W10" i="115"/>
  <c r="V10" i="115"/>
  <c r="U10" i="115"/>
  <c r="T10" i="115"/>
  <c r="S10" i="115"/>
  <c r="R10" i="115"/>
  <c r="Q10" i="115"/>
  <c r="O10" i="115"/>
  <c r="N10" i="115"/>
  <c r="M10" i="115"/>
  <c r="L10" i="115"/>
  <c r="K10" i="115"/>
  <c r="J10" i="115"/>
  <c r="I10" i="115"/>
  <c r="H10" i="115"/>
  <c r="G10" i="115"/>
  <c r="F10" i="115"/>
  <c r="E10" i="115"/>
  <c r="D10" i="115"/>
  <c r="C10" i="115"/>
  <c r="B10" i="115"/>
  <c r="AG9" i="115"/>
  <c r="AF9" i="115"/>
  <c r="AE9" i="115"/>
  <c r="AD9" i="115"/>
  <c r="AC9" i="115"/>
  <c r="AB9" i="115"/>
  <c r="AA9" i="115"/>
  <c r="Z9" i="115"/>
  <c r="Y9" i="115"/>
  <c r="X9" i="115"/>
  <c r="W9" i="115"/>
  <c r="V9" i="115"/>
  <c r="U9" i="115"/>
  <c r="T9" i="115"/>
  <c r="S9" i="115"/>
  <c r="R9" i="115"/>
  <c r="Q9" i="115"/>
  <c r="O9" i="115"/>
  <c r="N9" i="115"/>
  <c r="M9" i="115"/>
  <c r="L9" i="115"/>
  <c r="K9" i="115"/>
  <c r="J9" i="115"/>
  <c r="I9" i="115"/>
  <c r="H9" i="115"/>
  <c r="G9" i="115"/>
  <c r="F9" i="115"/>
  <c r="E9" i="115"/>
  <c r="D9" i="115"/>
  <c r="C9" i="115"/>
  <c r="B9" i="115"/>
  <c r="AG8" i="115"/>
  <c r="AF8" i="115"/>
  <c r="AE8" i="115"/>
  <c r="AD8" i="115"/>
  <c r="AC8" i="115"/>
  <c r="AB8" i="115"/>
  <c r="AA8" i="115"/>
  <c r="Z8" i="115"/>
  <c r="Y8" i="115"/>
  <c r="X8" i="115"/>
  <c r="W8" i="115"/>
  <c r="V8" i="115"/>
  <c r="U8" i="115"/>
  <c r="T8" i="115"/>
  <c r="S8" i="115"/>
  <c r="R8" i="115"/>
  <c r="Q8" i="115"/>
  <c r="O8" i="115"/>
  <c r="N8" i="115"/>
  <c r="M8" i="115"/>
  <c r="L8" i="115"/>
  <c r="K8" i="115"/>
  <c r="J8" i="115"/>
  <c r="I8" i="115"/>
  <c r="H8" i="115"/>
  <c r="G8" i="115"/>
  <c r="F8" i="115"/>
  <c r="E8" i="115"/>
  <c r="D8" i="115"/>
  <c r="C8" i="115"/>
  <c r="B8" i="115"/>
  <c r="AG7" i="115"/>
  <c r="AF7" i="115"/>
  <c r="AE7" i="115"/>
  <c r="AD7" i="115"/>
  <c r="AC7" i="115"/>
  <c r="AB7" i="115"/>
  <c r="AA7" i="115"/>
  <c r="Z7" i="115"/>
  <c r="Y7" i="115"/>
  <c r="X7" i="115"/>
  <c r="W7" i="115"/>
  <c r="V7" i="115"/>
  <c r="U7" i="115"/>
  <c r="T7" i="115"/>
  <c r="S7" i="115"/>
  <c r="R7" i="115"/>
  <c r="Q7" i="115"/>
  <c r="O7" i="115"/>
  <c r="N7" i="115"/>
  <c r="M7" i="115"/>
  <c r="L7" i="115"/>
  <c r="K7" i="115"/>
  <c r="J7" i="115"/>
  <c r="I7" i="115"/>
  <c r="H7" i="115"/>
  <c r="G7" i="115"/>
  <c r="F7" i="115"/>
  <c r="E7" i="115"/>
  <c r="D7" i="115"/>
  <c r="C7" i="115"/>
  <c r="B7" i="115"/>
  <c r="AG6" i="115"/>
  <c r="AF6" i="115"/>
  <c r="AE6" i="115"/>
  <c r="AD6" i="115"/>
  <c r="AC6" i="115"/>
  <c r="AB6" i="115"/>
  <c r="AA6" i="115"/>
  <c r="Z6" i="115"/>
  <c r="Y6" i="115"/>
  <c r="X6" i="115"/>
  <c r="W6" i="115"/>
  <c r="V6" i="115"/>
  <c r="U6" i="115"/>
  <c r="T6" i="115"/>
  <c r="S6" i="115"/>
  <c r="R6" i="115"/>
  <c r="Q6" i="115"/>
  <c r="O6" i="115"/>
  <c r="N6" i="115"/>
  <c r="M6" i="115"/>
  <c r="L6" i="115"/>
  <c r="K6" i="115"/>
  <c r="J6" i="115"/>
  <c r="I6" i="115"/>
  <c r="H6" i="115"/>
  <c r="G6" i="115"/>
  <c r="F6" i="115"/>
  <c r="E6" i="115"/>
  <c r="D6" i="115"/>
  <c r="C6" i="115"/>
  <c r="B6" i="115"/>
  <c r="AG5" i="115"/>
  <c r="AF5" i="115"/>
  <c r="AE5" i="115"/>
  <c r="AD5" i="115"/>
  <c r="AC5" i="115"/>
  <c r="AB5" i="115"/>
  <c r="AA5" i="115"/>
  <c r="Z5" i="115"/>
  <c r="Y5" i="115"/>
  <c r="X5" i="115"/>
  <c r="W5" i="115"/>
  <c r="V5" i="115"/>
  <c r="U5" i="115"/>
  <c r="T5" i="115"/>
  <c r="S5" i="115"/>
  <c r="R5" i="115"/>
  <c r="Q5" i="115"/>
  <c r="O5" i="115"/>
  <c r="N5" i="115"/>
  <c r="M5" i="115"/>
  <c r="L5" i="115"/>
  <c r="K5" i="115"/>
  <c r="J5" i="115"/>
  <c r="I5" i="115"/>
  <c r="H5" i="115"/>
  <c r="G5" i="115"/>
  <c r="F5" i="115"/>
  <c r="E5" i="115"/>
  <c r="D5" i="115"/>
  <c r="C5" i="115"/>
  <c r="B5" i="115"/>
  <c r="AG4" i="115"/>
  <c r="AF4" i="115"/>
  <c r="AE4" i="115"/>
  <c r="AD4" i="115"/>
  <c r="AC4" i="115"/>
  <c r="AB4" i="115"/>
  <c r="AA4" i="115"/>
  <c r="Z4" i="115"/>
  <c r="Y4" i="115"/>
  <c r="X4" i="115"/>
  <c r="W4" i="115"/>
  <c r="V4" i="115"/>
  <c r="U4" i="115"/>
  <c r="T4" i="115"/>
  <c r="S4" i="115"/>
  <c r="R4" i="115"/>
  <c r="Q4" i="115"/>
  <c r="O4" i="115"/>
  <c r="N4" i="115"/>
  <c r="M4" i="115"/>
  <c r="L4" i="115"/>
  <c r="K4" i="115"/>
  <c r="J4" i="115"/>
  <c r="I4" i="115"/>
  <c r="H4" i="115"/>
  <c r="G4" i="115"/>
  <c r="F4" i="115"/>
  <c r="E4" i="115"/>
  <c r="D4" i="115"/>
  <c r="C4" i="115"/>
  <c r="B4" i="115"/>
  <c r="AG3" i="115"/>
  <c r="AF3" i="115"/>
  <c r="AE3" i="115"/>
  <c r="AD3" i="115"/>
  <c r="AC3" i="115"/>
  <c r="AB3" i="115"/>
  <c r="AA3" i="115"/>
  <c r="Z3" i="115"/>
  <c r="Y3" i="115"/>
  <c r="X3" i="115"/>
  <c r="W3" i="115"/>
  <c r="V3" i="115"/>
  <c r="U3" i="115"/>
  <c r="T3" i="115"/>
  <c r="S3" i="115"/>
  <c r="R3" i="115"/>
  <c r="Q3" i="115"/>
  <c r="O3" i="115"/>
  <c r="N3" i="115"/>
  <c r="M3" i="115"/>
  <c r="L3" i="115"/>
  <c r="K3" i="115"/>
  <c r="J3" i="115"/>
  <c r="I3" i="115"/>
  <c r="H3" i="115"/>
  <c r="G3" i="115"/>
  <c r="F3" i="115"/>
  <c r="E3" i="115"/>
  <c r="D3" i="115"/>
  <c r="C3" i="115"/>
  <c r="B3" i="115"/>
  <c r="CY74" i="113"/>
  <c r="CW74" i="113"/>
  <c r="CV74" i="113"/>
  <c r="AH74" i="113"/>
  <c r="M85" i="122" s="1"/>
  <c r="AG74" i="113"/>
  <c r="AF74" i="113"/>
  <c r="AE74" i="113"/>
  <c r="M71" i="122" s="1"/>
  <c r="AW10" i="122" s="1"/>
  <c r="AD74" i="113"/>
  <c r="M57" i="122" s="1"/>
  <c r="AW7" i="122" s="1"/>
  <c r="AC74" i="113"/>
  <c r="AB74" i="113"/>
  <c r="AA74" i="113"/>
  <c r="Z74" i="113"/>
  <c r="M33" i="122" s="1"/>
  <c r="Y74" i="113"/>
  <c r="M19" i="122" s="1"/>
  <c r="AW4" i="122" s="1"/>
  <c r="X74" i="113"/>
  <c r="W74" i="113"/>
  <c r="V74" i="113"/>
  <c r="U74" i="113"/>
  <c r="T74" i="113"/>
  <c r="S74" i="113"/>
  <c r="Q74" i="113"/>
  <c r="P74" i="113"/>
  <c r="O74" i="113"/>
  <c r="N74" i="113"/>
  <c r="M74" i="113"/>
  <c r="L74" i="113"/>
  <c r="K74" i="113"/>
  <c r="J74" i="113"/>
  <c r="I74" i="113"/>
  <c r="H74" i="113"/>
  <c r="G74" i="113"/>
  <c r="F74" i="113"/>
  <c r="E74" i="113"/>
  <c r="D74" i="113"/>
  <c r="C74" i="113"/>
  <c r="B74" i="113"/>
  <c r="CY73" i="113"/>
  <c r="CV73" i="113"/>
  <c r="AH73" i="113"/>
  <c r="L85" i="122" s="1"/>
  <c r="AG73" i="113"/>
  <c r="AF73" i="113"/>
  <c r="AE73" i="113"/>
  <c r="AD73" i="113"/>
  <c r="L57" i="122" s="1"/>
  <c r="AC73" i="113"/>
  <c r="AB73" i="113"/>
  <c r="AA73" i="113"/>
  <c r="Z73" i="113"/>
  <c r="L33" i="122" s="1"/>
  <c r="Y73" i="113"/>
  <c r="L19" i="122" s="1"/>
  <c r="X73" i="113"/>
  <c r="W73" i="113"/>
  <c r="V73" i="113"/>
  <c r="U73" i="113"/>
  <c r="T73" i="113"/>
  <c r="S73" i="113"/>
  <c r="Q73" i="113"/>
  <c r="P73" i="113"/>
  <c r="O73" i="113"/>
  <c r="N73" i="113"/>
  <c r="M73" i="113"/>
  <c r="L73" i="113"/>
  <c r="K73" i="113"/>
  <c r="J73" i="113"/>
  <c r="I73" i="113"/>
  <c r="H73" i="113"/>
  <c r="G73" i="113"/>
  <c r="F73" i="113"/>
  <c r="E73" i="113"/>
  <c r="D73" i="113"/>
  <c r="C73" i="113"/>
  <c r="B73" i="113"/>
  <c r="CY72" i="113"/>
  <c r="CV72" i="113"/>
  <c r="AH72" i="113"/>
  <c r="K85" i="122" s="1"/>
  <c r="AG72" i="113"/>
  <c r="AF72" i="113"/>
  <c r="AE72" i="113"/>
  <c r="AD72" i="113"/>
  <c r="K57" i="122" s="1"/>
  <c r="AC72" i="113"/>
  <c r="AB72" i="113"/>
  <c r="AA72" i="113"/>
  <c r="K45" i="122" s="1"/>
  <c r="Z72" i="113"/>
  <c r="K33" i="122" s="1"/>
  <c r="Y72" i="113"/>
  <c r="K19" i="122" s="1"/>
  <c r="X72" i="113"/>
  <c r="W72" i="113"/>
  <c r="V72" i="113"/>
  <c r="U72" i="113"/>
  <c r="T72" i="113"/>
  <c r="S72" i="113"/>
  <c r="Q72" i="113"/>
  <c r="P72" i="113"/>
  <c r="O72" i="113"/>
  <c r="N72" i="113"/>
  <c r="M72" i="113"/>
  <c r="L72" i="113"/>
  <c r="K72" i="113"/>
  <c r="J72" i="113"/>
  <c r="I72" i="113"/>
  <c r="H72" i="113"/>
  <c r="G72" i="113"/>
  <c r="F72" i="113"/>
  <c r="E72" i="113"/>
  <c r="D72" i="113"/>
  <c r="C72" i="113"/>
  <c r="B72" i="113"/>
  <c r="CY71" i="113"/>
  <c r="CV71" i="113"/>
  <c r="AH71" i="113"/>
  <c r="J85" i="122" s="1"/>
  <c r="AG71" i="113"/>
  <c r="AF71" i="113"/>
  <c r="AE71" i="113"/>
  <c r="J71" i="122" s="1"/>
  <c r="AD71" i="113"/>
  <c r="J57" i="122" s="1"/>
  <c r="AC71" i="113"/>
  <c r="AB71" i="113"/>
  <c r="AA71" i="113"/>
  <c r="I45" i="122" s="1"/>
  <c r="Z71" i="113"/>
  <c r="J33" i="122" s="1"/>
  <c r="Y71" i="113"/>
  <c r="J19" i="122" s="1"/>
  <c r="X71" i="113"/>
  <c r="W71" i="113"/>
  <c r="V71" i="113"/>
  <c r="U71" i="113"/>
  <c r="T71" i="113"/>
  <c r="S71" i="113"/>
  <c r="Q71" i="113"/>
  <c r="P71" i="113"/>
  <c r="O71" i="113"/>
  <c r="N71" i="113"/>
  <c r="M71" i="113"/>
  <c r="L71" i="113"/>
  <c r="K71" i="113"/>
  <c r="J71" i="113"/>
  <c r="I71" i="113"/>
  <c r="H71" i="113"/>
  <c r="G71" i="113"/>
  <c r="F71" i="113"/>
  <c r="E71" i="113"/>
  <c r="D71" i="113"/>
  <c r="C71" i="113"/>
  <c r="B71" i="113"/>
  <c r="CY70" i="113"/>
  <c r="CV70" i="113"/>
  <c r="AH70" i="113"/>
  <c r="I85" i="122" s="1"/>
  <c r="AG70" i="113"/>
  <c r="AF70" i="113"/>
  <c r="AE70" i="113"/>
  <c r="I71" i="122" s="1"/>
  <c r="AD70" i="113"/>
  <c r="I57" i="122" s="1"/>
  <c r="AC70" i="113"/>
  <c r="AB70" i="113"/>
  <c r="AA70" i="113"/>
  <c r="Z70" i="113"/>
  <c r="Y70" i="113"/>
  <c r="I19" i="122" s="1"/>
  <c r="X70" i="113"/>
  <c r="W70" i="113"/>
  <c r="V70" i="113"/>
  <c r="U70" i="113"/>
  <c r="T70" i="113"/>
  <c r="S70" i="113"/>
  <c r="Q70" i="113"/>
  <c r="P70" i="113"/>
  <c r="O70" i="113"/>
  <c r="N70" i="113"/>
  <c r="M70" i="113"/>
  <c r="L70" i="113"/>
  <c r="K70" i="113"/>
  <c r="J70" i="113"/>
  <c r="I70" i="113"/>
  <c r="H70" i="113"/>
  <c r="G70" i="113"/>
  <c r="F70" i="113"/>
  <c r="E70" i="113"/>
  <c r="D70" i="113"/>
  <c r="C70" i="113"/>
  <c r="B70" i="113"/>
  <c r="CY69" i="113"/>
  <c r="CV69" i="113"/>
  <c r="AH69" i="113"/>
  <c r="H85" i="122" s="1"/>
  <c r="AG69" i="113"/>
  <c r="AF69" i="113"/>
  <c r="AE69" i="113"/>
  <c r="H71" i="122" s="1"/>
  <c r="AD69" i="113"/>
  <c r="H57" i="122" s="1"/>
  <c r="AC69" i="113"/>
  <c r="AB69" i="113"/>
  <c r="AA69" i="113"/>
  <c r="Z69" i="113"/>
  <c r="H33" i="122" s="1"/>
  <c r="Y69" i="113"/>
  <c r="X69" i="113"/>
  <c r="W69" i="113"/>
  <c r="V69" i="113"/>
  <c r="U69" i="113"/>
  <c r="T69" i="113"/>
  <c r="S69" i="113"/>
  <c r="Q69" i="113"/>
  <c r="P69" i="113"/>
  <c r="O69" i="113"/>
  <c r="N69" i="113"/>
  <c r="M69" i="113"/>
  <c r="L69" i="113"/>
  <c r="K69" i="113"/>
  <c r="J69" i="113"/>
  <c r="I69" i="113"/>
  <c r="H69" i="113"/>
  <c r="G69" i="113"/>
  <c r="F69" i="113"/>
  <c r="E69" i="113"/>
  <c r="D69" i="113"/>
  <c r="C69" i="113"/>
  <c r="B69" i="113"/>
  <c r="CY68" i="113"/>
  <c r="CV68" i="113"/>
  <c r="AH68" i="113"/>
  <c r="AG68" i="113"/>
  <c r="AF68" i="113"/>
  <c r="AE68" i="113"/>
  <c r="AD68" i="113"/>
  <c r="G57" i="122" s="1"/>
  <c r="AC68" i="113"/>
  <c r="AB68" i="113"/>
  <c r="AA68" i="113"/>
  <c r="Z68" i="113"/>
  <c r="Y68" i="113"/>
  <c r="G19" i="122" s="1"/>
  <c r="X68" i="113"/>
  <c r="W68" i="113"/>
  <c r="V68" i="113"/>
  <c r="U68" i="113"/>
  <c r="T68" i="113"/>
  <c r="S68" i="113"/>
  <c r="Q68" i="113"/>
  <c r="P68" i="113"/>
  <c r="O68" i="113"/>
  <c r="N68" i="113"/>
  <c r="M68" i="113"/>
  <c r="L68" i="113"/>
  <c r="K68" i="113"/>
  <c r="J68" i="113"/>
  <c r="I68" i="113"/>
  <c r="H68" i="113"/>
  <c r="G68" i="113"/>
  <c r="F68" i="113"/>
  <c r="E68" i="113"/>
  <c r="D68" i="113"/>
  <c r="C68" i="113"/>
  <c r="B68" i="113"/>
  <c r="CY67" i="113"/>
  <c r="CX67" i="113"/>
  <c r="F29" i="26" s="1"/>
  <c r="F3" i="122" s="1"/>
  <c r="CW67" i="113"/>
  <c r="CV67" i="113"/>
  <c r="AH67" i="113"/>
  <c r="F85" i="122" s="1"/>
  <c r="AG67" i="113"/>
  <c r="AF67" i="113"/>
  <c r="AE67" i="113"/>
  <c r="AD67" i="113"/>
  <c r="AC67" i="113"/>
  <c r="AB67" i="113"/>
  <c r="AA67" i="113"/>
  <c r="Z67" i="113"/>
  <c r="F33" i="122" s="1"/>
  <c r="Y67" i="113"/>
  <c r="F19" i="122" s="1"/>
  <c r="X67" i="113"/>
  <c r="W67" i="113"/>
  <c r="V67" i="113"/>
  <c r="U67" i="113"/>
  <c r="T67" i="113"/>
  <c r="S67" i="113"/>
  <c r="Q67" i="113"/>
  <c r="P67" i="113"/>
  <c r="O67" i="113"/>
  <c r="N67" i="113"/>
  <c r="M67" i="113"/>
  <c r="L67" i="113"/>
  <c r="K67" i="113"/>
  <c r="J67" i="113"/>
  <c r="I67" i="113"/>
  <c r="H67" i="113"/>
  <c r="G67" i="113"/>
  <c r="F67" i="113"/>
  <c r="E67" i="113"/>
  <c r="D67" i="113"/>
  <c r="C67" i="113"/>
  <c r="B67" i="113"/>
  <c r="CY66" i="113"/>
  <c r="CX66" i="113"/>
  <c r="E29" i="26" s="1"/>
  <c r="E3" i="122" s="1"/>
  <c r="CW66" i="113"/>
  <c r="CV66" i="113"/>
  <c r="AH66" i="113"/>
  <c r="E85" i="122" s="1"/>
  <c r="AG66" i="113"/>
  <c r="AF66" i="113"/>
  <c r="AE66" i="113"/>
  <c r="AD66" i="113"/>
  <c r="E57" i="122" s="1"/>
  <c r="AC66" i="113"/>
  <c r="AB66" i="113"/>
  <c r="AA66" i="113"/>
  <c r="Z66" i="113"/>
  <c r="E33" i="122" s="1"/>
  <c r="Y66" i="113"/>
  <c r="E19" i="122" s="1"/>
  <c r="X66" i="113"/>
  <c r="W66" i="113"/>
  <c r="V66" i="113"/>
  <c r="U66" i="113"/>
  <c r="T66" i="113"/>
  <c r="S66" i="113"/>
  <c r="Q66" i="113"/>
  <c r="P66" i="113"/>
  <c r="O66" i="113"/>
  <c r="N66" i="113"/>
  <c r="M66" i="113"/>
  <c r="L66" i="113"/>
  <c r="K66" i="113"/>
  <c r="J66" i="113"/>
  <c r="I66" i="113"/>
  <c r="H66" i="113"/>
  <c r="G66" i="113"/>
  <c r="F66" i="113"/>
  <c r="E66" i="113"/>
  <c r="C66" i="113"/>
  <c r="B66" i="113"/>
  <c r="CY65" i="113"/>
  <c r="CW65" i="113"/>
  <c r="CV65" i="113"/>
  <c r="D24" i="26"/>
  <c r="AH65" i="113"/>
  <c r="D85" i="122" s="1"/>
  <c r="AG65" i="113"/>
  <c r="AF65" i="113"/>
  <c r="AE65" i="113"/>
  <c r="AD65" i="113"/>
  <c r="D57" i="122" s="1"/>
  <c r="AC65" i="113"/>
  <c r="AB65" i="113"/>
  <c r="AA65" i="113"/>
  <c r="Z65" i="113"/>
  <c r="D33" i="122" s="1"/>
  <c r="Y65" i="113"/>
  <c r="D19" i="122" s="1"/>
  <c r="X65" i="113"/>
  <c r="W65" i="113"/>
  <c r="V65" i="113"/>
  <c r="U65" i="113"/>
  <c r="T65" i="113"/>
  <c r="S65" i="113"/>
  <c r="Q65" i="113"/>
  <c r="P65" i="113"/>
  <c r="O65" i="113"/>
  <c r="N65" i="113"/>
  <c r="M65" i="113"/>
  <c r="L65" i="113"/>
  <c r="K65" i="113"/>
  <c r="J65" i="113"/>
  <c r="I65" i="113"/>
  <c r="H65" i="113"/>
  <c r="G65" i="113"/>
  <c r="F65" i="113"/>
  <c r="E65" i="113"/>
  <c r="D65" i="113"/>
  <c r="C65" i="113"/>
  <c r="B65" i="113"/>
  <c r="CY64" i="113"/>
  <c r="CV64" i="113"/>
  <c r="C24" i="26"/>
  <c r="AH64" i="113"/>
  <c r="C85" i="122" s="1"/>
  <c r="AG64" i="113"/>
  <c r="AF64" i="113"/>
  <c r="AE64" i="113"/>
  <c r="C71" i="122" s="1"/>
  <c r="AD64" i="113"/>
  <c r="C57" i="122" s="1"/>
  <c r="AC64" i="113"/>
  <c r="AB64" i="113"/>
  <c r="AA64" i="113"/>
  <c r="C45" i="122" s="1"/>
  <c r="Z64" i="113"/>
  <c r="C33" i="122" s="1"/>
  <c r="Y64" i="113"/>
  <c r="C19" i="122" s="1"/>
  <c r="X64" i="113"/>
  <c r="W64" i="113"/>
  <c r="V64" i="113"/>
  <c r="U64" i="113"/>
  <c r="T64" i="113"/>
  <c r="S64" i="113"/>
  <c r="Q64" i="113"/>
  <c r="P64" i="113"/>
  <c r="O64" i="113"/>
  <c r="N64" i="113"/>
  <c r="M64" i="113"/>
  <c r="L64" i="113"/>
  <c r="K64" i="113"/>
  <c r="J64" i="113"/>
  <c r="I64" i="113"/>
  <c r="H64" i="113"/>
  <c r="G64" i="113"/>
  <c r="F64" i="113"/>
  <c r="E64" i="113"/>
  <c r="D64" i="113"/>
  <c r="C64" i="113"/>
  <c r="B64" i="113"/>
  <c r="CV63" i="113"/>
  <c r="B29" i="26"/>
  <c r="AH63" i="113"/>
  <c r="B85" i="122" s="1"/>
  <c r="AG63" i="113"/>
  <c r="AF63" i="113"/>
  <c r="AE63" i="113"/>
  <c r="AD63" i="113"/>
  <c r="AC63" i="113"/>
  <c r="AB63" i="113"/>
  <c r="AA63" i="113"/>
  <c r="Z63" i="113"/>
  <c r="B33" i="122" s="1"/>
  <c r="O33" i="122" s="1"/>
  <c r="Y63" i="113"/>
  <c r="X63" i="113"/>
  <c r="W63" i="113"/>
  <c r="V63" i="113"/>
  <c r="U63" i="113"/>
  <c r="T63" i="113"/>
  <c r="S63" i="113"/>
  <c r="Q63" i="113"/>
  <c r="P63" i="113"/>
  <c r="P75" i="113" s="1"/>
  <c r="P25" i="16" s="1"/>
  <c r="O63" i="113"/>
  <c r="N63" i="113"/>
  <c r="M63" i="113"/>
  <c r="L63" i="113"/>
  <c r="K63" i="113"/>
  <c r="J63" i="113"/>
  <c r="I63" i="113"/>
  <c r="H63" i="113"/>
  <c r="G63" i="113"/>
  <c r="F63" i="113"/>
  <c r="E63" i="113"/>
  <c r="D63" i="113"/>
  <c r="C63" i="113"/>
  <c r="B63" i="113"/>
  <c r="AH62" i="113"/>
  <c r="AG62" i="113"/>
  <c r="AF62" i="113"/>
  <c r="AE62" i="113"/>
  <c r="AD62" i="113"/>
  <c r="AC62" i="113"/>
  <c r="AB62" i="113"/>
  <c r="AA62" i="113"/>
  <c r="Z62" i="113"/>
  <c r="Y62" i="113"/>
  <c r="X62" i="113"/>
  <c r="W62" i="113"/>
  <c r="V62" i="113"/>
  <c r="U62" i="113"/>
  <c r="T62" i="113"/>
  <c r="S62" i="113"/>
  <c r="Q62" i="113"/>
  <c r="P62" i="113"/>
  <c r="O62" i="113"/>
  <c r="N62" i="113"/>
  <c r="M62" i="113"/>
  <c r="L62" i="113"/>
  <c r="K62" i="113"/>
  <c r="J62" i="113"/>
  <c r="I62" i="113"/>
  <c r="H62" i="113"/>
  <c r="G62" i="113"/>
  <c r="F62" i="113"/>
  <c r="E62" i="113"/>
  <c r="D62" i="113"/>
  <c r="C62" i="113"/>
  <c r="B62" i="113"/>
  <c r="AH61" i="113"/>
  <c r="AG61" i="113"/>
  <c r="AF61" i="113"/>
  <c r="AE61" i="113"/>
  <c r="AD61" i="113"/>
  <c r="AC61" i="113"/>
  <c r="AB61" i="113"/>
  <c r="AA61" i="113"/>
  <c r="Z61" i="113"/>
  <c r="Y61" i="113"/>
  <c r="X61" i="113"/>
  <c r="W61" i="113"/>
  <c r="V61" i="113"/>
  <c r="U61" i="113"/>
  <c r="T61" i="113"/>
  <c r="S61" i="113"/>
  <c r="Q61" i="113"/>
  <c r="P61" i="113"/>
  <c r="O61" i="113"/>
  <c r="N61" i="113"/>
  <c r="M61" i="113"/>
  <c r="L61" i="113"/>
  <c r="K61" i="113"/>
  <c r="J61" i="113"/>
  <c r="I61" i="113"/>
  <c r="H61" i="113"/>
  <c r="G61" i="113"/>
  <c r="F61" i="113"/>
  <c r="E61" i="113"/>
  <c r="D61" i="113"/>
  <c r="C61" i="113"/>
  <c r="B61" i="113"/>
  <c r="AH60" i="113"/>
  <c r="AG60" i="113"/>
  <c r="AF60" i="113"/>
  <c r="AE60" i="113"/>
  <c r="AD60" i="113"/>
  <c r="AC60" i="113"/>
  <c r="AB60" i="113"/>
  <c r="AA60" i="113"/>
  <c r="Z60" i="113"/>
  <c r="Y60" i="113"/>
  <c r="X60" i="113"/>
  <c r="W60" i="113"/>
  <c r="V60" i="113"/>
  <c r="U60" i="113"/>
  <c r="T60" i="113"/>
  <c r="S60" i="113"/>
  <c r="Q60" i="113"/>
  <c r="P60" i="113"/>
  <c r="O60" i="113"/>
  <c r="N60" i="113"/>
  <c r="M60" i="113"/>
  <c r="L60" i="113"/>
  <c r="K60" i="113"/>
  <c r="J60" i="113"/>
  <c r="I60" i="113"/>
  <c r="H60" i="113"/>
  <c r="G60" i="113"/>
  <c r="F60" i="113"/>
  <c r="E60" i="113"/>
  <c r="D60" i="113"/>
  <c r="C60" i="113"/>
  <c r="B60" i="113"/>
  <c r="AH59" i="113"/>
  <c r="AG59" i="113"/>
  <c r="AF59" i="113"/>
  <c r="AE59" i="113"/>
  <c r="AD59" i="113"/>
  <c r="AC59" i="113"/>
  <c r="AB59" i="113"/>
  <c r="AA59" i="113"/>
  <c r="Z59" i="113"/>
  <c r="Y59" i="113"/>
  <c r="X59" i="113"/>
  <c r="W59" i="113"/>
  <c r="V59" i="113"/>
  <c r="U59" i="113"/>
  <c r="T59" i="113"/>
  <c r="S59" i="113"/>
  <c r="Q59" i="113"/>
  <c r="P59" i="113"/>
  <c r="O59" i="113"/>
  <c r="N59" i="113"/>
  <c r="M59" i="113"/>
  <c r="L59" i="113"/>
  <c r="K59" i="113"/>
  <c r="J59" i="113"/>
  <c r="I59" i="113"/>
  <c r="H59" i="113"/>
  <c r="G59" i="113"/>
  <c r="F59" i="113"/>
  <c r="E59" i="113"/>
  <c r="D59" i="113"/>
  <c r="C59" i="113"/>
  <c r="B59" i="113"/>
  <c r="AH58" i="113"/>
  <c r="AG58" i="113"/>
  <c r="AF58" i="113"/>
  <c r="AE58" i="113"/>
  <c r="AD58" i="113"/>
  <c r="AC58" i="113"/>
  <c r="AB58" i="113"/>
  <c r="AA58" i="113"/>
  <c r="Z58" i="113"/>
  <c r="Y58" i="113"/>
  <c r="X58" i="113"/>
  <c r="W58" i="113"/>
  <c r="V58" i="113"/>
  <c r="U58" i="113"/>
  <c r="T58" i="113"/>
  <c r="S58" i="113"/>
  <c r="Q58" i="113"/>
  <c r="P58" i="113"/>
  <c r="O58" i="113"/>
  <c r="N58" i="113"/>
  <c r="M58" i="113"/>
  <c r="L58" i="113"/>
  <c r="K58" i="113"/>
  <c r="J58" i="113"/>
  <c r="I58" i="113"/>
  <c r="H58" i="113"/>
  <c r="G58" i="113"/>
  <c r="F58" i="113"/>
  <c r="E58" i="113"/>
  <c r="D58" i="113"/>
  <c r="C58" i="113"/>
  <c r="B58" i="113"/>
  <c r="AH57" i="113"/>
  <c r="AG57" i="113"/>
  <c r="AF57" i="113"/>
  <c r="AE57" i="113"/>
  <c r="AD57" i="113"/>
  <c r="AC57" i="113"/>
  <c r="AB57" i="113"/>
  <c r="AA57" i="113"/>
  <c r="Z57" i="113"/>
  <c r="Y57" i="113"/>
  <c r="X57" i="113"/>
  <c r="W57" i="113"/>
  <c r="V57" i="113"/>
  <c r="U57" i="113"/>
  <c r="T57" i="113"/>
  <c r="S57" i="113"/>
  <c r="Q57" i="113"/>
  <c r="P57" i="113"/>
  <c r="O57" i="113"/>
  <c r="N57" i="113"/>
  <c r="M57" i="113"/>
  <c r="L57" i="113"/>
  <c r="K57" i="113"/>
  <c r="J57" i="113"/>
  <c r="I57" i="113"/>
  <c r="H57" i="113"/>
  <c r="G57" i="113"/>
  <c r="F57" i="113"/>
  <c r="E57" i="113"/>
  <c r="D57" i="113"/>
  <c r="C57" i="113"/>
  <c r="B57" i="113"/>
  <c r="AH56" i="113"/>
  <c r="AG56" i="113"/>
  <c r="AF56" i="113"/>
  <c r="AE56" i="113"/>
  <c r="AD56" i="113"/>
  <c r="AC56" i="113"/>
  <c r="AB56" i="113"/>
  <c r="AA56" i="113"/>
  <c r="Z56" i="113"/>
  <c r="Y56" i="113"/>
  <c r="X56" i="113"/>
  <c r="W56" i="113"/>
  <c r="V56" i="113"/>
  <c r="U56" i="113"/>
  <c r="T56" i="113"/>
  <c r="S56" i="113"/>
  <c r="Q56" i="113"/>
  <c r="P56" i="113"/>
  <c r="O56" i="113"/>
  <c r="N56" i="113"/>
  <c r="M56" i="113"/>
  <c r="L56" i="113"/>
  <c r="K56" i="113"/>
  <c r="J56" i="113"/>
  <c r="I56" i="113"/>
  <c r="H56" i="113"/>
  <c r="G56" i="113"/>
  <c r="F56" i="113"/>
  <c r="E56" i="113"/>
  <c r="D56" i="113"/>
  <c r="C56" i="113"/>
  <c r="B56" i="113"/>
  <c r="AH55" i="113"/>
  <c r="AG55" i="113"/>
  <c r="AF55" i="113"/>
  <c r="AE55" i="113"/>
  <c r="AD55" i="113"/>
  <c r="AC55" i="113"/>
  <c r="AB55" i="113"/>
  <c r="AA55" i="113"/>
  <c r="Z55" i="113"/>
  <c r="Y55" i="113"/>
  <c r="X55" i="113"/>
  <c r="W55" i="113"/>
  <c r="V55" i="113"/>
  <c r="U55" i="113"/>
  <c r="T55" i="113"/>
  <c r="S55" i="113"/>
  <c r="Q55" i="113"/>
  <c r="P55" i="113"/>
  <c r="O55" i="113"/>
  <c r="N55" i="113"/>
  <c r="M55" i="113"/>
  <c r="L55" i="113"/>
  <c r="K55" i="113"/>
  <c r="J55" i="113"/>
  <c r="I55" i="113"/>
  <c r="H55" i="113"/>
  <c r="G55" i="113"/>
  <c r="F55" i="113"/>
  <c r="E55" i="113"/>
  <c r="D55" i="113"/>
  <c r="C55" i="113"/>
  <c r="B55" i="113"/>
  <c r="AH54" i="113"/>
  <c r="AG54" i="113"/>
  <c r="AF54" i="113"/>
  <c r="AE54" i="113"/>
  <c r="AD54" i="113"/>
  <c r="AC54" i="113"/>
  <c r="AB54" i="113"/>
  <c r="AA54" i="113"/>
  <c r="Z54" i="113"/>
  <c r="Y54" i="113"/>
  <c r="X54" i="113"/>
  <c r="W54" i="113"/>
  <c r="V54" i="113"/>
  <c r="U54" i="113"/>
  <c r="T54" i="113"/>
  <c r="S54" i="113"/>
  <c r="Q54" i="113"/>
  <c r="P54" i="113"/>
  <c r="O54" i="113"/>
  <c r="N54" i="113"/>
  <c r="M54" i="113"/>
  <c r="L54" i="113"/>
  <c r="K54" i="113"/>
  <c r="J54" i="113"/>
  <c r="I54" i="113"/>
  <c r="H54" i="113"/>
  <c r="G54" i="113"/>
  <c r="F54" i="113"/>
  <c r="E54" i="113"/>
  <c r="D54" i="113"/>
  <c r="C54" i="113"/>
  <c r="B54" i="113"/>
  <c r="AH53" i="113"/>
  <c r="AG53" i="113"/>
  <c r="AF53" i="113"/>
  <c r="AE53" i="113"/>
  <c r="AD53" i="113"/>
  <c r="AC53" i="113"/>
  <c r="AB53" i="113"/>
  <c r="AA53" i="113"/>
  <c r="Z53" i="113"/>
  <c r="Y53" i="113"/>
  <c r="X53" i="113"/>
  <c r="W53" i="113"/>
  <c r="V53" i="113"/>
  <c r="U53" i="113"/>
  <c r="T53" i="113"/>
  <c r="S53" i="113"/>
  <c r="Q53" i="113"/>
  <c r="P53" i="113"/>
  <c r="O53" i="113"/>
  <c r="N53" i="113"/>
  <c r="M53" i="113"/>
  <c r="L53" i="113"/>
  <c r="K53" i="113"/>
  <c r="J53" i="113"/>
  <c r="I53" i="113"/>
  <c r="H53" i="113"/>
  <c r="G53" i="113"/>
  <c r="F53" i="113"/>
  <c r="E53" i="113"/>
  <c r="D53" i="113"/>
  <c r="C53" i="113"/>
  <c r="B53" i="113"/>
  <c r="AH52" i="113"/>
  <c r="AG52" i="113"/>
  <c r="AF52" i="113"/>
  <c r="AE52" i="113"/>
  <c r="AD52" i="113"/>
  <c r="AC52" i="113"/>
  <c r="AB52" i="113"/>
  <c r="AA52" i="113"/>
  <c r="Z52" i="113"/>
  <c r="Y52" i="113"/>
  <c r="X52" i="113"/>
  <c r="W52" i="113"/>
  <c r="V52" i="113"/>
  <c r="U52" i="113"/>
  <c r="T52" i="113"/>
  <c r="S52" i="113"/>
  <c r="Q52" i="113"/>
  <c r="P52" i="113"/>
  <c r="O52" i="113"/>
  <c r="N52" i="113"/>
  <c r="M52" i="113"/>
  <c r="L52" i="113"/>
  <c r="K52" i="113"/>
  <c r="J52" i="113"/>
  <c r="I52" i="113"/>
  <c r="H52" i="113"/>
  <c r="G52" i="113"/>
  <c r="F52" i="113"/>
  <c r="E52" i="113"/>
  <c r="D52" i="113"/>
  <c r="C52" i="113"/>
  <c r="B52" i="113"/>
  <c r="AH51" i="113"/>
  <c r="AG51" i="113"/>
  <c r="AF51" i="113"/>
  <c r="AE51" i="113"/>
  <c r="AD51" i="113"/>
  <c r="AC51" i="113"/>
  <c r="AB51" i="113"/>
  <c r="AA51" i="113"/>
  <c r="Z51" i="113"/>
  <c r="Y51" i="113"/>
  <c r="X51" i="113"/>
  <c r="W51" i="113"/>
  <c r="V51" i="113"/>
  <c r="U51" i="113"/>
  <c r="T51" i="113"/>
  <c r="S51" i="113"/>
  <c r="Q51" i="113"/>
  <c r="P51" i="113"/>
  <c r="O51" i="113"/>
  <c r="N51" i="113"/>
  <c r="M51" i="113"/>
  <c r="L51" i="113"/>
  <c r="K51" i="113"/>
  <c r="J51" i="113"/>
  <c r="I51" i="113"/>
  <c r="H51" i="113"/>
  <c r="G51" i="113"/>
  <c r="F51" i="113"/>
  <c r="E51" i="113"/>
  <c r="D51" i="113"/>
  <c r="C51" i="113"/>
  <c r="B51" i="113"/>
  <c r="CV50" i="113"/>
  <c r="AH50" i="113"/>
  <c r="AG50" i="113"/>
  <c r="AF50" i="113"/>
  <c r="AE50" i="113"/>
  <c r="AD50" i="113"/>
  <c r="AC50" i="113"/>
  <c r="AB50" i="113"/>
  <c r="AA50" i="113"/>
  <c r="Z50" i="113"/>
  <c r="Y50" i="113"/>
  <c r="X50" i="113"/>
  <c r="W50" i="113"/>
  <c r="V50" i="113"/>
  <c r="U50" i="113"/>
  <c r="T50" i="113"/>
  <c r="S50" i="113"/>
  <c r="Q50" i="113"/>
  <c r="P50" i="113"/>
  <c r="O50" i="113"/>
  <c r="N50" i="113"/>
  <c r="M50" i="113"/>
  <c r="L50" i="113"/>
  <c r="K50" i="113"/>
  <c r="J50" i="113"/>
  <c r="I50" i="113"/>
  <c r="H50" i="113"/>
  <c r="G50" i="113"/>
  <c r="F50" i="113"/>
  <c r="E50" i="113"/>
  <c r="D50" i="113"/>
  <c r="C50" i="113"/>
  <c r="B50" i="113"/>
  <c r="CV49" i="113"/>
  <c r="AH49" i="113"/>
  <c r="AG49" i="113"/>
  <c r="AF49" i="113"/>
  <c r="AE49" i="113"/>
  <c r="AD49" i="113"/>
  <c r="AC49" i="113"/>
  <c r="AB49" i="113"/>
  <c r="AA49" i="113"/>
  <c r="Z49" i="113"/>
  <c r="Y49" i="113"/>
  <c r="X49" i="113"/>
  <c r="W49" i="113"/>
  <c r="V49" i="113"/>
  <c r="U49" i="113"/>
  <c r="T49" i="113"/>
  <c r="S49" i="113"/>
  <c r="Q49" i="113"/>
  <c r="P49" i="113"/>
  <c r="O49" i="113"/>
  <c r="N49" i="113"/>
  <c r="M49" i="113"/>
  <c r="L49" i="113"/>
  <c r="K49" i="113"/>
  <c r="J49" i="113"/>
  <c r="I49" i="113"/>
  <c r="H49" i="113"/>
  <c r="G49" i="113"/>
  <c r="F49" i="113"/>
  <c r="E49" i="113"/>
  <c r="D49" i="113"/>
  <c r="C49" i="113"/>
  <c r="B49" i="113"/>
  <c r="CV48" i="113"/>
  <c r="AH48" i="113"/>
  <c r="AG48" i="113"/>
  <c r="AF48" i="113"/>
  <c r="AE48" i="113"/>
  <c r="AD48" i="113"/>
  <c r="AC48" i="113"/>
  <c r="AB48" i="113"/>
  <c r="AA48" i="113"/>
  <c r="Z48" i="113"/>
  <c r="Y48" i="113"/>
  <c r="X48" i="113"/>
  <c r="W48" i="113"/>
  <c r="V48" i="113"/>
  <c r="U48" i="113"/>
  <c r="T48" i="113"/>
  <c r="S48" i="113"/>
  <c r="Q48" i="113"/>
  <c r="P48" i="113"/>
  <c r="O48" i="113"/>
  <c r="N48" i="113"/>
  <c r="M48" i="113"/>
  <c r="L48" i="113"/>
  <c r="K48" i="113"/>
  <c r="J48" i="113"/>
  <c r="I48" i="113"/>
  <c r="H48" i="113"/>
  <c r="G48" i="113"/>
  <c r="F48" i="113"/>
  <c r="E48" i="113"/>
  <c r="D48" i="113"/>
  <c r="C48" i="113"/>
  <c r="B48" i="113"/>
  <c r="CV47" i="113"/>
  <c r="AH47" i="113"/>
  <c r="AG47" i="113"/>
  <c r="AF47" i="113"/>
  <c r="AE47" i="113"/>
  <c r="AD47" i="113"/>
  <c r="AC47" i="113"/>
  <c r="AB47" i="113"/>
  <c r="AA47" i="113"/>
  <c r="Z47" i="113"/>
  <c r="Y47" i="113"/>
  <c r="X47" i="113"/>
  <c r="W47" i="113"/>
  <c r="V47" i="113"/>
  <c r="U47" i="113"/>
  <c r="T47" i="113"/>
  <c r="S47" i="113"/>
  <c r="Q47" i="113"/>
  <c r="P47" i="113"/>
  <c r="O47" i="113"/>
  <c r="N47" i="113"/>
  <c r="M47" i="113"/>
  <c r="L47" i="113"/>
  <c r="K47" i="113"/>
  <c r="J47" i="113"/>
  <c r="I47" i="113"/>
  <c r="H47" i="113"/>
  <c r="G47" i="113"/>
  <c r="F47" i="113"/>
  <c r="E47" i="113"/>
  <c r="D47" i="113"/>
  <c r="C47" i="113"/>
  <c r="B47" i="113"/>
  <c r="CV46" i="113"/>
  <c r="AH46" i="113"/>
  <c r="AG46" i="113"/>
  <c r="AF46" i="113"/>
  <c r="AE46" i="113"/>
  <c r="AD46" i="113"/>
  <c r="AC46" i="113"/>
  <c r="AB46" i="113"/>
  <c r="AA46" i="113"/>
  <c r="Z46" i="113"/>
  <c r="Y46" i="113"/>
  <c r="X46" i="113"/>
  <c r="W46" i="113"/>
  <c r="V46" i="113"/>
  <c r="U46" i="113"/>
  <c r="T46" i="113"/>
  <c r="S46" i="113"/>
  <c r="Q46" i="113"/>
  <c r="P46" i="113"/>
  <c r="O46" i="113"/>
  <c r="N46" i="113"/>
  <c r="M46" i="113"/>
  <c r="L46" i="113"/>
  <c r="K46" i="113"/>
  <c r="J46" i="113"/>
  <c r="I46" i="113"/>
  <c r="H46" i="113"/>
  <c r="G46" i="113"/>
  <c r="F46" i="113"/>
  <c r="E46" i="113"/>
  <c r="D46" i="113"/>
  <c r="C46" i="113"/>
  <c r="B46" i="113"/>
  <c r="CV45" i="113"/>
  <c r="AH45" i="113"/>
  <c r="AG45" i="113"/>
  <c r="AF45" i="113"/>
  <c r="AE45" i="113"/>
  <c r="AD45" i="113"/>
  <c r="AC45" i="113"/>
  <c r="AB45" i="113"/>
  <c r="AA45" i="113"/>
  <c r="Z45" i="113"/>
  <c r="Y45" i="113"/>
  <c r="X45" i="113"/>
  <c r="W45" i="113"/>
  <c r="V45" i="113"/>
  <c r="U45" i="113"/>
  <c r="T45" i="113"/>
  <c r="S45" i="113"/>
  <c r="Q45" i="113"/>
  <c r="P45" i="113"/>
  <c r="O45" i="113"/>
  <c r="N45" i="113"/>
  <c r="M45" i="113"/>
  <c r="L45" i="113"/>
  <c r="K45" i="113"/>
  <c r="J45" i="113"/>
  <c r="I45" i="113"/>
  <c r="H45" i="113"/>
  <c r="G45" i="113"/>
  <c r="F45" i="113"/>
  <c r="E45" i="113"/>
  <c r="D45" i="113"/>
  <c r="C45" i="113"/>
  <c r="B45" i="113"/>
  <c r="CV44" i="113"/>
  <c r="AH44" i="113"/>
  <c r="AG44" i="113"/>
  <c r="AF44" i="113"/>
  <c r="AE44" i="113"/>
  <c r="AD44" i="113"/>
  <c r="AC44" i="113"/>
  <c r="AB44" i="113"/>
  <c r="AA44" i="113"/>
  <c r="Z44" i="113"/>
  <c r="Y44" i="113"/>
  <c r="X44" i="113"/>
  <c r="W44" i="113"/>
  <c r="V44" i="113"/>
  <c r="U44" i="113"/>
  <c r="T44" i="113"/>
  <c r="S44" i="113"/>
  <c r="Q44" i="113"/>
  <c r="P44" i="113"/>
  <c r="O44" i="113"/>
  <c r="N44" i="113"/>
  <c r="M44" i="113"/>
  <c r="L44" i="113"/>
  <c r="K44" i="113"/>
  <c r="J44" i="113"/>
  <c r="I44" i="113"/>
  <c r="H44" i="113"/>
  <c r="G44" i="113"/>
  <c r="F44" i="113"/>
  <c r="E44" i="113"/>
  <c r="D44" i="113"/>
  <c r="C44" i="113"/>
  <c r="B44" i="113"/>
  <c r="CV43" i="113"/>
  <c r="AH43" i="113"/>
  <c r="AG43" i="113"/>
  <c r="AF43" i="113"/>
  <c r="AE43" i="113"/>
  <c r="AD43" i="113"/>
  <c r="AC43" i="113"/>
  <c r="AB43" i="113"/>
  <c r="AA43" i="113"/>
  <c r="Z43" i="113"/>
  <c r="Y43" i="113"/>
  <c r="X43" i="113"/>
  <c r="W43" i="113"/>
  <c r="V43" i="113"/>
  <c r="U43" i="113"/>
  <c r="T43" i="113"/>
  <c r="S43" i="113"/>
  <c r="Q43" i="113"/>
  <c r="P43" i="113"/>
  <c r="O43" i="113"/>
  <c r="N43" i="113"/>
  <c r="M43" i="113"/>
  <c r="L43" i="113"/>
  <c r="K43" i="113"/>
  <c r="J43" i="113"/>
  <c r="I43" i="113"/>
  <c r="H43" i="113"/>
  <c r="G43" i="113"/>
  <c r="F43" i="113"/>
  <c r="E43" i="113"/>
  <c r="D43" i="113"/>
  <c r="C43" i="113"/>
  <c r="B43" i="113"/>
  <c r="CV42" i="113"/>
  <c r="AH42" i="113"/>
  <c r="AG42" i="113"/>
  <c r="AF42" i="113"/>
  <c r="AE42" i="113"/>
  <c r="AD42" i="113"/>
  <c r="AC42" i="113"/>
  <c r="AB42" i="113"/>
  <c r="AA42" i="113"/>
  <c r="Z42" i="113"/>
  <c r="Y42" i="113"/>
  <c r="X42" i="113"/>
  <c r="W42" i="113"/>
  <c r="V42" i="113"/>
  <c r="U42" i="113"/>
  <c r="T42" i="113"/>
  <c r="S42" i="113"/>
  <c r="Q42" i="113"/>
  <c r="P42" i="113"/>
  <c r="O42" i="113"/>
  <c r="N42" i="113"/>
  <c r="M42" i="113"/>
  <c r="L42" i="113"/>
  <c r="K42" i="113"/>
  <c r="J42" i="113"/>
  <c r="I42" i="113"/>
  <c r="H42" i="113"/>
  <c r="G42" i="113"/>
  <c r="F42" i="113"/>
  <c r="E42" i="113"/>
  <c r="D42" i="113"/>
  <c r="C42" i="113"/>
  <c r="B42" i="113"/>
  <c r="CV41" i="113"/>
  <c r="AH41" i="113"/>
  <c r="AG41" i="113"/>
  <c r="AF41" i="113"/>
  <c r="AE41" i="113"/>
  <c r="AD41" i="113"/>
  <c r="AC41" i="113"/>
  <c r="AB41" i="113"/>
  <c r="AA41" i="113"/>
  <c r="Z41" i="113"/>
  <c r="Y41" i="113"/>
  <c r="X41" i="113"/>
  <c r="W41" i="113"/>
  <c r="V41" i="113"/>
  <c r="U41" i="113"/>
  <c r="T41" i="113"/>
  <c r="S41" i="113"/>
  <c r="Q41" i="113"/>
  <c r="P41" i="113"/>
  <c r="O41" i="113"/>
  <c r="N41" i="113"/>
  <c r="M41" i="113"/>
  <c r="L41" i="113"/>
  <c r="K41" i="113"/>
  <c r="J41" i="113"/>
  <c r="I41" i="113"/>
  <c r="H41" i="113"/>
  <c r="G41" i="113"/>
  <c r="F41" i="113"/>
  <c r="E41" i="113"/>
  <c r="D41" i="113"/>
  <c r="C41" i="113"/>
  <c r="B41" i="113"/>
  <c r="CV40" i="113"/>
  <c r="AH40" i="113"/>
  <c r="AG40" i="113"/>
  <c r="AF40" i="113"/>
  <c r="AE40" i="113"/>
  <c r="AD40" i="113"/>
  <c r="AC40" i="113"/>
  <c r="AB40" i="113"/>
  <c r="AA40" i="113"/>
  <c r="Z40" i="113"/>
  <c r="Y40" i="113"/>
  <c r="X40" i="113"/>
  <c r="W40" i="113"/>
  <c r="V40" i="113"/>
  <c r="U40" i="113"/>
  <c r="T40" i="113"/>
  <c r="S40" i="113"/>
  <c r="Q40" i="113"/>
  <c r="P40" i="113"/>
  <c r="O40" i="113"/>
  <c r="N40" i="113"/>
  <c r="M40" i="113"/>
  <c r="L40" i="113"/>
  <c r="K40" i="113"/>
  <c r="J40" i="113"/>
  <c r="I40" i="113"/>
  <c r="H40" i="113"/>
  <c r="G40" i="113"/>
  <c r="F40" i="113"/>
  <c r="E40" i="113"/>
  <c r="D40" i="113"/>
  <c r="C40" i="113"/>
  <c r="B40" i="113"/>
  <c r="CV39" i="113"/>
  <c r="AH39" i="113"/>
  <c r="AG39" i="113"/>
  <c r="AF39" i="113"/>
  <c r="AE39" i="113"/>
  <c r="AD39" i="113"/>
  <c r="AC39" i="113"/>
  <c r="AB39" i="113"/>
  <c r="AA39" i="113"/>
  <c r="Z39" i="113"/>
  <c r="Y39" i="113"/>
  <c r="X39" i="113"/>
  <c r="W39" i="113"/>
  <c r="V39" i="113"/>
  <c r="U39" i="113"/>
  <c r="T39" i="113"/>
  <c r="S39" i="113"/>
  <c r="Q39" i="113"/>
  <c r="P39" i="113"/>
  <c r="O39" i="113"/>
  <c r="N39" i="113"/>
  <c r="M39" i="113"/>
  <c r="L39" i="113"/>
  <c r="K39" i="113"/>
  <c r="J39" i="113"/>
  <c r="I39" i="113"/>
  <c r="H39" i="113"/>
  <c r="G39" i="113"/>
  <c r="F39" i="113"/>
  <c r="E39" i="113"/>
  <c r="D39" i="113"/>
  <c r="C39" i="113"/>
  <c r="B39" i="113"/>
  <c r="CW38" i="113"/>
  <c r="CV38" i="113"/>
  <c r="CU38" i="113"/>
  <c r="CX38" i="113" s="1"/>
  <c r="M26" i="26" s="1"/>
  <c r="AH38" i="113"/>
  <c r="AG38" i="113"/>
  <c r="AF38" i="113"/>
  <c r="AE38" i="113"/>
  <c r="AD38" i="113"/>
  <c r="AC38" i="113"/>
  <c r="AB38" i="113"/>
  <c r="AA38" i="113"/>
  <c r="Z38" i="113"/>
  <c r="Y38" i="113"/>
  <c r="X38" i="113"/>
  <c r="W38" i="113"/>
  <c r="V38" i="113"/>
  <c r="U38" i="113"/>
  <c r="T38" i="113"/>
  <c r="S38" i="113"/>
  <c r="Q38" i="113"/>
  <c r="O38" i="113"/>
  <c r="N38" i="113"/>
  <c r="M38" i="113"/>
  <c r="L38" i="113"/>
  <c r="K38" i="113"/>
  <c r="J38" i="113"/>
  <c r="I38" i="113"/>
  <c r="H38" i="113"/>
  <c r="G38" i="113"/>
  <c r="F38" i="113"/>
  <c r="E38" i="113"/>
  <c r="D38" i="113"/>
  <c r="C38" i="113"/>
  <c r="B38" i="113"/>
  <c r="CW37" i="113"/>
  <c r="CV37" i="113"/>
  <c r="CU37" i="113"/>
  <c r="L23" i="26" s="1"/>
  <c r="AH37" i="113"/>
  <c r="AG37" i="113"/>
  <c r="AF37" i="113"/>
  <c r="AE37" i="113"/>
  <c r="AD37" i="113"/>
  <c r="AC37" i="113"/>
  <c r="AB37" i="113"/>
  <c r="AA37" i="113"/>
  <c r="Z37" i="113"/>
  <c r="Y37" i="113"/>
  <c r="X37" i="113"/>
  <c r="W37" i="113"/>
  <c r="V37" i="113"/>
  <c r="U37" i="113"/>
  <c r="T37" i="113"/>
  <c r="S37" i="113"/>
  <c r="Q37" i="113"/>
  <c r="O37" i="113"/>
  <c r="N37" i="113"/>
  <c r="M37" i="113"/>
  <c r="L37" i="113"/>
  <c r="K37" i="113"/>
  <c r="J37" i="113"/>
  <c r="I37" i="113"/>
  <c r="H37" i="113"/>
  <c r="G37" i="113"/>
  <c r="F37" i="113"/>
  <c r="E37" i="113"/>
  <c r="D37" i="113"/>
  <c r="C37" i="113"/>
  <c r="B37" i="113"/>
  <c r="CW36" i="113"/>
  <c r="CV36" i="113"/>
  <c r="CU36" i="113"/>
  <c r="K23" i="26" s="1"/>
  <c r="AH36" i="113"/>
  <c r="AG36" i="113"/>
  <c r="AF36" i="113"/>
  <c r="AE36" i="113"/>
  <c r="AD36" i="113"/>
  <c r="AC36" i="113"/>
  <c r="AB36" i="113"/>
  <c r="AA36" i="113"/>
  <c r="Z36" i="113"/>
  <c r="Y36" i="113"/>
  <c r="X36" i="113"/>
  <c r="W36" i="113"/>
  <c r="V36" i="113"/>
  <c r="U36" i="113"/>
  <c r="T36" i="113"/>
  <c r="S36" i="113"/>
  <c r="Q36" i="113"/>
  <c r="O36" i="113"/>
  <c r="N36" i="113"/>
  <c r="M36" i="113"/>
  <c r="L36" i="113"/>
  <c r="K36" i="113"/>
  <c r="J36" i="113"/>
  <c r="I36" i="113"/>
  <c r="H36" i="113"/>
  <c r="G36" i="113"/>
  <c r="F36" i="113"/>
  <c r="E36" i="113"/>
  <c r="D36" i="113"/>
  <c r="C36" i="113"/>
  <c r="B36" i="113"/>
  <c r="CW35" i="113"/>
  <c r="CV35" i="113"/>
  <c r="CU35" i="113"/>
  <c r="CX35" i="113" s="1"/>
  <c r="J26" i="26" s="1"/>
  <c r="AH35" i="113"/>
  <c r="AG35" i="113"/>
  <c r="AF35" i="113"/>
  <c r="AE35" i="113"/>
  <c r="AD35" i="113"/>
  <c r="AC35" i="113"/>
  <c r="AB35" i="113"/>
  <c r="AA35" i="113"/>
  <c r="Z35" i="113"/>
  <c r="Y35" i="113"/>
  <c r="X35" i="113"/>
  <c r="W35" i="113"/>
  <c r="V35" i="113"/>
  <c r="U35" i="113"/>
  <c r="T35" i="113"/>
  <c r="S35" i="113"/>
  <c r="Q35" i="113"/>
  <c r="O35" i="113"/>
  <c r="N35" i="113"/>
  <c r="M35" i="113"/>
  <c r="L35" i="113"/>
  <c r="K35" i="113"/>
  <c r="J35" i="113"/>
  <c r="I35" i="113"/>
  <c r="H35" i="113"/>
  <c r="G35" i="113"/>
  <c r="F35" i="113"/>
  <c r="E35" i="113"/>
  <c r="D35" i="113"/>
  <c r="C35" i="113"/>
  <c r="B35" i="113"/>
  <c r="CW34" i="113"/>
  <c r="CV34" i="113"/>
  <c r="CU34" i="113"/>
  <c r="CX34" i="113" s="1"/>
  <c r="I26" i="26" s="1"/>
  <c r="AH34" i="113"/>
  <c r="AG34" i="113"/>
  <c r="AF34" i="113"/>
  <c r="AE34" i="113"/>
  <c r="AD34" i="113"/>
  <c r="AC34" i="113"/>
  <c r="AB34" i="113"/>
  <c r="AA34" i="113"/>
  <c r="Z34" i="113"/>
  <c r="Y34" i="113"/>
  <c r="X34" i="113"/>
  <c r="W34" i="113"/>
  <c r="V34" i="113"/>
  <c r="U34" i="113"/>
  <c r="T34" i="113"/>
  <c r="S34" i="113"/>
  <c r="Q34" i="113"/>
  <c r="O34" i="113"/>
  <c r="N34" i="113"/>
  <c r="M34" i="113"/>
  <c r="L34" i="113"/>
  <c r="K34" i="113"/>
  <c r="J34" i="113"/>
  <c r="I34" i="113"/>
  <c r="H34" i="113"/>
  <c r="G34" i="113"/>
  <c r="F34" i="113"/>
  <c r="E34" i="113"/>
  <c r="D34" i="113"/>
  <c r="C34" i="113"/>
  <c r="B34" i="113"/>
  <c r="CW33" i="113"/>
  <c r="CV33" i="113"/>
  <c r="CU33" i="113"/>
  <c r="H23" i="26" s="1"/>
  <c r="AH33" i="113"/>
  <c r="AG33" i="113"/>
  <c r="AF33" i="113"/>
  <c r="AE33" i="113"/>
  <c r="AD33" i="113"/>
  <c r="AC33" i="113"/>
  <c r="AB33" i="113"/>
  <c r="AA33" i="113"/>
  <c r="Z33" i="113"/>
  <c r="Y33" i="113"/>
  <c r="X33" i="113"/>
  <c r="W33" i="113"/>
  <c r="V33" i="113"/>
  <c r="U33" i="113"/>
  <c r="T33" i="113"/>
  <c r="S33" i="113"/>
  <c r="Q33" i="113"/>
  <c r="O33" i="113"/>
  <c r="N33" i="113"/>
  <c r="M33" i="113"/>
  <c r="L33" i="113"/>
  <c r="K33" i="113"/>
  <c r="J33" i="113"/>
  <c r="I33" i="113"/>
  <c r="H33" i="113"/>
  <c r="G33" i="113"/>
  <c r="F33" i="113"/>
  <c r="E33" i="113"/>
  <c r="D33" i="113"/>
  <c r="C33" i="113"/>
  <c r="B33" i="113"/>
  <c r="CW32" i="113"/>
  <c r="CV32" i="113"/>
  <c r="CU32" i="113"/>
  <c r="CX32" i="113" s="1"/>
  <c r="G26" i="26" s="1"/>
  <c r="AH32" i="113"/>
  <c r="AG32" i="113"/>
  <c r="AF32" i="113"/>
  <c r="AE32" i="113"/>
  <c r="AD32" i="113"/>
  <c r="AC32" i="113"/>
  <c r="AB32" i="113"/>
  <c r="AA32" i="113"/>
  <c r="Z32" i="113"/>
  <c r="Y32" i="113"/>
  <c r="X32" i="113"/>
  <c r="W32" i="113"/>
  <c r="V32" i="113"/>
  <c r="U32" i="113"/>
  <c r="T32" i="113"/>
  <c r="S32" i="113"/>
  <c r="Q32" i="113"/>
  <c r="O32" i="113"/>
  <c r="N32" i="113"/>
  <c r="M32" i="113"/>
  <c r="L32" i="113"/>
  <c r="K32" i="113"/>
  <c r="J32" i="113"/>
  <c r="I32" i="113"/>
  <c r="H32" i="113"/>
  <c r="G32" i="113"/>
  <c r="F32" i="113"/>
  <c r="E32" i="113"/>
  <c r="D32" i="113"/>
  <c r="C32" i="113"/>
  <c r="B32" i="113"/>
  <c r="CW31" i="113"/>
  <c r="CV31" i="113"/>
  <c r="CU31" i="113"/>
  <c r="F23" i="26" s="1"/>
  <c r="AH31" i="113"/>
  <c r="AG31" i="113"/>
  <c r="AF31" i="113"/>
  <c r="AE31" i="113"/>
  <c r="AD31" i="113"/>
  <c r="AC31" i="113"/>
  <c r="AB31" i="113"/>
  <c r="AA31" i="113"/>
  <c r="Z31" i="113"/>
  <c r="Y31" i="113"/>
  <c r="X31" i="113"/>
  <c r="W31" i="113"/>
  <c r="V31" i="113"/>
  <c r="U31" i="113"/>
  <c r="T31" i="113"/>
  <c r="S31" i="113"/>
  <c r="Q31" i="113"/>
  <c r="O31" i="113"/>
  <c r="N31" i="113"/>
  <c r="M31" i="113"/>
  <c r="L31" i="113"/>
  <c r="K31" i="113"/>
  <c r="J31" i="113"/>
  <c r="I31" i="113"/>
  <c r="H31" i="113"/>
  <c r="G31" i="113"/>
  <c r="F31" i="113"/>
  <c r="E31" i="113"/>
  <c r="D31" i="113"/>
  <c r="C31" i="113"/>
  <c r="B31" i="113"/>
  <c r="CW30" i="113"/>
  <c r="CV30" i="113"/>
  <c r="CU30" i="113"/>
  <c r="CX30" i="113" s="1"/>
  <c r="E26" i="26" s="1"/>
  <c r="AH30" i="113"/>
  <c r="AG30" i="113"/>
  <c r="AF30" i="113"/>
  <c r="AE30" i="113"/>
  <c r="AD30" i="113"/>
  <c r="AC30" i="113"/>
  <c r="AB30" i="113"/>
  <c r="AA30" i="113"/>
  <c r="Z30" i="113"/>
  <c r="Y30" i="113"/>
  <c r="X30" i="113"/>
  <c r="W30" i="113"/>
  <c r="V30" i="113"/>
  <c r="U30" i="113"/>
  <c r="T30" i="113"/>
  <c r="S30" i="113"/>
  <c r="Q30" i="113"/>
  <c r="O30" i="113"/>
  <c r="N30" i="113"/>
  <c r="M30" i="113"/>
  <c r="L30" i="113"/>
  <c r="K30" i="113"/>
  <c r="J30" i="113"/>
  <c r="I30" i="113"/>
  <c r="H30" i="113"/>
  <c r="G30" i="113"/>
  <c r="F30" i="113"/>
  <c r="E30" i="113"/>
  <c r="D30" i="113"/>
  <c r="C30" i="113"/>
  <c r="B30" i="113"/>
  <c r="CW29" i="113"/>
  <c r="CV29" i="113"/>
  <c r="CU29" i="113"/>
  <c r="D23" i="26" s="1"/>
  <c r="AH29" i="113"/>
  <c r="AG29" i="113"/>
  <c r="AF29" i="113"/>
  <c r="AE29" i="113"/>
  <c r="AD29" i="113"/>
  <c r="AC29" i="113"/>
  <c r="AB29" i="113"/>
  <c r="AA29" i="113"/>
  <c r="Z29" i="113"/>
  <c r="Y29" i="113"/>
  <c r="X29" i="113"/>
  <c r="W29" i="113"/>
  <c r="V29" i="113"/>
  <c r="U29" i="113"/>
  <c r="T29" i="113"/>
  <c r="S29" i="113"/>
  <c r="Q29" i="113"/>
  <c r="O29" i="113"/>
  <c r="N29" i="113"/>
  <c r="M29" i="113"/>
  <c r="L29" i="113"/>
  <c r="K29" i="113"/>
  <c r="J29" i="113"/>
  <c r="I29" i="113"/>
  <c r="H29" i="113"/>
  <c r="G29" i="113"/>
  <c r="F29" i="113"/>
  <c r="E29" i="113"/>
  <c r="D29" i="113"/>
  <c r="C29" i="113"/>
  <c r="B29" i="113"/>
  <c r="CW28" i="113"/>
  <c r="CV28" i="113"/>
  <c r="CU28" i="113"/>
  <c r="C23" i="26" s="1"/>
  <c r="AH28" i="113"/>
  <c r="AG28" i="113"/>
  <c r="AF28" i="113"/>
  <c r="AE28" i="113"/>
  <c r="AD28" i="113"/>
  <c r="AC28" i="113"/>
  <c r="AB28" i="113"/>
  <c r="AA28" i="113"/>
  <c r="Z28" i="113"/>
  <c r="Y28" i="113"/>
  <c r="X28" i="113"/>
  <c r="W28" i="113"/>
  <c r="V28" i="113"/>
  <c r="U28" i="113"/>
  <c r="T28" i="113"/>
  <c r="S28" i="113"/>
  <c r="Q28" i="113"/>
  <c r="O28" i="113"/>
  <c r="N28" i="113"/>
  <c r="M28" i="113"/>
  <c r="L28" i="113"/>
  <c r="K28" i="113"/>
  <c r="J28" i="113"/>
  <c r="I28" i="113"/>
  <c r="H28" i="113"/>
  <c r="G28" i="113"/>
  <c r="F28" i="113"/>
  <c r="E28" i="113"/>
  <c r="D28" i="113"/>
  <c r="C28" i="113"/>
  <c r="B28" i="113"/>
  <c r="CW27" i="113"/>
  <c r="CV27" i="113"/>
  <c r="CU27" i="113"/>
  <c r="CX27" i="113" s="1"/>
  <c r="B26" i="26" s="1"/>
  <c r="O26" i="26" s="1"/>
  <c r="AH27" i="113"/>
  <c r="AG27" i="113"/>
  <c r="AF27" i="113"/>
  <c r="AE27" i="113"/>
  <c r="AD27" i="113"/>
  <c r="AC27" i="113"/>
  <c r="AB27" i="113"/>
  <c r="AA27" i="113"/>
  <c r="Z27" i="113"/>
  <c r="Y27" i="113"/>
  <c r="X27" i="113"/>
  <c r="W27" i="113"/>
  <c r="V27" i="113"/>
  <c r="U27" i="113"/>
  <c r="T27" i="113"/>
  <c r="S27" i="113"/>
  <c r="Q27" i="113"/>
  <c r="O27" i="113"/>
  <c r="N27" i="113"/>
  <c r="M27" i="113"/>
  <c r="L27" i="113"/>
  <c r="K27" i="113"/>
  <c r="J27" i="113"/>
  <c r="I27" i="113"/>
  <c r="H27" i="113"/>
  <c r="G27" i="113"/>
  <c r="F27" i="113"/>
  <c r="E27" i="113"/>
  <c r="D27" i="113"/>
  <c r="C27" i="113"/>
  <c r="B27" i="113"/>
  <c r="CW26" i="113"/>
  <c r="CV26" i="113"/>
  <c r="CU26" i="113"/>
  <c r="CX26" i="113" s="1"/>
  <c r="CW25" i="113"/>
  <c r="CV25" i="113"/>
  <c r="CU25" i="113"/>
  <c r="CX25" i="113" s="1"/>
  <c r="CW24" i="113"/>
  <c r="CV24" i="113"/>
  <c r="CU24" i="113"/>
  <c r="CX24" i="113" s="1"/>
  <c r="CW23" i="113"/>
  <c r="CV23" i="113"/>
  <c r="CU23" i="113"/>
  <c r="CX23" i="113" s="1"/>
  <c r="CW22" i="113"/>
  <c r="CV22" i="113"/>
  <c r="CU22" i="113"/>
  <c r="CX22" i="113" s="1"/>
  <c r="CW21" i="113"/>
  <c r="CV21" i="113"/>
  <c r="CU21" i="113"/>
  <c r="CX21" i="113" s="1"/>
  <c r="CW20" i="113"/>
  <c r="CV20" i="113"/>
  <c r="CU20" i="113"/>
  <c r="CX20" i="113" s="1"/>
  <c r="CX19" i="113"/>
  <c r="CW19" i="113"/>
  <c r="CV19" i="113"/>
  <c r="CU19" i="113"/>
  <c r="CW18" i="113"/>
  <c r="CV18" i="113"/>
  <c r="CU18" i="113"/>
  <c r="CX18" i="113" s="1"/>
  <c r="CW17" i="113"/>
  <c r="CV17" i="113"/>
  <c r="CU17" i="113"/>
  <c r="CX17" i="113" s="1"/>
  <c r="CW16" i="113"/>
  <c r="CV16" i="113"/>
  <c r="CU16" i="113"/>
  <c r="CX16" i="113" s="1"/>
  <c r="CW15" i="113"/>
  <c r="CV15" i="113"/>
  <c r="CU15" i="113"/>
  <c r="CX15" i="113" s="1"/>
  <c r="AH14" i="113"/>
  <c r="AG14" i="113"/>
  <c r="AF14" i="113"/>
  <c r="AE14" i="113"/>
  <c r="AD14" i="113"/>
  <c r="AC14" i="113"/>
  <c r="AB14" i="113"/>
  <c r="AA14" i="113"/>
  <c r="Z14" i="113"/>
  <c r="Y14" i="113"/>
  <c r="X14" i="113"/>
  <c r="W14" i="113"/>
  <c r="V14" i="113"/>
  <c r="U14" i="113"/>
  <c r="T14" i="113"/>
  <c r="S14" i="113"/>
  <c r="Q14" i="113"/>
  <c r="O14" i="113"/>
  <c r="N14" i="113"/>
  <c r="M14" i="113"/>
  <c r="L14" i="113"/>
  <c r="K14" i="113"/>
  <c r="J14" i="113"/>
  <c r="I14" i="113"/>
  <c r="H14" i="113"/>
  <c r="G14" i="113"/>
  <c r="F14" i="113"/>
  <c r="E14" i="113"/>
  <c r="D14" i="113"/>
  <c r="C14" i="113"/>
  <c r="B14" i="113"/>
  <c r="AH13" i="113"/>
  <c r="AG13" i="113"/>
  <c r="AF13" i="113"/>
  <c r="AE13" i="113"/>
  <c r="AD13" i="113"/>
  <c r="AC13" i="113"/>
  <c r="AB13" i="113"/>
  <c r="AA13" i="113"/>
  <c r="Z13" i="113"/>
  <c r="Y13" i="113"/>
  <c r="X13" i="113"/>
  <c r="W13" i="113"/>
  <c r="V13" i="113"/>
  <c r="U13" i="113"/>
  <c r="T13" i="113"/>
  <c r="S13" i="113"/>
  <c r="Q13" i="113"/>
  <c r="O13" i="113"/>
  <c r="N13" i="113"/>
  <c r="M13" i="113"/>
  <c r="L13" i="113"/>
  <c r="K13" i="113"/>
  <c r="J13" i="113"/>
  <c r="I13" i="113"/>
  <c r="H13" i="113"/>
  <c r="G13" i="113"/>
  <c r="F13" i="113"/>
  <c r="E13" i="113"/>
  <c r="D13" i="113"/>
  <c r="C13" i="113"/>
  <c r="B13" i="113"/>
  <c r="AH12" i="113"/>
  <c r="AG12" i="113"/>
  <c r="AF12" i="113"/>
  <c r="AE12" i="113"/>
  <c r="AD12" i="113"/>
  <c r="AC12" i="113"/>
  <c r="AB12" i="113"/>
  <c r="AA12" i="113"/>
  <c r="Z12" i="113"/>
  <c r="Y12" i="113"/>
  <c r="X12" i="113"/>
  <c r="W12" i="113"/>
  <c r="V12" i="113"/>
  <c r="U12" i="113"/>
  <c r="T12" i="113"/>
  <c r="S12" i="113"/>
  <c r="Q12" i="113"/>
  <c r="O12" i="113"/>
  <c r="N12" i="113"/>
  <c r="M12" i="113"/>
  <c r="L12" i="113"/>
  <c r="K12" i="113"/>
  <c r="J12" i="113"/>
  <c r="I12" i="113"/>
  <c r="H12" i="113"/>
  <c r="G12" i="113"/>
  <c r="F12" i="113"/>
  <c r="E12" i="113"/>
  <c r="D12" i="113"/>
  <c r="C12" i="113"/>
  <c r="B12" i="113"/>
  <c r="AH11" i="113"/>
  <c r="AG11" i="113"/>
  <c r="AF11" i="113"/>
  <c r="AE11" i="113"/>
  <c r="AD11" i="113"/>
  <c r="AC11" i="113"/>
  <c r="AB11" i="113"/>
  <c r="AA11" i="113"/>
  <c r="Z11" i="113"/>
  <c r="Y11" i="113"/>
  <c r="X11" i="113"/>
  <c r="W11" i="113"/>
  <c r="V11" i="113"/>
  <c r="U11" i="113"/>
  <c r="T11" i="113"/>
  <c r="S11" i="113"/>
  <c r="Q11" i="113"/>
  <c r="O11" i="113"/>
  <c r="N11" i="113"/>
  <c r="M11" i="113"/>
  <c r="L11" i="113"/>
  <c r="K11" i="113"/>
  <c r="J11" i="113"/>
  <c r="I11" i="113"/>
  <c r="H11" i="113"/>
  <c r="G11" i="113"/>
  <c r="F11" i="113"/>
  <c r="E11" i="113"/>
  <c r="D11" i="113"/>
  <c r="C11" i="113"/>
  <c r="B11" i="113"/>
  <c r="AH10" i="113"/>
  <c r="AG10" i="113"/>
  <c r="AF10" i="113"/>
  <c r="AE10" i="113"/>
  <c r="AD10" i="113"/>
  <c r="AC10" i="113"/>
  <c r="AB10" i="113"/>
  <c r="AA10" i="113"/>
  <c r="Z10" i="113"/>
  <c r="Y10" i="113"/>
  <c r="X10" i="113"/>
  <c r="W10" i="113"/>
  <c r="V10" i="113"/>
  <c r="U10" i="113"/>
  <c r="T10" i="113"/>
  <c r="S10" i="113"/>
  <c r="Q10" i="113"/>
  <c r="O10" i="113"/>
  <c r="N10" i="113"/>
  <c r="M10" i="113"/>
  <c r="L10" i="113"/>
  <c r="K10" i="113"/>
  <c r="J10" i="113"/>
  <c r="I10" i="113"/>
  <c r="H10" i="113"/>
  <c r="G10" i="113"/>
  <c r="F10" i="113"/>
  <c r="E10" i="113"/>
  <c r="D10" i="113"/>
  <c r="C10" i="113"/>
  <c r="B10" i="113"/>
  <c r="AH9" i="113"/>
  <c r="AG9" i="113"/>
  <c r="AF9" i="113"/>
  <c r="AE9" i="113"/>
  <c r="AD9" i="113"/>
  <c r="AC9" i="113"/>
  <c r="AB9" i="113"/>
  <c r="AA9" i="113"/>
  <c r="Z9" i="113"/>
  <c r="Y9" i="113"/>
  <c r="X9" i="113"/>
  <c r="W9" i="113"/>
  <c r="V9" i="113"/>
  <c r="U9" i="113"/>
  <c r="T9" i="113"/>
  <c r="S9" i="113"/>
  <c r="Q9" i="113"/>
  <c r="O9" i="113"/>
  <c r="N9" i="113"/>
  <c r="M9" i="113"/>
  <c r="L9" i="113"/>
  <c r="K9" i="113"/>
  <c r="J9" i="113"/>
  <c r="I9" i="113"/>
  <c r="H9" i="113"/>
  <c r="G9" i="113"/>
  <c r="F9" i="113"/>
  <c r="E9" i="113"/>
  <c r="D9" i="113"/>
  <c r="C9" i="113"/>
  <c r="B9" i="113"/>
  <c r="AH8" i="113"/>
  <c r="AG8" i="113"/>
  <c r="AF8" i="113"/>
  <c r="AE8" i="113"/>
  <c r="AD8" i="113"/>
  <c r="AC8" i="113"/>
  <c r="AB8" i="113"/>
  <c r="AA8" i="113"/>
  <c r="Z8" i="113"/>
  <c r="Y8" i="113"/>
  <c r="X8" i="113"/>
  <c r="W8" i="113"/>
  <c r="V8" i="113"/>
  <c r="U8" i="113"/>
  <c r="T8" i="113"/>
  <c r="S8" i="113"/>
  <c r="Q8" i="113"/>
  <c r="O8" i="113"/>
  <c r="N8" i="113"/>
  <c r="M8" i="113"/>
  <c r="L8" i="113"/>
  <c r="K8" i="113"/>
  <c r="J8" i="113"/>
  <c r="I8" i="113"/>
  <c r="H8" i="113"/>
  <c r="G8" i="113"/>
  <c r="F8" i="113"/>
  <c r="E8" i="113"/>
  <c r="D8" i="113"/>
  <c r="C8" i="113"/>
  <c r="B8" i="113"/>
  <c r="AH7" i="113"/>
  <c r="AG7" i="113"/>
  <c r="AF7" i="113"/>
  <c r="AE7" i="113"/>
  <c r="AD7" i="113"/>
  <c r="AC7" i="113"/>
  <c r="AB7" i="113"/>
  <c r="AA7" i="113"/>
  <c r="Z7" i="113"/>
  <c r="Y7" i="113"/>
  <c r="X7" i="113"/>
  <c r="W7" i="113"/>
  <c r="V7" i="113"/>
  <c r="U7" i="113"/>
  <c r="T7" i="113"/>
  <c r="S7" i="113"/>
  <c r="Q7" i="113"/>
  <c r="O7" i="113"/>
  <c r="N7" i="113"/>
  <c r="M7" i="113"/>
  <c r="L7" i="113"/>
  <c r="K7" i="113"/>
  <c r="J7" i="113"/>
  <c r="I7" i="113"/>
  <c r="H7" i="113"/>
  <c r="G7" i="113"/>
  <c r="F7" i="113"/>
  <c r="E7" i="113"/>
  <c r="D7" i="113"/>
  <c r="C7" i="113"/>
  <c r="B7" i="113"/>
  <c r="AH6" i="113"/>
  <c r="AG6" i="113"/>
  <c r="AF6" i="113"/>
  <c r="AE6" i="113"/>
  <c r="AD6" i="113"/>
  <c r="AC6" i="113"/>
  <c r="AB6" i="113"/>
  <c r="AA6" i="113"/>
  <c r="Z6" i="113"/>
  <c r="Y6" i="113"/>
  <c r="X6" i="113"/>
  <c r="W6" i="113"/>
  <c r="V6" i="113"/>
  <c r="U6" i="113"/>
  <c r="T6" i="113"/>
  <c r="S6" i="113"/>
  <c r="Q6" i="113"/>
  <c r="O6" i="113"/>
  <c r="N6" i="113"/>
  <c r="M6" i="113"/>
  <c r="L6" i="113"/>
  <c r="K6" i="113"/>
  <c r="J6" i="113"/>
  <c r="I6" i="113"/>
  <c r="H6" i="113"/>
  <c r="G6" i="113"/>
  <c r="F6" i="113"/>
  <c r="E6" i="113"/>
  <c r="D6" i="113"/>
  <c r="C6" i="113"/>
  <c r="B6" i="113"/>
  <c r="AH5" i="113"/>
  <c r="AG5" i="113"/>
  <c r="AF5" i="113"/>
  <c r="AE5" i="113"/>
  <c r="AD5" i="113"/>
  <c r="AC5" i="113"/>
  <c r="AB5" i="113"/>
  <c r="AA5" i="113"/>
  <c r="Z5" i="113"/>
  <c r="Y5" i="113"/>
  <c r="X5" i="113"/>
  <c r="W5" i="113"/>
  <c r="V5" i="113"/>
  <c r="U5" i="113"/>
  <c r="T5" i="113"/>
  <c r="S5" i="113"/>
  <c r="Q5" i="113"/>
  <c r="O5" i="113"/>
  <c r="N5" i="113"/>
  <c r="M5" i="113"/>
  <c r="L5" i="113"/>
  <c r="K5" i="113"/>
  <c r="J5" i="113"/>
  <c r="I5" i="113"/>
  <c r="H5" i="113"/>
  <c r="G5" i="113"/>
  <c r="F5" i="113"/>
  <c r="E5" i="113"/>
  <c r="D5" i="113"/>
  <c r="C5" i="113"/>
  <c r="B5" i="113"/>
  <c r="AH4" i="113"/>
  <c r="AG4" i="113"/>
  <c r="AF4" i="113"/>
  <c r="AE4" i="113"/>
  <c r="AD4" i="113"/>
  <c r="AC4" i="113"/>
  <c r="AB4" i="113"/>
  <c r="AA4" i="113"/>
  <c r="Z4" i="113"/>
  <c r="Y4" i="113"/>
  <c r="X4" i="113"/>
  <c r="W4" i="113"/>
  <c r="V4" i="113"/>
  <c r="U4" i="113"/>
  <c r="T4" i="113"/>
  <c r="S4" i="113"/>
  <c r="Q4" i="113"/>
  <c r="O4" i="113"/>
  <c r="N4" i="113"/>
  <c r="M4" i="113"/>
  <c r="L4" i="113"/>
  <c r="K4" i="113"/>
  <c r="J4" i="113"/>
  <c r="I4" i="113"/>
  <c r="H4" i="113"/>
  <c r="G4" i="113"/>
  <c r="F4" i="113"/>
  <c r="E4" i="113"/>
  <c r="D4" i="113"/>
  <c r="C4" i="113"/>
  <c r="B4" i="113"/>
  <c r="AH3" i="113"/>
  <c r="AG3" i="113"/>
  <c r="AF3" i="113"/>
  <c r="AE3" i="113"/>
  <c r="AD3" i="113"/>
  <c r="AC3" i="113"/>
  <c r="AB3" i="113"/>
  <c r="AA3" i="113"/>
  <c r="Z3" i="113"/>
  <c r="Y3" i="113"/>
  <c r="X3" i="113"/>
  <c r="W3" i="113"/>
  <c r="V3" i="113"/>
  <c r="U3" i="113"/>
  <c r="T3" i="113"/>
  <c r="S3" i="113"/>
  <c r="Q3" i="113"/>
  <c r="O3" i="113"/>
  <c r="N3" i="113"/>
  <c r="M3" i="113"/>
  <c r="L3" i="113"/>
  <c r="K3" i="113"/>
  <c r="J3" i="113"/>
  <c r="I3" i="113"/>
  <c r="H3" i="113"/>
  <c r="G3" i="113"/>
  <c r="F3" i="113"/>
  <c r="E3" i="113"/>
  <c r="D3" i="113"/>
  <c r="C3" i="113"/>
  <c r="B3" i="113"/>
  <c r="CZ74" i="112"/>
  <c r="CY74" i="112"/>
  <c r="AW74" i="112"/>
  <c r="P74" i="112" s="1"/>
  <c r="AT74" i="112"/>
  <c r="AS74" i="112"/>
  <c r="AR74" i="112"/>
  <c r="AQ74" i="112"/>
  <c r="AO74" i="112"/>
  <c r="AP74" i="112" s="1"/>
  <c r="AN74" i="112"/>
  <c r="AM74" i="112"/>
  <c r="AL74" i="112"/>
  <c r="AK74" i="112"/>
  <c r="AJ74" i="112"/>
  <c r="AI74" i="112"/>
  <c r="AH74" i="112"/>
  <c r="M87" i="122" s="1"/>
  <c r="AQ11" i="122" s="1"/>
  <c r="AG74" i="112"/>
  <c r="AF74" i="112"/>
  <c r="AE74" i="112"/>
  <c r="AD74" i="112"/>
  <c r="M59" i="122" s="1"/>
  <c r="AQ7" i="122" s="1"/>
  <c r="AC74" i="112"/>
  <c r="AB74" i="112"/>
  <c r="AA74" i="112"/>
  <c r="Z74" i="112"/>
  <c r="M35" i="122" s="1"/>
  <c r="Y74" i="112"/>
  <c r="M21" i="122" s="1"/>
  <c r="AQ4" i="122" s="1"/>
  <c r="X74" i="112"/>
  <c r="W74" i="112"/>
  <c r="V74" i="112"/>
  <c r="U74" i="112"/>
  <c r="T74" i="112"/>
  <c r="S74" i="112"/>
  <c r="CZ73" i="112"/>
  <c r="CY73" i="112"/>
  <c r="AW73" i="112"/>
  <c r="P73" i="112" s="1"/>
  <c r="AT73" i="112"/>
  <c r="AS73" i="112"/>
  <c r="AR73" i="112"/>
  <c r="AQ73" i="112"/>
  <c r="AO73" i="112"/>
  <c r="AP73" i="112" s="1"/>
  <c r="AN73" i="112"/>
  <c r="AM73" i="112"/>
  <c r="AL73" i="112"/>
  <c r="AK73" i="112"/>
  <c r="AJ73" i="112"/>
  <c r="AI73" i="112"/>
  <c r="AH73" i="112"/>
  <c r="L87" i="122" s="1"/>
  <c r="AG73" i="112"/>
  <c r="AF73" i="112"/>
  <c r="AE73" i="112"/>
  <c r="AD73" i="112"/>
  <c r="L59" i="122" s="1"/>
  <c r="AC73" i="112"/>
  <c r="AB73" i="112"/>
  <c r="AA73" i="112"/>
  <c r="Z73" i="112"/>
  <c r="L35" i="122" s="1"/>
  <c r="Y73" i="112"/>
  <c r="L21" i="122" s="1"/>
  <c r="X73" i="112"/>
  <c r="W73" i="112"/>
  <c r="V73" i="112"/>
  <c r="U73" i="112"/>
  <c r="T73" i="112"/>
  <c r="S73" i="112"/>
  <c r="CZ72" i="112"/>
  <c r="CY72" i="112"/>
  <c r="AW72" i="112"/>
  <c r="P72" i="112" s="1"/>
  <c r="AT72" i="112"/>
  <c r="AS72" i="112"/>
  <c r="AR72" i="112"/>
  <c r="AQ72" i="112"/>
  <c r="AO72" i="112"/>
  <c r="AP72" i="112" s="1"/>
  <c r="AN72" i="112"/>
  <c r="AM72" i="112"/>
  <c r="AL72" i="112"/>
  <c r="AK72" i="112"/>
  <c r="AJ72" i="112"/>
  <c r="AI72" i="112"/>
  <c r="AH72" i="112"/>
  <c r="K87" i="122" s="1"/>
  <c r="AG72" i="112"/>
  <c r="AF72" i="112"/>
  <c r="AE72" i="112"/>
  <c r="AD72" i="112"/>
  <c r="K59" i="122" s="1"/>
  <c r="AC72" i="112"/>
  <c r="AB72" i="112"/>
  <c r="AA72" i="112"/>
  <c r="Z72" i="112"/>
  <c r="K35" i="122" s="1"/>
  <c r="Y72" i="112"/>
  <c r="K21" i="122" s="1"/>
  <c r="X72" i="112"/>
  <c r="W72" i="112"/>
  <c r="V72" i="112"/>
  <c r="U72" i="112"/>
  <c r="T72" i="112"/>
  <c r="S72" i="112"/>
  <c r="CY71" i="112"/>
  <c r="AW71" i="112"/>
  <c r="P71" i="112" s="1"/>
  <c r="AT71" i="112"/>
  <c r="AS71" i="112"/>
  <c r="AR71" i="112"/>
  <c r="AQ71" i="112"/>
  <c r="AO71" i="112"/>
  <c r="AP71" i="112" s="1"/>
  <c r="AN71" i="112"/>
  <c r="AM71" i="112"/>
  <c r="AL71" i="112"/>
  <c r="AK71" i="112"/>
  <c r="AJ71" i="112"/>
  <c r="AI71" i="112"/>
  <c r="AH71" i="112"/>
  <c r="J87" i="122" s="1"/>
  <c r="AG71" i="112"/>
  <c r="AF71" i="112"/>
  <c r="AE71" i="112"/>
  <c r="AD71" i="112"/>
  <c r="J59" i="122" s="1"/>
  <c r="AC71" i="112"/>
  <c r="AB71" i="112"/>
  <c r="AA71" i="112"/>
  <c r="Z71" i="112"/>
  <c r="J35" i="122" s="1"/>
  <c r="Y71" i="112"/>
  <c r="J21" i="122" s="1"/>
  <c r="W71" i="112"/>
  <c r="V71" i="112"/>
  <c r="U71" i="112"/>
  <c r="T71" i="112"/>
  <c r="S71" i="112"/>
  <c r="CZ70" i="112"/>
  <c r="CY70" i="112"/>
  <c r="AW70" i="112"/>
  <c r="P70" i="112" s="1"/>
  <c r="AT70" i="112"/>
  <c r="AS70" i="112"/>
  <c r="AR70" i="112"/>
  <c r="AQ70" i="112"/>
  <c r="AO70" i="112"/>
  <c r="AP70" i="112" s="1"/>
  <c r="AN70" i="112"/>
  <c r="AM70" i="112"/>
  <c r="AL70" i="112"/>
  <c r="AK70" i="112"/>
  <c r="AJ70" i="112"/>
  <c r="AI70" i="112"/>
  <c r="AH70" i="112"/>
  <c r="I87" i="122" s="1"/>
  <c r="AG70" i="112"/>
  <c r="AF70" i="112"/>
  <c r="AE70" i="112"/>
  <c r="AD70" i="112"/>
  <c r="I59" i="122" s="1"/>
  <c r="AC70" i="112"/>
  <c r="AB70" i="112"/>
  <c r="AA70" i="112"/>
  <c r="Z70" i="112"/>
  <c r="I35" i="122" s="1"/>
  <c r="Y70" i="112"/>
  <c r="I21" i="122" s="1"/>
  <c r="X70" i="112"/>
  <c r="W70" i="112"/>
  <c r="V70" i="112"/>
  <c r="U70" i="112"/>
  <c r="T70" i="112"/>
  <c r="S70" i="112"/>
  <c r="CZ69" i="112"/>
  <c r="CY69" i="112"/>
  <c r="AW69" i="112"/>
  <c r="P69" i="112" s="1"/>
  <c r="AT69" i="112"/>
  <c r="AS69" i="112"/>
  <c r="AR69" i="112"/>
  <c r="AQ69" i="112"/>
  <c r="AO69" i="112"/>
  <c r="AP69" i="112" s="1"/>
  <c r="AN69" i="112"/>
  <c r="AM69" i="112"/>
  <c r="AL69" i="112"/>
  <c r="AK69" i="112"/>
  <c r="AJ69" i="112"/>
  <c r="AI69" i="112"/>
  <c r="AH69" i="112"/>
  <c r="AG69" i="112"/>
  <c r="AF69" i="112"/>
  <c r="AE69" i="112"/>
  <c r="AD69" i="112"/>
  <c r="AC69" i="112"/>
  <c r="AB69" i="112"/>
  <c r="AA69" i="112"/>
  <c r="Z69" i="112"/>
  <c r="Y69" i="112"/>
  <c r="X69" i="112"/>
  <c r="W69" i="112"/>
  <c r="V69" i="112"/>
  <c r="U69" i="112"/>
  <c r="T69" i="112"/>
  <c r="S69" i="112"/>
  <c r="CY68" i="112"/>
  <c r="BD68" i="112"/>
  <c r="CZ68" i="112" s="1"/>
  <c r="AW68" i="112"/>
  <c r="P68" i="112" s="1"/>
  <c r="AT68" i="112"/>
  <c r="AS68" i="112"/>
  <c r="AR68" i="112"/>
  <c r="AQ68" i="112"/>
  <c r="AO68" i="112"/>
  <c r="AP68" i="112" s="1"/>
  <c r="AN68" i="112"/>
  <c r="AM68" i="112"/>
  <c r="AL68" i="112"/>
  <c r="AK68" i="112"/>
  <c r="AJ68" i="112"/>
  <c r="AI68" i="112"/>
  <c r="AH68" i="112"/>
  <c r="G87" i="122" s="1"/>
  <c r="AG68" i="112"/>
  <c r="AF68" i="112"/>
  <c r="AE68" i="112"/>
  <c r="AD68" i="112"/>
  <c r="G59" i="122" s="1"/>
  <c r="AC68" i="112"/>
  <c r="AB68" i="112"/>
  <c r="AA68" i="112"/>
  <c r="Z68" i="112"/>
  <c r="G35" i="122" s="1"/>
  <c r="Y68" i="112"/>
  <c r="G21" i="122" s="1"/>
  <c r="W68" i="112"/>
  <c r="V68" i="112"/>
  <c r="U68" i="112"/>
  <c r="T68" i="112"/>
  <c r="S68" i="112"/>
  <c r="CY67" i="112"/>
  <c r="BD67" i="112"/>
  <c r="CZ67" i="112" s="1"/>
  <c r="AW67" i="112"/>
  <c r="P67" i="112" s="1"/>
  <c r="AT67" i="112"/>
  <c r="AS67" i="112"/>
  <c r="AR67" i="112"/>
  <c r="AQ67" i="112"/>
  <c r="AO67" i="112"/>
  <c r="AP67" i="112" s="1"/>
  <c r="AN67" i="112"/>
  <c r="AM67" i="112"/>
  <c r="AL67" i="112"/>
  <c r="AK67" i="112"/>
  <c r="AJ67" i="112"/>
  <c r="AI67" i="112"/>
  <c r="AH67" i="112"/>
  <c r="F87" i="122" s="1"/>
  <c r="AG67" i="112"/>
  <c r="AF67" i="112"/>
  <c r="AE67" i="112"/>
  <c r="AD67" i="112"/>
  <c r="F59" i="122" s="1"/>
  <c r="AC67" i="112"/>
  <c r="AB67" i="112"/>
  <c r="AA67" i="112"/>
  <c r="Z67" i="112"/>
  <c r="F35" i="122" s="1"/>
  <c r="Y67" i="112"/>
  <c r="F21" i="122" s="1"/>
  <c r="W67" i="112"/>
  <c r="V67" i="112"/>
  <c r="U67" i="112"/>
  <c r="T67" i="112"/>
  <c r="S67" i="112"/>
  <c r="CY66" i="112"/>
  <c r="BD66" i="112"/>
  <c r="CZ66" i="112" s="1"/>
  <c r="AW66" i="112"/>
  <c r="P66" i="112" s="1"/>
  <c r="AT66" i="112"/>
  <c r="AS66" i="112"/>
  <c r="AR66" i="112"/>
  <c r="AQ66" i="112"/>
  <c r="AO66" i="112"/>
  <c r="AP66" i="112" s="1"/>
  <c r="AN66" i="112"/>
  <c r="AM66" i="112"/>
  <c r="AL66" i="112"/>
  <c r="AK66" i="112"/>
  <c r="AJ66" i="112"/>
  <c r="AI66" i="112"/>
  <c r="AH66" i="112"/>
  <c r="E87" i="122" s="1"/>
  <c r="AG66" i="112"/>
  <c r="AF66" i="112"/>
  <c r="AE66" i="112"/>
  <c r="AD66" i="112"/>
  <c r="E59" i="122" s="1"/>
  <c r="AC66" i="112"/>
  <c r="AB66" i="112"/>
  <c r="AA66" i="112"/>
  <c r="Z66" i="112"/>
  <c r="E35" i="122" s="1"/>
  <c r="Y66" i="112"/>
  <c r="E21" i="122" s="1"/>
  <c r="W66" i="112"/>
  <c r="V66" i="112"/>
  <c r="U66" i="112"/>
  <c r="T66" i="112"/>
  <c r="S66" i="112"/>
  <c r="CY65" i="112"/>
  <c r="BD65" i="112"/>
  <c r="CZ65" i="112" s="1"/>
  <c r="AW65" i="112"/>
  <c r="P65" i="112" s="1"/>
  <c r="AT65" i="112"/>
  <c r="AS65" i="112"/>
  <c r="AR65" i="112"/>
  <c r="AQ65" i="112"/>
  <c r="AO65" i="112"/>
  <c r="AP65" i="112" s="1"/>
  <c r="AN65" i="112"/>
  <c r="AM65" i="112"/>
  <c r="AL65" i="112"/>
  <c r="AK65" i="112"/>
  <c r="AJ65" i="112"/>
  <c r="AI65" i="112"/>
  <c r="AH65" i="112"/>
  <c r="D87" i="122" s="1"/>
  <c r="AG65" i="112"/>
  <c r="AF65" i="112"/>
  <c r="AE65" i="112"/>
  <c r="AD65" i="112"/>
  <c r="D59" i="122" s="1"/>
  <c r="AC65" i="112"/>
  <c r="AB65" i="112"/>
  <c r="AA65" i="112"/>
  <c r="Z65" i="112"/>
  <c r="D35" i="122" s="1"/>
  <c r="Y65" i="112"/>
  <c r="D21" i="122" s="1"/>
  <c r="W65" i="112"/>
  <c r="V65" i="112"/>
  <c r="U65" i="112"/>
  <c r="T65" i="112"/>
  <c r="S65" i="112"/>
  <c r="CY64" i="112"/>
  <c r="BD64" i="112"/>
  <c r="CZ64" i="112" s="1"/>
  <c r="AW64" i="112"/>
  <c r="P64" i="112" s="1"/>
  <c r="AT64" i="112"/>
  <c r="AS64" i="112"/>
  <c r="AR64" i="112"/>
  <c r="AQ64" i="112"/>
  <c r="AO64" i="112"/>
  <c r="AP64" i="112" s="1"/>
  <c r="AN64" i="112"/>
  <c r="AM64" i="112"/>
  <c r="AL64" i="112"/>
  <c r="AK64" i="112"/>
  <c r="AJ64" i="112"/>
  <c r="AI64" i="112"/>
  <c r="AH64" i="112"/>
  <c r="C87" i="122" s="1"/>
  <c r="AG64" i="112"/>
  <c r="AF64" i="112"/>
  <c r="AE64" i="112"/>
  <c r="AD64" i="112"/>
  <c r="C59" i="122" s="1"/>
  <c r="AC64" i="112"/>
  <c r="AB64" i="112"/>
  <c r="AA64" i="112"/>
  <c r="Z64" i="112"/>
  <c r="C35" i="122" s="1"/>
  <c r="Y64" i="112"/>
  <c r="C21" i="122" s="1"/>
  <c r="W64" i="112"/>
  <c r="V64" i="112"/>
  <c r="U64" i="112"/>
  <c r="T64" i="112"/>
  <c r="S64" i="112"/>
  <c r="CY63" i="112"/>
  <c r="CJ63" i="112"/>
  <c r="CJ75" i="112" s="1"/>
  <c r="BD63" i="112"/>
  <c r="AW63" i="112"/>
  <c r="P63" i="112" s="1"/>
  <c r="AT63" i="112"/>
  <c r="AS63" i="112"/>
  <c r="AR63" i="112"/>
  <c r="AQ63" i="112"/>
  <c r="AO63" i="112"/>
  <c r="AP63" i="112" s="1"/>
  <c r="AN63" i="112"/>
  <c r="AM63" i="112"/>
  <c r="AL63" i="112"/>
  <c r="AK63" i="112"/>
  <c r="AJ63" i="112"/>
  <c r="AI63" i="112"/>
  <c r="AH63" i="112"/>
  <c r="B87" i="122" s="1"/>
  <c r="AG63" i="112"/>
  <c r="AF63" i="112"/>
  <c r="AE63" i="112"/>
  <c r="AD63" i="112"/>
  <c r="B59" i="122" s="1"/>
  <c r="O59" i="122" s="1"/>
  <c r="AC63" i="112"/>
  <c r="AB63" i="112"/>
  <c r="AA63" i="112"/>
  <c r="Z63" i="112"/>
  <c r="B35" i="122" s="1"/>
  <c r="O35" i="122" s="1"/>
  <c r="Y63" i="112"/>
  <c r="B21" i="122" s="1"/>
  <c r="O21" i="122" s="1"/>
  <c r="W63" i="112"/>
  <c r="V63" i="112"/>
  <c r="U63" i="112"/>
  <c r="T63" i="112"/>
  <c r="S63" i="112"/>
  <c r="AH62" i="112"/>
  <c r="AG62" i="112"/>
  <c r="AF62" i="112"/>
  <c r="AE62" i="112"/>
  <c r="AD62" i="112"/>
  <c r="AC62" i="112"/>
  <c r="AB62" i="112"/>
  <c r="AA62" i="112"/>
  <c r="Z62" i="112"/>
  <c r="Y62" i="112"/>
  <c r="X62" i="112"/>
  <c r="W62" i="112"/>
  <c r="V62" i="112"/>
  <c r="U62" i="112"/>
  <c r="T62" i="112"/>
  <c r="S62" i="112"/>
  <c r="Q62" i="112"/>
  <c r="P62" i="112"/>
  <c r="O62" i="112"/>
  <c r="N62" i="112"/>
  <c r="M62" i="112"/>
  <c r="L62" i="112"/>
  <c r="K62" i="112"/>
  <c r="J62" i="112"/>
  <c r="I62" i="112"/>
  <c r="H62" i="112"/>
  <c r="G62" i="112"/>
  <c r="F62" i="112"/>
  <c r="E62" i="112"/>
  <c r="D62" i="112"/>
  <c r="C62" i="112"/>
  <c r="B62" i="112"/>
  <c r="AH61" i="112"/>
  <c r="AG61" i="112"/>
  <c r="AF61" i="112"/>
  <c r="AE61" i="112"/>
  <c r="AD61" i="112"/>
  <c r="AC61" i="112"/>
  <c r="AB61" i="112"/>
  <c r="AA61" i="112"/>
  <c r="Z61" i="112"/>
  <c r="Y61" i="112"/>
  <c r="X61" i="112"/>
  <c r="W61" i="112"/>
  <c r="V61" i="112"/>
  <c r="U61" i="112"/>
  <c r="T61" i="112"/>
  <c r="S61" i="112"/>
  <c r="Q61" i="112"/>
  <c r="P61" i="112"/>
  <c r="O61" i="112"/>
  <c r="N61" i="112"/>
  <c r="M61" i="112"/>
  <c r="L61" i="112"/>
  <c r="K61" i="112"/>
  <c r="J61" i="112"/>
  <c r="I61" i="112"/>
  <c r="H61" i="112"/>
  <c r="G61" i="112"/>
  <c r="F61" i="112"/>
  <c r="E61" i="112"/>
  <c r="D61" i="112"/>
  <c r="C61" i="112"/>
  <c r="B61" i="112"/>
  <c r="AH60" i="112"/>
  <c r="AG60" i="112"/>
  <c r="AF60" i="112"/>
  <c r="AE60" i="112"/>
  <c r="AD60" i="112"/>
  <c r="AC60" i="112"/>
  <c r="AB60" i="112"/>
  <c r="AA60" i="112"/>
  <c r="Z60" i="112"/>
  <c r="Y60" i="112"/>
  <c r="X60" i="112"/>
  <c r="W60" i="112"/>
  <c r="V60" i="112"/>
  <c r="U60" i="112"/>
  <c r="T60" i="112"/>
  <c r="S60" i="112"/>
  <c r="Q60" i="112"/>
  <c r="P60" i="112"/>
  <c r="O60" i="112"/>
  <c r="N60" i="112"/>
  <c r="M60" i="112"/>
  <c r="L60" i="112"/>
  <c r="K60" i="112"/>
  <c r="J60" i="112"/>
  <c r="I60" i="112"/>
  <c r="H60" i="112"/>
  <c r="G60" i="112"/>
  <c r="F60" i="112"/>
  <c r="E60" i="112"/>
  <c r="D60" i="112"/>
  <c r="C60" i="112"/>
  <c r="B60" i="112"/>
  <c r="AH59" i="112"/>
  <c r="AG59" i="112"/>
  <c r="AF59" i="112"/>
  <c r="AE59" i="112"/>
  <c r="AD59" i="112"/>
  <c r="AC59" i="112"/>
  <c r="AB59" i="112"/>
  <c r="AA59" i="112"/>
  <c r="Z59" i="112"/>
  <c r="Y59" i="112"/>
  <c r="X59" i="112"/>
  <c r="W59" i="112"/>
  <c r="V59" i="112"/>
  <c r="U59" i="112"/>
  <c r="T59" i="112"/>
  <c r="S59" i="112"/>
  <c r="Q59" i="112"/>
  <c r="P59" i="112"/>
  <c r="O59" i="112"/>
  <c r="N59" i="112"/>
  <c r="M59" i="112"/>
  <c r="L59" i="112"/>
  <c r="K59" i="112"/>
  <c r="J59" i="112"/>
  <c r="I59" i="112"/>
  <c r="H59" i="112"/>
  <c r="G59" i="112"/>
  <c r="F59" i="112"/>
  <c r="E59" i="112"/>
  <c r="D59" i="112"/>
  <c r="C59" i="112"/>
  <c r="B59" i="112"/>
  <c r="AH58" i="112"/>
  <c r="AG58" i="112"/>
  <c r="AF58" i="112"/>
  <c r="AE58" i="112"/>
  <c r="AD58" i="112"/>
  <c r="AC58" i="112"/>
  <c r="AB58" i="112"/>
  <c r="AA58" i="112"/>
  <c r="Z58" i="112"/>
  <c r="Y58" i="112"/>
  <c r="X58" i="112"/>
  <c r="W58" i="112"/>
  <c r="V58" i="112"/>
  <c r="U58" i="112"/>
  <c r="T58" i="112"/>
  <c r="S58" i="112"/>
  <c r="Q58" i="112"/>
  <c r="P58" i="112"/>
  <c r="O58" i="112"/>
  <c r="N58" i="112"/>
  <c r="M58" i="112"/>
  <c r="L58" i="112"/>
  <c r="K58" i="112"/>
  <c r="J58" i="112"/>
  <c r="I58" i="112"/>
  <c r="H58" i="112"/>
  <c r="G58" i="112"/>
  <c r="F58" i="112"/>
  <c r="E58" i="112"/>
  <c r="D58" i="112"/>
  <c r="C58" i="112"/>
  <c r="B58" i="112"/>
  <c r="AH57" i="112"/>
  <c r="AG57" i="112"/>
  <c r="AF57" i="112"/>
  <c r="AE57" i="112"/>
  <c r="AD57" i="112"/>
  <c r="AC57" i="112"/>
  <c r="AB57" i="112"/>
  <c r="AA57" i="112"/>
  <c r="Z57" i="112"/>
  <c r="Y57" i="112"/>
  <c r="X57" i="112"/>
  <c r="W57" i="112"/>
  <c r="V57" i="112"/>
  <c r="U57" i="112"/>
  <c r="T57" i="112"/>
  <c r="S57" i="112"/>
  <c r="Q57" i="112"/>
  <c r="P57" i="112"/>
  <c r="O57" i="112"/>
  <c r="N57" i="112"/>
  <c r="M57" i="112"/>
  <c r="L57" i="112"/>
  <c r="K57" i="112"/>
  <c r="J57" i="112"/>
  <c r="I57" i="112"/>
  <c r="H57" i="112"/>
  <c r="G57" i="112"/>
  <c r="F57" i="112"/>
  <c r="E57" i="112"/>
  <c r="D57" i="112"/>
  <c r="C57" i="112"/>
  <c r="B57" i="112"/>
  <c r="AH56" i="112"/>
  <c r="AG56" i="112"/>
  <c r="AF56" i="112"/>
  <c r="AE56" i="112"/>
  <c r="AD56" i="112"/>
  <c r="AC56" i="112"/>
  <c r="AB56" i="112"/>
  <c r="AA56" i="112"/>
  <c r="Z56" i="112"/>
  <c r="Y56" i="112"/>
  <c r="X56" i="112"/>
  <c r="W56" i="112"/>
  <c r="V56" i="112"/>
  <c r="U56" i="112"/>
  <c r="T56" i="112"/>
  <c r="S56" i="112"/>
  <c r="Q56" i="112"/>
  <c r="P56" i="112"/>
  <c r="O56" i="112"/>
  <c r="N56" i="112"/>
  <c r="M56" i="112"/>
  <c r="L56" i="112"/>
  <c r="K56" i="112"/>
  <c r="J56" i="112"/>
  <c r="I56" i="112"/>
  <c r="H56" i="112"/>
  <c r="G56" i="112"/>
  <c r="F56" i="112"/>
  <c r="E56" i="112"/>
  <c r="D56" i="112"/>
  <c r="C56" i="112"/>
  <c r="B56" i="112"/>
  <c r="AH55" i="112"/>
  <c r="AG55" i="112"/>
  <c r="AF55" i="112"/>
  <c r="AE55" i="112"/>
  <c r="AD55" i="112"/>
  <c r="AC55" i="112"/>
  <c r="AB55" i="112"/>
  <c r="AA55" i="112"/>
  <c r="Z55" i="112"/>
  <c r="Y55" i="112"/>
  <c r="X55" i="112"/>
  <c r="W55" i="112"/>
  <c r="V55" i="112"/>
  <c r="U55" i="112"/>
  <c r="T55" i="112"/>
  <c r="S55" i="112"/>
  <c r="Q55" i="112"/>
  <c r="P55" i="112"/>
  <c r="O55" i="112"/>
  <c r="N55" i="112"/>
  <c r="M55" i="112"/>
  <c r="L55" i="112"/>
  <c r="K55" i="112"/>
  <c r="J55" i="112"/>
  <c r="I55" i="112"/>
  <c r="H55" i="112"/>
  <c r="G55" i="112"/>
  <c r="F55" i="112"/>
  <c r="E55" i="112"/>
  <c r="D55" i="112"/>
  <c r="C55" i="112"/>
  <c r="B55" i="112"/>
  <c r="AH54" i="112"/>
  <c r="AG54" i="112"/>
  <c r="AF54" i="112"/>
  <c r="AE54" i="112"/>
  <c r="AD54" i="112"/>
  <c r="AC54" i="112"/>
  <c r="AB54" i="112"/>
  <c r="AA54" i="112"/>
  <c r="Z54" i="112"/>
  <c r="Y54" i="112"/>
  <c r="X54" i="112"/>
  <c r="W54" i="112"/>
  <c r="V54" i="112"/>
  <c r="U54" i="112"/>
  <c r="T54" i="112"/>
  <c r="S54" i="112"/>
  <c r="Q54" i="112"/>
  <c r="P54" i="112"/>
  <c r="O54" i="112"/>
  <c r="N54" i="112"/>
  <c r="M54" i="112"/>
  <c r="L54" i="112"/>
  <c r="K54" i="112"/>
  <c r="J54" i="112"/>
  <c r="I54" i="112"/>
  <c r="H54" i="112"/>
  <c r="G54" i="112"/>
  <c r="F54" i="112"/>
  <c r="E54" i="112"/>
  <c r="D54" i="112"/>
  <c r="C54" i="112"/>
  <c r="B54" i="112"/>
  <c r="AH53" i="112"/>
  <c r="AG53" i="112"/>
  <c r="AF53" i="112"/>
  <c r="AE53" i="112"/>
  <c r="AD53" i="112"/>
  <c r="AC53" i="112"/>
  <c r="AB53" i="112"/>
  <c r="AA53" i="112"/>
  <c r="Z53" i="112"/>
  <c r="Y53" i="112"/>
  <c r="X53" i="112"/>
  <c r="W53" i="112"/>
  <c r="V53" i="112"/>
  <c r="U53" i="112"/>
  <c r="T53" i="112"/>
  <c r="S53" i="112"/>
  <c r="Q53" i="112"/>
  <c r="P53" i="112"/>
  <c r="O53" i="112"/>
  <c r="N53" i="112"/>
  <c r="M53" i="112"/>
  <c r="L53" i="112"/>
  <c r="K53" i="112"/>
  <c r="J53" i="112"/>
  <c r="I53" i="112"/>
  <c r="H53" i="112"/>
  <c r="G53" i="112"/>
  <c r="F53" i="112"/>
  <c r="E53" i="112"/>
  <c r="D53" i="112"/>
  <c r="C53" i="112"/>
  <c r="B53" i="112"/>
  <c r="AH52" i="112"/>
  <c r="AG52" i="112"/>
  <c r="AF52" i="112"/>
  <c r="AE52" i="112"/>
  <c r="AD52" i="112"/>
  <c r="AC52" i="112"/>
  <c r="AB52" i="112"/>
  <c r="AA52" i="112"/>
  <c r="Z52" i="112"/>
  <c r="Y52" i="112"/>
  <c r="X52" i="112"/>
  <c r="W52" i="112"/>
  <c r="V52" i="112"/>
  <c r="U52" i="112"/>
  <c r="T52" i="112"/>
  <c r="S52" i="112"/>
  <c r="Q52" i="112"/>
  <c r="P52" i="112"/>
  <c r="O52" i="112"/>
  <c r="N52" i="112"/>
  <c r="M52" i="112"/>
  <c r="L52" i="112"/>
  <c r="K52" i="112"/>
  <c r="J52" i="112"/>
  <c r="I52" i="112"/>
  <c r="H52" i="112"/>
  <c r="G52" i="112"/>
  <c r="F52" i="112"/>
  <c r="E52" i="112"/>
  <c r="D52" i="112"/>
  <c r="C52" i="112"/>
  <c r="B52" i="112"/>
  <c r="AH51" i="112"/>
  <c r="AG51" i="112"/>
  <c r="AF51" i="112"/>
  <c r="AE51" i="112"/>
  <c r="AD51" i="112"/>
  <c r="AC51" i="112"/>
  <c r="AB51" i="112"/>
  <c r="AA51" i="112"/>
  <c r="Z51" i="112"/>
  <c r="Y51" i="112"/>
  <c r="X51" i="112"/>
  <c r="W51" i="112"/>
  <c r="V51" i="112"/>
  <c r="U51" i="112"/>
  <c r="T51" i="112"/>
  <c r="S51" i="112"/>
  <c r="Q51" i="112"/>
  <c r="P51" i="112"/>
  <c r="O51" i="112"/>
  <c r="N51" i="112"/>
  <c r="M51" i="112"/>
  <c r="L51" i="112"/>
  <c r="K51" i="112"/>
  <c r="J51" i="112"/>
  <c r="I51" i="112"/>
  <c r="H51" i="112"/>
  <c r="G51" i="112"/>
  <c r="F51" i="112"/>
  <c r="E51" i="112"/>
  <c r="D51" i="112"/>
  <c r="C51" i="112"/>
  <c r="B51" i="112"/>
  <c r="AH50" i="112"/>
  <c r="AG50" i="112"/>
  <c r="AF50" i="112"/>
  <c r="AE50" i="112"/>
  <c r="AD50" i="112"/>
  <c r="AC50" i="112"/>
  <c r="AB50" i="112"/>
  <c r="AA50" i="112"/>
  <c r="Z50" i="112"/>
  <c r="Y50" i="112"/>
  <c r="X50" i="112"/>
  <c r="W50" i="112"/>
  <c r="V50" i="112"/>
  <c r="U50" i="112"/>
  <c r="T50" i="112"/>
  <c r="S50" i="112"/>
  <c r="Q50" i="112"/>
  <c r="P50" i="112"/>
  <c r="O50" i="112"/>
  <c r="N50" i="112"/>
  <c r="M50" i="112"/>
  <c r="L50" i="112"/>
  <c r="K50" i="112"/>
  <c r="J50" i="112"/>
  <c r="I50" i="112"/>
  <c r="H50" i="112"/>
  <c r="G50" i="112"/>
  <c r="F50" i="112"/>
  <c r="E50" i="112"/>
  <c r="D50" i="112"/>
  <c r="C50" i="112"/>
  <c r="B50" i="112"/>
  <c r="AH49" i="112"/>
  <c r="AG49" i="112"/>
  <c r="AF49" i="112"/>
  <c r="AE49" i="112"/>
  <c r="AD49" i="112"/>
  <c r="AC49" i="112"/>
  <c r="AB49" i="112"/>
  <c r="AA49" i="112"/>
  <c r="Z49" i="112"/>
  <c r="Y49" i="112"/>
  <c r="X49" i="112"/>
  <c r="W49" i="112"/>
  <c r="V49" i="112"/>
  <c r="U49" i="112"/>
  <c r="T49" i="112"/>
  <c r="S49" i="112"/>
  <c r="Q49" i="112"/>
  <c r="P49" i="112"/>
  <c r="O49" i="112"/>
  <c r="N49" i="112"/>
  <c r="M49" i="112"/>
  <c r="L49" i="112"/>
  <c r="K49" i="112"/>
  <c r="J49" i="112"/>
  <c r="I49" i="112"/>
  <c r="H49" i="112"/>
  <c r="G49" i="112"/>
  <c r="F49" i="112"/>
  <c r="E49" i="112"/>
  <c r="D49" i="112"/>
  <c r="C49" i="112"/>
  <c r="B49" i="112"/>
  <c r="AH48" i="112"/>
  <c r="AG48" i="112"/>
  <c r="AF48" i="112"/>
  <c r="AE48" i="112"/>
  <c r="AD48" i="112"/>
  <c r="AC48" i="112"/>
  <c r="AB48" i="112"/>
  <c r="AA48" i="112"/>
  <c r="Z48" i="112"/>
  <c r="Y48" i="112"/>
  <c r="X48" i="112"/>
  <c r="W48" i="112"/>
  <c r="V48" i="112"/>
  <c r="U48" i="112"/>
  <c r="T48" i="112"/>
  <c r="S48" i="112"/>
  <c r="Q48" i="112"/>
  <c r="P48" i="112"/>
  <c r="O48" i="112"/>
  <c r="N48" i="112"/>
  <c r="M48" i="112"/>
  <c r="L48" i="112"/>
  <c r="K48" i="112"/>
  <c r="J48" i="112"/>
  <c r="I48" i="112"/>
  <c r="H48" i="112"/>
  <c r="G48" i="112"/>
  <c r="F48" i="112"/>
  <c r="E48" i="112"/>
  <c r="D48" i="112"/>
  <c r="C48" i="112"/>
  <c r="B48" i="112"/>
  <c r="AH47" i="112"/>
  <c r="AG47" i="112"/>
  <c r="AF47" i="112"/>
  <c r="AE47" i="112"/>
  <c r="AD47" i="112"/>
  <c r="AC47" i="112"/>
  <c r="AB47" i="112"/>
  <c r="AA47" i="112"/>
  <c r="Z47" i="112"/>
  <c r="Y47" i="112"/>
  <c r="X47" i="112"/>
  <c r="W47" i="112"/>
  <c r="V47" i="112"/>
  <c r="U47" i="112"/>
  <c r="T47" i="112"/>
  <c r="S47" i="112"/>
  <c r="Q47" i="112"/>
  <c r="P47" i="112"/>
  <c r="O47" i="112"/>
  <c r="N47" i="112"/>
  <c r="M47" i="112"/>
  <c r="L47" i="112"/>
  <c r="K47" i="112"/>
  <c r="J47" i="112"/>
  <c r="I47" i="112"/>
  <c r="H47" i="112"/>
  <c r="G47" i="112"/>
  <c r="F47" i="112"/>
  <c r="E47" i="112"/>
  <c r="D47" i="112"/>
  <c r="C47" i="112"/>
  <c r="B47" i="112"/>
  <c r="AH46" i="112"/>
  <c r="AG46" i="112"/>
  <c r="AF46" i="112"/>
  <c r="AE46" i="112"/>
  <c r="AD46" i="112"/>
  <c r="AC46" i="112"/>
  <c r="AB46" i="112"/>
  <c r="AA46" i="112"/>
  <c r="Z46" i="112"/>
  <c r="Y46" i="112"/>
  <c r="X46" i="112"/>
  <c r="W46" i="112"/>
  <c r="V46" i="112"/>
  <c r="U46" i="112"/>
  <c r="T46" i="112"/>
  <c r="S46" i="112"/>
  <c r="Q46" i="112"/>
  <c r="P46" i="112"/>
  <c r="O46" i="112"/>
  <c r="N46" i="112"/>
  <c r="M46" i="112"/>
  <c r="L46" i="112"/>
  <c r="K46" i="112"/>
  <c r="J46" i="112"/>
  <c r="I46" i="112"/>
  <c r="H46" i="112"/>
  <c r="G46" i="112"/>
  <c r="F46" i="112"/>
  <c r="E46" i="112"/>
  <c r="D46" i="112"/>
  <c r="C46" i="112"/>
  <c r="B46" i="112"/>
  <c r="AH45" i="112"/>
  <c r="AG45" i="112"/>
  <c r="AF45" i="112"/>
  <c r="AE45" i="112"/>
  <c r="AD45" i="112"/>
  <c r="AC45" i="112"/>
  <c r="AB45" i="112"/>
  <c r="AA45" i="112"/>
  <c r="Z45" i="112"/>
  <c r="Y45" i="112"/>
  <c r="X45" i="112"/>
  <c r="W45" i="112"/>
  <c r="V45" i="112"/>
  <c r="U45" i="112"/>
  <c r="T45" i="112"/>
  <c r="S45" i="112"/>
  <c r="Q45" i="112"/>
  <c r="P45" i="112"/>
  <c r="O45" i="112"/>
  <c r="N45" i="112"/>
  <c r="M45" i="112"/>
  <c r="L45" i="112"/>
  <c r="K45" i="112"/>
  <c r="J45" i="112"/>
  <c r="I45" i="112"/>
  <c r="H45" i="112"/>
  <c r="G45" i="112"/>
  <c r="F45" i="112"/>
  <c r="E45" i="112"/>
  <c r="D45" i="112"/>
  <c r="C45" i="112"/>
  <c r="B45" i="112"/>
  <c r="AH44" i="112"/>
  <c r="AG44" i="112"/>
  <c r="AF44" i="112"/>
  <c r="AE44" i="112"/>
  <c r="AD44" i="112"/>
  <c r="AC44" i="112"/>
  <c r="AB44" i="112"/>
  <c r="AA44" i="112"/>
  <c r="Z44" i="112"/>
  <c r="Y44" i="112"/>
  <c r="X44" i="112"/>
  <c r="W44" i="112"/>
  <c r="V44" i="112"/>
  <c r="U44" i="112"/>
  <c r="T44" i="112"/>
  <c r="S44" i="112"/>
  <c r="Q44" i="112"/>
  <c r="P44" i="112"/>
  <c r="O44" i="112"/>
  <c r="N44" i="112"/>
  <c r="M44" i="112"/>
  <c r="L44" i="112"/>
  <c r="K44" i="112"/>
  <c r="J44" i="112"/>
  <c r="I44" i="112"/>
  <c r="H44" i="112"/>
  <c r="G44" i="112"/>
  <c r="F44" i="112"/>
  <c r="E44" i="112"/>
  <c r="D44" i="112"/>
  <c r="C44" i="112"/>
  <c r="B44" i="112"/>
  <c r="AH43" i="112"/>
  <c r="AG43" i="112"/>
  <c r="AF43" i="112"/>
  <c r="AE43" i="112"/>
  <c r="AD43" i="112"/>
  <c r="AC43" i="112"/>
  <c r="AB43" i="112"/>
  <c r="AA43" i="112"/>
  <c r="Z43" i="112"/>
  <c r="Y43" i="112"/>
  <c r="X43" i="112"/>
  <c r="W43" i="112"/>
  <c r="V43" i="112"/>
  <c r="U43" i="112"/>
  <c r="T43" i="112"/>
  <c r="S43" i="112"/>
  <c r="Q43" i="112"/>
  <c r="P43" i="112"/>
  <c r="O43" i="112"/>
  <c r="N43" i="112"/>
  <c r="M43" i="112"/>
  <c r="L43" i="112"/>
  <c r="K43" i="112"/>
  <c r="J43" i="112"/>
  <c r="I43" i="112"/>
  <c r="H43" i="112"/>
  <c r="G43" i="112"/>
  <c r="F43" i="112"/>
  <c r="E43" i="112"/>
  <c r="D43" i="112"/>
  <c r="C43" i="112"/>
  <c r="B43" i="112"/>
  <c r="AH42" i="112"/>
  <c r="AG42" i="112"/>
  <c r="AF42" i="112"/>
  <c r="AE42" i="112"/>
  <c r="AD42" i="112"/>
  <c r="AC42" i="112"/>
  <c r="AB42" i="112"/>
  <c r="AA42" i="112"/>
  <c r="Z42" i="112"/>
  <c r="Y42" i="112"/>
  <c r="X42" i="112"/>
  <c r="W42" i="112"/>
  <c r="V42" i="112"/>
  <c r="U42" i="112"/>
  <c r="T42" i="112"/>
  <c r="S42" i="112"/>
  <c r="Q42" i="112"/>
  <c r="P42" i="112"/>
  <c r="O42" i="112"/>
  <c r="N42" i="112"/>
  <c r="M42" i="112"/>
  <c r="L42" i="112"/>
  <c r="K42" i="112"/>
  <c r="J42" i="112"/>
  <c r="I42" i="112"/>
  <c r="H42" i="112"/>
  <c r="G42" i="112"/>
  <c r="F42" i="112"/>
  <c r="E42" i="112"/>
  <c r="D42" i="112"/>
  <c r="C42" i="112"/>
  <c r="B42" i="112"/>
  <c r="AH41" i="112"/>
  <c r="AG41" i="112"/>
  <c r="AF41" i="112"/>
  <c r="AE41" i="112"/>
  <c r="AD41" i="112"/>
  <c r="AC41" i="112"/>
  <c r="AB41" i="112"/>
  <c r="AA41" i="112"/>
  <c r="Z41" i="112"/>
  <c r="Y41" i="112"/>
  <c r="X41" i="112"/>
  <c r="W41" i="112"/>
  <c r="V41" i="112"/>
  <c r="U41" i="112"/>
  <c r="T41" i="112"/>
  <c r="S41" i="112"/>
  <c r="Q41" i="112"/>
  <c r="P41" i="112"/>
  <c r="O41" i="112"/>
  <c r="N41" i="112"/>
  <c r="M41" i="112"/>
  <c r="L41" i="112"/>
  <c r="K41" i="112"/>
  <c r="J41" i="112"/>
  <c r="I41" i="112"/>
  <c r="H41" i="112"/>
  <c r="G41" i="112"/>
  <c r="F41" i="112"/>
  <c r="E41" i="112"/>
  <c r="D41" i="112"/>
  <c r="C41" i="112"/>
  <c r="B41" i="112"/>
  <c r="AH40" i="112"/>
  <c r="AG40" i="112"/>
  <c r="AF40" i="112"/>
  <c r="AE40" i="112"/>
  <c r="AD40" i="112"/>
  <c r="AC40" i="112"/>
  <c r="AB40" i="112"/>
  <c r="AA40" i="112"/>
  <c r="Z40" i="112"/>
  <c r="Y40" i="112"/>
  <c r="X40" i="112"/>
  <c r="W40" i="112"/>
  <c r="V40" i="112"/>
  <c r="U40" i="112"/>
  <c r="T40" i="112"/>
  <c r="S40" i="112"/>
  <c r="Q40" i="112"/>
  <c r="P40" i="112"/>
  <c r="O40" i="112"/>
  <c r="N40" i="112"/>
  <c r="M40" i="112"/>
  <c r="L40" i="112"/>
  <c r="K40" i="112"/>
  <c r="J40" i="112"/>
  <c r="I40" i="112"/>
  <c r="H40" i="112"/>
  <c r="G40" i="112"/>
  <c r="F40" i="112"/>
  <c r="E40" i="112"/>
  <c r="D40" i="112"/>
  <c r="C40" i="112"/>
  <c r="B40" i="112"/>
  <c r="AH39" i="112"/>
  <c r="AG39" i="112"/>
  <c r="AF39" i="112"/>
  <c r="AE39" i="112"/>
  <c r="AD39" i="112"/>
  <c r="AC39" i="112"/>
  <c r="AB39" i="112"/>
  <c r="AA39" i="112"/>
  <c r="Z39" i="112"/>
  <c r="Y39" i="112"/>
  <c r="X39" i="112"/>
  <c r="W39" i="112"/>
  <c r="V39" i="112"/>
  <c r="U39" i="112"/>
  <c r="T39" i="112"/>
  <c r="S39" i="112"/>
  <c r="Q39" i="112"/>
  <c r="P39" i="112"/>
  <c r="O39" i="112"/>
  <c r="N39" i="112"/>
  <c r="M39" i="112"/>
  <c r="L39" i="112"/>
  <c r="K39" i="112"/>
  <c r="J39" i="112"/>
  <c r="I39" i="112"/>
  <c r="H39" i="112"/>
  <c r="G39" i="112"/>
  <c r="F39" i="112"/>
  <c r="E39" i="112"/>
  <c r="D39" i="112"/>
  <c r="C39" i="112"/>
  <c r="B39" i="112"/>
  <c r="CW38" i="112"/>
  <c r="CV38" i="112"/>
  <c r="CU38" i="112"/>
  <c r="M99" i="26" s="1"/>
  <c r="AH38" i="112"/>
  <c r="AG38" i="112"/>
  <c r="AF38" i="112"/>
  <c r="AE38" i="112"/>
  <c r="AD38" i="112"/>
  <c r="AC38" i="112"/>
  <c r="AB38" i="112"/>
  <c r="AA38" i="112"/>
  <c r="Z38" i="112"/>
  <c r="Y38" i="112"/>
  <c r="X38" i="112"/>
  <c r="W38" i="112"/>
  <c r="V38" i="112"/>
  <c r="U38" i="112"/>
  <c r="T38" i="112"/>
  <c r="S38" i="112"/>
  <c r="P38" i="112"/>
  <c r="O38" i="112"/>
  <c r="N38" i="112"/>
  <c r="M38" i="112"/>
  <c r="L38" i="112"/>
  <c r="K38" i="112"/>
  <c r="J38" i="112"/>
  <c r="I38" i="112"/>
  <c r="H38" i="112"/>
  <c r="G38" i="112"/>
  <c r="F38" i="112"/>
  <c r="E38" i="112"/>
  <c r="D38" i="112"/>
  <c r="C38" i="112"/>
  <c r="B38" i="112"/>
  <c r="CW37" i="112"/>
  <c r="CV37" i="112"/>
  <c r="CU37" i="112"/>
  <c r="L99" i="26" s="1"/>
  <c r="AH37" i="112"/>
  <c r="AG37" i="112"/>
  <c r="AF37" i="112"/>
  <c r="AE37" i="112"/>
  <c r="AD37" i="112"/>
  <c r="AC37" i="112"/>
  <c r="AB37" i="112"/>
  <c r="AA37" i="112"/>
  <c r="Z37" i="112"/>
  <c r="Y37" i="112"/>
  <c r="X37" i="112"/>
  <c r="W37" i="112"/>
  <c r="V37" i="112"/>
  <c r="U37" i="112"/>
  <c r="T37" i="112"/>
  <c r="S37" i="112"/>
  <c r="P37" i="112"/>
  <c r="O37" i="112"/>
  <c r="N37" i="112"/>
  <c r="M37" i="112"/>
  <c r="L37" i="112"/>
  <c r="K37" i="112"/>
  <c r="J37" i="112"/>
  <c r="I37" i="112"/>
  <c r="H37" i="112"/>
  <c r="G37" i="112"/>
  <c r="F37" i="112"/>
  <c r="E37" i="112"/>
  <c r="D37" i="112"/>
  <c r="C37" i="112"/>
  <c r="B37" i="112"/>
  <c r="CW36" i="112"/>
  <c r="CV36" i="112"/>
  <c r="CU36" i="112"/>
  <c r="K99" i="26" s="1"/>
  <c r="CJ36" i="112"/>
  <c r="X36" i="112" s="1"/>
  <c r="AH36" i="112"/>
  <c r="AG36" i="112"/>
  <c r="AF36" i="112"/>
  <c r="AE36" i="112"/>
  <c r="AD36" i="112"/>
  <c r="AC36" i="112"/>
  <c r="AB36" i="112"/>
  <c r="AA36" i="112"/>
  <c r="Z36" i="112"/>
  <c r="Y36" i="112"/>
  <c r="W36" i="112"/>
  <c r="V36" i="112"/>
  <c r="U36" i="112"/>
  <c r="T36" i="112"/>
  <c r="S36" i="112"/>
  <c r="P36" i="112"/>
  <c r="O36" i="112"/>
  <c r="N36" i="112"/>
  <c r="M36" i="112"/>
  <c r="L36" i="112"/>
  <c r="K36" i="112"/>
  <c r="J36" i="112"/>
  <c r="I36" i="112"/>
  <c r="H36" i="112"/>
  <c r="G36" i="112"/>
  <c r="F36" i="112"/>
  <c r="E36" i="112"/>
  <c r="D36" i="112"/>
  <c r="C36" i="112"/>
  <c r="B36" i="112"/>
  <c r="CW35" i="112"/>
  <c r="CV35" i="112"/>
  <c r="CU35" i="112"/>
  <c r="J99" i="26" s="1"/>
  <c r="AH35" i="112"/>
  <c r="AG35" i="112"/>
  <c r="AF35" i="112"/>
  <c r="AE35" i="112"/>
  <c r="AD35" i="112"/>
  <c r="AC35" i="112"/>
  <c r="AB35" i="112"/>
  <c r="AA35" i="112"/>
  <c r="Z35" i="112"/>
  <c r="Y35" i="112"/>
  <c r="X35" i="112"/>
  <c r="W35" i="112"/>
  <c r="V35" i="112"/>
  <c r="U35" i="112"/>
  <c r="T35" i="112"/>
  <c r="S35" i="112"/>
  <c r="P35" i="112"/>
  <c r="O35" i="112"/>
  <c r="N35" i="112"/>
  <c r="M35" i="112"/>
  <c r="L35" i="112"/>
  <c r="K35" i="112"/>
  <c r="J35" i="112"/>
  <c r="I35" i="112"/>
  <c r="H35" i="112"/>
  <c r="G35" i="112"/>
  <c r="F35" i="112"/>
  <c r="E35" i="112"/>
  <c r="D35" i="112"/>
  <c r="C35" i="112"/>
  <c r="B35" i="112"/>
  <c r="CW34" i="112"/>
  <c r="CV34" i="112"/>
  <c r="CU34" i="112"/>
  <c r="I99" i="26" s="1"/>
  <c r="AH34" i="112"/>
  <c r="AG34" i="112"/>
  <c r="AF34" i="112"/>
  <c r="AE34" i="112"/>
  <c r="AD34" i="112"/>
  <c r="AC34" i="112"/>
  <c r="AB34" i="112"/>
  <c r="AA34" i="112"/>
  <c r="Z34" i="112"/>
  <c r="Y34" i="112"/>
  <c r="X34" i="112"/>
  <c r="W34" i="112"/>
  <c r="V34" i="112"/>
  <c r="U34" i="112"/>
  <c r="T34" i="112"/>
  <c r="S34" i="112"/>
  <c r="P34" i="112"/>
  <c r="O34" i="112"/>
  <c r="N34" i="112"/>
  <c r="M34" i="112"/>
  <c r="L34" i="112"/>
  <c r="K34" i="112"/>
  <c r="J34" i="112"/>
  <c r="I34" i="112"/>
  <c r="H34" i="112"/>
  <c r="G34" i="112"/>
  <c r="F34" i="112"/>
  <c r="E34" i="112"/>
  <c r="D34" i="112"/>
  <c r="C34" i="112"/>
  <c r="B34" i="112"/>
  <c r="CW33" i="112"/>
  <c r="CV33" i="112"/>
  <c r="CU33" i="112"/>
  <c r="H99" i="26" s="1"/>
  <c r="AH33" i="112"/>
  <c r="AG33" i="112"/>
  <c r="AF33" i="112"/>
  <c r="AE33" i="112"/>
  <c r="AD33" i="112"/>
  <c r="AC33" i="112"/>
  <c r="AB33" i="112"/>
  <c r="AA33" i="112"/>
  <c r="Z33" i="112"/>
  <c r="Y33" i="112"/>
  <c r="X33" i="112"/>
  <c r="W33" i="112"/>
  <c r="V33" i="112"/>
  <c r="U33" i="112"/>
  <c r="T33" i="112"/>
  <c r="S33" i="112"/>
  <c r="P33" i="112"/>
  <c r="O33" i="112"/>
  <c r="N33" i="112"/>
  <c r="M33" i="112"/>
  <c r="L33" i="112"/>
  <c r="K33" i="112"/>
  <c r="J33" i="112"/>
  <c r="I33" i="112"/>
  <c r="H33" i="112"/>
  <c r="G33" i="112"/>
  <c r="F33" i="112"/>
  <c r="E33" i="112"/>
  <c r="D33" i="112"/>
  <c r="C33" i="112"/>
  <c r="B33" i="112"/>
  <c r="CW32" i="112"/>
  <c r="CV32" i="112"/>
  <c r="CU32" i="112"/>
  <c r="CX32" i="112" s="1"/>
  <c r="G100" i="26" s="1"/>
  <c r="AH32" i="112"/>
  <c r="AG32" i="112"/>
  <c r="AF32" i="112"/>
  <c r="AE32" i="112"/>
  <c r="AD32" i="112"/>
  <c r="AC32" i="112"/>
  <c r="AB32" i="112"/>
  <c r="AA32" i="112"/>
  <c r="Z32" i="112"/>
  <c r="Y32" i="112"/>
  <c r="X32" i="112"/>
  <c r="W32" i="112"/>
  <c r="V32" i="112"/>
  <c r="U32" i="112"/>
  <c r="T32" i="112"/>
  <c r="S32" i="112"/>
  <c r="P32" i="112"/>
  <c r="O32" i="112"/>
  <c r="N32" i="112"/>
  <c r="M32" i="112"/>
  <c r="L32" i="112"/>
  <c r="K32" i="112"/>
  <c r="J32" i="112"/>
  <c r="I32" i="112"/>
  <c r="H32" i="112"/>
  <c r="G32" i="112"/>
  <c r="F32" i="112"/>
  <c r="E32" i="112"/>
  <c r="D32" i="112"/>
  <c r="C32" i="112"/>
  <c r="B32" i="112"/>
  <c r="CW31" i="112"/>
  <c r="CV31" i="112"/>
  <c r="CU31" i="112"/>
  <c r="CX31" i="112" s="1"/>
  <c r="F100" i="26" s="1"/>
  <c r="AH31" i="112"/>
  <c r="AG31" i="112"/>
  <c r="AF31" i="112"/>
  <c r="AE31" i="112"/>
  <c r="AD31" i="112"/>
  <c r="AC31" i="112"/>
  <c r="AB31" i="112"/>
  <c r="AA31" i="112"/>
  <c r="Z31" i="112"/>
  <c r="Y31" i="112"/>
  <c r="X31" i="112"/>
  <c r="W31" i="112"/>
  <c r="V31" i="112"/>
  <c r="U31" i="112"/>
  <c r="T31" i="112"/>
  <c r="S31" i="112"/>
  <c r="P31" i="112"/>
  <c r="O31" i="112"/>
  <c r="N31" i="112"/>
  <c r="M31" i="112"/>
  <c r="L31" i="112"/>
  <c r="K31" i="112"/>
  <c r="J31" i="112"/>
  <c r="I31" i="112"/>
  <c r="H31" i="112"/>
  <c r="G31" i="112"/>
  <c r="F31" i="112"/>
  <c r="E31" i="112"/>
  <c r="D31" i="112"/>
  <c r="C31" i="112"/>
  <c r="B31" i="112"/>
  <c r="CW30" i="112"/>
  <c r="CV30" i="112"/>
  <c r="CU30" i="112"/>
  <c r="E99" i="26" s="1"/>
  <c r="AH30" i="112"/>
  <c r="AG30" i="112"/>
  <c r="AF30" i="112"/>
  <c r="AE30" i="112"/>
  <c r="AD30" i="112"/>
  <c r="AC30" i="112"/>
  <c r="AB30" i="112"/>
  <c r="AA30" i="112"/>
  <c r="Z30" i="112"/>
  <c r="Y30" i="112"/>
  <c r="X30" i="112"/>
  <c r="W30" i="112"/>
  <c r="V30" i="112"/>
  <c r="U30" i="112"/>
  <c r="T30" i="112"/>
  <c r="S30" i="112"/>
  <c r="P30" i="112"/>
  <c r="O30" i="112"/>
  <c r="N30" i="112"/>
  <c r="M30" i="112"/>
  <c r="L30" i="112"/>
  <c r="K30" i="112"/>
  <c r="J30" i="112"/>
  <c r="I30" i="112"/>
  <c r="H30" i="112"/>
  <c r="G30" i="112"/>
  <c r="F30" i="112"/>
  <c r="E30" i="112"/>
  <c r="D30" i="112"/>
  <c r="C30" i="112"/>
  <c r="B30" i="112"/>
  <c r="CW29" i="112"/>
  <c r="CV29" i="112"/>
  <c r="CU29" i="112"/>
  <c r="D99" i="26" s="1"/>
  <c r="AH29" i="112"/>
  <c r="AG29" i="112"/>
  <c r="AF29" i="112"/>
  <c r="AE29" i="112"/>
  <c r="AD29" i="112"/>
  <c r="AC29" i="112"/>
  <c r="AB29" i="112"/>
  <c r="AA29" i="112"/>
  <c r="Z29" i="112"/>
  <c r="Y29" i="112"/>
  <c r="X29" i="112"/>
  <c r="W29" i="112"/>
  <c r="V29" i="112"/>
  <c r="U29" i="112"/>
  <c r="T29" i="112"/>
  <c r="S29" i="112"/>
  <c r="P29" i="112"/>
  <c r="O29" i="112"/>
  <c r="N29" i="112"/>
  <c r="M29" i="112"/>
  <c r="L29" i="112"/>
  <c r="K29" i="112"/>
  <c r="J29" i="112"/>
  <c r="I29" i="112"/>
  <c r="H29" i="112"/>
  <c r="G29" i="112"/>
  <c r="F29" i="112"/>
  <c r="E29" i="112"/>
  <c r="D29" i="112"/>
  <c r="C29" i="112"/>
  <c r="B29" i="112"/>
  <c r="CW28" i="112"/>
  <c r="CV28" i="112"/>
  <c r="CU28" i="112"/>
  <c r="CX28" i="112" s="1"/>
  <c r="C100" i="26" s="1"/>
  <c r="AH28" i="112"/>
  <c r="AG28" i="112"/>
  <c r="AF28" i="112"/>
  <c r="AE28" i="112"/>
  <c r="AD28" i="112"/>
  <c r="AC28" i="112"/>
  <c r="AB28" i="112"/>
  <c r="AA28" i="112"/>
  <c r="Z28" i="112"/>
  <c r="Y28" i="112"/>
  <c r="X28" i="112"/>
  <c r="W28" i="112"/>
  <c r="V28" i="112"/>
  <c r="U28" i="112"/>
  <c r="T28" i="112"/>
  <c r="S28" i="112"/>
  <c r="P28" i="112"/>
  <c r="O28" i="112"/>
  <c r="N28" i="112"/>
  <c r="M28" i="112"/>
  <c r="L28" i="112"/>
  <c r="K28" i="112"/>
  <c r="J28" i="112"/>
  <c r="I28" i="112"/>
  <c r="H28" i="112"/>
  <c r="G28" i="112"/>
  <c r="F28" i="112"/>
  <c r="E28" i="112"/>
  <c r="D28" i="112"/>
  <c r="C28" i="112"/>
  <c r="B28" i="112"/>
  <c r="CW27" i="112"/>
  <c r="CV27" i="112"/>
  <c r="CU27" i="112"/>
  <c r="B99" i="26" s="1"/>
  <c r="AH27" i="112"/>
  <c r="AG27" i="112"/>
  <c r="AF27" i="112"/>
  <c r="AE27" i="112"/>
  <c r="AD27" i="112"/>
  <c r="AC27" i="112"/>
  <c r="AB27" i="112"/>
  <c r="AA27" i="112"/>
  <c r="Z27" i="112"/>
  <c r="Y27" i="112"/>
  <c r="X27" i="112"/>
  <c r="W27" i="112"/>
  <c r="V27" i="112"/>
  <c r="U27" i="112"/>
  <c r="T27" i="112"/>
  <c r="S27" i="112"/>
  <c r="P27" i="112"/>
  <c r="O27" i="112"/>
  <c r="N27" i="112"/>
  <c r="M27" i="112"/>
  <c r="L27" i="112"/>
  <c r="K27" i="112"/>
  <c r="J27" i="112"/>
  <c r="I27" i="112"/>
  <c r="H27" i="112"/>
  <c r="G27" i="112"/>
  <c r="F27" i="112"/>
  <c r="E27" i="112"/>
  <c r="D27" i="112"/>
  <c r="C27" i="112"/>
  <c r="B27" i="112"/>
  <c r="CW26" i="112"/>
  <c r="CV26" i="112"/>
  <c r="CU26" i="112"/>
  <c r="CX26" i="112" s="1"/>
  <c r="CW25" i="112"/>
  <c r="CV25" i="112"/>
  <c r="CU25" i="112"/>
  <c r="CX25" i="112" s="1"/>
  <c r="CW24" i="112"/>
  <c r="CV24" i="112"/>
  <c r="CU24" i="112"/>
  <c r="CX24" i="112" s="1"/>
  <c r="CW23" i="112"/>
  <c r="CV23" i="112"/>
  <c r="CU23" i="112"/>
  <c r="CX23" i="112" s="1"/>
  <c r="CW22" i="112"/>
  <c r="CV22" i="112"/>
  <c r="CW21" i="112"/>
  <c r="CV21" i="112"/>
  <c r="CU21" i="112"/>
  <c r="CX21" i="112" s="1"/>
  <c r="CW20" i="112"/>
  <c r="CV20" i="112"/>
  <c r="CU20" i="112"/>
  <c r="CX20" i="112" s="1"/>
  <c r="CW19" i="112"/>
  <c r="CV19" i="112"/>
  <c r="CU19" i="112"/>
  <c r="CX19" i="112" s="1"/>
  <c r="CW18" i="112"/>
  <c r="CV18" i="112"/>
  <c r="CU18" i="112"/>
  <c r="CX18" i="112" s="1"/>
  <c r="CW17" i="112"/>
  <c r="CV17" i="112"/>
  <c r="CU17" i="112"/>
  <c r="CX17" i="112" s="1"/>
  <c r="CW16" i="112"/>
  <c r="CV16" i="112"/>
  <c r="CU16" i="112"/>
  <c r="CX16" i="112" s="1"/>
  <c r="CW15" i="112"/>
  <c r="CV15" i="112"/>
  <c r="CU15" i="112"/>
  <c r="CX15" i="112" s="1"/>
  <c r="CJ14" i="112"/>
  <c r="BN14" i="112"/>
  <c r="AH14" i="112" s="1"/>
  <c r="BD14" i="112"/>
  <c r="AG14" i="112"/>
  <c r="AF14" i="112"/>
  <c r="AE14" i="112"/>
  <c r="AD14" i="112"/>
  <c r="AC14" i="112"/>
  <c r="AB14" i="112"/>
  <c r="AA14" i="112"/>
  <c r="Z14" i="112"/>
  <c r="Y14" i="112"/>
  <c r="W14" i="112"/>
  <c r="V14" i="112"/>
  <c r="U14" i="112"/>
  <c r="T14" i="112"/>
  <c r="S14" i="112"/>
  <c r="P14" i="112"/>
  <c r="O14" i="112"/>
  <c r="N14" i="112"/>
  <c r="M14" i="112"/>
  <c r="L14" i="112"/>
  <c r="K14" i="112"/>
  <c r="J14" i="112"/>
  <c r="I14" i="112"/>
  <c r="H14" i="112"/>
  <c r="G14" i="112"/>
  <c r="F14" i="112"/>
  <c r="E14" i="112"/>
  <c r="D14" i="112"/>
  <c r="C14" i="112"/>
  <c r="B14" i="112"/>
  <c r="CJ13" i="112"/>
  <c r="BN13" i="112"/>
  <c r="AH13" i="112" s="1"/>
  <c r="BD13" i="112"/>
  <c r="AG13" i="112"/>
  <c r="AF13" i="112"/>
  <c r="AE13" i="112"/>
  <c r="AD13" i="112"/>
  <c r="AC13" i="112"/>
  <c r="AB13" i="112"/>
  <c r="AA13" i="112"/>
  <c r="Z13" i="112"/>
  <c r="Y13" i="112"/>
  <c r="W13" i="112"/>
  <c r="V13" i="112"/>
  <c r="U13" i="112"/>
  <c r="T13" i="112"/>
  <c r="S13" i="112"/>
  <c r="P13" i="112"/>
  <c r="O13" i="112"/>
  <c r="N13" i="112"/>
  <c r="M13" i="112"/>
  <c r="L13" i="112"/>
  <c r="K13" i="112"/>
  <c r="J13" i="112"/>
  <c r="I13" i="112"/>
  <c r="H13" i="112"/>
  <c r="G13" i="112"/>
  <c r="F13" i="112"/>
  <c r="E13" i="112"/>
  <c r="D13" i="112"/>
  <c r="C13" i="112"/>
  <c r="B13" i="112"/>
  <c r="CJ12" i="112"/>
  <c r="BN12" i="112"/>
  <c r="AH12" i="112" s="1"/>
  <c r="BD12" i="112"/>
  <c r="AG12" i="112"/>
  <c r="AF12" i="112"/>
  <c r="AE12" i="112"/>
  <c r="AD12" i="112"/>
  <c r="AC12" i="112"/>
  <c r="AB12" i="112"/>
  <c r="AA12" i="112"/>
  <c r="Z12" i="112"/>
  <c r="Y12" i="112"/>
  <c r="W12" i="112"/>
  <c r="V12" i="112"/>
  <c r="U12" i="112"/>
  <c r="T12" i="112"/>
  <c r="S12" i="112"/>
  <c r="P12" i="112"/>
  <c r="O12" i="112"/>
  <c r="N12" i="112"/>
  <c r="M12" i="112"/>
  <c r="L12" i="112"/>
  <c r="K12" i="112"/>
  <c r="J12" i="112"/>
  <c r="I12" i="112"/>
  <c r="H12" i="112"/>
  <c r="G12" i="112"/>
  <c r="F12" i="112"/>
  <c r="E12" i="112"/>
  <c r="D12" i="112"/>
  <c r="C12" i="112"/>
  <c r="B12" i="112"/>
  <c r="CJ11" i="112"/>
  <c r="BN11" i="112"/>
  <c r="AH11" i="112" s="1"/>
  <c r="BD11" i="112"/>
  <c r="AG11" i="112"/>
  <c r="AF11" i="112"/>
  <c r="AE11" i="112"/>
  <c r="AD11" i="112"/>
  <c r="AC11" i="112"/>
  <c r="AB11" i="112"/>
  <c r="AA11" i="112"/>
  <c r="Z11" i="112"/>
  <c r="Y11" i="112"/>
  <c r="W11" i="112"/>
  <c r="V11" i="112"/>
  <c r="U11" i="112"/>
  <c r="T11" i="112"/>
  <c r="S11" i="112"/>
  <c r="P11" i="112"/>
  <c r="O11" i="112"/>
  <c r="N11" i="112"/>
  <c r="M11" i="112"/>
  <c r="L11" i="112"/>
  <c r="K11" i="112"/>
  <c r="J11" i="112"/>
  <c r="I11" i="112"/>
  <c r="H11" i="112"/>
  <c r="G11" i="112"/>
  <c r="F11" i="112"/>
  <c r="E11" i="112"/>
  <c r="D11" i="112"/>
  <c r="C11" i="112"/>
  <c r="B11" i="112"/>
  <c r="CJ10" i="112"/>
  <c r="BN10" i="112"/>
  <c r="AH10" i="112" s="1"/>
  <c r="BD10" i="112"/>
  <c r="AG10" i="112"/>
  <c r="AF10" i="112"/>
  <c r="AE10" i="112"/>
  <c r="AD10" i="112"/>
  <c r="AC10" i="112"/>
  <c r="AB10" i="112"/>
  <c r="AA10" i="112"/>
  <c r="Z10" i="112"/>
  <c r="Y10" i="112"/>
  <c r="W10" i="112"/>
  <c r="V10" i="112"/>
  <c r="U10" i="112"/>
  <c r="T10" i="112"/>
  <c r="S10" i="112"/>
  <c r="P10" i="112"/>
  <c r="O10" i="112"/>
  <c r="N10" i="112"/>
  <c r="M10" i="112"/>
  <c r="L10" i="112"/>
  <c r="K10" i="112"/>
  <c r="J10" i="112"/>
  <c r="I10" i="112"/>
  <c r="H10" i="112"/>
  <c r="G10" i="112"/>
  <c r="F10" i="112"/>
  <c r="E10" i="112"/>
  <c r="D10" i="112"/>
  <c r="C10" i="112"/>
  <c r="B10" i="112"/>
  <c r="CJ9" i="112"/>
  <c r="BN9" i="112"/>
  <c r="AH9" i="112" s="1"/>
  <c r="BD9" i="112"/>
  <c r="AG9" i="112"/>
  <c r="AF9" i="112"/>
  <c r="AE9" i="112"/>
  <c r="AD9" i="112"/>
  <c r="AC9" i="112"/>
  <c r="AB9" i="112"/>
  <c r="AA9" i="112"/>
  <c r="Z9" i="112"/>
  <c r="Y9" i="112"/>
  <c r="W9" i="112"/>
  <c r="V9" i="112"/>
  <c r="U9" i="112"/>
  <c r="T9" i="112"/>
  <c r="S9" i="112"/>
  <c r="P9" i="112"/>
  <c r="O9" i="112"/>
  <c r="N9" i="112"/>
  <c r="M9" i="112"/>
  <c r="L9" i="112"/>
  <c r="K9" i="112"/>
  <c r="J9" i="112"/>
  <c r="I9" i="112"/>
  <c r="H9" i="112"/>
  <c r="G9" i="112"/>
  <c r="F9" i="112"/>
  <c r="E9" i="112"/>
  <c r="D9" i="112"/>
  <c r="C9" i="112"/>
  <c r="B9" i="112"/>
  <c r="CJ8" i="112"/>
  <c r="BN8" i="112"/>
  <c r="AH8" i="112" s="1"/>
  <c r="BD8" i="112"/>
  <c r="AG8" i="112"/>
  <c r="AF8" i="112"/>
  <c r="AE8" i="112"/>
  <c r="AD8" i="112"/>
  <c r="AC8" i="112"/>
  <c r="AB8" i="112"/>
  <c r="AA8" i="112"/>
  <c r="Z8" i="112"/>
  <c r="Y8" i="112"/>
  <c r="W8" i="112"/>
  <c r="V8" i="112"/>
  <c r="U8" i="112"/>
  <c r="T8" i="112"/>
  <c r="S8" i="112"/>
  <c r="P8" i="112"/>
  <c r="O8" i="112"/>
  <c r="N8" i="112"/>
  <c r="M8" i="112"/>
  <c r="L8" i="112"/>
  <c r="K8" i="112"/>
  <c r="J8" i="112"/>
  <c r="I8" i="112"/>
  <c r="H8" i="112"/>
  <c r="G8" i="112"/>
  <c r="F8" i="112"/>
  <c r="E8" i="112"/>
  <c r="D8" i="112"/>
  <c r="C8" i="112"/>
  <c r="B8" i="112"/>
  <c r="CJ7" i="112"/>
  <c r="BT7" i="112"/>
  <c r="G7" i="112" s="1"/>
  <c r="BN7" i="112"/>
  <c r="AH7" i="112" s="1"/>
  <c r="BD7" i="112"/>
  <c r="AG7" i="112"/>
  <c r="AF7" i="112"/>
  <c r="AE7" i="112"/>
  <c r="AD7" i="112"/>
  <c r="AC7" i="112"/>
  <c r="AB7" i="112"/>
  <c r="AA7" i="112"/>
  <c r="Z7" i="112"/>
  <c r="Y7" i="112"/>
  <c r="W7" i="112"/>
  <c r="V7" i="112"/>
  <c r="U7" i="112"/>
  <c r="T7" i="112"/>
  <c r="S7" i="112"/>
  <c r="P7" i="112"/>
  <c r="O7" i="112"/>
  <c r="N7" i="112"/>
  <c r="M7" i="112"/>
  <c r="L7" i="112"/>
  <c r="K7" i="112"/>
  <c r="J7" i="112"/>
  <c r="I7" i="112"/>
  <c r="H7" i="112"/>
  <c r="F7" i="112"/>
  <c r="E7" i="112"/>
  <c r="D7" i="112"/>
  <c r="C7" i="112"/>
  <c r="B7" i="112"/>
  <c r="CJ6" i="112"/>
  <c r="BN6" i="112"/>
  <c r="AH6" i="112" s="1"/>
  <c r="BD6" i="112"/>
  <c r="AG6" i="112"/>
  <c r="AF6" i="112"/>
  <c r="AE6" i="112"/>
  <c r="AD6" i="112"/>
  <c r="AC6" i="112"/>
  <c r="AB6" i="112"/>
  <c r="AA6" i="112"/>
  <c r="Z6" i="112"/>
  <c r="Y6" i="112"/>
  <c r="W6" i="112"/>
  <c r="V6" i="112"/>
  <c r="U6" i="112"/>
  <c r="T6" i="112"/>
  <c r="S6" i="112"/>
  <c r="P6" i="112"/>
  <c r="O6" i="112"/>
  <c r="N6" i="112"/>
  <c r="M6" i="112"/>
  <c r="L6" i="112"/>
  <c r="K6" i="112"/>
  <c r="J6" i="112"/>
  <c r="I6" i="112"/>
  <c r="H6" i="112"/>
  <c r="G6" i="112"/>
  <c r="F6" i="112"/>
  <c r="E6" i="112"/>
  <c r="D6" i="112"/>
  <c r="C6" i="112"/>
  <c r="B6" i="112"/>
  <c r="CJ5" i="112"/>
  <c r="BT5" i="112"/>
  <c r="G5" i="112" s="1"/>
  <c r="BN5" i="112"/>
  <c r="AH5" i="112" s="1"/>
  <c r="BD5" i="112"/>
  <c r="AG5" i="112"/>
  <c r="AF5" i="112"/>
  <c r="AE5" i="112"/>
  <c r="AD5" i="112"/>
  <c r="AC5" i="112"/>
  <c r="AB5" i="112"/>
  <c r="AA5" i="112"/>
  <c r="Z5" i="112"/>
  <c r="Y5" i="112"/>
  <c r="W5" i="112"/>
  <c r="V5" i="112"/>
  <c r="U5" i="112"/>
  <c r="T5" i="112"/>
  <c r="S5" i="112"/>
  <c r="P5" i="112"/>
  <c r="O5" i="112"/>
  <c r="N5" i="112"/>
  <c r="M5" i="112"/>
  <c r="L5" i="112"/>
  <c r="K5" i="112"/>
  <c r="J5" i="112"/>
  <c r="I5" i="112"/>
  <c r="H5" i="112"/>
  <c r="F5" i="112"/>
  <c r="E5" i="112"/>
  <c r="D5" i="112"/>
  <c r="C5" i="112"/>
  <c r="B5" i="112"/>
  <c r="CJ4" i="112"/>
  <c r="BN4" i="112"/>
  <c r="AH4" i="112" s="1"/>
  <c r="BD4" i="112"/>
  <c r="AG4" i="112"/>
  <c r="AF4" i="112"/>
  <c r="AE4" i="112"/>
  <c r="AD4" i="112"/>
  <c r="AC4" i="112"/>
  <c r="AB4" i="112"/>
  <c r="AA4" i="112"/>
  <c r="Z4" i="112"/>
  <c r="Y4" i="112"/>
  <c r="W4" i="112"/>
  <c r="V4" i="112"/>
  <c r="U4" i="112"/>
  <c r="T4" i="112"/>
  <c r="S4" i="112"/>
  <c r="P4" i="112"/>
  <c r="O4" i="112"/>
  <c r="N4" i="112"/>
  <c r="M4" i="112"/>
  <c r="L4" i="112"/>
  <c r="K4" i="112"/>
  <c r="J4" i="112"/>
  <c r="I4" i="112"/>
  <c r="H4" i="112"/>
  <c r="G4" i="112"/>
  <c r="F4" i="112"/>
  <c r="E4" i="112"/>
  <c r="D4" i="112"/>
  <c r="C4" i="112"/>
  <c r="B4" i="112"/>
  <c r="CJ3" i="112"/>
  <c r="BN3" i="112"/>
  <c r="AH3" i="112" s="1"/>
  <c r="BD3" i="112"/>
  <c r="AG3" i="112"/>
  <c r="AF3" i="112"/>
  <c r="AE3" i="112"/>
  <c r="AD3" i="112"/>
  <c r="AC3" i="112"/>
  <c r="AB3" i="112"/>
  <c r="AA3" i="112"/>
  <c r="Z3" i="112"/>
  <c r="Y3" i="112"/>
  <c r="W3" i="112"/>
  <c r="V3" i="112"/>
  <c r="U3" i="112"/>
  <c r="T3" i="112"/>
  <c r="S3" i="112"/>
  <c r="P3" i="112"/>
  <c r="O3" i="112"/>
  <c r="N3" i="112"/>
  <c r="M3" i="112"/>
  <c r="L3" i="112"/>
  <c r="K3" i="112"/>
  <c r="J3" i="112"/>
  <c r="I3" i="112"/>
  <c r="H3" i="112"/>
  <c r="G3" i="112"/>
  <c r="F3" i="112"/>
  <c r="E3" i="112"/>
  <c r="D3" i="112"/>
  <c r="C3" i="112"/>
  <c r="B3" i="112"/>
  <c r="N39" i="118"/>
  <c r="N38" i="118"/>
  <c r="M35" i="16" s="1"/>
  <c r="N37" i="118"/>
  <c r="N36" i="118"/>
  <c r="O36" i="118" s="1"/>
  <c r="N35" i="118"/>
  <c r="N34" i="118"/>
  <c r="N32" i="118"/>
  <c r="N30" i="118"/>
  <c r="N28" i="118"/>
  <c r="K25" i="118"/>
  <c r="G25" i="118"/>
  <c r="F25" i="118"/>
  <c r="E25" i="118"/>
  <c r="D25" i="118"/>
  <c r="C25" i="118"/>
  <c r="B25" i="118"/>
  <c r="CU22" i="112" s="1"/>
  <c r="CX22" i="112" s="1"/>
  <c r="N184" i="117"/>
  <c r="N183" i="117"/>
  <c r="N182" i="117"/>
  <c r="N181" i="117"/>
  <c r="N180" i="117"/>
  <c r="N179" i="117"/>
  <c r="N178" i="117"/>
  <c r="N177" i="117"/>
  <c r="N176" i="117"/>
  <c r="N175" i="117"/>
  <c r="M168" i="117"/>
  <c r="CD74" i="112" s="1"/>
  <c r="Q74" i="112" s="1"/>
  <c r="L168" i="117"/>
  <c r="CD73" i="112" s="1"/>
  <c r="Q73" i="112" s="1"/>
  <c r="K168" i="117"/>
  <c r="CD72" i="112" s="1"/>
  <c r="Q72" i="112" s="1"/>
  <c r="J168" i="117"/>
  <c r="CD71" i="112" s="1"/>
  <c r="Q71" i="112" s="1"/>
  <c r="I168" i="117"/>
  <c r="CD70" i="112" s="1"/>
  <c r="Q70" i="112" s="1"/>
  <c r="H168" i="117"/>
  <c r="G168" i="117"/>
  <c r="CD68" i="112" s="1"/>
  <c r="Q68" i="112" s="1"/>
  <c r="F168" i="117"/>
  <c r="CD67" i="112" s="1"/>
  <c r="Q67" i="112" s="1"/>
  <c r="E168" i="117"/>
  <c r="CD66" i="112" s="1"/>
  <c r="Q66" i="112" s="1"/>
  <c r="D168" i="117"/>
  <c r="CD65" i="112" s="1"/>
  <c r="Q65" i="112" s="1"/>
  <c r="C168" i="117"/>
  <c r="CD64" i="112" s="1"/>
  <c r="Q64" i="112" s="1"/>
  <c r="B168" i="117"/>
  <c r="CD63" i="112" s="1"/>
  <c r="Q63" i="112" s="1"/>
  <c r="M165" i="117"/>
  <c r="CB74" i="112" s="1"/>
  <c r="O74" i="112" s="1"/>
  <c r="L165" i="117"/>
  <c r="CB73" i="112" s="1"/>
  <c r="O73" i="112" s="1"/>
  <c r="K165" i="117"/>
  <c r="CB72" i="112" s="1"/>
  <c r="O72" i="112" s="1"/>
  <c r="J165" i="117"/>
  <c r="CB71" i="112" s="1"/>
  <c r="O71" i="112" s="1"/>
  <c r="I165" i="117"/>
  <c r="CB70" i="112" s="1"/>
  <c r="O70" i="112" s="1"/>
  <c r="G165" i="117"/>
  <c r="CB68" i="112" s="1"/>
  <c r="F165" i="117"/>
  <c r="CB67" i="112" s="1"/>
  <c r="O67" i="112" s="1"/>
  <c r="E165" i="117"/>
  <c r="CB66" i="112" s="1"/>
  <c r="O66" i="112" s="1"/>
  <c r="D165" i="117"/>
  <c r="CB65" i="112" s="1"/>
  <c r="O65" i="112" s="1"/>
  <c r="C165" i="117"/>
  <c r="CB64" i="112" s="1"/>
  <c r="O64" i="112" s="1"/>
  <c r="B165" i="117"/>
  <c r="CB63" i="112" s="1"/>
  <c r="M164" i="117"/>
  <c r="CA74" i="112" s="1"/>
  <c r="N74" i="112" s="1"/>
  <c r="L164" i="117"/>
  <c r="CA73" i="112" s="1"/>
  <c r="N73" i="112" s="1"/>
  <c r="K164" i="117"/>
  <c r="CA72" i="112" s="1"/>
  <c r="N72" i="112" s="1"/>
  <c r="J164" i="117"/>
  <c r="CA71" i="112" s="1"/>
  <c r="N71" i="112" s="1"/>
  <c r="I164" i="117"/>
  <c r="CA70" i="112" s="1"/>
  <c r="N70" i="112" s="1"/>
  <c r="G164" i="117"/>
  <c r="CA68" i="112" s="1"/>
  <c r="N68" i="112" s="1"/>
  <c r="F164" i="117"/>
  <c r="CA67" i="112" s="1"/>
  <c r="N67" i="112" s="1"/>
  <c r="E164" i="117"/>
  <c r="CA66" i="112" s="1"/>
  <c r="N66" i="112" s="1"/>
  <c r="D164" i="117"/>
  <c r="CA65" i="112" s="1"/>
  <c r="N65" i="112" s="1"/>
  <c r="C164" i="117"/>
  <c r="CA64" i="112" s="1"/>
  <c r="N64" i="112" s="1"/>
  <c r="B164" i="117"/>
  <c r="CA63" i="112" s="1"/>
  <c r="M163" i="117"/>
  <c r="BZ74" i="112" s="1"/>
  <c r="L163" i="117"/>
  <c r="BZ73" i="112" s="1"/>
  <c r="K163" i="117"/>
  <c r="J163" i="117"/>
  <c r="BZ71" i="112" s="1"/>
  <c r="BZ70" i="112"/>
  <c r="BZ69" i="112"/>
  <c r="G163" i="117"/>
  <c r="BZ68" i="112" s="1"/>
  <c r="M68" i="112" s="1"/>
  <c r="F163" i="117"/>
  <c r="BZ67" i="112" s="1"/>
  <c r="E163" i="117"/>
  <c r="BZ66" i="112" s="1"/>
  <c r="M66" i="112" s="1"/>
  <c r="D163" i="117"/>
  <c r="BZ65" i="112" s="1"/>
  <c r="M65" i="112" s="1"/>
  <c r="C163" i="117"/>
  <c r="BZ64" i="112" s="1"/>
  <c r="B163" i="117"/>
  <c r="BZ63" i="112" s="1"/>
  <c r="M162" i="117"/>
  <c r="BY74" i="112" s="1"/>
  <c r="L162" i="117"/>
  <c r="BY73" i="112" s="1"/>
  <c r="K162" i="117"/>
  <c r="BY72" i="112" s="1"/>
  <c r="J162" i="117"/>
  <c r="BY71" i="112" s="1"/>
  <c r="I162" i="117"/>
  <c r="BY70" i="112" s="1"/>
  <c r="BY69" i="112"/>
  <c r="G162" i="117"/>
  <c r="BY68" i="112" s="1"/>
  <c r="F162" i="117"/>
  <c r="E162" i="117"/>
  <c r="BY66" i="112" s="1"/>
  <c r="D162" i="117"/>
  <c r="C162" i="117"/>
  <c r="BY64" i="112" s="1"/>
  <c r="L64" i="112" s="1"/>
  <c r="B162" i="117"/>
  <c r="BY63" i="112" s="1"/>
  <c r="M161" i="117"/>
  <c r="BX74" i="112" s="1"/>
  <c r="L161" i="117"/>
  <c r="BX73" i="112" s="1"/>
  <c r="K161" i="117"/>
  <c r="BX72" i="112" s="1"/>
  <c r="K72" i="112" s="1"/>
  <c r="J161" i="117"/>
  <c r="BX71" i="112" s="1"/>
  <c r="I161" i="117"/>
  <c r="BX70" i="112" s="1"/>
  <c r="D161" i="117"/>
  <c r="BX65" i="112" s="1"/>
  <c r="K65" i="112" s="1"/>
  <c r="C161" i="117"/>
  <c r="BX64" i="112" s="1"/>
  <c r="K64" i="112" s="1"/>
  <c r="B161" i="117"/>
  <c r="BX63" i="112" s="1"/>
  <c r="M160" i="117"/>
  <c r="L160" i="117"/>
  <c r="K160" i="117"/>
  <c r="BW72" i="112" s="1"/>
  <c r="J160" i="117"/>
  <c r="I160" i="117"/>
  <c r="BW70" i="112" s="1"/>
  <c r="G160" i="117"/>
  <c r="BW68" i="112" s="1"/>
  <c r="F160" i="117"/>
  <c r="BW67" i="112" s="1"/>
  <c r="E160" i="117"/>
  <c r="BW66" i="112" s="1"/>
  <c r="D160" i="117"/>
  <c r="BW65" i="112" s="1"/>
  <c r="J65" i="112" s="1"/>
  <c r="C160" i="117"/>
  <c r="BW64" i="112" s="1"/>
  <c r="J64" i="112" s="1"/>
  <c r="B160" i="117"/>
  <c r="BW63" i="112" s="1"/>
  <c r="M159" i="117"/>
  <c r="BV74" i="112" s="1"/>
  <c r="L159" i="117"/>
  <c r="BV73" i="112" s="1"/>
  <c r="K159" i="117"/>
  <c r="BV72" i="112" s="1"/>
  <c r="J159" i="117"/>
  <c r="BV71" i="112" s="1"/>
  <c r="I159" i="117"/>
  <c r="BV70" i="112" s="1"/>
  <c r="BV69" i="112"/>
  <c r="G159" i="117"/>
  <c r="BV68" i="112" s="1"/>
  <c r="F159" i="117"/>
  <c r="BV67" i="112" s="1"/>
  <c r="E159" i="117"/>
  <c r="BV66" i="112" s="1"/>
  <c r="D159" i="117"/>
  <c r="BV65" i="112" s="1"/>
  <c r="C159" i="117"/>
  <c r="BV64" i="112" s="1"/>
  <c r="B159" i="117"/>
  <c r="BV63" i="112" s="1"/>
  <c r="M158" i="117"/>
  <c r="BU74" i="112" s="1"/>
  <c r="L158" i="117"/>
  <c r="BU73" i="112" s="1"/>
  <c r="K158" i="117"/>
  <c r="BU72" i="112" s="1"/>
  <c r="H72" i="112" s="1"/>
  <c r="J158" i="117"/>
  <c r="BU71" i="112" s="1"/>
  <c r="I158" i="117"/>
  <c r="BU70" i="112" s="1"/>
  <c r="H70" i="112" s="1"/>
  <c r="G158" i="117"/>
  <c r="BU68" i="112" s="1"/>
  <c r="F158" i="117"/>
  <c r="BU67" i="112" s="1"/>
  <c r="H67" i="112" s="1"/>
  <c r="E158" i="117"/>
  <c r="BU66" i="112" s="1"/>
  <c r="D158" i="117"/>
  <c r="BU65" i="112" s="1"/>
  <c r="C158" i="117"/>
  <c r="BU64" i="112" s="1"/>
  <c r="B158" i="117"/>
  <c r="BU63" i="112" s="1"/>
  <c r="M157" i="117"/>
  <c r="BT74" i="112" s="1"/>
  <c r="L157" i="117"/>
  <c r="BT73" i="112" s="1"/>
  <c r="K157" i="117"/>
  <c r="BT72" i="112" s="1"/>
  <c r="J157" i="117"/>
  <c r="BT71" i="112" s="1"/>
  <c r="I157" i="117"/>
  <c r="BT70" i="112" s="1"/>
  <c r="G70" i="112" s="1"/>
  <c r="G157" i="117"/>
  <c r="BT68" i="112" s="1"/>
  <c r="F157" i="117"/>
  <c r="BT67" i="112" s="1"/>
  <c r="G67" i="112" s="1"/>
  <c r="E157" i="117"/>
  <c r="BT66" i="112" s="1"/>
  <c r="G66" i="112" s="1"/>
  <c r="D157" i="117"/>
  <c r="BT65" i="112" s="1"/>
  <c r="C157" i="117"/>
  <c r="BT64" i="112" s="1"/>
  <c r="B157" i="117"/>
  <c r="BT63" i="112" s="1"/>
  <c r="M156" i="117"/>
  <c r="BS74" i="112" s="1"/>
  <c r="L156" i="117"/>
  <c r="BS73" i="112" s="1"/>
  <c r="K156" i="117"/>
  <c r="BS72" i="112" s="1"/>
  <c r="J156" i="117"/>
  <c r="BS71" i="112" s="1"/>
  <c r="I156" i="117"/>
  <c r="BS70" i="112" s="1"/>
  <c r="G156" i="117"/>
  <c r="BS68" i="112" s="1"/>
  <c r="F156" i="117"/>
  <c r="BS67" i="112" s="1"/>
  <c r="E156" i="117"/>
  <c r="BS66" i="112" s="1"/>
  <c r="F66" i="112" s="1"/>
  <c r="D156" i="117"/>
  <c r="BS65" i="112" s="1"/>
  <c r="C156" i="117"/>
  <c r="BS64" i="112" s="1"/>
  <c r="B156" i="117"/>
  <c r="BS63" i="112" s="1"/>
  <c r="M155" i="117"/>
  <c r="BR74" i="112" s="1"/>
  <c r="E74" i="112" s="1"/>
  <c r="L155" i="117"/>
  <c r="BR73" i="112" s="1"/>
  <c r="K155" i="117"/>
  <c r="BR72" i="112" s="1"/>
  <c r="E72" i="112" s="1"/>
  <c r="J155" i="117"/>
  <c r="BR71" i="112" s="1"/>
  <c r="I155" i="117"/>
  <c r="BR70" i="112" s="1"/>
  <c r="G155" i="117"/>
  <c r="BR68" i="112" s="1"/>
  <c r="F155" i="117"/>
  <c r="BR67" i="112" s="1"/>
  <c r="E155" i="117"/>
  <c r="BR66" i="112" s="1"/>
  <c r="E66" i="112" s="1"/>
  <c r="D155" i="117"/>
  <c r="BR65" i="112" s="1"/>
  <c r="C155" i="117"/>
  <c r="BR64" i="112" s="1"/>
  <c r="B155" i="117"/>
  <c r="BR63" i="112" s="1"/>
  <c r="M154" i="117"/>
  <c r="BQ74" i="112" s="1"/>
  <c r="D74" i="112" s="1"/>
  <c r="L154" i="117"/>
  <c r="BQ73" i="112" s="1"/>
  <c r="K154" i="117"/>
  <c r="BQ72" i="112" s="1"/>
  <c r="J154" i="117"/>
  <c r="BQ71" i="112" s="1"/>
  <c r="D71" i="112" s="1"/>
  <c r="I154" i="117"/>
  <c r="BQ70" i="112" s="1"/>
  <c r="BQ69" i="112"/>
  <c r="G154" i="117"/>
  <c r="BQ68" i="112" s="1"/>
  <c r="F154" i="117"/>
  <c r="BQ67" i="112" s="1"/>
  <c r="E154" i="117"/>
  <c r="BQ66" i="112" s="1"/>
  <c r="D66" i="112" s="1"/>
  <c r="D154" i="117"/>
  <c r="BQ65" i="112" s="1"/>
  <c r="D65" i="112" s="1"/>
  <c r="C154" i="117"/>
  <c r="BQ64" i="112" s="1"/>
  <c r="B154" i="117"/>
  <c r="BQ63" i="112" s="1"/>
  <c r="M153" i="117"/>
  <c r="BP74" i="112" s="1"/>
  <c r="C74" i="112" s="1"/>
  <c r="L153" i="117"/>
  <c r="BP73" i="112" s="1"/>
  <c r="K153" i="117"/>
  <c r="BP72" i="112" s="1"/>
  <c r="J153" i="117"/>
  <c r="BP71" i="112" s="1"/>
  <c r="C71" i="112" s="1"/>
  <c r="I153" i="117"/>
  <c r="BP70" i="112" s="1"/>
  <c r="BP69" i="112"/>
  <c r="G153" i="117"/>
  <c r="BP68" i="112" s="1"/>
  <c r="C68" i="112" s="1"/>
  <c r="F153" i="117"/>
  <c r="BP67" i="112" s="1"/>
  <c r="E153" i="117"/>
  <c r="BP66" i="112" s="1"/>
  <c r="D153" i="117"/>
  <c r="BP65" i="112" s="1"/>
  <c r="C65" i="112" s="1"/>
  <c r="C153" i="117"/>
  <c r="BP64" i="112" s="1"/>
  <c r="B153" i="117"/>
  <c r="BP63" i="112" s="1"/>
  <c r="BP75" i="112" s="1"/>
  <c r="BP76" i="112" s="1"/>
  <c r="M152" i="117"/>
  <c r="BO74" i="112" s="1"/>
  <c r="L152" i="117"/>
  <c r="BO73" i="112" s="1"/>
  <c r="K152" i="117"/>
  <c r="BO72" i="112" s="1"/>
  <c r="J152" i="117"/>
  <c r="BO71" i="112" s="1"/>
  <c r="B71" i="112" s="1"/>
  <c r="I152" i="117"/>
  <c r="BO70" i="112" s="1"/>
  <c r="B70" i="112" s="1"/>
  <c r="G152" i="117"/>
  <c r="BO68" i="112" s="1"/>
  <c r="F152" i="117"/>
  <c r="BO67" i="112" s="1"/>
  <c r="BO66" i="112"/>
  <c r="D152" i="117"/>
  <c r="BO65" i="112" s="1"/>
  <c r="BO64" i="112"/>
  <c r="B152" i="117"/>
  <c r="M149" i="117"/>
  <c r="L149" i="117"/>
  <c r="K149" i="117"/>
  <c r="J149" i="117"/>
  <c r="I149" i="117"/>
  <c r="G149" i="117"/>
  <c r="D149" i="117"/>
  <c r="C149" i="117"/>
  <c r="B149" i="117"/>
  <c r="G24" i="117"/>
  <c r="G161" i="117" s="1"/>
  <c r="BX68" i="112" s="1"/>
  <c r="F24" i="117"/>
  <c r="F149" i="117" s="1"/>
  <c r="E24" i="117"/>
  <c r="E149" i="117" s="1"/>
  <c r="S1028" i="116"/>
  <c r="S885" i="116"/>
  <c r="S867" i="116"/>
  <c r="S866" i="116"/>
  <c r="S797" i="116"/>
  <c r="S796" i="116"/>
  <c r="S795" i="116"/>
  <c r="S794" i="116"/>
  <c r="S792" i="116"/>
  <c r="S791" i="116"/>
  <c r="S790" i="116"/>
  <c r="S789" i="116"/>
  <c r="S787" i="116"/>
  <c r="S786" i="116"/>
  <c r="S785" i="116"/>
  <c r="S784" i="116"/>
  <c r="S783" i="116"/>
  <c r="S782" i="116"/>
  <c r="S781" i="116"/>
  <c r="S776" i="116"/>
  <c r="S775" i="116"/>
  <c r="S774" i="116"/>
  <c r="S773" i="116"/>
  <c r="S772" i="116"/>
  <c r="S771" i="116"/>
  <c r="S770" i="116"/>
  <c r="S768" i="116"/>
  <c r="S767" i="116"/>
  <c r="S766" i="116"/>
  <c r="S765" i="116"/>
  <c r="S764" i="116"/>
  <c r="S763" i="116"/>
  <c r="S761" i="116"/>
  <c r="S760" i="116"/>
  <c r="S759" i="116"/>
  <c r="S758" i="116"/>
  <c r="S756" i="116"/>
  <c r="S755" i="116"/>
  <c r="S754" i="116"/>
  <c r="S753" i="116"/>
  <c r="S752" i="116"/>
  <c r="S749" i="116"/>
  <c r="S748" i="116"/>
  <c r="S747" i="116"/>
  <c r="S746" i="116"/>
  <c r="S745" i="116"/>
  <c r="S744" i="116"/>
  <c r="S743" i="116"/>
  <c r="S742" i="116"/>
  <c r="S741" i="116"/>
  <c r="S740" i="116"/>
  <c r="S738" i="116"/>
  <c r="S736" i="116"/>
  <c r="S735" i="116"/>
  <c r="S734" i="116"/>
  <c r="S733" i="116"/>
  <c r="S732" i="116"/>
  <c r="S730" i="116"/>
  <c r="S724" i="116"/>
  <c r="S719" i="116"/>
  <c r="S718" i="116"/>
  <c r="S715" i="116"/>
  <c r="S714" i="116"/>
  <c r="S712" i="116"/>
  <c r="S707" i="116"/>
  <c r="S706" i="116"/>
  <c r="S696" i="116"/>
  <c r="S695" i="116"/>
  <c r="S694" i="116"/>
  <c r="S693" i="116"/>
  <c r="H18" i="18"/>
  <c r="F18" i="18"/>
  <c r="E18" i="18"/>
  <c r="D18" i="18"/>
  <c r="C18" i="18"/>
  <c r="H17" i="18"/>
  <c r="F17" i="18"/>
  <c r="E17" i="18"/>
  <c r="D17" i="18"/>
  <c r="C17" i="18"/>
  <c r="H16" i="18"/>
  <c r="F16" i="18"/>
  <c r="E16" i="18"/>
  <c r="D16" i="18"/>
  <c r="C16" i="18"/>
  <c r="H15" i="18"/>
  <c r="F15" i="18"/>
  <c r="E15" i="18"/>
  <c r="D15" i="18"/>
  <c r="C15" i="18"/>
  <c r="B15" i="18"/>
  <c r="F14" i="18"/>
  <c r="F13" i="18"/>
  <c r="F12" i="18"/>
  <c r="F11" i="18"/>
  <c r="B11" i="18"/>
  <c r="F10" i="18"/>
  <c r="F9" i="18"/>
  <c r="F8" i="18"/>
  <c r="F7" i="18"/>
  <c r="B7" i="18"/>
  <c r="F6" i="18"/>
  <c r="F5" i="18"/>
  <c r="F4" i="18"/>
  <c r="F3" i="18"/>
  <c r="O41" i="6"/>
  <c r="N41" i="6"/>
  <c r="M41" i="6"/>
  <c r="L41" i="6"/>
  <c r="J41" i="6"/>
  <c r="H41" i="6"/>
  <c r="G41" i="6"/>
  <c r="F41" i="6"/>
  <c r="E41" i="6"/>
  <c r="D41" i="6"/>
  <c r="O40" i="6"/>
  <c r="N40" i="6"/>
  <c r="M40" i="6"/>
  <c r="L40" i="6"/>
  <c r="J40" i="6"/>
  <c r="O39" i="6"/>
  <c r="N39" i="6"/>
  <c r="M39" i="6"/>
  <c r="L39" i="6"/>
  <c r="J39" i="6"/>
  <c r="O38" i="6"/>
  <c r="N38" i="6"/>
  <c r="M38" i="6"/>
  <c r="L38" i="6"/>
  <c r="J38" i="6"/>
  <c r="O37" i="6"/>
  <c r="N37" i="6"/>
  <c r="M37" i="6"/>
  <c r="L37" i="6"/>
  <c r="J37" i="6"/>
  <c r="O36" i="6"/>
  <c r="N36" i="6"/>
  <c r="M36" i="6"/>
  <c r="L36" i="6"/>
  <c r="J36" i="6"/>
  <c r="O35" i="6"/>
  <c r="N35" i="6"/>
  <c r="M35" i="6"/>
  <c r="L35" i="6"/>
  <c r="J35" i="6"/>
  <c r="O34" i="6"/>
  <c r="N34" i="6"/>
  <c r="M34" i="6"/>
  <c r="L34" i="6"/>
  <c r="J34" i="6"/>
  <c r="O33" i="6"/>
  <c r="N33" i="6"/>
  <c r="M33" i="6"/>
  <c r="L33" i="6"/>
  <c r="J33" i="6"/>
  <c r="O32" i="6"/>
  <c r="N32" i="6"/>
  <c r="M32" i="6"/>
  <c r="L32" i="6"/>
  <c r="J32" i="6"/>
  <c r="O31" i="6"/>
  <c r="N31" i="6"/>
  <c r="M31" i="6"/>
  <c r="L31" i="6"/>
  <c r="J31" i="6"/>
  <c r="O30" i="6"/>
  <c r="N30" i="6"/>
  <c r="M30" i="6"/>
  <c r="L30" i="6"/>
  <c r="J30" i="6"/>
  <c r="O29" i="6"/>
  <c r="N29" i="6"/>
  <c r="M29" i="6"/>
  <c r="L29" i="6"/>
  <c r="J29" i="6"/>
  <c r="O28" i="6"/>
  <c r="N28" i="6"/>
  <c r="M28" i="6"/>
  <c r="L28" i="6"/>
  <c r="J28" i="6"/>
  <c r="O27" i="6"/>
  <c r="N27" i="6"/>
  <c r="M27" i="6"/>
  <c r="L27" i="6"/>
  <c r="J27" i="6"/>
  <c r="O26" i="6"/>
  <c r="N26" i="6"/>
  <c r="M26" i="6"/>
  <c r="L26" i="6"/>
  <c r="J26" i="6"/>
  <c r="H24" i="6"/>
  <c r="O23" i="6"/>
  <c r="N23" i="6"/>
  <c r="M23" i="6"/>
  <c r="L23" i="6"/>
  <c r="J23" i="6"/>
  <c r="G23" i="6"/>
  <c r="F23" i="6"/>
  <c r="E23" i="6"/>
  <c r="O22" i="6"/>
  <c r="N22" i="6"/>
  <c r="M22" i="6"/>
  <c r="L22" i="6"/>
  <c r="J22" i="6"/>
  <c r="G22" i="6"/>
  <c r="F22" i="6"/>
  <c r="E22" i="6"/>
  <c r="O21" i="6"/>
  <c r="N21" i="6"/>
  <c r="M21" i="6"/>
  <c r="L21" i="6"/>
  <c r="J21" i="6"/>
  <c r="H21" i="6"/>
  <c r="G21" i="6"/>
  <c r="F21" i="6"/>
  <c r="E21" i="6"/>
  <c r="Q20" i="6"/>
  <c r="H20" i="6"/>
  <c r="H19" i="6"/>
  <c r="Q17" i="6"/>
  <c r="H17" i="6"/>
  <c r="G17" i="6"/>
  <c r="F17" i="6"/>
  <c r="E17" i="6"/>
  <c r="Q16" i="6"/>
  <c r="H16" i="6"/>
  <c r="G16" i="6"/>
  <c r="F16" i="6"/>
  <c r="E16" i="6"/>
  <c r="Q15" i="6"/>
  <c r="H15" i="6"/>
  <c r="G15" i="6"/>
  <c r="F15" i="6"/>
  <c r="E15" i="6"/>
  <c r="H14" i="6"/>
  <c r="O9" i="6"/>
  <c r="N9" i="6"/>
  <c r="M9" i="6"/>
  <c r="L9" i="6"/>
  <c r="J9" i="6"/>
  <c r="O8" i="6"/>
  <c r="N8" i="6"/>
  <c r="M8" i="6"/>
  <c r="L8" i="6"/>
  <c r="J8" i="6"/>
  <c r="O7" i="6"/>
  <c r="N7" i="6"/>
  <c r="M7" i="6"/>
  <c r="L7" i="6"/>
  <c r="J7" i="6"/>
  <c r="O6" i="6"/>
  <c r="N6" i="6"/>
  <c r="M6" i="6"/>
  <c r="L6" i="6"/>
  <c r="J6" i="6"/>
  <c r="O5" i="6"/>
  <c r="N5" i="6"/>
  <c r="M5" i="6"/>
  <c r="L5" i="6"/>
  <c r="J5" i="6"/>
  <c r="O4" i="6"/>
  <c r="N4" i="6"/>
  <c r="M4" i="6"/>
  <c r="L4" i="6"/>
  <c r="J4" i="6"/>
  <c r="O33" i="9"/>
  <c r="N33" i="9"/>
  <c r="M33" i="9"/>
  <c r="L33" i="9"/>
  <c r="J33" i="9"/>
  <c r="I33" i="9"/>
  <c r="H33" i="9"/>
  <c r="G33" i="9"/>
  <c r="F33" i="9"/>
  <c r="E33" i="9"/>
  <c r="D33" i="9"/>
  <c r="O32" i="9"/>
  <c r="N32" i="9"/>
  <c r="M32" i="9"/>
  <c r="L32" i="9"/>
  <c r="J32" i="9"/>
  <c r="O31" i="9"/>
  <c r="N31" i="9"/>
  <c r="M31" i="9"/>
  <c r="L31" i="9"/>
  <c r="J31" i="9"/>
  <c r="O30" i="9"/>
  <c r="N30" i="9"/>
  <c r="M30" i="9"/>
  <c r="L30" i="9"/>
  <c r="J30" i="9"/>
  <c r="O29" i="9"/>
  <c r="N29" i="9"/>
  <c r="M29" i="9"/>
  <c r="L29" i="9"/>
  <c r="J29" i="9"/>
  <c r="O28" i="9"/>
  <c r="N28" i="9"/>
  <c r="M28" i="9"/>
  <c r="L28" i="9"/>
  <c r="J28" i="9"/>
  <c r="O27" i="9"/>
  <c r="N27" i="9"/>
  <c r="M27" i="9"/>
  <c r="L27" i="9"/>
  <c r="J27" i="9"/>
  <c r="O26" i="9"/>
  <c r="N26" i="9"/>
  <c r="M26" i="9"/>
  <c r="L26" i="9"/>
  <c r="J26" i="9"/>
  <c r="O25" i="9"/>
  <c r="N25" i="9"/>
  <c r="M25" i="9"/>
  <c r="L25" i="9"/>
  <c r="J25" i="9"/>
  <c r="O24" i="9"/>
  <c r="N24" i="9"/>
  <c r="M24" i="9"/>
  <c r="L24" i="9"/>
  <c r="J24" i="9"/>
  <c r="O23" i="9"/>
  <c r="N23" i="9"/>
  <c r="M23" i="9"/>
  <c r="L23" i="9"/>
  <c r="J23" i="9"/>
  <c r="O22" i="9"/>
  <c r="N22" i="9"/>
  <c r="M22" i="9"/>
  <c r="L22" i="9"/>
  <c r="J22" i="9"/>
  <c r="O21" i="9"/>
  <c r="N21" i="9"/>
  <c r="M21" i="9"/>
  <c r="L21" i="9"/>
  <c r="J21" i="9"/>
  <c r="O20" i="9"/>
  <c r="N20" i="9"/>
  <c r="M20" i="9"/>
  <c r="L20" i="9"/>
  <c r="J20" i="9"/>
  <c r="O19" i="9"/>
  <c r="N19" i="9"/>
  <c r="M19" i="9"/>
  <c r="L19" i="9"/>
  <c r="J19" i="9"/>
  <c r="O18" i="9"/>
  <c r="N18" i="9"/>
  <c r="M18" i="9"/>
  <c r="L18" i="9"/>
  <c r="J18" i="9"/>
  <c r="O17" i="9"/>
  <c r="N17" i="9"/>
  <c r="M17" i="9"/>
  <c r="L17" i="9"/>
  <c r="J17" i="9"/>
  <c r="O16" i="9"/>
  <c r="N16" i="9"/>
  <c r="M16" i="9"/>
  <c r="L16" i="9"/>
  <c r="J16" i="9"/>
  <c r="O15" i="9"/>
  <c r="N15" i="9"/>
  <c r="M15" i="9"/>
  <c r="L15" i="9"/>
  <c r="J15" i="9"/>
  <c r="O9" i="9"/>
  <c r="N9" i="9"/>
  <c r="M9" i="9"/>
  <c r="L9" i="9"/>
  <c r="J9" i="9"/>
  <c r="O8" i="9"/>
  <c r="N8" i="9"/>
  <c r="M8" i="9"/>
  <c r="L8" i="9"/>
  <c r="J8" i="9"/>
  <c r="O7" i="9"/>
  <c r="N7" i="9"/>
  <c r="M7" i="9"/>
  <c r="L7" i="9"/>
  <c r="J7" i="9"/>
  <c r="O6" i="9"/>
  <c r="N6" i="9"/>
  <c r="M6" i="9"/>
  <c r="L6" i="9"/>
  <c r="J6" i="9"/>
  <c r="O5" i="9"/>
  <c r="N5" i="9"/>
  <c r="M5" i="9"/>
  <c r="L5" i="9"/>
  <c r="J5" i="9"/>
  <c r="O4" i="9"/>
  <c r="N4" i="9"/>
  <c r="M4" i="9"/>
  <c r="L4" i="9"/>
  <c r="J4" i="9"/>
  <c r="O32" i="1"/>
  <c r="N32" i="1"/>
  <c r="M32" i="1"/>
  <c r="L32" i="1"/>
  <c r="J32" i="1"/>
  <c r="I32" i="1"/>
  <c r="H32" i="1"/>
  <c r="G32" i="1"/>
  <c r="F32" i="1"/>
  <c r="E32" i="1"/>
  <c r="D32" i="1"/>
  <c r="O31" i="1"/>
  <c r="N31" i="1"/>
  <c r="M31" i="1"/>
  <c r="L31" i="1"/>
  <c r="J31" i="1"/>
  <c r="O30" i="1"/>
  <c r="N30" i="1"/>
  <c r="M30" i="1"/>
  <c r="L30" i="1"/>
  <c r="J30" i="1"/>
  <c r="O29" i="1"/>
  <c r="N29" i="1"/>
  <c r="M29" i="1"/>
  <c r="L29" i="1"/>
  <c r="J29" i="1"/>
  <c r="O28" i="1"/>
  <c r="N28" i="1"/>
  <c r="M28" i="1"/>
  <c r="L28" i="1"/>
  <c r="J28" i="1"/>
  <c r="O27" i="1"/>
  <c r="N27" i="1"/>
  <c r="M27" i="1"/>
  <c r="L27" i="1"/>
  <c r="J27" i="1"/>
  <c r="G27" i="1"/>
  <c r="O26" i="1"/>
  <c r="N26" i="1"/>
  <c r="M26" i="1"/>
  <c r="L26" i="1"/>
  <c r="J26" i="1"/>
  <c r="O25" i="1"/>
  <c r="N25" i="1"/>
  <c r="M25" i="1"/>
  <c r="L25" i="1"/>
  <c r="J25" i="1"/>
  <c r="O24" i="1"/>
  <c r="N24" i="1"/>
  <c r="M24" i="1"/>
  <c r="L24" i="1"/>
  <c r="J24" i="1"/>
  <c r="O23" i="1"/>
  <c r="N23" i="1"/>
  <c r="M23" i="1"/>
  <c r="L23" i="1"/>
  <c r="J23" i="1"/>
  <c r="O22" i="1"/>
  <c r="N22" i="1"/>
  <c r="M22" i="1"/>
  <c r="L22" i="1"/>
  <c r="J22" i="1"/>
  <c r="O21" i="1"/>
  <c r="N21" i="1"/>
  <c r="M21" i="1"/>
  <c r="L21" i="1"/>
  <c r="J21" i="1"/>
  <c r="O20" i="1"/>
  <c r="N20" i="1"/>
  <c r="M20" i="1"/>
  <c r="L20" i="1"/>
  <c r="J20" i="1"/>
  <c r="O19" i="1"/>
  <c r="N19" i="1"/>
  <c r="M19" i="1"/>
  <c r="L19" i="1"/>
  <c r="J19" i="1"/>
  <c r="O18" i="1"/>
  <c r="N18" i="1"/>
  <c r="M18" i="1"/>
  <c r="L18" i="1"/>
  <c r="J18" i="1"/>
  <c r="O17" i="1"/>
  <c r="N17" i="1"/>
  <c r="M17" i="1"/>
  <c r="L17" i="1"/>
  <c r="J17" i="1"/>
  <c r="O16" i="1"/>
  <c r="M16" i="1"/>
  <c r="L16" i="1"/>
  <c r="J16" i="1"/>
  <c r="O15" i="1"/>
  <c r="M15" i="1"/>
  <c r="L15" i="1"/>
  <c r="J15" i="1"/>
  <c r="O14" i="1"/>
  <c r="M14" i="1"/>
  <c r="L14" i="1"/>
  <c r="J14" i="1"/>
  <c r="O9" i="1"/>
  <c r="N9" i="1"/>
  <c r="M9" i="1"/>
  <c r="L9" i="1"/>
  <c r="J9" i="1"/>
  <c r="O8" i="1"/>
  <c r="N8" i="1"/>
  <c r="M8" i="1"/>
  <c r="L8" i="1"/>
  <c r="J8" i="1"/>
  <c r="O7" i="1"/>
  <c r="N7" i="1"/>
  <c r="M7" i="1"/>
  <c r="L7" i="1"/>
  <c r="J7" i="1"/>
  <c r="O6" i="1"/>
  <c r="N6" i="1"/>
  <c r="M6" i="1"/>
  <c r="L6" i="1"/>
  <c r="J6" i="1"/>
  <c r="O5" i="1"/>
  <c r="N5" i="1"/>
  <c r="M5" i="1"/>
  <c r="L5" i="1"/>
  <c r="J5" i="1"/>
  <c r="O4" i="1"/>
  <c r="N4" i="1"/>
  <c r="M4" i="1"/>
  <c r="L4" i="1"/>
  <c r="J4" i="1"/>
  <c r="E101" i="122" l="1"/>
  <c r="E116" i="122"/>
  <c r="F101" i="122"/>
  <c r="K101" i="122"/>
  <c r="H101" i="122"/>
  <c r="D101" i="122"/>
  <c r="D116" i="122"/>
  <c r="O76" i="114"/>
  <c r="D20" i="16" s="1"/>
  <c r="AF75" i="114"/>
  <c r="O55" i="16" s="1"/>
  <c r="CV34" i="114"/>
  <c r="I56" i="26" s="1"/>
  <c r="P75" i="114"/>
  <c r="O25" i="16" s="1"/>
  <c r="O68" i="16" s="1"/>
  <c r="AG75" i="114"/>
  <c r="O57" i="16" s="1"/>
  <c r="P58" i="122"/>
  <c r="Q58" i="122" s="1"/>
  <c r="R58" i="122" s="1"/>
  <c r="S58" i="122" s="1"/>
  <c r="T58" i="122" s="1"/>
  <c r="U58" i="122" s="1"/>
  <c r="V58" i="122" s="1"/>
  <c r="W58" i="122" s="1"/>
  <c r="X58" i="122" s="1"/>
  <c r="Y58" i="122" s="1"/>
  <c r="Z58" i="122" s="1"/>
  <c r="AE64" i="114"/>
  <c r="C72" i="122" s="1"/>
  <c r="P72" i="122" s="1"/>
  <c r="Q72" i="122" s="1"/>
  <c r="R72" i="122" s="1"/>
  <c r="S72" i="122" s="1"/>
  <c r="T72" i="122" s="1"/>
  <c r="U72" i="122" s="1"/>
  <c r="L101" i="122"/>
  <c r="S76" i="114"/>
  <c r="D24" i="16" s="1"/>
  <c r="B75" i="114"/>
  <c r="O5" i="16" s="1"/>
  <c r="C75" i="114"/>
  <c r="O6" i="16" s="1"/>
  <c r="T75" i="114"/>
  <c r="O26" i="16" s="1"/>
  <c r="CV67" i="114"/>
  <c r="F59" i="26" s="1"/>
  <c r="F4" i="122" s="1"/>
  <c r="F116" i="122" s="1"/>
  <c r="I75" i="114"/>
  <c r="O15" i="16" s="1"/>
  <c r="D70" i="10" s="1"/>
  <c r="E76" i="114"/>
  <c r="D9" i="16" s="1"/>
  <c r="V76" i="114"/>
  <c r="D29" i="16" s="1"/>
  <c r="W75" i="114"/>
  <c r="O30" i="16" s="1"/>
  <c r="F76" i="114"/>
  <c r="D10" i="16" s="1"/>
  <c r="G75" i="114"/>
  <c r="O12" i="16" s="1"/>
  <c r="F128" i="13" s="1"/>
  <c r="H75" i="114"/>
  <c r="O21" i="16" s="1"/>
  <c r="D81" i="10" s="1"/>
  <c r="Y75" i="114"/>
  <c r="O43" i="16" s="1"/>
  <c r="BA4" i="122" s="1"/>
  <c r="Z75" i="114"/>
  <c r="O44" i="16" s="1"/>
  <c r="BA5" i="122" s="1"/>
  <c r="CU69" i="114"/>
  <c r="H54" i="26" s="1"/>
  <c r="B46" i="122"/>
  <c r="O46" i="122" s="1"/>
  <c r="O49" i="122" s="1"/>
  <c r="L75" i="114"/>
  <c r="O17" i="16" s="1"/>
  <c r="AC75" i="114"/>
  <c r="O48" i="16" s="1"/>
  <c r="C46" i="122"/>
  <c r="N75" i="114"/>
  <c r="O19" i="16" s="1"/>
  <c r="B72" i="122"/>
  <c r="O72" i="122" s="1"/>
  <c r="M67" i="112"/>
  <c r="BV75" i="112"/>
  <c r="BV76" i="112" s="1"/>
  <c r="E63" i="112"/>
  <c r="J68" i="112"/>
  <c r="O63" i="112"/>
  <c r="F67" i="112"/>
  <c r="J72" i="112"/>
  <c r="H63" i="112"/>
  <c r="K63" i="112"/>
  <c r="N63" i="112"/>
  <c r="BQ75" i="112"/>
  <c r="BQ76" i="112" s="1"/>
  <c r="L73" i="112"/>
  <c r="AC75" i="113"/>
  <c r="P48" i="16" s="1"/>
  <c r="CX73" i="113"/>
  <c r="L29" i="26" s="1"/>
  <c r="L3" i="122" s="1"/>
  <c r="G71" i="122"/>
  <c r="E71" i="122"/>
  <c r="E100" i="122" s="1"/>
  <c r="K71" i="122"/>
  <c r="L71" i="122"/>
  <c r="CX33" i="113"/>
  <c r="H26" i="26" s="1"/>
  <c r="F71" i="122"/>
  <c r="R45" i="16"/>
  <c r="I37" i="16"/>
  <c r="T15" i="10"/>
  <c r="M101" i="122"/>
  <c r="AZ12" i="122" s="1"/>
  <c r="G54" i="26"/>
  <c r="G137" i="26" s="1"/>
  <c r="C75" i="113"/>
  <c r="P6" i="16" s="1"/>
  <c r="D42" i="10" s="1"/>
  <c r="AB75" i="113"/>
  <c r="P47" i="16" s="1"/>
  <c r="M45" i="122"/>
  <c r="M100" i="122" s="1"/>
  <c r="AW12" i="122" s="1"/>
  <c r="D71" i="122"/>
  <c r="Q75" i="113"/>
  <c r="P27" i="16" s="1"/>
  <c r="CX29" i="113"/>
  <c r="D26" i="26" s="1"/>
  <c r="CX36" i="113"/>
  <c r="K26" i="26" s="1"/>
  <c r="E75" i="113"/>
  <c r="P9" i="16" s="1"/>
  <c r="AD75" i="113"/>
  <c r="P52" i="16" s="1"/>
  <c r="AX7" i="122" s="1"/>
  <c r="F75" i="113"/>
  <c r="P10" i="16" s="1"/>
  <c r="S75" i="113"/>
  <c r="P24" i="16" s="1"/>
  <c r="AE75" i="113"/>
  <c r="P54" i="16" s="1"/>
  <c r="G75" i="113"/>
  <c r="P12" i="16" s="1"/>
  <c r="C128" i="13" s="1"/>
  <c r="K128" i="13" s="1"/>
  <c r="T75" i="113"/>
  <c r="P26" i="16" s="1"/>
  <c r="AF75" i="113"/>
  <c r="P55" i="16" s="1"/>
  <c r="P56" i="16" s="1"/>
  <c r="CX69" i="113"/>
  <c r="H29" i="26" s="1"/>
  <c r="H3" i="122" s="1"/>
  <c r="V75" i="113"/>
  <c r="P29" i="16" s="1"/>
  <c r="CX68" i="113"/>
  <c r="G29" i="26" s="1"/>
  <c r="G3" i="122" s="1"/>
  <c r="G115" i="122" s="1"/>
  <c r="AD76" i="113"/>
  <c r="E52" i="16" s="1"/>
  <c r="B75" i="113"/>
  <c r="P5" i="16" s="1"/>
  <c r="H75" i="113"/>
  <c r="P21" i="16" s="1"/>
  <c r="M76" i="113"/>
  <c r="E18" i="16" s="1"/>
  <c r="J75" i="113"/>
  <c r="P13" i="16" s="1"/>
  <c r="W75" i="113"/>
  <c r="P30" i="16" s="1"/>
  <c r="T76" i="113"/>
  <c r="E26" i="16" s="1"/>
  <c r="H45" i="122"/>
  <c r="H100" i="122" s="1"/>
  <c r="N75" i="113"/>
  <c r="P19" i="16" s="1"/>
  <c r="G100" i="122"/>
  <c r="K76" i="113"/>
  <c r="E16" i="16" s="1"/>
  <c r="AG75" i="113"/>
  <c r="P57" i="16" s="1"/>
  <c r="C76" i="113"/>
  <c r="E6" i="16" s="1"/>
  <c r="D40" i="19" s="1"/>
  <c r="AB76" i="113"/>
  <c r="E47" i="16" s="1"/>
  <c r="D45" i="122"/>
  <c r="D100" i="122" s="1"/>
  <c r="E45" i="122"/>
  <c r="F45" i="122"/>
  <c r="F100" i="122" s="1"/>
  <c r="G45" i="122"/>
  <c r="AW6" i="122" s="1"/>
  <c r="AW11" i="122"/>
  <c r="AW3" i="122"/>
  <c r="E115" i="122"/>
  <c r="F115" i="122"/>
  <c r="L100" i="122"/>
  <c r="AA75" i="113"/>
  <c r="P46" i="16" s="1"/>
  <c r="I100" i="122"/>
  <c r="B45" i="122"/>
  <c r="O45" i="122" s="1"/>
  <c r="J45" i="122"/>
  <c r="J100" i="122" s="1"/>
  <c r="P45" i="122"/>
  <c r="K100" i="122"/>
  <c r="BD75" i="112"/>
  <c r="CJ76" i="112" s="1"/>
  <c r="CV73" i="114"/>
  <c r="L59" i="26" s="1"/>
  <c r="L4" i="122" s="1"/>
  <c r="L116" i="122" s="1"/>
  <c r="D54" i="26"/>
  <c r="D137" i="26" s="1"/>
  <c r="X8" i="112"/>
  <c r="C66" i="112"/>
  <c r="M64" i="112"/>
  <c r="X14" i="112"/>
  <c r="D68" i="112"/>
  <c r="G72" i="112"/>
  <c r="D70" i="112"/>
  <c r="F63" i="112"/>
  <c r="J67" i="112"/>
  <c r="G74" i="112"/>
  <c r="G73" i="112"/>
  <c r="M73" i="112"/>
  <c r="K73" i="112"/>
  <c r="F74" i="112"/>
  <c r="AC76" i="115"/>
  <c r="G52" i="16" s="1"/>
  <c r="R52" i="16"/>
  <c r="N52" i="16"/>
  <c r="AU7" i="122" s="1"/>
  <c r="CV71" i="115"/>
  <c r="W75" i="115"/>
  <c r="N37" i="16" s="1"/>
  <c r="N34" i="16" s="1"/>
  <c r="X75" i="115"/>
  <c r="E75" i="115"/>
  <c r="W76" i="115"/>
  <c r="G34" i="16" s="1"/>
  <c r="CV74" i="115"/>
  <c r="AT13" i="122" s="1"/>
  <c r="M75" i="113"/>
  <c r="P18" i="16" s="1"/>
  <c r="O75" i="114"/>
  <c r="O20" i="16" s="1"/>
  <c r="O75" i="113"/>
  <c r="P20" i="16" s="1"/>
  <c r="M24" i="26"/>
  <c r="CV74" i="114"/>
  <c r="M59" i="26" s="1"/>
  <c r="M4" i="122" s="1"/>
  <c r="U75" i="113"/>
  <c r="P14" i="16" s="1"/>
  <c r="B74" i="112"/>
  <c r="L69" i="112"/>
  <c r="M36" i="16"/>
  <c r="S36" i="16" s="1"/>
  <c r="H73" i="112"/>
  <c r="C73" i="112"/>
  <c r="L115" i="122"/>
  <c r="M75" i="114"/>
  <c r="O18" i="16" s="1"/>
  <c r="M73" i="122"/>
  <c r="AQ10" i="122" s="1"/>
  <c r="X11" i="112"/>
  <c r="D69" i="112"/>
  <c r="X68" i="112"/>
  <c r="B65" i="112"/>
  <c r="X10" i="112"/>
  <c r="K68" i="112"/>
  <c r="H64" i="112"/>
  <c r="G47" i="122"/>
  <c r="AQ6" i="122" s="1"/>
  <c r="X6" i="112"/>
  <c r="E71" i="112"/>
  <c r="X12" i="112"/>
  <c r="X64" i="112"/>
  <c r="J63" i="112"/>
  <c r="L68" i="112"/>
  <c r="X4" i="112"/>
  <c r="X66" i="112"/>
  <c r="CV67" i="112"/>
  <c r="CV73" i="112"/>
  <c r="X7" i="112"/>
  <c r="C47" i="122"/>
  <c r="X3" i="112"/>
  <c r="CX29" i="112"/>
  <c r="D100" i="26" s="1"/>
  <c r="D139" i="26" s="1"/>
  <c r="X63" i="112"/>
  <c r="CV64" i="112"/>
  <c r="K47" i="122"/>
  <c r="I47" i="122"/>
  <c r="B47" i="122"/>
  <c r="O47" i="122" s="1"/>
  <c r="X65" i="112"/>
  <c r="X9" i="112"/>
  <c r="X13" i="112"/>
  <c r="X67" i="112"/>
  <c r="CV74" i="112"/>
  <c r="X5" i="112"/>
  <c r="D47" i="122"/>
  <c r="L73" i="122"/>
  <c r="L47" i="122"/>
  <c r="CV68" i="112"/>
  <c r="E73" i="122"/>
  <c r="R37" i="16"/>
  <c r="R17" i="16"/>
  <c r="CV72" i="115"/>
  <c r="N7" i="16"/>
  <c r="K115" i="122"/>
  <c r="Y75" i="113"/>
  <c r="P43" i="16" s="1"/>
  <c r="P41" i="16" s="1"/>
  <c r="I75" i="113"/>
  <c r="P15" i="16" s="1"/>
  <c r="D189" i="13" s="1"/>
  <c r="D75" i="114"/>
  <c r="O7" i="16" s="1"/>
  <c r="D32" i="10" s="1"/>
  <c r="E75" i="114"/>
  <c r="O9" i="16" s="1"/>
  <c r="J75" i="114"/>
  <c r="O13" i="16" s="1"/>
  <c r="CV72" i="114"/>
  <c r="K59" i="26" s="1"/>
  <c r="K4" i="122" s="1"/>
  <c r="K116" i="122" s="1"/>
  <c r="K24" i="26"/>
  <c r="D72" i="112"/>
  <c r="G116" i="122"/>
  <c r="K75" i="113"/>
  <c r="P16" i="16" s="1"/>
  <c r="D132" i="10" s="1"/>
  <c r="K75" i="114"/>
  <c r="O16" i="16" s="1"/>
  <c r="CV64" i="114"/>
  <c r="C59" i="26" s="1"/>
  <c r="C4" i="122" s="1"/>
  <c r="C116" i="122" s="1"/>
  <c r="L75" i="113"/>
  <c r="P17" i="16" s="1"/>
  <c r="J54" i="26"/>
  <c r="J137" i="26" s="1"/>
  <c r="X75" i="114"/>
  <c r="O37" i="16" s="1"/>
  <c r="O34" i="16" s="1"/>
  <c r="J101" i="122"/>
  <c r="J116" i="122"/>
  <c r="B72" i="112"/>
  <c r="CV66" i="112"/>
  <c r="D73" i="112"/>
  <c r="H65" i="112"/>
  <c r="C63" i="112"/>
  <c r="D63" i="112"/>
  <c r="F64" i="112"/>
  <c r="G65" i="112"/>
  <c r="H66" i="112"/>
  <c r="L72" i="112"/>
  <c r="F47" i="122"/>
  <c r="I73" i="112"/>
  <c r="E73" i="112"/>
  <c r="J66" i="112"/>
  <c r="C64" i="112"/>
  <c r="D64" i="112"/>
  <c r="E64" i="112"/>
  <c r="F65" i="112"/>
  <c r="I68" i="112"/>
  <c r="G73" i="122"/>
  <c r="I65" i="112"/>
  <c r="G64" i="112"/>
  <c r="B64" i="112"/>
  <c r="CV72" i="112"/>
  <c r="B68" i="112"/>
  <c r="H74" i="112"/>
  <c r="L74" i="112"/>
  <c r="G68" i="112"/>
  <c r="M63" i="112"/>
  <c r="E47" i="122"/>
  <c r="K73" i="122"/>
  <c r="M47" i="122"/>
  <c r="F73" i="112"/>
  <c r="C72" i="112"/>
  <c r="AE76" i="112"/>
  <c r="C54" i="16" s="1"/>
  <c r="I54" i="16" s="1"/>
  <c r="I66" i="112"/>
  <c r="CZ63" i="112"/>
  <c r="E65" i="112"/>
  <c r="H68" i="112"/>
  <c r="K74" i="112"/>
  <c r="M74" i="112"/>
  <c r="C67" i="112"/>
  <c r="D67" i="112"/>
  <c r="E67" i="112"/>
  <c r="F68" i="112"/>
  <c r="H71" i="112"/>
  <c r="I70" i="112"/>
  <c r="F71" i="112"/>
  <c r="M70" i="112"/>
  <c r="E70" i="112"/>
  <c r="F70" i="112"/>
  <c r="I69" i="112"/>
  <c r="C69" i="112"/>
  <c r="P35" i="122"/>
  <c r="Q35" i="122" s="1"/>
  <c r="R35" i="122" s="1"/>
  <c r="S35" i="122" s="1"/>
  <c r="M69" i="112"/>
  <c r="CV69" i="112"/>
  <c r="CV71" i="112"/>
  <c r="K71" i="112"/>
  <c r="L71" i="112"/>
  <c r="M71" i="112"/>
  <c r="CX35" i="112"/>
  <c r="J100" i="26" s="1"/>
  <c r="J118" i="26" s="1"/>
  <c r="J156" i="26" s="1"/>
  <c r="I71" i="112"/>
  <c r="G71" i="112"/>
  <c r="J47" i="122"/>
  <c r="J73" i="122"/>
  <c r="AD86" i="26"/>
  <c r="AD87" i="26"/>
  <c r="AD91" i="26"/>
  <c r="AD85" i="26"/>
  <c r="AD89" i="26"/>
  <c r="R6" i="16"/>
  <c r="F41" i="19" s="1"/>
  <c r="F42" i="19" s="1"/>
  <c r="N6" i="16"/>
  <c r="C76" i="115"/>
  <c r="G6" i="16" s="1"/>
  <c r="F40" i="19" s="1"/>
  <c r="AD75" i="115"/>
  <c r="R54" i="16" s="1"/>
  <c r="R61" i="16" s="1"/>
  <c r="G56" i="16"/>
  <c r="G58" i="16" s="1"/>
  <c r="G63" i="16" s="1"/>
  <c r="N58" i="16"/>
  <c r="N63" i="16" s="1"/>
  <c r="CV70" i="115"/>
  <c r="N21" i="16"/>
  <c r="R21" i="16"/>
  <c r="D78" i="10" s="1"/>
  <c r="N14" i="16"/>
  <c r="K75" i="115"/>
  <c r="K22" i="10"/>
  <c r="K90" i="10"/>
  <c r="BD76" i="114"/>
  <c r="I116" i="122"/>
  <c r="I101" i="122"/>
  <c r="V72" i="122"/>
  <c r="W72" i="122" s="1"/>
  <c r="X72" i="122" s="1"/>
  <c r="Y72" i="122" s="1"/>
  <c r="Z72" i="122" s="1"/>
  <c r="X75" i="113"/>
  <c r="P37" i="16" s="1"/>
  <c r="P34" i="16" s="1"/>
  <c r="D75" i="113"/>
  <c r="P7" i="16" s="1"/>
  <c r="CV65" i="112"/>
  <c r="AF75" i="26"/>
  <c r="AG75" i="26" s="1"/>
  <c r="AN75" i="26" s="1"/>
  <c r="K70" i="112"/>
  <c r="C70" i="112"/>
  <c r="D166" i="117"/>
  <c r="B166" i="117"/>
  <c r="CV70" i="112"/>
  <c r="L70" i="112"/>
  <c r="AA75" i="112"/>
  <c r="M46" i="16" s="1"/>
  <c r="I73" i="122"/>
  <c r="I102" i="122" s="1"/>
  <c r="N152" i="117"/>
  <c r="F161" i="117"/>
  <c r="BX67" i="112" s="1"/>
  <c r="K67" i="112" s="1"/>
  <c r="N168" i="117"/>
  <c r="E161" i="117"/>
  <c r="BX66" i="112" s="1"/>
  <c r="K66" i="112" s="1"/>
  <c r="H161" i="117"/>
  <c r="BX69" i="112" s="1"/>
  <c r="K69" i="112" s="1"/>
  <c r="BO63" i="112"/>
  <c r="B63" i="112" s="1"/>
  <c r="J166" i="117"/>
  <c r="CD69" i="112"/>
  <c r="Q69" i="112" s="1"/>
  <c r="Q76" i="112" s="1"/>
  <c r="K166" i="117"/>
  <c r="L166" i="117"/>
  <c r="M166" i="117"/>
  <c r="BY67" i="112"/>
  <c r="N164" i="117"/>
  <c r="BW73" i="112"/>
  <c r="J73" i="112" s="1"/>
  <c r="C166" i="117"/>
  <c r="BY65" i="112"/>
  <c r="L65" i="112" s="1"/>
  <c r="E166" i="117"/>
  <c r="BZ72" i="112"/>
  <c r="M72" i="112" s="1"/>
  <c r="I166" i="117"/>
  <c r="Q166" i="117" s="1"/>
  <c r="BW71" i="112"/>
  <c r="J71" i="112" s="1"/>
  <c r="E68" i="112"/>
  <c r="BW74" i="112"/>
  <c r="J74" i="112" s="1"/>
  <c r="J70" i="112"/>
  <c r="H37" i="16"/>
  <c r="S35" i="16"/>
  <c r="M15" i="10"/>
  <c r="M90" i="10"/>
  <c r="G28" i="16"/>
  <c r="R28" i="16"/>
  <c r="T35" i="16"/>
  <c r="AF65" i="16"/>
  <c r="G45" i="16"/>
  <c r="K37" i="16"/>
  <c r="Z51" i="16"/>
  <c r="Z53" i="16"/>
  <c r="AA53" i="16"/>
  <c r="AA23" i="16"/>
  <c r="AB23" i="16" s="1"/>
  <c r="Z49" i="16"/>
  <c r="D102" i="10"/>
  <c r="T36" i="16"/>
  <c r="M22" i="10"/>
  <c r="W42" i="10"/>
  <c r="W53" i="10"/>
  <c r="F32" i="21"/>
  <c r="C32" i="21"/>
  <c r="W31" i="10"/>
  <c r="C30" i="21"/>
  <c r="AE72" i="26"/>
  <c r="O34" i="118"/>
  <c r="P34" i="118" s="1"/>
  <c r="P75" i="112"/>
  <c r="M25" i="16" s="1"/>
  <c r="P76" i="112"/>
  <c r="T76" i="112"/>
  <c r="C26" i="16" s="1"/>
  <c r="C28" i="16" s="1"/>
  <c r="R57" i="16"/>
  <c r="AC23" i="16"/>
  <c r="Z50" i="16"/>
  <c r="AA50" i="16"/>
  <c r="Y49" i="16"/>
  <c r="Y51" i="16"/>
  <c r="Y23" i="16"/>
  <c r="F73" i="122"/>
  <c r="F102" i="122" s="1"/>
  <c r="C73" i="122"/>
  <c r="B73" i="122"/>
  <c r="O73" i="122" s="1"/>
  <c r="O75" i="122" s="1"/>
  <c r="D73" i="122"/>
  <c r="L63" i="112"/>
  <c r="L66" i="112"/>
  <c r="S75" i="112"/>
  <c r="M24" i="16" s="1"/>
  <c r="S76" i="112"/>
  <c r="C24" i="16" s="1"/>
  <c r="P24" i="21" s="1"/>
  <c r="Q24" i="21" s="1"/>
  <c r="G101" i="122"/>
  <c r="AH75" i="114"/>
  <c r="O59" i="16" s="1"/>
  <c r="BA11" i="122" s="1"/>
  <c r="U75" i="112"/>
  <c r="M14" i="16" s="1"/>
  <c r="Q53" i="26"/>
  <c r="CV32" i="114"/>
  <c r="G56" i="26" s="1"/>
  <c r="G139" i="26" s="1"/>
  <c r="D45" i="16"/>
  <c r="CX33" i="112"/>
  <c r="H100" i="26" s="1"/>
  <c r="H120" i="26" s="1"/>
  <c r="CX27" i="112"/>
  <c r="B100" i="26" s="1"/>
  <c r="O100" i="26" s="1"/>
  <c r="CX30" i="112"/>
  <c r="E100" i="26" s="1"/>
  <c r="E118" i="26" s="1"/>
  <c r="E156" i="26" s="1"/>
  <c r="D76" i="113"/>
  <c r="E7" i="16" s="1"/>
  <c r="D26" i="19" s="1"/>
  <c r="L76" i="113"/>
  <c r="E17" i="16" s="1"/>
  <c r="U76" i="113"/>
  <c r="E14" i="16" s="1"/>
  <c r="AC76" i="113"/>
  <c r="E48" i="16" s="1"/>
  <c r="G23" i="26"/>
  <c r="V76" i="113"/>
  <c r="E29" i="16" s="1"/>
  <c r="CX37" i="113"/>
  <c r="L26" i="26" s="1"/>
  <c r="F76" i="113"/>
  <c r="E10" i="16" s="1"/>
  <c r="N76" i="113"/>
  <c r="E19" i="16" s="1"/>
  <c r="W76" i="113"/>
  <c r="E30" i="16" s="1"/>
  <c r="E32" i="16" s="1"/>
  <c r="AE76" i="113"/>
  <c r="E54" i="16" s="1"/>
  <c r="CX28" i="113"/>
  <c r="C26" i="26" s="1"/>
  <c r="P26" i="26" s="1"/>
  <c r="Q26" i="26" s="1"/>
  <c r="R26" i="26" s="1"/>
  <c r="S26" i="26" s="1"/>
  <c r="T26" i="26" s="1"/>
  <c r="U26" i="26" s="1"/>
  <c r="V26" i="26" s="1"/>
  <c r="W26" i="26" s="1"/>
  <c r="X26" i="26" s="1"/>
  <c r="Y26" i="26" s="1"/>
  <c r="Z26" i="26" s="1"/>
  <c r="G76" i="113"/>
  <c r="E12" i="16" s="1"/>
  <c r="O76" i="113"/>
  <c r="E20" i="16" s="1"/>
  <c r="X76" i="113"/>
  <c r="E34" i="16" s="1"/>
  <c r="AF76" i="113"/>
  <c r="E55" i="16" s="1"/>
  <c r="E76" i="113"/>
  <c r="E9" i="16" s="1"/>
  <c r="H76" i="113"/>
  <c r="E21" i="16" s="1"/>
  <c r="P76" i="113"/>
  <c r="Y76" i="113"/>
  <c r="E41" i="16" s="1"/>
  <c r="AG76" i="113"/>
  <c r="E57" i="16" s="1"/>
  <c r="I76" i="113"/>
  <c r="E15" i="16" s="1"/>
  <c r="Q76" i="113"/>
  <c r="E27" i="16" s="1"/>
  <c r="E28" i="16" s="1"/>
  <c r="Z76" i="113"/>
  <c r="E44" i="16" s="1"/>
  <c r="AH76" i="113"/>
  <c r="E59" i="16" s="1"/>
  <c r="B76" i="113"/>
  <c r="E5" i="16" s="1"/>
  <c r="D33" i="19" s="1"/>
  <c r="J76" i="113"/>
  <c r="E13" i="16" s="1"/>
  <c r="S76" i="113"/>
  <c r="E24" i="16" s="1"/>
  <c r="AA76" i="113"/>
  <c r="E46" i="16" s="1"/>
  <c r="CX71" i="113"/>
  <c r="J29" i="26" s="1"/>
  <c r="J3" i="122" s="1"/>
  <c r="CX70" i="113"/>
  <c r="I29" i="26" s="1"/>
  <c r="I3" i="122" s="1"/>
  <c r="D54" i="10"/>
  <c r="C34" i="19"/>
  <c r="C35" i="19" s="1"/>
  <c r="O54" i="26"/>
  <c r="B137" i="26"/>
  <c r="P34" i="122"/>
  <c r="Q34" i="122" s="1"/>
  <c r="R34" i="122" s="1"/>
  <c r="S34" i="122" s="1"/>
  <c r="T34" i="122" s="1"/>
  <c r="U34" i="122" s="1"/>
  <c r="V34" i="122" s="1"/>
  <c r="W34" i="122" s="1"/>
  <c r="X34" i="122" s="1"/>
  <c r="Y34" i="122" s="1"/>
  <c r="Z34" i="122" s="1"/>
  <c r="D28" i="16"/>
  <c r="D43" i="10"/>
  <c r="C41" i="19"/>
  <c r="C42" i="19" s="1"/>
  <c r="D39" i="16"/>
  <c r="O45" i="16"/>
  <c r="BA6" i="122" s="1"/>
  <c r="D56" i="16"/>
  <c r="D58" i="16" s="1"/>
  <c r="P86" i="122"/>
  <c r="Q86" i="122" s="1"/>
  <c r="R86" i="122" s="1"/>
  <c r="S86" i="122" s="1"/>
  <c r="T86" i="122" s="1"/>
  <c r="U86" i="122" s="1"/>
  <c r="V86" i="122" s="1"/>
  <c r="W86" i="122" s="1"/>
  <c r="X86" i="122" s="1"/>
  <c r="Y86" i="122" s="1"/>
  <c r="Z86" i="122" s="1"/>
  <c r="D122" i="10"/>
  <c r="CV31" i="114"/>
  <c r="F56" i="26" s="1"/>
  <c r="CV38" i="114"/>
  <c r="M56" i="26" s="1"/>
  <c r="CV63" i="114"/>
  <c r="B59" i="26" s="1"/>
  <c r="AD75" i="114"/>
  <c r="O52" i="16" s="1"/>
  <c r="BA7" i="122" s="1"/>
  <c r="C101" i="122"/>
  <c r="E53" i="26"/>
  <c r="CV33" i="114"/>
  <c r="H56" i="26" s="1"/>
  <c r="AE75" i="114"/>
  <c r="O54" i="16" s="1"/>
  <c r="O56" i="16" s="1"/>
  <c r="B20" i="122"/>
  <c r="O20" i="122" s="1"/>
  <c r="O23" i="122" s="1"/>
  <c r="CV27" i="114"/>
  <c r="B56" i="26" s="1"/>
  <c r="O56" i="26" s="1"/>
  <c r="P56" i="26" s="1"/>
  <c r="Q56" i="26" s="1"/>
  <c r="R56" i="26" s="1"/>
  <c r="S56" i="26" s="1"/>
  <c r="T56" i="26" s="1"/>
  <c r="U56" i="26" s="1"/>
  <c r="V56" i="26" s="1"/>
  <c r="W56" i="26" s="1"/>
  <c r="CV35" i="114"/>
  <c r="J56" i="26" s="1"/>
  <c r="CV28" i="114"/>
  <c r="C56" i="26" s="1"/>
  <c r="CV36" i="114"/>
  <c r="K56" i="26" s="1"/>
  <c r="U75" i="114"/>
  <c r="O14" i="16" s="1"/>
  <c r="O29" i="26"/>
  <c r="B3" i="122"/>
  <c r="O3" i="122" s="1"/>
  <c r="P33" i="122"/>
  <c r="Q33" i="122" s="1"/>
  <c r="R33" i="122" s="1"/>
  <c r="S33" i="122" s="1"/>
  <c r="T33" i="122" s="1"/>
  <c r="U33" i="122" s="1"/>
  <c r="V33" i="122" s="1"/>
  <c r="W33" i="122" s="1"/>
  <c r="X33" i="122" s="1"/>
  <c r="Y33" i="122" s="1"/>
  <c r="Z33" i="122" s="1"/>
  <c r="C100" i="122"/>
  <c r="O85" i="122"/>
  <c r="P85" i="122" s="1"/>
  <c r="Q85" i="122" s="1"/>
  <c r="R85" i="122" s="1"/>
  <c r="S85" i="122" s="1"/>
  <c r="T85" i="122" s="1"/>
  <c r="U85" i="122" s="1"/>
  <c r="V85" i="122" s="1"/>
  <c r="W85" i="122" s="1"/>
  <c r="X85" i="122" s="1"/>
  <c r="Y85" i="122" s="1"/>
  <c r="Z85" i="122" s="1"/>
  <c r="D128" i="13"/>
  <c r="AC156" i="26"/>
  <c r="AD154" i="26" s="1"/>
  <c r="P68" i="16"/>
  <c r="U25" i="16"/>
  <c r="K175" i="10" s="1"/>
  <c r="B57" i="122"/>
  <c r="O57" i="122" s="1"/>
  <c r="P57" i="122" s="1"/>
  <c r="Q57" i="122" s="1"/>
  <c r="R57" i="122" s="1"/>
  <c r="S57" i="122" s="1"/>
  <c r="T57" i="122" s="1"/>
  <c r="U57" i="122" s="1"/>
  <c r="V57" i="122" s="1"/>
  <c r="W57" i="122" s="1"/>
  <c r="X57" i="122" s="1"/>
  <c r="Y57" i="122" s="1"/>
  <c r="Z57" i="122" s="1"/>
  <c r="CX31" i="113"/>
  <c r="F26" i="26" s="1"/>
  <c r="F120" i="26" s="1"/>
  <c r="D29" i="26"/>
  <c r="D3" i="122" s="1"/>
  <c r="B19" i="122"/>
  <c r="O19" i="122" s="1"/>
  <c r="O22" i="122" s="1"/>
  <c r="B71" i="122"/>
  <c r="O71" i="122" s="1"/>
  <c r="I23" i="26"/>
  <c r="I117" i="26" s="1"/>
  <c r="AH75" i="113"/>
  <c r="P59" i="16" s="1"/>
  <c r="B23" i="26"/>
  <c r="O23" i="26" s="1"/>
  <c r="P23" i="26" s="1"/>
  <c r="Q23" i="26" s="1"/>
  <c r="J23" i="26"/>
  <c r="J117" i="26" s="1"/>
  <c r="Z75" i="113"/>
  <c r="P44" i="16" s="1"/>
  <c r="C29" i="26"/>
  <c r="C3" i="122" s="1"/>
  <c r="B24" i="26"/>
  <c r="E23" i="26"/>
  <c r="E117" i="26" s="1"/>
  <c r="M23" i="26"/>
  <c r="M117" i="26" s="1"/>
  <c r="I136" i="26"/>
  <c r="L136" i="26"/>
  <c r="L117" i="26"/>
  <c r="C118" i="26"/>
  <c r="C156" i="26" s="1"/>
  <c r="C139" i="26"/>
  <c r="F139" i="26"/>
  <c r="F118" i="26"/>
  <c r="F156" i="26" s="1"/>
  <c r="P59" i="122"/>
  <c r="Q59" i="122" s="1"/>
  <c r="K136" i="26"/>
  <c r="K117" i="26"/>
  <c r="AQ5" i="122"/>
  <c r="J136" i="26"/>
  <c r="M136" i="26"/>
  <c r="D136" i="26"/>
  <c r="D117" i="26"/>
  <c r="G120" i="26"/>
  <c r="G118" i="26"/>
  <c r="O36" i="122"/>
  <c r="O37" i="122"/>
  <c r="O87" i="122"/>
  <c r="P87" i="122" s="1"/>
  <c r="Q87" i="122" s="1"/>
  <c r="B136" i="26"/>
  <c r="O99" i="26"/>
  <c r="E136" i="26"/>
  <c r="O61" i="122"/>
  <c r="O48" i="122"/>
  <c r="P21" i="122"/>
  <c r="H136" i="26"/>
  <c r="H117" i="26"/>
  <c r="F99" i="26"/>
  <c r="CX34" i="112"/>
  <c r="I100" i="26" s="1"/>
  <c r="I64" i="112"/>
  <c r="T75" i="112"/>
  <c r="M26" i="16" s="1"/>
  <c r="T26" i="16" s="1"/>
  <c r="BP92" i="16" s="1"/>
  <c r="AB75" i="112"/>
  <c r="M47" i="16" s="1"/>
  <c r="X47" i="16" s="1"/>
  <c r="G99" i="26"/>
  <c r="CX36" i="112"/>
  <c r="K100" i="26" s="1"/>
  <c r="U76" i="112"/>
  <c r="C14" i="16" s="1"/>
  <c r="AC76" i="112"/>
  <c r="C48" i="16" s="1"/>
  <c r="CX37" i="112"/>
  <c r="L100" i="26" s="1"/>
  <c r="I63" i="112"/>
  <c r="I67" i="112"/>
  <c r="V76" i="112"/>
  <c r="C29" i="16" s="1"/>
  <c r="I29" i="16" s="1"/>
  <c r="AD76" i="112"/>
  <c r="C52" i="16" s="1"/>
  <c r="CV63" i="112"/>
  <c r="W76" i="112"/>
  <c r="C30" i="16" s="1"/>
  <c r="P35" i="21" s="1"/>
  <c r="Q35" i="21" s="1"/>
  <c r="F35" i="21" s="1"/>
  <c r="H73" i="122"/>
  <c r="C99" i="26"/>
  <c r="CX38" i="112"/>
  <c r="M100" i="26" s="1"/>
  <c r="Y75" i="112"/>
  <c r="M43" i="16" s="1"/>
  <c r="M41" i="16" s="1"/>
  <c r="AG75" i="112"/>
  <c r="M57" i="16" s="1"/>
  <c r="S57" i="16" s="1"/>
  <c r="I72" i="112"/>
  <c r="AF75" i="112"/>
  <c r="M55" i="16" s="1"/>
  <c r="U55" i="16" s="1"/>
  <c r="Z75" i="112"/>
  <c r="M44" i="16" s="1"/>
  <c r="AR5" i="122" s="1"/>
  <c r="AH75" i="112"/>
  <c r="M59" i="16" s="1"/>
  <c r="I74" i="112"/>
  <c r="N162" i="117"/>
  <c r="N153" i="117"/>
  <c r="CU70" i="112"/>
  <c r="CX70" i="112" s="1"/>
  <c r="I104" i="26" s="1"/>
  <c r="CW70" i="112"/>
  <c r="N158" i="117"/>
  <c r="F72" i="112"/>
  <c r="B66" i="112"/>
  <c r="CU68" i="112"/>
  <c r="CX68" i="112" s="1"/>
  <c r="G104" i="26" s="1"/>
  <c r="G142" i="26" s="1"/>
  <c r="B73" i="112"/>
  <c r="CW64" i="112"/>
  <c r="G166" i="117"/>
  <c r="G63" i="112"/>
  <c r="CU64" i="112"/>
  <c r="CX64" i="112" s="1"/>
  <c r="C104" i="26" s="1"/>
  <c r="B67" i="112"/>
  <c r="BS69" i="112"/>
  <c r="F69" i="112" s="1"/>
  <c r="N156" i="117"/>
  <c r="BR69" i="112"/>
  <c r="BR75" i="112" s="1"/>
  <c r="BR76" i="112" s="1"/>
  <c r="N155" i="117"/>
  <c r="N157" i="117"/>
  <c r="BT69" i="112"/>
  <c r="G69" i="112" s="1"/>
  <c r="N159" i="117"/>
  <c r="BU69" i="112"/>
  <c r="H69" i="112" s="1"/>
  <c r="O68" i="112"/>
  <c r="CW68" i="112"/>
  <c r="N149" i="117"/>
  <c r="N165" i="117"/>
  <c r="N154" i="117"/>
  <c r="BO69" i="112"/>
  <c r="B69" i="112" s="1"/>
  <c r="N161" i="117"/>
  <c r="N163" i="117"/>
  <c r="CB69" i="112"/>
  <c r="O69" i="112" s="1"/>
  <c r="CA69" i="112"/>
  <c r="N69" i="112" s="1"/>
  <c r="N75" i="112" s="1"/>
  <c r="M19" i="16" s="1"/>
  <c r="H166" i="117"/>
  <c r="P165" i="117" s="1"/>
  <c r="BW69" i="112"/>
  <c r="BW75" i="112" s="1"/>
  <c r="BW76" i="112" s="1"/>
  <c r="N160" i="117"/>
  <c r="CV69" i="114"/>
  <c r="H59" i="26" s="1"/>
  <c r="H137" i="26"/>
  <c r="AC75" i="112"/>
  <c r="M48" i="16" s="1"/>
  <c r="X48" i="16" s="1"/>
  <c r="AD75" i="112"/>
  <c r="M52" i="16" s="1"/>
  <c r="AF76" i="112"/>
  <c r="C55" i="16" s="1"/>
  <c r="H21" i="122"/>
  <c r="AE75" i="112"/>
  <c r="M54" i="16" s="1"/>
  <c r="Y76" i="112"/>
  <c r="C41" i="16" s="1"/>
  <c r="AG76" i="112"/>
  <c r="C57" i="16" s="1"/>
  <c r="H35" i="122"/>
  <c r="H47" i="122"/>
  <c r="H59" i="122"/>
  <c r="H87" i="122"/>
  <c r="Z76" i="112"/>
  <c r="C44" i="16" s="1"/>
  <c r="AH76" i="112"/>
  <c r="C59" i="16" s="1"/>
  <c r="AA76" i="112"/>
  <c r="C46" i="16" s="1"/>
  <c r="AB76" i="112"/>
  <c r="C47" i="16" s="1"/>
  <c r="V75" i="112"/>
  <c r="M29" i="16" s="1"/>
  <c r="W75" i="112"/>
  <c r="M30" i="16" s="1"/>
  <c r="O58" i="16" l="1"/>
  <c r="G156" i="26"/>
  <c r="X56" i="26"/>
  <c r="Y56" i="26" s="1"/>
  <c r="Z56" i="26" s="1"/>
  <c r="O67" i="16"/>
  <c r="P46" i="122"/>
  <c r="Q46" i="122" s="1"/>
  <c r="R46" i="122" s="1"/>
  <c r="S46" i="122" s="1"/>
  <c r="T46" i="122" s="1"/>
  <c r="U46" i="122" s="1"/>
  <c r="V46" i="122" s="1"/>
  <c r="W46" i="122" s="1"/>
  <c r="X46" i="122" s="1"/>
  <c r="Y46" i="122" s="1"/>
  <c r="Z46" i="122" s="1"/>
  <c r="O41" i="16"/>
  <c r="BU75" i="112"/>
  <c r="BU76" i="112" s="1"/>
  <c r="CB75" i="112"/>
  <c r="CB76" i="112" s="1"/>
  <c r="BZ75" i="112"/>
  <c r="BZ76" i="112" s="1"/>
  <c r="BT75" i="112"/>
  <c r="BT76" i="112" s="1"/>
  <c r="BU78" i="112" s="1"/>
  <c r="BX75" i="112"/>
  <c r="BX76" i="112" s="1"/>
  <c r="BY75" i="112"/>
  <c r="BY76" i="112" s="1"/>
  <c r="CA75" i="112"/>
  <c r="CA76" i="112" s="1"/>
  <c r="BS75" i="112"/>
  <c r="BS76" i="112" s="1"/>
  <c r="B120" i="26"/>
  <c r="P45" i="16"/>
  <c r="M115" i="122"/>
  <c r="AW13" i="122" s="1"/>
  <c r="AX4" i="122"/>
  <c r="D177" i="13"/>
  <c r="B189" i="13"/>
  <c r="S25" i="16"/>
  <c r="M68" i="16"/>
  <c r="S68" i="16" s="1"/>
  <c r="C189" i="13"/>
  <c r="K189" i="13" s="1"/>
  <c r="D41" i="19"/>
  <c r="D42" i="19" s="1"/>
  <c r="D121" i="10"/>
  <c r="E45" i="16"/>
  <c r="B128" i="13"/>
  <c r="U29" i="16"/>
  <c r="J48" i="16"/>
  <c r="J14" i="16"/>
  <c r="D110" i="10"/>
  <c r="D113" i="10" s="1"/>
  <c r="O60" i="122"/>
  <c r="C201" i="13"/>
  <c r="K201" i="13" s="1"/>
  <c r="H115" i="122"/>
  <c r="D201" i="13"/>
  <c r="C120" i="26"/>
  <c r="C158" i="26" s="1"/>
  <c r="B201" i="13"/>
  <c r="D64" i="10"/>
  <c r="D68" i="10" s="1"/>
  <c r="Q45" i="122"/>
  <c r="R45" i="122" s="1"/>
  <c r="S45" i="122" s="1"/>
  <c r="T45" i="122" s="1"/>
  <c r="U45" i="122" s="1"/>
  <c r="V45" i="122" s="1"/>
  <c r="W45" i="122" s="1"/>
  <c r="X45" i="122" s="1"/>
  <c r="Y45" i="122" s="1"/>
  <c r="Z45" i="122" s="1"/>
  <c r="B117" i="26"/>
  <c r="B155" i="26" s="1"/>
  <c r="J52" i="16"/>
  <c r="B177" i="13"/>
  <c r="D34" i="19"/>
  <c r="D35" i="19" s="1"/>
  <c r="S46" i="16"/>
  <c r="D76" i="10"/>
  <c r="D79" i="10" s="1"/>
  <c r="C177" i="13"/>
  <c r="K177" i="13" s="1"/>
  <c r="D53" i="10"/>
  <c r="P3" i="122"/>
  <c r="Q3" i="122" s="1"/>
  <c r="R3" i="122" s="1"/>
  <c r="S3" i="122" s="1"/>
  <c r="T3" i="122" s="1"/>
  <c r="U3" i="122" s="1"/>
  <c r="V3" i="122" s="1"/>
  <c r="W3" i="122" s="1"/>
  <c r="X3" i="122" s="1"/>
  <c r="Y3" i="122" s="1"/>
  <c r="Z3" i="122" s="1"/>
  <c r="P47" i="122"/>
  <c r="M116" i="122"/>
  <c r="AZ13" i="122" s="1"/>
  <c r="AZ3" i="122"/>
  <c r="G102" i="122"/>
  <c r="N43" i="16"/>
  <c r="R43" i="16"/>
  <c r="R9" i="16"/>
  <c r="N9" i="16"/>
  <c r="C27" i="19"/>
  <c r="C28" i="19" s="1"/>
  <c r="U14" i="16"/>
  <c r="M102" i="122"/>
  <c r="AQ12" i="122" s="1"/>
  <c r="Q75" i="112"/>
  <c r="M27" i="16" s="1"/>
  <c r="X27" i="16" s="1"/>
  <c r="P34" i="21" s="1"/>
  <c r="Q34" i="21" s="1"/>
  <c r="F34" i="21" s="1"/>
  <c r="CU63" i="112"/>
  <c r="CX63" i="112" s="1"/>
  <c r="B104" i="26" s="1"/>
  <c r="B5" i="122" s="1"/>
  <c r="O5" i="122" s="1"/>
  <c r="D102" i="122"/>
  <c r="E102" i="122"/>
  <c r="U59" i="16"/>
  <c r="D118" i="26"/>
  <c r="D156" i="26" s="1"/>
  <c r="D120" i="26"/>
  <c r="L102" i="122"/>
  <c r="CW65" i="112"/>
  <c r="CU65" i="112"/>
  <c r="CX65" i="112" s="1"/>
  <c r="D104" i="26" s="1"/>
  <c r="D5" i="122" s="1"/>
  <c r="D75" i="112"/>
  <c r="M7" i="16" s="1"/>
  <c r="B27" i="19" s="1"/>
  <c r="CU74" i="112"/>
  <c r="CX74" i="112" s="1"/>
  <c r="M104" i="26" s="1"/>
  <c r="M123" i="26" s="1"/>
  <c r="C102" i="122"/>
  <c r="CW63" i="112"/>
  <c r="D76" i="112"/>
  <c r="C7" i="16" s="1"/>
  <c r="H7" i="16" s="1"/>
  <c r="CJ80" i="112"/>
  <c r="CU66" i="112"/>
  <c r="CX66" i="112" s="1"/>
  <c r="E104" i="26" s="1"/>
  <c r="E142" i="26" s="1"/>
  <c r="B102" i="122"/>
  <c r="O102" i="122" s="1"/>
  <c r="O74" i="122"/>
  <c r="K102" i="122"/>
  <c r="O28" i="16"/>
  <c r="O32" i="16" s="1"/>
  <c r="P28" i="16"/>
  <c r="P32" i="16" s="1"/>
  <c r="P39" i="16" s="1"/>
  <c r="AX3" i="122" s="1"/>
  <c r="D31" i="10"/>
  <c r="H54" i="16"/>
  <c r="K54" i="16" s="1"/>
  <c r="J54" i="16"/>
  <c r="D137" i="10"/>
  <c r="P67" i="16"/>
  <c r="J115" i="122"/>
  <c r="CU73" i="112"/>
  <c r="CX73" i="112" s="1"/>
  <c r="L104" i="26" s="1"/>
  <c r="L123" i="26" s="1"/>
  <c r="C76" i="112"/>
  <c r="C6" i="16" s="1"/>
  <c r="J6" i="16" s="1"/>
  <c r="J40" i="19" s="1"/>
  <c r="CW73" i="112"/>
  <c r="P36" i="122"/>
  <c r="E120" i="26"/>
  <c r="E139" i="26"/>
  <c r="H139" i="26"/>
  <c r="H158" i="26" s="1"/>
  <c r="H118" i="26"/>
  <c r="H156" i="26" s="1"/>
  <c r="M155" i="26"/>
  <c r="C75" i="112"/>
  <c r="M6" i="16" s="1"/>
  <c r="U6" i="16" s="1"/>
  <c r="J41" i="19" s="1"/>
  <c r="P73" i="122"/>
  <c r="Q73" i="122" s="1"/>
  <c r="R73" i="122" s="1"/>
  <c r="J120" i="26"/>
  <c r="P37" i="122"/>
  <c r="L155" i="26"/>
  <c r="J102" i="122"/>
  <c r="M75" i="112"/>
  <c r="M18" i="16" s="1"/>
  <c r="T18" i="16" s="1"/>
  <c r="BP88" i="16" s="1"/>
  <c r="J139" i="26"/>
  <c r="U46" i="16"/>
  <c r="T46" i="16"/>
  <c r="AK212" i="26" s="1"/>
  <c r="X46" i="16"/>
  <c r="Z46" i="16" s="1"/>
  <c r="T47" i="16"/>
  <c r="AL212" i="26" s="1"/>
  <c r="U47" i="16"/>
  <c r="P33" i="21"/>
  <c r="Q33" i="21" s="1"/>
  <c r="F33" i="21" s="1"/>
  <c r="T14" i="16"/>
  <c r="BP83" i="16" s="1"/>
  <c r="H24" i="16"/>
  <c r="I115" i="122"/>
  <c r="K76" i="112"/>
  <c r="C16" i="16" s="1"/>
  <c r="H16" i="16" s="1"/>
  <c r="AU10" i="122"/>
  <c r="R56" i="16"/>
  <c r="R58" i="16" s="1"/>
  <c r="R63" i="16" s="1"/>
  <c r="R16" i="16"/>
  <c r="D134" i="10" s="1"/>
  <c r="D135" i="10" s="1"/>
  <c r="N16" i="16"/>
  <c r="D27" i="19"/>
  <c r="D28" i="19" s="1"/>
  <c r="U24" i="16"/>
  <c r="X24" i="16"/>
  <c r="Y24" i="16" s="1"/>
  <c r="P31" i="21"/>
  <c r="Q31" i="21" s="1"/>
  <c r="F31" i="21" s="1"/>
  <c r="S24" i="16"/>
  <c r="BN91" i="16" s="1"/>
  <c r="T24" i="16"/>
  <c r="BP91" i="16" s="1"/>
  <c r="AF72" i="26"/>
  <c r="AH75" i="26"/>
  <c r="AO75" i="26" s="1"/>
  <c r="CW72" i="112"/>
  <c r="K75" i="112"/>
  <c r="M76" i="112"/>
  <c r="C18" i="16" s="1"/>
  <c r="J18" i="16" s="1"/>
  <c r="CU67" i="112"/>
  <c r="CX67" i="112" s="1"/>
  <c r="F104" i="26" s="1"/>
  <c r="F142" i="26" s="1"/>
  <c r="CW74" i="112"/>
  <c r="L67" i="112"/>
  <c r="L75" i="112" s="1"/>
  <c r="CU72" i="112"/>
  <c r="CX72" i="112" s="1"/>
  <c r="K104" i="26" s="1"/>
  <c r="S47" i="16"/>
  <c r="AR11" i="122"/>
  <c r="X14" i="16"/>
  <c r="L157" i="10" s="1"/>
  <c r="S14" i="16"/>
  <c r="BN83" i="16" s="1"/>
  <c r="CU71" i="112"/>
  <c r="CW71" i="112"/>
  <c r="CW67" i="112"/>
  <c r="CW66" i="112"/>
  <c r="F166" i="117"/>
  <c r="I75" i="112"/>
  <c r="M15" i="16" s="1"/>
  <c r="I76" i="112"/>
  <c r="C15" i="16" s="1"/>
  <c r="J15" i="16" s="1"/>
  <c r="M66" i="10" s="1"/>
  <c r="E39" i="16"/>
  <c r="X29" i="16"/>
  <c r="Z29" i="16" s="1"/>
  <c r="E56" i="16"/>
  <c r="E58" i="16" s="1"/>
  <c r="AX5" i="122"/>
  <c r="P58" i="16"/>
  <c r="P61" i="16" s="1"/>
  <c r="AX11" i="122"/>
  <c r="AX6" i="122"/>
  <c r="D21" i="10"/>
  <c r="E69" i="112"/>
  <c r="E75" i="112" s="1"/>
  <c r="M9" i="16" s="1"/>
  <c r="T25" i="16"/>
  <c r="V25" i="16" s="1"/>
  <c r="X25" i="16"/>
  <c r="N177" i="10" s="1"/>
  <c r="H26" i="16"/>
  <c r="I26" i="16"/>
  <c r="S26" i="16"/>
  <c r="AF182" i="122" s="1"/>
  <c r="X26" i="16"/>
  <c r="Z26" i="16" s="1"/>
  <c r="H29" i="16"/>
  <c r="K29" i="16" s="1"/>
  <c r="S29" i="16"/>
  <c r="AF196" i="122" s="1"/>
  <c r="T29" i="16"/>
  <c r="BP94" i="16" s="1"/>
  <c r="T57" i="16"/>
  <c r="V57" i="16" s="1"/>
  <c r="X57" i="16"/>
  <c r="AA57" i="16" s="1"/>
  <c r="M56" i="16"/>
  <c r="T55" i="16"/>
  <c r="S55" i="16"/>
  <c r="X55" i="16"/>
  <c r="AA55" i="16" s="1"/>
  <c r="I24" i="16"/>
  <c r="J24" i="16"/>
  <c r="I52" i="16"/>
  <c r="H52" i="16"/>
  <c r="X59" i="16"/>
  <c r="AA59" i="16" s="1"/>
  <c r="I14" i="16"/>
  <c r="P13" i="21"/>
  <c r="Q13" i="21" s="1"/>
  <c r="F13" i="21" s="1"/>
  <c r="H14" i="16"/>
  <c r="G123" i="26"/>
  <c r="G161" i="26" s="1"/>
  <c r="U43" i="16"/>
  <c r="X43" i="16"/>
  <c r="Z43" i="16" s="1"/>
  <c r="AR4" i="122"/>
  <c r="S43" i="16"/>
  <c r="W9" i="61" s="1"/>
  <c r="T43" i="16"/>
  <c r="AD9" i="61" s="1"/>
  <c r="H30" i="16"/>
  <c r="B139" i="26"/>
  <c r="B158" i="26" s="1"/>
  <c r="R53" i="26"/>
  <c r="S53" i="26" s="1"/>
  <c r="T53" i="26" s="1"/>
  <c r="U53" i="26" s="1"/>
  <c r="V53" i="26" s="1"/>
  <c r="W53" i="26" s="1"/>
  <c r="X53" i="26" s="1"/>
  <c r="Y53" i="26" s="1"/>
  <c r="Z53" i="26" s="1"/>
  <c r="I30" i="16"/>
  <c r="C32" i="16"/>
  <c r="I48" i="16"/>
  <c r="J30" i="16"/>
  <c r="H48" i="16"/>
  <c r="K155" i="26"/>
  <c r="BA10" i="122"/>
  <c r="O63" i="16"/>
  <c r="D63" i="16"/>
  <c r="D61" i="16"/>
  <c r="D65" i="16" s="1"/>
  <c r="B101" i="122"/>
  <c r="O101" i="122" s="1"/>
  <c r="P101" i="122" s="1"/>
  <c r="Q101" i="122" s="1"/>
  <c r="R101" i="122" s="1"/>
  <c r="S101" i="122" s="1"/>
  <c r="T101" i="122" s="1"/>
  <c r="U101" i="122" s="1"/>
  <c r="V101" i="122" s="1"/>
  <c r="W101" i="122" s="1"/>
  <c r="X101" i="122" s="1"/>
  <c r="Y101" i="122" s="1"/>
  <c r="Z101" i="122" s="1"/>
  <c r="P20" i="122"/>
  <c r="Q20" i="122" s="1"/>
  <c r="R20" i="122" s="1"/>
  <c r="S20" i="122" s="1"/>
  <c r="T20" i="122" s="1"/>
  <c r="U20" i="122" s="1"/>
  <c r="V20" i="122" s="1"/>
  <c r="W20" i="122" s="1"/>
  <c r="X20" i="122" s="1"/>
  <c r="Y20" i="122" s="1"/>
  <c r="Z20" i="122" s="1"/>
  <c r="O137" i="26"/>
  <c r="P54" i="26"/>
  <c r="Q37" i="122"/>
  <c r="B4" i="122"/>
  <c r="O4" i="122" s="1"/>
  <c r="P4" i="122" s="1"/>
  <c r="Q4" i="122" s="1"/>
  <c r="R4" i="122" s="1"/>
  <c r="S4" i="122" s="1"/>
  <c r="T4" i="122" s="1"/>
  <c r="O59" i="26"/>
  <c r="P59" i="26" s="1"/>
  <c r="Q59" i="26" s="1"/>
  <c r="R59" i="26" s="1"/>
  <c r="S59" i="26" s="1"/>
  <c r="T59" i="26" s="1"/>
  <c r="U59" i="26" s="1"/>
  <c r="V59" i="26" s="1"/>
  <c r="W59" i="26" s="1"/>
  <c r="X59" i="26" s="1"/>
  <c r="Y59" i="26" s="1"/>
  <c r="Z59" i="26" s="1"/>
  <c r="O61" i="16"/>
  <c r="BA12" i="122" s="1"/>
  <c r="D158" i="26"/>
  <c r="P71" i="122"/>
  <c r="Q71" i="122" s="1"/>
  <c r="R71" i="122" s="1"/>
  <c r="S71" i="122" s="1"/>
  <c r="T71" i="122" s="1"/>
  <c r="U71" i="122" s="1"/>
  <c r="V71" i="122" s="1"/>
  <c r="W71" i="122" s="1"/>
  <c r="X71" i="122" s="1"/>
  <c r="Y71" i="122" s="1"/>
  <c r="Z71" i="122" s="1"/>
  <c r="R23" i="26"/>
  <c r="S23" i="26" s="1"/>
  <c r="T23" i="26" s="1"/>
  <c r="U23" i="26" s="1"/>
  <c r="V23" i="26" s="1"/>
  <c r="W23" i="26" s="1"/>
  <c r="X23" i="26" s="1"/>
  <c r="Y23" i="26" s="1"/>
  <c r="Z23" i="26" s="1"/>
  <c r="AD155" i="26"/>
  <c r="Q36" i="122"/>
  <c r="B100" i="122"/>
  <c r="O100" i="122" s="1"/>
  <c r="P100" i="122" s="1"/>
  <c r="Q100" i="122" s="1"/>
  <c r="R100" i="122" s="1"/>
  <c r="S100" i="122" s="1"/>
  <c r="T100" i="122" s="1"/>
  <c r="U100" i="122" s="1"/>
  <c r="P29" i="26"/>
  <c r="O31" i="26"/>
  <c r="B115" i="122"/>
  <c r="O115" i="122" s="1"/>
  <c r="P19" i="122"/>
  <c r="Q19" i="122" s="1"/>
  <c r="R19" i="122" s="1"/>
  <c r="S19" i="122" s="1"/>
  <c r="T19" i="122" s="1"/>
  <c r="U19" i="122" s="1"/>
  <c r="V19" i="122" s="1"/>
  <c r="W19" i="122" s="1"/>
  <c r="X19" i="122" s="1"/>
  <c r="Y19" i="122" s="1"/>
  <c r="Z19" i="122" s="1"/>
  <c r="F158" i="26"/>
  <c r="B118" i="26"/>
  <c r="B156" i="26" s="1"/>
  <c r="O24" i="26"/>
  <c r="D115" i="122"/>
  <c r="C115" i="122"/>
  <c r="S36" i="122"/>
  <c r="S37" i="122"/>
  <c r="T35" i="122"/>
  <c r="U35" i="122" s="1"/>
  <c r="Q88" i="122"/>
  <c r="Q89" i="122"/>
  <c r="R87" i="122"/>
  <c r="G136" i="26"/>
  <c r="G117" i="26"/>
  <c r="X44" i="16"/>
  <c r="AA44" i="16" s="1"/>
  <c r="G158" i="26"/>
  <c r="Q60" i="122"/>
  <c r="Q61" i="122"/>
  <c r="P61" i="122"/>
  <c r="P60" i="122"/>
  <c r="U57" i="16"/>
  <c r="U44" i="16"/>
  <c r="T59" i="16"/>
  <c r="BP100" i="16" s="1"/>
  <c r="G5" i="122"/>
  <c r="G117" i="122" s="1"/>
  <c r="L139" i="26"/>
  <c r="L120" i="26"/>
  <c r="L118" i="26"/>
  <c r="L156" i="26" s="1"/>
  <c r="D155" i="26"/>
  <c r="J155" i="26"/>
  <c r="S59" i="16"/>
  <c r="BN100" i="16" s="1"/>
  <c r="S44" i="16"/>
  <c r="X9" i="61" s="1"/>
  <c r="Q21" i="122"/>
  <c r="E155" i="26"/>
  <c r="O88" i="122"/>
  <c r="O89" i="122"/>
  <c r="I155" i="26"/>
  <c r="R59" i="122"/>
  <c r="B75" i="112"/>
  <c r="M5" i="16" s="1"/>
  <c r="T44" i="16"/>
  <c r="AE9" i="61" s="1"/>
  <c r="F136" i="26"/>
  <c r="F117" i="26"/>
  <c r="O136" i="26"/>
  <c r="O117" i="26"/>
  <c r="P99" i="26"/>
  <c r="C136" i="26"/>
  <c r="C117" i="26"/>
  <c r="O75" i="112"/>
  <c r="M20" i="16" s="1"/>
  <c r="I139" i="26"/>
  <c r="I120" i="26"/>
  <c r="I118" i="26"/>
  <c r="I156" i="26" s="1"/>
  <c r="P88" i="122"/>
  <c r="P89" i="122"/>
  <c r="M139" i="26"/>
  <c r="M120" i="26"/>
  <c r="M118" i="26"/>
  <c r="M156" i="26" s="1"/>
  <c r="K173" i="10"/>
  <c r="K120" i="26"/>
  <c r="K118" i="26"/>
  <c r="K156" i="26" s="1"/>
  <c r="K139" i="26"/>
  <c r="H155" i="26"/>
  <c r="R37" i="122"/>
  <c r="R36" i="122"/>
  <c r="O139" i="26"/>
  <c r="O120" i="26"/>
  <c r="O12" i="122" s="1"/>
  <c r="P100" i="26"/>
  <c r="I5" i="122"/>
  <c r="I142" i="26"/>
  <c r="I123" i="26"/>
  <c r="B76" i="112"/>
  <c r="C5" i="16" s="1"/>
  <c r="M57" i="10" s="1"/>
  <c r="C123" i="26"/>
  <c r="C142" i="26"/>
  <c r="C5" i="122"/>
  <c r="H76" i="112"/>
  <c r="C21" i="16" s="1"/>
  <c r="H75" i="112"/>
  <c r="M21" i="16" s="1"/>
  <c r="G75" i="112"/>
  <c r="M12" i="16" s="1"/>
  <c r="G76" i="112"/>
  <c r="C12" i="16" s="1"/>
  <c r="F75" i="112"/>
  <c r="M10" i="16" s="1"/>
  <c r="F76" i="112"/>
  <c r="C10" i="16" s="1"/>
  <c r="N166" i="117"/>
  <c r="N76" i="112"/>
  <c r="C19" i="16" s="1"/>
  <c r="J19" i="16" s="1"/>
  <c r="O76" i="112"/>
  <c r="C20" i="16" s="1"/>
  <c r="I20" i="16" s="1"/>
  <c r="J69" i="112"/>
  <c r="CW69" i="112"/>
  <c r="CU69" i="112"/>
  <c r="CX69" i="112" s="1"/>
  <c r="H104" i="26" s="1"/>
  <c r="H142" i="26" s="1"/>
  <c r="X19" i="16"/>
  <c r="S19" i="16"/>
  <c r="U19" i="16"/>
  <c r="T19" i="16"/>
  <c r="BP89" i="16" s="1"/>
  <c r="H4" i="122"/>
  <c r="T48" i="16"/>
  <c r="AM212" i="26" s="1"/>
  <c r="S48" i="16"/>
  <c r="M45" i="16"/>
  <c r="S45" i="16" s="1"/>
  <c r="U48" i="16"/>
  <c r="J44" i="16"/>
  <c r="I44" i="16"/>
  <c r="H44" i="16"/>
  <c r="AF212" i="26"/>
  <c r="H102" i="122"/>
  <c r="C56" i="16"/>
  <c r="C58" i="16" s="1"/>
  <c r="H55" i="16"/>
  <c r="I55" i="16"/>
  <c r="J55" i="16"/>
  <c r="H46" i="16"/>
  <c r="C45" i="16"/>
  <c r="I46" i="16"/>
  <c r="J46" i="16"/>
  <c r="J59" i="16"/>
  <c r="I59" i="16"/>
  <c r="H59" i="16"/>
  <c r="X52" i="16"/>
  <c r="S52" i="16"/>
  <c r="U52" i="16"/>
  <c r="T52" i="16"/>
  <c r="AR7" i="122"/>
  <c r="J41" i="16"/>
  <c r="I41" i="16"/>
  <c r="H41" i="16"/>
  <c r="Y47" i="16"/>
  <c r="AA47" i="16"/>
  <c r="Z47" i="16"/>
  <c r="X54" i="16"/>
  <c r="U54" i="16"/>
  <c r="T54" i="16"/>
  <c r="S54" i="16"/>
  <c r="J47" i="16"/>
  <c r="I47" i="16"/>
  <c r="H47" i="16"/>
  <c r="H57" i="16"/>
  <c r="J57" i="16"/>
  <c r="I57" i="16"/>
  <c r="T41" i="16"/>
  <c r="S41" i="16"/>
  <c r="AF208" i="122" s="1"/>
  <c r="AA48" i="16"/>
  <c r="Z48" i="16"/>
  <c r="Y48" i="16"/>
  <c r="X30" i="16"/>
  <c r="U30" i="16"/>
  <c r="T30" i="16"/>
  <c r="BP93" i="16" s="1"/>
  <c r="S30" i="16"/>
  <c r="P36" i="21"/>
  <c r="Q36" i="21" s="1"/>
  <c r="J28" i="16"/>
  <c r="I28" i="16"/>
  <c r="H28" i="16"/>
  <c r="P49" i="122" l="1"/>
  <c r="Q47" i="122"/>
  <c r="P48" i="122"/>
  <c r="P22" i="122"/>
  <c r="D20" i="10"/>
  <c r="J7" i="16"/>
  <c r="J26" i="19" s="1"/>
  <c r="B26" i="19"/>
  <c r="I7" i="16"/>
  <c r="P6" i="21"/>
  <c r="Q6" i="21" s="1"/>
  <c r="M35" i="10"/>
  <c r="K57" i="10"/>
  <c r="Q48" i="122"/>
  <c r="AX10" i="122"/>
  <c r="P63" i="16"/>
  <c r="V100" i="122"/>
  <c r="W100" i="122" s="1"/>
  <c r="X100" i="122" s="1"/>
  <c r="Y100" i="122" s="1"/>
  <c r="Z100" i="122" s="1"/>
  <c r="AU4" i="122"/>
  <c r="N61" i="16"/>
  <c r="AU12" i="122" s="1"/>
  <c r="N41" i="16"/>
  <c r="M142" i="26"/>
  <c r="M161" i="26" s="1"/>
  <c r="M5" i="122"/>
  <c r="B142" i="26"/>
  <c r="O104" i="26"/>
  <c r="P104" i="26" s="1"/>
  <c r="Q104" i="26" s="1"/>
  <c r="B117" i="122"/>
  <c r="O117" i="122" s="1"/>
  <c r="B123" i="26"/>
  <c r="X7" i="16"/>
  <c r="Y7" i="16" s="1"/>
  <c r="G28" i="19" s="1"/>
  <c r="T7" i="16"/>
  <c r="BP78" i="16" s="1"/>
  <c r="U7" i="16"/>
  <c r="J27" i="19" s="1"/>
  <c r="K35" i="10"/>
  <c r="D142" i="26"/>
  <c r="D123" i="26"/>
  <c r="S7" i="16"/>
  <c r="BN78" i="16" s="1"/>
  <c r="D14" i="10"/>
  <c r="P7" i="84"/>
  <c r="P1" i="84" s="1"/>
  <c r="D13" i="10"/>
  <c r="R43" i="33" s="1"/>
  <c r="Q49" i="122"/>
  <c r="E158" i="26"/>
  <c r="R47" i="122"/>
  <c r="S47" i="122" s="1"/>
  <c r="T47" i="122" s="1"/>
  <c r="U47" i="122" s="1"/>
  <c r="V47" i="122" s="1"/>
  <c r="W47" i="122" s="1"/>
  <c r="P102" i="122"/>
  <c r="P104" i="122" s="1"/>
  <c r="R48" i="122"/>
  <c r="X6" i="16"/>
  <c r="AC6" i="16" s="1"/>
  <c r="J42" i="19" s="1"/>
  <c r="K46" i="10"/>
  <c r="L5" i="122"/>
  <c r="E5" i="122"/>
  <c r="E117" i="122" s="1"/>
  <c r="E123" i="26"/>
  <c r="E161" i="26" s="1"/>
  <c r="L142" i="26"/>
  <c r="L161" i="26" s="1"/>
  <c r="M17" i="16"/>
  <c r="U17" i="16" s="1"/>
  <c r="H6" i="16"/>
  <c r="H40" i="19" s="1"/>
  <c r="B40" i="19"/>
  <c r="P5" i="21"/>
  <c r="Q5" i="21" s="1"/>
  <c r="C5" i="21" s="1"/>
  <c r="M46" i="10"/>
  <c r="I6" i="16"/>
  <c r="I40" i="19" s="1"/>
  <c r="M16" i="16"/>
  <c r="U16" i="16" s="1"/>
  <c r="K134" i="10" s="1"/>
  <c r="Q75" i="122"/>
  <c r="Q74" i="122"/>
  <c r="P75" i="122"/>
  <c r="L76" i="112"/>
  <c r="C17" i="16" s="1"/>
  <c r="P17" i="21" s="1"/>
  <c r="Q17" i="21" s="1"/>
  <c r="C17" i="21" s="1"/>
  <c r="P74" i="122"/>
  <c r="J158" i="26"/>
  <c r="V47" i="16"/>
  <c r="AA46" i="16"/>
  <c r="B41" i="19"/>
  <c r="S6" i="16"/>
  <c r="BN77" i="16" s="1"/>
  <c r="T6" i="16"/>
  <c r="I41" i="19" s="1"/>
  <c r="K14" i="16"/>
  <c r="K26" i="16"/>
  <c r="V35" i="122"/>
  <c r="V36" i="122" s="1"/>
  <c r="U37" i="122"/>
  <c r="U36" i="122"/>
  <c r="K24" i="16"/>
  <c r="V46" i="16"/>
  <c r="AF204" i="122"/>
  <c r="S18" i="16"/>
  <c r="V18" i="16" s="1"/>
  <c r="U18" i="16"/>
  <c r="X18" i="16"/>
  <c r="AC18" i="16" s="1"/>
  <c r="AC25" i="16"/>
  <c r="AA24" i="16"/>
  <c r="Z24" i="16"/>
  <c r="AG212" i="26"/>
  <c r="AC24" i="16"/>
  <c r="C31" i="21"/>
  <c r="V24" i="16"/>
  <c r="H18" i="16"/>
  <c r="I18" i="16"/>
  <c r="P18" i="21"/>
  <c r="Q18" i="21" s="1"/>
  <c r="C18" i="21" s="1"/>
  <c r="T68" i="16"/>
  <c r="Z25" i="16"/>
  <c r="AC14" i="16"/>
  <c r="H15" i="16"/>
  <c r="AK73" i="13" s="1"/>
  <c r="AA25" i="16"/>
  <c r="P16" i="21"/>
  <c r="Q16" i="21" s="1"/>
  <c r="C16" i="21" s="1"/>
  <c r="I15" i="16"/>
  <c r="M65" i="10" s="1"/>
  <c r="I16" i="16"/>
  <c r="M133" i="10" s="1"/>
  <c r="J16" i="16"/>
  <c r="M134" i="10" s="1"/>
  <c r="Y46" i="16"/>
  <c r="V55" i="16"/>
  <c r="V14" i="16"/>
  <c r="AA29" i="16"/>
  <c r="AB29" i="16" s="1"/>
  <c r="AF188" i="122"/>
  <c r="Y14" i="16"/>
  <c r="BN94" i="16"/>
  <c r="Z14" i="16"/>
  <c r="AA14" i="16"/>
  <c r="B116" i="122"/>
  <c r="O116" i="122" s="1"/>
  <c r="P116" i="122" s="1"/>
  <c r="Q116" i="122" s="1"/>
  <c r="R116" i="122" s="1"/>
  <c r="S116" i="122" s="1"/>
  <c r="T116" i="122" s="1"/>
  <c r="I32" i="16"/>
  <c r="J32" i="16"/>
  <c r="N67" i="16"/>
  <c r="N28" i="16"/>
  <c r="H32" i="16"/>
  <c r="K30" i="16"/>
  <c r="I117" i="122"/>
  <c r="P115" i="122"/>
  <c r="Q115" i="122" s="1"/>
  <c r="R115" i="122" s="1"/>
  <c r="S115" i="122" s="1"/>
  <c r="T115" i="122" s="1"/>
  <c r="U115" i="122" s="1"/>
  <c r="V115" i="122" s="1"/>
  <c r="W115" i="122" s="1"/>
  <c r="X115" i="122" s="1"/>
  <c r="Y115" i="122" s="1"/>
  <c r="Z115" i="122" s="1"/>
  <c r="U4" i="122"/>
  <c r="V4" i="122" s="1"/>
  <c r="W4" i="122" s="1"/>
  <c r="X4" i="122" s="1"/>
  <c r="Y4" i="122" s="1"/>
  <c r="Z4" i="122" s="1"/>
  <c r="AC29" i="16"/>
  <c r="Y29" i="16"/>
  <c r="V43" i="16"/>
  <c r="BN98" i="16"/>
  <c r="AD78" i="26"/>
  <c r="AB74" i="26" s="1"/>
  <c r="AH72" i="26"/>
  <c r="AO66" i="26" s="1"/>
  <c r="AG72" i="26"/>
  <c r="AN66" i="26" s="1"/>
  <c r="AM66" i="26"/>
  <c r="F5" i="122"/>
  <c r="F117" i="122" s="1"/>
  <c r="F123" i="26"/>
  <c r="F161" i="26" s="1"/>
  <c r="E76" i="112"/>
  <c r="C9" i="16" s="1"/>
  <c r="P8" i="21" s="1"/>
  <c r="Q8" i="21" s="1"/>
  <c r="T15" i="16"/>
  <c r="K65" i="10" s="1"/>
  <c r="K123" i="26"/>
  <c r="K5" i="122"/>
  <c r="K142" i="26"/>
  <c r="K69" i="10"/>
  <c r="S15" i="16"/>
  <c r="BN84" i="16" s="1"/>
  <c r="AA26" i="16"/>
  <c r="AB26" i="16" s="1"/>
  <c r="X45" i="16"/>
  <c r="Y45" i="16" s="1"/>
  <c r="Y59" i="16"/>
  <c r="BP98" i="16"/>
  <c r="M58" i="16"/>
  <c r="M63" i="16" s="1"/>
  <c r="S56" i="16"/>
  <c r="X56" i="16"/>
  <c r="Z56" i="16" s="1"/>
  <c r="U56" i="16"/>
  <c r="T56" i="16"/>
  <c r="Y55" i="16"/>
  <c r="Z55" i="16"/>
  <c r="X5" i="16"/>
  <c r="Y5" i="16" s="1"/>
  <c r="T5" i="16"/>
  <c r="K54" i="10" s="1"/>
  <c r="S5" i="16"/>
  <c r="BN76" i="16" s="1"/>
  <c r="B34" i="19"/>
  <c r="U5" i="16"/>
  <c r="J34" i="19" s="1"/>
  <c r="X15" i="16"/>
  <c r="Z15" i="16" s="1"/>
  <c r="L64" i="10" s="1"/>
  <c r="M69" i="10"/>
  <c r="E177" i="13"/>
  <c r="P14" i="21"/>
  <c r="Q14" i="21" s="1"/>
  <c r="F14" i="21" s="1"/>
  <c r="U15" i="16"/>
  <c r="K66" i="10" s="1"/>
  <c r="Y57" i="16"/>
  <c r="Z57" i="16"/>
  <c r="T45" i="16"/>
  <c r="AF9" i="61" s="1"/>
  <c r="K24" i="10"/>
  <c r="K48" i="16"/>
  <c r="U45" i="16"/>
  <c r="V26" i="16"/>
  <c r="AR6" i="122"/>
  <c r="BN92" i="16"/>
  <c r="V29" i="16"/>
  <c r="AF173" i="122"/>
  <c r="X20" i="16"/>
  <c r="Y20" i="16" s="1"/>
  <c r="AX12" i="122"/>
  <c r="S20" i="16"/>
  <c r="BN90" i="16" s="1"/>
  <c r="U20" i="16"/>
  <c r="T20" i="16"/>
  <c r="BP90" i="16" s="1"/>
  <c r="Y25" i="16"/>
  <c r="AC26" i="16"/>
  <c r="Y26" i="16"/>
  <c r="Y44" i="16"/>
  <c r="Y43" i="16"/>
  <c r="Z44" i="16"/>
  <c r="AA43" i="16"/>
  <c r="K52" i="16"/>
  <c r="K59" i="16"/>
  <c r="Z59" i="16"/>
  <c r="AF212" i="122"/>
  <c r="C13" i="21"/>
  <c r="K41" i="16"/>
  <c r="G155" i="26"/>
  <c r="M158" i="26"/>
  <c r="E61" i="16"/>
  <c r="E65" i="16" s="1"/>
  <c r="E63" i="16"/>
  <c r="H116" i="122"/>
  <c r="O155" i="26"/>
  <c r="O104" i="122"/>
  <c r="P23" i="122"/>
  <c r="K57" i="16"/>
  <c r="K47" i="16"/>
  <c r="P137" i="26"/>
  <c r="Q54" i="26"/>
  <c r="O118" i="26"/>
  <c r="O156" i="26" s="1"/>
  <c r="P24" i="26"/>
  <c r="Q29" i="26"/>
  <c r="P31" i="26"/>
  <c r="O103" i="122"/>
  <c r="K158" i="26"/>
  <c r="AB62" i="26"/>
  <c r="AB59" i="26"/>
  <c r="AB64" i="26"/>
  <c r="AB61" i="26"/>
  <c r="AB60" i="26"/>
  <c r="AB65" i="26"/>
  <c r="AB63" i="26"/>
  <c r="P65" i="16"/>
  <c r="V59" i="16"/>
  <c r="P139" i="26"/>
  <c r="P120" i="26"/>
  <c r="P12" i="122" s="1"/>
  <c r="Q100" i="26"/>
  <c r="R88" i="122"/>
  <c r="R89" i="122"/>
  <c r="S87" i="122"/>
  <c r="I158" i="26"/>
  <c r="O158" i="26"/>
  <c r="O13" i="122"/>
  <c r="P136" i="26"/>
  <c r="P117" i="26"/>
  <c r="Q99" i="26"/>
  <c r="L158" i="26"/>
  <c r="Q22" i="122"/>
  <c r="Q23" i="122"/>
  <c r="R21" i="122"/>
  <c r="R60" i="122"/>
  <c r="R61" i="122"/>
  <c r="S59" i="122"/>
  <c r="T36" i="122"/>
  <c r="T37" i="122"/>
  <c r="V44" i="16"/>
  <c r="V54" i="16"/>
  <c r="V48" i="16"/>
  <c r="C155" i="26"/>
  <c r="F155" i="26"/>
  <c r="R75" i="122"/>
  <c r="R74" i="122"/>
  <c r="S73" i="122"/>
  <c r="O7" i="122"/>
  <c r="O6" i="122"/>
  <c r="H5" i="16"/>
  <c r="M53" i="10" s="1"/>
  <c r="B33" i="19"/>
  <c r="D117" i="122"/>
  <c r="M24" i="10"/>
  <c r="I5" i="16"/>
  <c r="P4" i="21"/>
  <c r="Q4" i="21" s="1"/>
  <c r="F4" i="21" s="1"/>
  <c r="J5" i="16"/>
  <c r="J33" i="19" s="1"/>
  <c r="C117" i="122"/>
  <c r="P5" i="122"/>
  <c r="Q5" i="122" s="1"/>
  <c r="I161" i="26"/>
  <c r="C161" i="26"/>
  <c r="P11" i="21"/>
  <c r="Q11" i="21" s="1"/>
  <c r="J12" i="16"/>
  <c r="I12" i="16"/>
  <c r="M122" i="10" s="1"/>
  <c r="H12" i="16"/>
  <c r="S9" i="16"/>
  <c r="K157" i="10"/>
  <c r="X9" i="16"/>
  <c r="U9" i="16"/>
  <c r="T9" i="16"/>
  <c r="U10" i="16"/>
  <c r="K112" i="10" s="1"/>
  <c r="K114" i="10"/>
  <c r="T10" i="16"/>
  <c r="S10" i="16"/>
  <c r="X10" i="16"/>
  <c r="X21" i="16"/>
  <c r="K80" i="10"/>
  <c r="S21" i="16"/>
  <c r="U21" i="16"/>
  <c r="T21" i="16"/>
  <c r="E201" i="13"/>
  <c r="AF194" i="122"/>
  <c r="X12" i="16"/>
  <c r="S12" i="16"/>
  <c r="E128" i="13"/>
  <c r="U12" i="16"/>
  <c r="I128" i="13" s="1"/>
  <c r="T12" i="16"/>
  <c r="M114" i="10"/>
  <c r="P9" i="21"/>
  <c r="Q9" i="21" s="1"/>
  <c r="J10" i="16"/>
  <c r="M112" i="10" s="1"/>
  <c r="I10" i="16"/>
  <c r="M111" i="10" s="1"/>
  <c r="H10" i="16"/>
  <c r="M80" i="10"/>
  <c r="P22" i="21"/>
  <c r="Q22" i="21" s="1"/>
  <c r="J21" i="16"/>
  <c r="M78" i="10" s="1"/>
  <c r="I21" i="16"/>
  <c r="M77" i="10" s="1"/>
  <c r="H21" i="16"/>
  <c r="P15" i="21"/>
  <c r="Q15" i="21" s="1"/>
  <c r="F15" i="21" s="1"/>
  <c r="P19" i="21"/>
  <c r="Q19" i="21" s="1"/>
  <c r="F19" i="21" s="1"/>
  <c r="H19" i="16"/>
  <c r="K7" i="16"/>
  <c r="M33" i="10" s="1"/>
  <c r="M31" i="10"/>
  <c r="H26" i="19"/>
  <c r="M32" i="10"/>
  <c r="I26" i="19"/>
  <c r="F6" i="21"/>
  <c r="C6" i="21"/>
  <c r="H20" i="16"/>
  <c r="K20" i="16" s="1"/>
  <c r="J20" i="16"/>
  <c r="I19" i="16"/>
  <c r="P20" i="21"/>
  <c r="Q20" i="21" s="1"/>
  <c r="F20" i="21" s="1"/>
  <c r="M132" i="10"/>
  <c r="AJ87" i="13"/>
  <c r="AH87" i="13"/>
  <c r="AG87" i="13"/>
  <c r="AF87" i="13"/>
  <c r="AK87" i="13"/>
  <c r="AE87" i="13"/>
  <c r="Z19" i="16"/>
  <c r="AC19" i="16"/>
  <c r="AA19" i="16"/>
  <c r="Y19" i="16"/>
  <c r="V19" i="16"/>
  <c r="BN89" i="16"/>
  <c r="H5" i="122"/>
  <c r="H123" i="26"/>
  <c r="H161" i="26" s="1"/>
  <c r="J75" i="112"/>
  <c r="M13" i="16" s="1"/>
  <c r="AT6" i="16" s="1"/>
  <c r="J76" i="112"/>
  <c r="C13" i="16" s="1"/>
  <c r="O39" i="16"/>
  <c r="AH212" i="26"/>
  <c r="K46" i="16"/>
  <c r="J58" i="16"/>
  <c r="I58" i="16"/>
  <c r="H58" i="16"/>
  <c r="C61" i="16"/>
  <c r="C63" i="16"/>
  <c r="Y54" i="16"/>
  <c r="AA54" i="16"/>
  <c r="Z54" i="16"/>
  <c r="BP99" i="16"/>
  <c r="AG9" i="61"/>
  <c r="K55" i="16"/>
  <c r="Y9" i="61"/>
  <c r="J56" i="16"/>
  <c r="I56" i="16"/>
  <c r="H56" i="16"/>
  <c r="Z9" i="61"/>
  <c r="BN99" i="16"/>
  <c r="V52" i="16"/>
  <c r="AF210" i="122"/>
  <c r="AA52" i="16"/>
  <c r="Z52" i="16"/>
  <c r="Y52" i="16"/>
  <c r="J45" i="16"/>
  <c r="I45" i="16"/>
  <c r="H45" i="16"/>
  <c r="K44" i="16"/>
  <c r="K28" i="16"/>
  <c r="Y30" i="16"/>
  <c r="AC30" i="16"/>
  <c r="AA30" i="16"/>
  <c r="Z30" i="16"/>
  <c r="F36" i="21"/>
  <c r="C36" i="21"/>
  <c r="V30" i="16"/>
  <c r="BN93" i="16"/>
  <c r="AF184" i="122"/>
  <c r="O119" i="122" l="1"/>
  <c r="U49" i="122"/>
  <c r="S49" i="122"/>
  <c r="U48" i="122"/>
  <c r="K32" i="10"/>
  <c r="T48" i="122"/>
  <c r="T49" i="122"/>
  <c r="S48" i="122"/>
  <c r="I27" i="19"/>
  <c r="M42" i="10"/>
  <c r="AC7" i="16"/>
  <c r="J28" i="19" s="1"/>
  <c r="M117" i="122"/>
  <c r="AQ13" i="122" s="1"/>
  <c r="AQ3" i="122"/>
  <c r="L35" i="10"/>
  <c r="T35" i="10" s="1"/>
  <c r="T32" i="10" s="1"/>
  <c r="Z7" i="16"/>
  <c r="L31" i="10" s="1"/>
  <c r="B28" i="19"/>
  <c r="AA7" i="16"/>
  <c r="I28" i="19" s="1"/>
  <c r="H27" i="19"/>
  <c r="K31" i="10"/>
  <c r="B161" i="26"/>
  <c r="D161" i="26"/>
  <c r="Q102" i="122"/>
  <c r="Q104" i="122" s="1"/>
  <c r="P117" i="122"/>
  <c r="Q117" i="122" s="1"/>
  <c r="R117" i="122" s="1"/>
  <c r="P142" i="26"/>
  <c r="P123" i="26"/>
  <c r="O142" i="26"/>
  <c r="O123" i="26"/>
  <c r="V7" i="16"/>
  <c r="L117" i="122"/>
  <c r="P103" i="122"/>
  <c r="AA6" i="16"/>
  <c r="I42" i="19" s="1"/>
  <c r="L46" i="10"/>
  <c r="T46" i="10" s="1"/>
  <c r="T43" i="10" s="1"/>
  <c r="Z6" i="16"/>
  <c r="Y6" i="16"/>
  <c r="G42" i="19" s="1"/>
  <c r="B42" i="19"/>
  <c r="R49" i="122"/>
  <c r="T17" i="16"/>
  <c r="BP87" i="16" s="1"/>
  <c r="F5" i="21"/>
  <c r="K117" i="122"/>
  <c r="N32" i="16"/>
  <c r="N39" i="16" s="1"/>
  <c r="S58" i="16"/>
  <c r="BN101" i="16" s="1"/>
  <c r="S17" i="16"/>
  <c r="BN87" i="16" s="1"/>
  <c r="X17" i="16"/>
  <c r="Y17" i="16" s="1"/>
  <c r="AB24" i="16"/>
  <c r="M43" i="10"/>
  <c r="K6" i="16"/>
  <c r="M44" i="10" s="1"/>
  <c r="I17" i="16"/>
  <c r="H17" i="16"/>
  <c r="J17" i="16"/>
  <c r="AF192" i="122"/>
  <c r="AG24" i="26"/>
  <c r="X16" i="16"/>
  <c r="Y16" i="16" s="1"/>
  <c r="AF24" i="26"/>
  <c r="T16" i="16"/>
  <c r="K133" i="10" s="1"/>
  <c r="AE24" i="26"/>
  <c r="AE29" i="26" s="1"/>
  <c r="AG29" i="26" s="1"/>
  <c r="M67" i="16"/>
  <c r="S16" i="16"/>
  <c r="BN86" i="16" s="1"/>
  <c r="U116" i="122"/>
  <c r="V116" i="122" s="1"/>
  <c r="W116" i="122" s="1"/>
  <c r="X116" i="122" s="1"/>
  <c r="Y116" i="122" s="1"/>
  <c r="Z116" i="122" s="1"/>
  <c r="W35" i="122"/>
  <c r="W37" i="122" s="1"/>
  <c r="V37" i="122"/>
  <c r="V48" i="122"/>
  <c r="V49" i="122"/>
  <c r="H41" i="19"/>
  <c r="K42" i="10"/>
  <c r="BP77" i="16"/>
  <c r="V6" i="16"/>
  <c r="K44" i="10" s="1"/>
  <c r="K43" i="10"/>
  <c r="BN88" i="16"/>
  <c r="K161" i="26"/>
  <c r="AB14" i="16"/>
  <c r="AA18" i="16"/>
  <c r="Y18" i="16"/>
  <c r="Z18" i="16"/>
  <c r="K16" i="16"/>
  <c r="H9" i="16"/>
  <c r="M153" i="10" s="1"/>
  <c r="I9" i="16"/>
  <c r="M154" i="10" s="1"/>
  <c r="L57" i="10"/>
  <c r="T57" i="10" s="1"/>
  <c r="V53" i="10" s="1"/>
  <c r="K18" i="16"/>
  <c r="AB25" i="16"/>
  <c r="Z5" i="16"/>
  <c r="H35" i="19" s="1"/>
  <c r="M61" i="16"/>
  <c r="AR12" i="122" s="1"/>
  <c r="AA56" i="16"/>
  <c r="Z45" i="16"/>
  <c r="AR10" i="122"/>
  <c r="J9" i="16"/>
  <c r="M157" i="10"/>
  <c r="F16" i="21"/>
  <c r="M64" i="10"/>
  <c r="F18" i="21"/>
  <c r="K15" i="16"/>
  <c r="K53" i="10"/>
  <c r="AA45" i="16"/>
  <c r="T58" i="16"/>
  <c r="BP101" i="16" s="1"/>
  <c r="U58" i="16"/>
  <c r="X58" i="16"/>
  <c r="Z58" i="16" s="1"/>
  <c r="V45" i="16"/>
  <c r="K32" i="16"/>
  <c r="AA15" i="16"/>
  <c r="L65" i="10" s="1"/>
  <c r="Y15" i="16"/>
  <c r="Q69" i="10"/>
  <c r="AC15" i="16"/>
  <c r="L66" i="10" s="1"/>
  <c r="BP84" i="16"/>
  <c r="AB73" i="26"/>
  <c r="AB76" i="26"/>
  <c r="AB77" i="26"/>
  <c r="AB72" i="26"/>
  <c r="AB75" i="26"/>
  <c r="AB71" i="26"/>
  <c r="H34" i="19"/>
  <c r="C14" i="21"/>
  <c r="AA5" i="16"/>
  <c r="AC5" i="16"/>
  <c r="J35" i="19" s="1"/>
  <c r="L24" i="10"/>
  <c r="T24" i="10" s="1"/>
  <c r="U20" i="10" s="1"/>
  <c r="I34" i="19"/>
  <c r="B35" i="19"/>
  <c r="BP76" i="16"/>
  <c r="K64" i="10"/>
  <c r="H33" i="19"/>
  <c r="V5" i="16"/>
  <c r="K55" i="10" s="1"/>
  <c r="V15" i="16"/>
  <c r="V56" i="16"/>
  <c r="Y56" i="16"/>
  <c r="Z20" i="16"/>
  <c r="AA20" i="16"/>
  <c r="AC20" i="16"/>
  <c r="L69" i="10"/>
  <c r="AX13" i="122"/>
  <c r="AF206" i="122"/>
  <c r="V20" i="16"/>
  <c r="C4" i="21"/>
  <c r="K5" i="16"/>
  <c r="M55" i="10" s="1"/>
  <c r="K58" i="16"/>
  <c r="I33" i="19"/>
  <c r="M54" i="10"/>
  <c r="Q137" i="26"/>
  <c r="R54" i="26"/>
  <c r="Q31" i="26"/>
  <c r="R29" i="26"/>
  <c r="P118" i="26"/>
  <c r="P156" i="26" s="1"/>
  <c r="Q24" i="26"/>
  <c r="S88" i="122"/>
  <c r="S89" i="122"/>
  <c r="T87" i="122"/>
  <c r="Q139" i="26"/>
  <c r="Q120" i="26"/>
  <c r="Q12" i="122" s="1"/>
  <c r="R100" i="26"/>
  <c r="R22" i="122"/>
  <c r="R23" i="122"/>
  <c r="S21" i="122"/>
  <c r="Q136" i="26"/>
  <c r="Q117" i="26"/>
  <c r="R99" i="26"/>
  <c r="S75" i="122"/>
  <c r="S74" i="122"/>
  <c r="T73" i="122"/>
  <c r="K45" i="16"/>
  <c r="S60" i="122"/>
  <c r="S61" i="122"/>
  <c r="T59" i="122"/>
  <c r="P155" i="26"/>
  <c r="P13" i="122"/>
  <c r="P158" i="26"/>
  <c r="Q6" i="122"/>
  <c r="Q7" i="122"/>
  <c r="R5" i="122"/>
  <c r="P7" i="122"/>
  <c r="P6" i="122"/>
  <c r="Q142" i="26"/>
  <c r="R104" i="26"/>
  <c r="Q123" i="26"/>
  <c r="F8" i="21"/>
  <c r="C8" i="21"/>
  <c r="F9" i="21"/>
  <c r="C9" i="21"/>
  <c r="BP85" i="16"/>
  <c r="K77" i="10"/>
  <c r="AF171" i="122"/>
  <c r="K154" i="10"/>
  <c r="BP79" i="16"/>
  <c r="H201" i="13"/>
  <c r="K78" i="10"/>
  <c r="K12" i="16"/>
  <c r="M121" i="10"/>
  <c r="M123" i="10" s="1"/>
  <c r="V21" i="16"/>
  <c r="K76" i="10"/>
  <c r="BN85" i="16"/>
  <c r="F201" i="13"/>
  <c r="BN80" i="16"/>
  <c r="K110" i="10"/>
  <c r="AF190" i="122"/>
  <c r="V10" i="16"/>
  <c r="N157" i="10"/>
  <c r="Z9" i="16"/>
  <c r="AC9" i="16"/>
  <c r="Y9" i="16"/>
  <c r="AA9" i="16"/>
  <c r="L154" i="10" s="1"/>
  <c r="M110" i="10"/>
  <c r="K10" i="16"/>
  <c r="AC10" i="16"/>
  <c r="L112" i="10" s="1"/>
  <c r="AA10" i="16"/>
  <c r="L111" i="10" s="1"/>
  <c r="L114" i="10"/>
  <c r="Z10" i="16"/>
  <c r="Y10" i="16"/>
  <c r="R80" i="13"/>
  <c r="K21" i="16"/>
  <c r="M76" i="10"/>
  <c r="G201" i="13"/>
  <c r="T80" i="13"/>
  <c r="K111" i="10"/>
  <c r="BP80" i="16"/>
  <c r="K122" i="10"/>
  <c r="H128" i="13"/>
  <c r="BP81" i="16"/>
  <c r="AF186" i="122"/>
  <c r="BN81" i="16"/>
  <c r="K121" i="10"/>
  <c r="G128" i="13"/>
  <c r="V12" i="16"/>
  <c r="Z12" i="16"/>
  <c r="AA12" i="16"/>
  <c r="Y12" i="16"/>
  <c r="AC12" i="16"/>
  <c r="K19" i="16"/>
  <c r="Z21" i="16"/>
  <c r="Y21" i="16"/>
  <c r="L80" i="10"/>
  <c r="AC21" i="16"/>
  <c r="L78" i="10" s="1"/>
  <c r="AA21" i="16"/>
  <c r="L77" i="10" s="1"/>
  <c r="BN79" i="16"/>
  <c r="K153" i="10"/>
  <c r="AF170" i="122"/>
  <c r="V9" i="16"/>
  <c r="C11" i="21"/>
  <c r="F11" i="21"/>
  <c r="AB19" i="16"/>
  <c r="L53" i="10"/>
  <c r="G35" i="19"/>
  <c r="U13" i="16"/>
  <c r="S13" i="16"/>
  <c r="M28" i="16"/>
  <c r="X13" i="16"/>
  <c r="T13" i="16"/>
  <c r="BP82" i="16" s="1"/>
  <c r="H117" i="122"/>
  <c r="P12" i="21"/>
  <c r="Q12" i="21" s="1"/>
  <c r="J13" i="16"/>
  <c r="I13" i="16"/>
  <c r="H13" i="16"/>
  <c r="BA3" i="122"/>
  <c r="O65" i="16"/>
  <c r="BA13" i="122" s="1"/>
  <c r="AE78" i="26"/>
  <c r="K56" i="16"/>
  <c r="W48" i="122"/>
  <c r="W49" i="122"/>
  <c r="X47" i="122"/>
  <c r="T63" i="16"/>
  <c r="S63" i="16"/>
  <c r="U63" i="16"/>
  <c r="J63" i="16"/>
  <c r="I63" i="16"/>
  <c r="H63" i="16"/>
  <c r="J61" i="16"/>
  <c r="I61" i="16"/>
  <c r="H61" i="16"/>
  <c r="AB30" i="16"/>
  <c r="L32" i="10" l="1"/>
  <c r="K33" i="10"/>
  <c r="O161" i="26"/>
  <c r="T31" i="10"/>
  <c r="U31" i="10"/>
  <c r="H28" i="19"/>
  <c r="AB7" i="16"/>
  <c r="L33" i="10" s="1"/>
  <c r="V31" i="10"/>
  <c r="AB6" i="16"/>
  <c r="L44" i="10" s="1"/>
  <c r="P161" i="26"/>
  <c r="R102" i="122"/>
  <c r="R103" i="122" s="1"/>
  <c r="Q103" i="122"/>
  <c r="P118" i="122"/>
  <c r="P119" i="122"/>
  <c r="L42" i="10"/>
  <c r="H42" i="19"/>
  <c r="L43" i="10"/>
  <c r="T42" i="10"/>
  <c r="V42" i="10"/>
  <c r="U42" i="10"/>
  <c r="X35" i="122"/>
  <c r="W36" i="122"/>
  <c r="AF214" i="122"/>
  <c r="V58" i="16"/>
  <c r="N65" i="16"/>
  <c r="AU13" i="122" s="1"/>
  <c r="AU3" i="122"/>
  <c r="V17" i="16"/>
  <c r="AC17" i="16"/>
  <c r="Z17" i="16"/>
  <c r="AA17" i="16"/>
  <c r="Z16" i="16"/>
  <c r="AC16" i="16"/>
  <c r="K17" i="16"/>
  <c r="V16" i="16"/>
  <c r="BP86" i="16"/>
  <c r="AA16" i="16"/>
  <c r="K132" i="10"/>
  <c r="AF29" i="26"/>
  <c r="T67" i="16"/>
  <c r="S67" i="16"/>
  <c r="X61" i="16"/>
  <c r="AA61" i="16" s="1"/>
  <c r="AM59" i="26"/>
  <c r="S61" i="16"/>
  <c r="AN59" i="26" s="1"/>
  <c r="T61" i="16"/>
  <c r="BP102" i="16" s="1"/>
  <c r="AR25" i="26"/>
  <c r="U61" i="16"/>
  <c r="Y58" i="16"/>
  <c r="AA58" i="16"/>
  <c r="T54" i="10"/>
  <c r="U53" i="10"/>
  <c r="T53" i="10"/>
  <c r="AB18" i="16"/>
  <c r="K9" i="16"/>
  <c r="AB5" i="16"/>
  <c r="L55" i="10" s="1"/>
  <c r="L54" i="10"/>
  <c r="AB15" i="16"/>
  <c r="T21" i="10"/>
  <c r="V20" i="10"/>
  <c r="AB20" i="16"/>
  <c r="T20" i="10"/>
  <c r="I35" i="19"/>
  <c r="K63" i="16"/>
  <c r="Q155" i="26"/>
  <c r="R137" i="26"/>
  <c r="S54" i="26"/>
  <c r="Q118" i="26"/>
  <c r="Q156" i="26" s="1"/>
  <c r="R24" i="26"/>
  <c r="R31" i="26"/>
  <c r="S29" i="26"/>
  <c r="Q161" i="26"/>
  <c r="R136" i="26"/>
  <c r="R117" i="26"/>
  <c r="R155" i="26" s="1"/>
  <c r="S99" i="26"/>
  <c r="T60" i="122"/>
  <c r="T61" i="122"/>
  <c r="U59" i="122"/>
  <c r="T88" i="122"/>
  <c r="T89" i="122"/>
  <c r="U87" i="122"/>
  <c r="Q13" i="122"/>
  <c r="Q158" i="26"/>
  <c r="S22" i="122"/>
  <c r="S23" i="122"/>
  <c r="T21" i="122"/>
  <c r="T74" i="122"/>
  <c r="T75" i="122"/>
  <c r="U73" i="122"/>
  <c r="R139" i="26"/>
  <c r="R120" i="26"/>
  <c r="R12" i="122" s="1"/>
  <c r="S100" i="26"/>
  <c r="R118" i="122"/>
  <c r="R119" i="122"/>
  <c r="S117" i="122"/>
  <c r="R123" i="26"/>
  <c r="S104" i="26"/>
  <c r="R142" i="26"/>
  <c r="Q118" i="122"/>
  <c r="Q119" i="122"/>
  <c r="R7" i="122"/>
  <c r="R6" i="122"/>
  <c r="S5" i="122"/>
  <c r="AB12" i="16"/>
  <c r="L121" i="10"/>
  <c r="L153" i="10"/>
  <c r="AB9" i="16"/>
  <c r="K123" i="10"/>
  <c r="L76" i="10"/>
  <c r="AB21" i="16"/>
  <c r="AB10" i="16"/>
  <c r="L110" i="10"/>
  <c r="AA13" i="16"/>
  <c r="AC13" i="16"/>
  <c r="Z13" i="16"/>
  <c r="Y13" i="16"/>
  <c r="F12" i="21"/>
  <c r="C12" i="21"/>
  <c r="K13" i="16"/>
  <c r="K16" i="10"/>
  <c r="X28" i="16"/>
  <c r="AH25" i="26"/>
  <c r="U28" i="16"/>
  <c r="S28" i="16"/>
  <c r="T28" i="16"/>
  <c r="M32" i="16"/>
  <c r="BN82" i="16"/>
  <c r="AF198" i="122"/>
  <c r="V13" i="16"/>
  <c r="X48" i="122"/>
  <c r="Y47" i="122"/>
  <c r="X49" i="122"/>
  <c r="X36" i="122"/>
  <c r="Y35" i="122"/>
  <c r="X37" i="122"/>
  <c r="V63" i="16"/>
  <c r="K61" i="16"/>
  <c r="S102" i="122" l="1"/>
  <c r="S104" i="122" s="1"/>
  <c r="R104" i="122"/>
  <c r="AB16" i="16"/>
  <c r="AF178" i="122"/>
  <c r="AO59" i="26"/>
  <c r="AS25" i="26"/>
  <c r="BN102" i="16"/>
  <c r="AT25" i="26"/>
  <c r="BD12" i="122"/>
  <c r="BC12" i="122"/>
  <c r="AB17" i="16"/>
  <c r="Y61" i="16"/>
  <c r="V61" i="16"/>
  <c r="Z61" i="16"/>
  <c r="AB13" i="16"/>
  <c r="S137" i="26"/>
  <c r="T54" i="26"/>
  <c r="T29" i="26"/>
  <c r="S31" i="26"/>
  <c r="R161" i="26"/>
  <c r="R118" i="26"/>
  <c r="R156" i="26" s="1"/>
  <c r="S24" i="26"/>
  <c r="S139" i="26"/>
  <c r="S120" i="26"/>
  <c r="S12" i="122" s="1"/>
  <c r="T100" i="26"/>
  <c r="U89" i="122"/>
  <c r="V87" i="122"/>
  <c r="U88" i="122"/>
  <c r="T22" i="122"/>
  <c r="T23" i="122"/>
  <c r="U21" i="122"/>
  <c r="U61" i="122"/>
  <c r="V59" i="122"/>
  <c r="U60" i="122"/>
  <c r="R13" i="122"/>
  <c r="R158" i="26"/>
  <c r="S103" i="122"/>
  <c r="T102" i="122"/>
  <c r="V73" i="122"/>
  <c r="U75" i="122"/>
  <c r="U74" i="122"/>
  <c r="S136" i="26"/>
  <c r="S117" i="26"/>
  <c r="T99" i="26"/>
  <c r="S6" i="122"/>
  <c r="S7" i="122"/>
  <c r="T5" i="122"/>
  <c r="S123" i="26"/>
  <c r="S142" i="26"/>
  <c r="T104" i="26"/>
  <c r="S119" i="122"/>
  <c r="S118" i="122"/>
  <c r="T117" i="122"/>
  <c r="AC28" i="16"/>
  <c r="Z28" i="16"/>
  <c r="Y28" i="16"/>
  <c r="AA28" i="16"/>
  <c r="AF202" i="122"/>
  <c r="AI25" i="26"/>
  <c r="K13" i="10"/>
  <c r="V28" i="16"/>
  <c r="K15" i="10" s="1"/>
  <c r="AM60" i="26"/>
  <c r="X32" i="16"/>
  <c r="U32" i="16"/>
  <c r="T32" i="16"/>
  <c r="S32" i="16"/>
  <c r="K14" i="10"/>
  <c r="AJ25" i="26"/>
  <c r="Y48" i="122"/>
  <c r="Z47" i="122"/>
  <c r="Y49" i="122"/>
  <c r="Y36" i="122"/>
  <c r="Z35" i="122"/>
  <c r="Y37" i="122"/>
  <c r="S155" i="26" l="1"/>
  <c r="T137" i="26"/>
  <c r="U54" i="26"/>
  <c r="S118" i="26"/>
  <c r="S156" i="26" s="1"/>
  <c r="T24" i="26"/>
  <c r="S161" i="26"/>
  <c r="U29" i="26"/>
  <c r="T31" i="26"/>
  <c r="S13" i="122"/>
  <c r="S158" i="26"/>
  <c r="V75" i="122"/>
  <c r="W73" i="122"/>
  <c r="V74" i="122"/>
  <c r="V89" i="122"/>
  <c r="V88" i="122"/>
  <c r="W87" i="122"/>
  <c r="T103" i="122"/>
  <c r="T104" i="122"/>
  <c r="U102" i="122"/>
  <c r="T136" i="26"/>
  <c r="T117" i="26"/>
  <c r="U99" i="26"/>
  <c r="V21" i="122"/>
  <c r="U22" i="122"/>
  <c r="U23" i="122"/>
  <c r="W59" i="122"/>
  <c r="V60" i="122"/>
  <c r="V61" i="122"/>
  <c r="T120" i="26"/>
  <c r="T12" i="122" s="1"/>
  <c r="U100" i="26"/>
  <c r="T139" i="26"/>
  <c r="T6" i="122"/>
  <c r="T7" i="122"/>
  <c r="U5" i="122"/>
  <c r="T119" i="122"/>
  <c r="T118" i="122"/>
  <c r="U117" i="122"/>
  <c r="T142" i="26"/>
  <c r="T123" i="26"/>
  <c r="U104" i="26"/>
  <c r="BN95" i="16"/>
  <c r="V9" i="61"/>
  <c r="V32" i="16"/>
  <c r="AN60" i="26"/>
  <c r="AF200" i="122"/>
  <c r="AC9" i="61"/>
  <c r="BP95" i="16"/>
  <c r="AO60" i="26"/>
  <c r="AA32" i="16"/>
  <c r="Y32" i="16"/>
  <c r="AC32" i="16"/>
  <c r="Z32" i="16"/>
  <c r="AB28" i="16"/>
  <c r="Z48" i="122"/>
  <c r="Z49" i="122"/>
  <c r="Z36" i="122"/>
  <c r="Z37" i="122"/>
  <c r="T155" i="26" l="1"/>
  <c r="V54" i="26"/>
  <c r="U137" i="26"/>
  <c r="V29" i="26"/>
  <c r="U31" i="26"/>
  <c r="T118" i="26"/>
  <c r="T156" i="26" s="1"/>
  <c r="U24" i="26"/>
  <c r="T13" i="122"/>
  <c r="T158" i="26"/>
  <c r="V23" i="122"/>
  <c r="W21" i="122"/>
  <c r="V22" i="122"/>
  <c r="U139" i="26"/>
  <c r="U120" i="26"/>
  <c r="U12" i="122" s="1"/>
  <c r="V100" i="26"/>
  <c r="V99" i="26"/>
  <c r="U136" i="26"/>
  <c r="U117" i="26"/>
  <c r="W88" i="122"/>
  <c r="W89" i="122"/>
  <c r="X87" i="122"/>
  <c r="X73" i="122"/>
  <c r="W74" i="122"/>
  <c r="W75" i="122"/>
  <c r="U103" i="122"/>
  <c r="V102" i="122"/>
  <c r="U104" i="122"/>
  <c r="W61" i="122"/>
  <c r="W60" i="122"/>
  <c r="X59" i="122"/>
  <c r="V104" i="26"/>
  <c r="U142" i="26"/>
  <c r="U123" i="26"/>
  <c r="T161" i="26"/>
  <c r="U6" i="122"/>
  <c r="U7" i="122"/>
  <c r="V5" i="122"/>
  <c r="U119" i="122"/>
  <c r="U118" i="122"/>
  <c r="V117" i="122"/>
  <c r="AB32" i="16"/>
  <c r="V137" i="26" l="1"/>
  <c r="W54" i="26"/>
  <c r="U118" i="26"/>
  <c r="U156" i="26" s="1"/>
  <c r="V24" i="26"/>
  <c r="W29" i="26"/>
  <c r="V31" i="26"/>
  <c r="U13" i="122"/>
  <c r="U158" i="26"/>
  <c r="V139" i="26"/>
  <c r="V120" i="26"/>
  <c r="V12" i="122" s="1"/>
  <c r="W100" i="26"/>
  <c r="X60" i="122"/>
  <c r="Y59" i="122"/>
  <c r="X61" i="122"/>
  <c r="X75" i="122"/>
  <c r="Y73" i="122"/>
  <c r="X74" i="122"/>
  <c r="W23" i="122"/>
  <c r="W22" i="122"/>
  <c r="X21" i="122"/>
  <c r="V103" i="122"/>
  <c r="V104" i="122"/>
  <c r="W102" i="122"/>
  <c r="U155" i="26"/>
  <c r="X89" i="122"/>
  <c r="X88" i="122"/>
  <c r="Y87" i="122"/>
  <c r="V136" i="26"/>
  <c r="V117" i="26"/>
  <c r="W99" i="26"/>
  <c r="V6" i="122"/>
  <c r="V7" i="122"/>
  <c r="V119" i="122"/>
  <c r="V118" i="122"/>
  <c r="U161" i="26"/>
  <c r="V142" i="26"/>
  <c r="V123" i="26"/>
  <c r="V155" i="26" l="1"/>
  <c r="W137" i="26"/>
  <c r="X54" i="26"/>
  <c r="X29" i="26"/>
  <c r="W31" i="26"/>
  <c r="V118" i="26"/>
  <c r="V156" i="26" s="1"/>
  <c r="W24" i="26"/>
  <c r="X22" i="122"/>
  <c r="X23" i="122"/>
  <c r="Y21" i="122"/>
  <c r="Y88" i="122"/>
  <c r="Z87" i="122"/>
  <c r="Y89" i="122"/>
  <c r="W139" i="26"/>
  <c r="W120" i="26"/>
  <c r="W12" i="122" s="1"/>
  <c r="X100" i="26"/>
  <c r="Y60" i="122"/>
  <c r="Y61" i="122"/>
  <c r="Z59" i="122"/>
  <c r="V158" i="26"/>
  <c r="V13" i="122"/>
  <c r="W136" i="26"/>
  <c r="W117" i="26"/>
  <c r="X99" i="26"/>
  <c r="Y75" i="122"/>
  <c r="Y74" i="122"/>
  <c r="Z73" i="122"/>
  <c r="X102" i="122"/>
  <c r="W104" i="122"/>
  <c r="W103" i="122"/>
  <c r="V161" i="26"/>
  <c r="W155" i="26" l="1"/>
  <c r="Y54" i="26"/>
  <c r="X137" i="26"/>
  <c r="W118" i="26"/>
  <c r="W156" i="26" s="1"/>
  <c r="X24" i="26"/>
  <c r="Y29" i="26"/>
  <c r="X31" i="26"/>
  <c r="Z88" i="122"/>
  <c r="BC11" i="122" s="1"/>
  <c r="Z89" i="122"/>
  <c r="BD11" i="122" s="1"/>
  <c r="W158" i="26"/>
  <c r="W13" i="122"/>
  <c r="Y102" i="122"/>
  <c r="X104" i="122"/>
  <c r="X103" i="122"/>
  <c r="Z74" i="122"/>
  <c r="BC10" i="122" s="1"/>
  <c r="Z75" i="122"/>
  <c r="BD10" i="122" s="1"/>
  <c r="Z61" i="122"/>
  <c r="BD7" i="122" s="1"/>
  <c r="Z60" i="122"/>
  <c r="BC7" i="122" s="1"/>
  <c r="Y22" i="122"/>
  <c r="Y23" i="122"/>
  <c r="Z21" i="122"/>
  <c r="X136" i="26"/>
  <c r="X117" i="26"/>
  <c r="Y99" i="26"/>
  <c r="X139" i="26"/>
  <c r="X120" i="26"/>
  <c r="X12" i="122" s="1"/>
  <c r="Y100" i="26"/>
  <c r="X155" i="26" l="1"/>
  <c r="Y137" i="26"/>
  <c r="Z54" i="26"/>
  <c r="Z137" i="26" s="1"/>
  <c r="Y31" i="26"/>
  <c r="Z29" i="26"/>
  <c r="Z31" i="26" s="1"/>
  <c r="X118" i="26"/>
  <c r="X156" i="26" s="1"/>
  <c r="Y24" i="26"/>
  <c r="Z22" i="122"/>
  <c r="BC4" i="122" s="1"/>
  <c r="Z23" i="122"/>
  <c r="BD4" i="122" s="1"/>
  <c r="Z102" i="122"/>
  <c r="Y103" i="122"/>
  <c r="Y104" i="122"/>
  <c r="Y139" i="26"/>
  <c r="Y120" i="26"/>
  <c r="Y12" i="122" s="1"/>
  <c r="Z100" i="26"/>
  <c r="X13" i="122"/>
  <c r="X158" i="26"/>
  <c r="Y136" i="26"/>
  <c r="Y117" i="26"/>
  <c r="Z99" i="26"/>
  <c r="Y155" i="26" l="1"/>
  <c r="Y118" i="26"/>
  <c r="Y156" i="26" s="1"/>
  <c r="Z24" i="26"/>
  <c r="Z118" i="26" s="1"/>
  <c r="Z156" i="26" s="1"/>
  <c r="Y13" i="122"/>
  <c r="Y158" i="26"/>
  <c r="Z139" i="26"/>
  <c r="Z120" i="26"/>
  <c r="Z12" i="122" s="1"/>
  <c r="Z104" i="122"/>
  <c r="Z103" i="122"/>
  <c r="Z136" i="26"/>
  <c r="Z117" i="26"/>
  <c r="Z155" i="26" l="1"/>
  <c r="Z13" i="122"/>
  <c r="Z158" i="26"/>
  <c r="CX71" i="112"/>
  <c r="J104" i="26" s="1"/>
  <c r="J5" i="122" s="1"/>
  <c r="AF77" i="26"/>
  <c r="AM68" i="26" s="1"/>
  <c r="X71" i="112"/>
  <c r="X75" i="112" s="1"/>
  <c r="M37" i="16" s="1"/>
  <c r="CZ71" i="112"/>
  <c r="W104" i="26" l="1"/>
  <c r="W142" i="26" s="1"/>
  <c r="AO68" i="26"/>
  <c r="AN76" i="26"/>
  <c r="AG77" i="26"/>
  <c r="AN68" i="26"/>
  <c r="J123" i="26"/>
  <c r="J142" i="26"/>
  <c r="X76" i="112"/>
  <c r="C34" i="16" s="1"/>
  <c r="I34" i="16" s="1"/>
  <c r="AX25" i="26"/>
  <c r="AM61" i="26"/>
  <c r="M34" i="16"/>
  <c r="T37" i="16"/>
  <c r="M39" i="16"/>
  <c r="AR3" i="122" s="1"/>
  <c r="X37" i="16"/>
  <c r="X34" i="16"/>
  <c r="U34" i="16"/>
  <c r="S37" i="16"/>
  <c r="J117" i="122"/>
  <c r="W5" i="122"/>
  <c r="AH77" i="26"/>
  <c r="J161" i="26" l="1"/>
  <c r="W117" i="122"/>
  <c r="W119" i="122" s="1"/>
  <c r="H34" i="16"/>
  <c r="K34" i="16" s="1"/>
  <c r="J34" i="16"/>
  <c r="C39" i="16"/>
  <c r="H39" i="16" s="1"/>
  <c r="X104" i="26"/>
  <c r="W123" i="26"/>
  <c r="W161" i="26" s="1"/>
  <c r="AO61" i="26"/>
  <c r="BP96" i="16"/>
  <c r="AF168" i="122"/>
  <c r="AZ25" i="26"/>
  <c r="S39" i="16"/>
  <c r="T39" i="16"/>
  <c r="AL25" i="26"/>
  <c r="X39" i="16"/>
  <c r="AF78" i="26"/>
  <c r="M65" i="16"/>
  <c r="U39" i="16"/>
  <c r="S34" i="16"/>
  <c r="T34" i="16"/>
  <c r="AN61" i="26"/>
  <c r="AF167" i="122"/>
  <c r="BN96" i="16"/>
  <c r="AY25" i="26"/>
  <c r="V34" i="16"/>
  <c r="AC34" i="16"/>
  <c r="AA34" i="16"/>
  <c r="Z34" i="16"/>
  <c r="Y34" i="16"/>
  <c r="AA37" i="16"/>
  <c r="Z37" i="16"/>
  <c r="W6" i="122"/>
  <c r="X5" i="122"/>
  <c r="W7" i="122"/>
  <c r="AB34" i="16" l="1"/>
  <c r="W118" i="122"/>
  <c r="X117" i="122"/>
  <c r="X119" i="122" s="1"/>
  <c r="X142" i="26"/>
  <c r="X123" i="26"/>
  <c r="Y104" i="26"/>
  <c r="I39" i="16"/>
  <c r="K39" i="16" s="1"/>
  <c r="C65" i="16"/>
  <c r="J65" i="16" s="1"/>
  <c r="J39" i="16"/>
  <c r="AH78" i="26"/>
  <c r="AG78" i="26"/>
  <c r="AO76" i="26"/>
  <c r="Z39" i="16"/>
  <c r="Y39" i="16"/>
  <c r="AA39" i="16"/>
  <c r="X7" i="122"/>
  <c r="X6" i="122"/>
  <c r="Y5" i="122"/>
  <c r="BP97" i="16"/>
  <c r="AN25" i="26"/>
  <c r="U65" i="16"/>
  <c r="AU25" i="26"/>
  <c r="S65" i="16"/>
  <c r="AM62" i="26"/>
  <c r="T65" i="16"/>
  <c r="AR13" i="122"/>
  <c r="X65" i="16"/>
  <c r="AM25" i="26"/>
  <c r="AF176" i="122"/>
  <c r="V39" i="16"/>
  <c r="BN97" i="16"/>
  <c r="I65" i="16" l="1"/>
  <c r="H65" i="16"/>
  <c r="Y117" i="122"/>
  <c r="Z117" i="122" s="1"/>
  <c r="X118" i="122"/>
  <c r="X161" i="26"/>
  <c r="Y123" i="26"/>
  <c r="Z104" i="26"/>
  <c r="Y142" i="26"/>
  <c r="BN103" i="16"/>
  <c r="V65" i="16"/>
  <c r="AN62" i="26"/>
  <c r="AV25" i="26"/>
  <c r="AF180" i="122"/>
  <c r="Z5" i="122"/>
  <c r="Y6" i="122"/>
  <c r="Y7" i="122"/>
  <c r="AA65" i="16"/>
  <c r="L21" i="10" s="1"/>
  <c r="Z65" i="16"/>
  <c r="AC65" i="16"/>
  <c r="Y65" i="16"/>
  <c r="AO62" i="26"/>
  <c r="AW25" i="26"/>
  <c r="BP103" i="16"/>
  <c r="K65" i="16" l="1"/>
  <c r="Y118" i="122"/>
  <c r="Y119" i="122"/>
  <c r="Y161" i="26"/>
  <c r="Z142" i="26"/>
  <c r="Z123" i="26"/>
  <c r="L20" i="10"/>
  <c r="AB65" i="16"/>
  <c r="L22" i="10" s="1"/>
  <c r="Z118" i="122"/>
  <c r="BC13" i="122" s="1"/>
  <c r="Z119" i="122"/>
  <c r="BD13" i="122" s="1"/>
  <c r="Z6" i="122"/>
  <c r="BC3" i="122" s="1"/>
  <c r="Z7" i="122"/>
  <c r="BD3" i="122" s="1"/>
  <c r="Z161" i="26" l="1"/>
  <c r="AE44" i="61"/>
  <c r="AE42" i="61"/>
  <c r="AE40" i="61"/>
  <c r="AE45" i="61"/>
  <c r="AE39" i="61"/>
  <c r="AD146" i="26"/>
  <c r="AD148" i="26"/>
  <c r="AD144" i="26"/>
  <c r="AD147" i="26"/>
  <c r="AC148" i="26"/>
  <c r="AD145" i="26"/>
  <c r="AE41" i="61"/>
  <c r="AE43"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Alicorp Auxiliar Topico</author>
    <author>tc={941708D7-BA3D-4D5C-8936-FA5BBE172EF1}</author>
  </authors>
  <commentList>
    <comment ref="D463" authorId="0" shapeId="0" xr:uid="{00000000-0006-0000-0600-000001000000}">
      <text>
        <r>
          <rPr>
            <b/>
            <sz val="9"/>
            <color indexed="81"/>
            <rFont val="Tahoma"/>
            <family val="2"/>
          </rPr>
          <t>Alicorp Auxiliar Topico:</t>
        </r>
        <r>
          <rPr>
            <sz val="9"/>
            <color indexed="81"/>
            <rFont val="Tahoma"/>
            <family val="2"/>
          </rPr>
          <t xml:space="preserve">
Consultar</t>
        </r>
      </text>
    </comment>
    <comment ref="D467" authorId="0" shapeId="0" xr:uid="{00000000-0006-0000-0600-000002000000}">
      <text>
        <r>
          <rPr>
            <b/>
            <sz val="9"/>
            <color indexed="81"/>
            <rFont val="Tahoma"/>
            <family val="2"/>
          </rPr>
          <t>Alicorp Auxiliar Topico:</t>
        </r>
        <r>
          <rPr>
            <sz val="9"/>
            <color indexed="81"/>
            <rFont val="Tahoma"/>
            <family val="2"/>
          </rPr>
          <t xml:space="preserve">
Consultar</t>
        </r>
      </text>
    </comment>
    <comment ref="D473" authorId="0" shapeId="0" xr:uid="{00000000-0006-0000-0600-000003000000}">
      <text>
        <r>
          <rPr>
            <b/>
            <sz val="9"/>
            <color indexed="81"/>
            <rFont val="Tahoma"/>
            <family val="2"/>
          </rPr>
          <t>Alicorp Auxiliar Topico:</t>
        </r>
        <r>
          <rPr>
            <sz val="9"/>
            <color indexed="81"/>
            <rFont val="Tahoma"/>
            <family val="2"/>
          </rPr>
          <t xml:space="preserve">
Consultar</t>
        </r>
      </text>
    </comment>
    <comment ref="Q868" authorId="1" shapeId="0" xr:uid="{00000000-0006-0000-06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Trabajador tiene DM desde el 02/07, en su diagnóstico refiere tener una hernia, trabajador no tenia conocimiento, al igual que el área de salud ocupacional.</t>
      </text>
    </comment>
    <comment ref="B944" authorId="0" shapeId="0" xr:uid="{00000000-0006-0000-0600-000005000000}">
      <text>
        <r>
          <rPr>
            <b/>
            <sz val="9"/>
            <color indexed="81"/>
            <rFont val="Tahoma"/>
            <family val="2"/>
          </rPr>
          <t>Alicorp Auxiliar Topico:</t>
        </r>
        <r>
          <rPr>
            <sz val="9"/>
            <color indexed="81"/>
            <rFont val="Tahoma"/>
            <family val="2"/>
          </rPr>
          <t xml:space="preserve">
TRABAJADOR ES DE JABONERIA, PERO EL ACCIDENTE FUE EN ALMACEN DCD
</t>
        </r>
      </text>
    </comment>
    <comment ref="J953" authorId="0" shapeId="0" xr:uid="{00000000-0006-0000-0600-000006000000}">
      <text>
        <r>
          <rPr>
            <b/>
            <sz val="9"/>
            <color indexed="81"/>
            <rFont val="Tahoma"/>
            <family val="2"/>
          </rPr>
          <t>Alicorp Auxiliar Topico:</t>
        </r>
        <r>
          <rPr>
            <sz val="9"/>
            <color indexed="81"/>
            <rFont val="Tahoma"/>
            <family val="2"/>
          </rPr>
          <t xml:space="preserve">
SOLO ESPECIFICA EL TIEMPO DE TRABAJ,MAS NO SI SU EXPERIENCIA DEL PUESTO TIENE OTRA FECHA</t>
        </r>
      </text>
    </comment>
    <comment ref="J964" authorId="0" shapeId="0" xr:uid="{360B7B4D-A28B-443C-AC4E-AE034D3FA787}">
      <text>
        <r>
          <rPr>
            <b/>
            <sz val="9"/>
            <color indexed="81"/>
            <rFont val="Tahoma"/>
            <family val="2"/>
          </rPr>
          <t>Alicorp Auxiliar Topico:</t>
        </r>
        <r>
          <rPr>
            <sz val="9"/>
            <color indexed="81"/>
            <rFont val="Tahoma"/>
            <family val="2"/>
          </rPr>
          <t xml:space="preserve">
SOLO ESPECIFICA EL TIEMPO DE TRABAJ,MAS NO SI SU EXPERIENCIA DEL PUESTO TIENE OTRA FECHA</t>
        </r>
      </text>
    </comment>
    <comment ref="J965" authorId="0" shapeId="0" xr:uid="{2469899C-5347-4FC9-AF16-4021E9B55AD6}">
      <text>
        <r>
          <rPr>
            <b/>
            <sz val="9"/>
            <color indexed="81"/>
            <rFont val="Tahoma"/>
            <family val="2"/>
          </rPr>
          <t>Alicorp Auxiliar Topico:</t>
        </r>
        <r>
          <rPr>
            <sz val="9"/>
            <color indexed="81"/>
            <rFont val="Tahoma"/>
            <family val="2"/>
          </rPr>
          <t xml:space="preserve">
SOLO ESPECIFICA EL TIEMPO DE TRABAJ,MAS NO SI SU EXPERIENCIA DEL PUESTO TIENE OTRA FECHA</t>
        </r>
      </text>
    </comment>
    <comment ref="J966" authorId="0" shapeId="0" xr:uid="{58C0920B-973F-4D05-BBC3-A23EA059DC8D}">
      <text>
        <r>
          <rPr>
            <b/>
            <sz val="9"/>
            <color indexed="81"/>
            <rFont val="Tahoma"/>
            <family val="2"/>
          </rPr>
          <t>Alicorp Auxiliar Topico:</t>
        </r>
        <r>
          <rPr>
            <sz val="9"/>
            <color indexed="81"/>
            <rFont val="Tahoma"/>
            <family val="2"/>
          </rPr>
          <t xml:space="preserve">
SOLO ESPECIFICA EL TIEMPO DE TRABAJ,MAS NO SI SU EXPERIENCIA DEL PUESTO TIENE OTRA FECHA</t>
        </r>
      </text>
    </comment>
  </commentList>
</comments>
</file>

<file path=xl/sharedStrings.xml><?xml version="1.0" encoding="utf-8"?>
<sst xmlns="http://schemas.openxmlformats.org/spreadsheetml/2006/main" count="21015" uniqueCount="6403">
  <si>
    <t>MTTR ACUMULADO</t>
  </si>
  <si>
    <t>MTTR X AÑO</t>
  </si>
  <si>
    <t>GRAFICO</t>
  </si>
  <si>
    <t>AÑO</t>
  </si>
  <si>
    <t>MTBA ACUMULADO</t>
  </si>
  <si>
    <t>MTBA X AÑO</t>
  </si>
  <si>
    <t>Elem</t>
  </si>
  <si>
    <t>Indicador</t>
  </si>
  <si>
    <t>Peso Ponderado</t>
  </si>
  <si>
    <t>MCA</t>
  </si>
  <si>
    <t>MFA</t>
  </si>
  <si>
    <t>MSR</t>
  </si>
  <si>
    <t>Molinos Lima</t>
  </si>
  <si>
    <t xml:space="preserve">OBJ MAX </t>
  </si>
  <si>
    <t>Alicorp</t>
  </si>
  <si>
    <t>Comentarios Mol.Lima</t>
  </si>
  <si>
    <t>E2</t>
  </si>
  <si>
    <t>Asistencia Capacitación</t>
  </si>
  <si>
    <t>E3</t>
  </si>
  <si>
    <t>%Cumplimiento IGP´s</t>
  </si>
  <si>
    <t>%Identif.Actos Sub.IGP</t>
  </si>
  <si>
    <t>E4</t>
  </si>
  <si>
    <t>%Cumplimiento ITAR</t>
  </si>
  <si>
    <t>%Implementación CV</t>
  </si>
  <si>
    <t>Mapa de riesgo</t>
  </si>
  <si>
    <t>E5</t>
  </si>
  <si>
    <t xml:space="preserve">Accid.Incapacitantes </t>
  </si>
  <si>
    <t>Accid.DMR</t>
  </si>
  <si>
    <t>Lesión Menor</t>
  </si>
  <si>
    <t>Días de Descanso</t>
  </si>
  <si>
    <t>Ind.Frecuencia (1 año)</t>
  </si>
  <si>
    <t>Ind.Severidad (1 año)</t>
  </si>
  <si>
    <t>OSHA incident rate</t>
  </si>
  <si>
    <t>Calidad Investigación</t>
  </si>
  <si>
    <t>%Levantamiento ROM´s</t>
  </si>
  <si>
    <t>%Identif.Actos Sub.ROM´s</t>
  </si>
  <si>
    <t>%Particip.ROM´s (en el Semestre)</t>
  </si>
  <si>
    <t>%ROM´s Autofinalizadas</t>
  </si>
  <si>
    <t>E6</t>
  </si>
  <si>
    <t>Cumplimiento Prog.Observ</t>
  </si>
  <si>
    <t>%Comportam.Seguro</t>
  </si>
  <si>
    <t>E7</t>
  </si>
  <si>
    <t>Evaluación Simulacros</t>
  </si>
  <si>
    <t>E8</t>
  </si>
  <si>
    <t>Efectividad Perm.Trabajo</t>
  </si>
  <si>
    <t>%Particip.Fiscalización Permisos</t>
  </si>
  <si>
    <t>E11</t>
  </si>
  <si>
    <t>%Cumplim.EPP</t>
  </si>
  <si>
    <t>E12</t>
  </si>
  <si>
    <t>Examen médico Ingresantes</t>
  </si>
  <si>
    <t>Examen preventivo</t>
  </si>
  <si>
    <t>E19</t>
  </si>
  <si>
    <t>Homologación Proveedores</t>
  </si>
  <si>
    <t>Total %TSPM</t>
  </si>
  <si>
    <t>TSPM A ENERO 2010</t>
  </si>
  <si>
    <t>TOTAL</t>
  </si>
  <si>
    <t>Participación Niv.Lid.Brigadas</t>
  </si>
  <si>
    <t>Mol Lima 2009</t>
  </si>
  <si>
    <t>Actividad</t>
  </si>
  <si>
    <t>Responsable</t>
  </si>
  <si>
    <t>Red Contraincendio MCA</t>
  </si>
  <si>
    <t>Reestructurar Plan IGP</t>
  </si>
  <si>
    <t>Levantamiento NCm de auditor'ia G.Lloyd</t>
  </si>
  <si>
    <t>Levantamiento inspección SSEE</t>
  </si>
  <si>
    <t>Revisión del proceso de Identificación Emergencias, Planes Emergencias,  Entrenamiento Brigadas</t>
  </si>
  <si>
    <t>Revisión del Sistema ROM</t>
  </si>
  <si>
    <t>Aumentar participación del personal en Observación Tareas</t>
  </si>
  <si>
    <t>HORAS TRABAJADAS</t>
  </si>
  <si>
    <t>DÍAS PERDIDOS</t>
  </si>
  <si>
    <t>CON PÉRDIDA DE TIEMPO</t>
  </si>
  <si>
    <t>DESCANSOS RELATIVOS</t>
  </si>
  <si>
    <t>MENORES</t>
  </si>
  <si>
    <t>ÍNDICE DE SEVERIDAD</t>
  </si>
  <si>
    <t>ÍNDICE OSHA</t>
  </si>
  <si>
    <t>MOLINOS LIMA</t>
  </si>
  <si>
    <t>FIDEERIAS</t>
  </si>
  <si>
    <t>BALANCEADOS TRUJILLO</t>
  </si>
  <si>
    <t>DETERGENTES</t>
  </si>
  <si>
    <t>LAMBORGINI</t>
  </si>
  <si>
    <t>ALICORP</t>
  </si>
  <si>
    <t>PLANTAS</t>
  </si>
  <si>
    <t>MOL.STA ROSA + APT</t>
  </si>
  <si>
    <t>MOL. FAUCETT  + APT</t>
  </si>
  <si>
    <t>MOL. CALLAO + APT</t>
  </si>
  <si>
    <t>PLANTA BREÑA</t>
  </si>
  <si>
    <t>FIDEERIA LIMA + APT</t>
  </si>
  <si>
    <t>FIDEERIA ALIANZA  + APT</t>
  </si>
  <si>
    <t>SIDSUR + CDR</t>
  </si>
  <si>
    <t>GALLETERA CALLAO + APT</t>
  </si>
  <si>
    <t>BALANCEADOS LIMA</t>
  </si>
  <si>
    <t>BALANCEADOS TRUJILLO + CDR</t>
  </si>
  <si>
    <t>COPSA</t>
  </si>
  <si>
    <t>CALIXTO + CDR</t>
  </si>
  <si>
    <t>CDC</t>
  </si>
  <si>
    <t>OTRAS SUCURSALES</t>
  </si>
  <si>
    <t>OFICINAS ADMINISTRATIVAS</t>
  </si>
  <si>
    <t>TSPM A FEBRERO 2010</t>
  </si>
  <si>
    <t>Participación Brigadas Niv.Liderazgo</t>
  </si>
  <si>
    <t>Total</t>
  </si>
  <si>
    <t>Dias sin accidentes</t>
  </si>
  <si>
    <t>Con 7 accid. Incapac.2009 (4 MCA y 2 MFA) + 1 MFA 2010</t>
  </si>
  <si>
    <t>Sin IF, IS</t>
  </si>
  <si>
    <t>Ene</t>
  </si>
  <si>
    <t>Feb</t>
  </si>
  <si>
    <t>Mar</t>
  </si>
  <si>
    <t>Abr</t>
  </si>
  <si>
    <t>May</t>
  </si>
  <si>
    <t>Jun</t>
  </si>
  <si>
    <t>Jul</t>
  </si>
  <si>
    <t>Ago</t>
  </si>
  <si>
    <t>Sep</t>
  </si>
  <si>
    <t>Oct</t>
  </si>
  <si>
    <t>Nov</t>
  </si>
  <si>
    <t>Dic</t>
  </si>
  <si>
    <t>Item</t>
  </si>
  <si>
    <t>J.Briceño/D.Lucana</t>
  </si>
  <si>
    <t>P</t>
  </si>
  <si>
    <t>R</t>
  </si>
  <si>
    <t>%Avance</t>
  </si>
  <si>
    <t>Directores/J.Briceño</t>
  </si>
  <si>
    <t>Comentarios</t>
  </si>
  <si>
    <t>Agregar a programa de IGP: Sist.Seguridad, Utiles/Materiales, Inv.Herramientas, Casilleros, SSEE (R.Aleman)</t>
  </si>
  <si>
    <t>Revisión del sistema de Permisos de Trabajo</t>
  </si>
  <si>
    <t>Rediseñar tarjetas Permisos de Trabajo</t>
  </si>
  <si>
    <t>Revisar Procedimiento de Permisos de Trabajo</t>
  </si>
  <si>
    <t>Capacitar al personal nivel liderazgo en nuevo procedimiento</t>
  </si>
  <si>
    <t>Inducción a Contratistas en nuevo procedimiento</t>
  </si>
  <si>
    <t>Ampliar alcance a demás áreas (Administración, Transportistas, Estibadores)</t>
  </si>
  <si>
    <t>Revisar proceso de homologación</t>
  </si>
  <si>
    <t>Evaluar sanciones de amonestación escrita a las jefaturas ante incumplimiento</t>
  </si>
  <si>
    <t>P/R</t>
  </si>
  <si>
    <t>C.Navarro/J.Antezana/J.Briceño</t>
  </si>
  <si>
    <t>J.Antezana</t>
  </si>
  <si>
    <t>J.Briceño</t>
  </si>
  <si>
    <t>C.Navarro/J.Seguridad</t>
  </si>
  <si>
    <t>Proponer nueva metodología IPER</t>
  </si>
  <si>
    <t>Revisión de Procedimiento IPER</t>
  </si>
  <si>
    <t>J.Seguridad</t>
  </si>
  <si>
    <t>Responsable de Area</t>
  </si>
  <si>
    <t>Actualización  2010 IPER</t>
  </si>
  <si>
    <t>Revisión de Identificacion Peligros, Evaluac.Riesgos, Det.Controles Necesarios</t>
  </si>
  <si>
    <t>Seleccionar al personal Observador</t>
  </si>
  <si>
    <t xml:space="preserve">Capacitar al personal </t>
  </si>
  <si>
    <t>Revisión IPER LIMTEK</t>
  </si>
  <si>
    <t>Revisión IPER ORUS</t>
  </si>
  <si>
    <t>C.Endo/OL.Azanero/J.Briceño</t>
  </si>
  <si>
    <t>Revisión IPER CONSESIONARIO</t>
  </si>
  <si>
    <t>Revisión IPER WIN</t>
  </si>
  <si>
    <t>C.Navarro/C.Navarro</t>
  </si>
  <si>
    <t>J.Seguridad/Inspectores Seg</t>
  </si>
  <si>
    <t>Acta reunión semanal</t>
  </si>
  <si>
    <t>Supervisor Mantenimiento</t>
  </si>
  <si>
    <t>J.L.Barrera</t>
  </si>
  <si>
    <t>H.Zegarra</t>
  </si>
  <si>
    <t>A.Cordova</t>
  </si>
  <si>
    <t>J.Producción/J.Producción</t>
  </si>
  <si>
    <t>J.Mendoza/J.Briceño</t>
  </si>
  <si>
    <t>O.Fajardo/J.Briceño</t>
  </si>
  <si>
    <t>C.Cuadros/J.Briceño</t>
  </si>
  <si>
    <t>PATIOS</t>
  </si>
  <si>
    <t>H.Malca</t>
  </si>
  <si>
    <t>Levantamiento Hallazgos inspección INDECI</t>
  </si>
  <si>
    <t>Mario Adrían Castañeda</t>
  </si>
  <si>
    <t>Conlcuir instalación y prueba de pozo a tierra (5 Ohms).</t>
  </si>
  <si>
    <t>Fire Test</t>
  </si>
  <si>
    <t>Definir sistema de desagüe para TK de agua CI.</t>
  </si>
  <si>
    <t>C.Hernández/G.Quinteros</t>
  </si>
  <si>
    <t>Luz de emergencia en el interior de la caseta.</t>
  </si>
  <si>
    <t>JL.Barrera/D.Lucana</t>
  </si>
  <si>
    <t>Extintor PQS, CO2 en caseta.</t>
  </si>
  <si>
    <t>JL.Zegrra</t>
  </si>
  <si>
    <t>Cotizar rociadores en caseta.</t>
  </si>
  <si>
    <t>FireTest / M.Castañeda</t>
  </si>
  <si>
    <t>Actualizar el plan de emergencia considerando la Red CI.</t>
  </si>
  <si>
    <t>J.Briceño/JL.Zegarra</t>
  </si>
  <si>
    <t>Conlcuir instalación de línea de desagüe de la motobomba CI.</t>
  </si>
  <si>
    <t>SERPA</t>
  </si>
  <si>
    <t>Evaluar la instalación de un punto de llegada de 220V de la calle para bomba.</t>
  </si>
  <si>
    <t>M.Castañeda</t>
  </si>
  <si>
    <t>Cotización/Instalación de plato Vortex al interior del tanque.</t>
  </si>
  <si>
    <t>Graco/Fire Test</t>
  </si>
  <si>
    <t>Acometida eléctrica a tablero y tablero nuevo.</t>
  </si>
  <si>
    <t>JT/JL.Barrera</t>
  </si>
  <si>
    <t>Confirmar tiempo de demora en llenado de TK</t>
  </si>
  <si>
    <t>RESERME / JL.Barrera</t>
  </si>
  <si>
    <t>Disponer una motobomba.</t>
  </si>
  <si>
    <t>D.Lucana</t>
  </si>
  <si>
    <t>Prueba hidrostática a TK (necesario para prueba de bomba).</t>
  </si>
  <si>
    <t>Graco / RESERME</t>
  </si>
  <si>
    <t>Fire Test / M.Castañeda</t>
  </si>
  <si>
    <t>Prueba hidrostática de la línea CI / Conectar tanque elevado a RED CI.</t>
  </si>
  <si>
    <t>RESERME</t>
  </si>
  <si>
    <t>Definir cuadrilla para inspección de fugas de agua de Red CI (3 equipos).</t>
  </si>
  <si>
    <t>Conseguir manguera para drenaje de bomba CI.</t>
  </si>
  <si>
    <t>Conseguir e instalar niple para conectar bomba CI y manguera.</t>
  </si>
  <si>
    <t>JL.Barrera</t>
  </si>
  <si>
    <t>Comprar DIESEL 2 y confirmar capacidad del tanque.</t>
  </si>
  <si>
    <t>Comprar bomba manual para llenar tanque de combustible.</t>
  </si>
  <si>
    <t>Revisar Gabinete SSEE que se ha trasladado.</t>
  </si>
  <si>
    <t>3 hrs</t>
  </si>
  <si>
    <t>Prueba Arranque y curva</t>
  </si>
  <si>
    <t>Prueba de Bomba CI</t>
  </si>
  <si>
    <t>Problemas con Boya. Ver sistema de sensor de nivel y automización válvula.</t>
  </si>
  <si>
    <t>Reponer los colocados en caseta</t>
  </si>
  <si>
    <t>Se decide No instalar</t>
  </si>
  <si>
    <t>Revisión Plan General SISMO - ESSAC</t>
  </si>
  <si>
    <t>C.Navarro</t>
  </si>
  <si>
    <t>Implementar sistema de alarma en MCA</t>
  </si>
  <si>
    <t>Solicitar Cotizaciones alternas</t>
  </si>
  <si>
    <t>Generar Pedidos Servicios</t>
  </si>
  <si>
    <t>Revisión de plan de trabajo para instalación de tuberías</t>
  </si>
  <si>
    <t>Puesta en marcha</t>
  </si>
  <si>
    <t>Elaborar Plan auditorías</t>
  </si>
  <si>
    <t>Formar equipos auditorías</t>
  </si>
  <si>
    <t>Base datos formatos</t>
  </si>
  <si>
    <t>Auditoría registros</t>
  </si>
  <si>
    <t>Desarrollo auditorías</t>
  </si>
  <si>
    <t>Sistema evacuación MCA</t>
  </si>
  <si>
    <t>Compra Señaléctica</t>
  </si>
  <si>
    <t>Compra Luces emergencia</t>
  </si>
  <si>
    <t>Instalación Señaléctica</t>
  </si>
  <si>
    <t>Instalación Luces emergencia</t>
  </si>
  <si>
    <t>Luminarias</t>
  </si>
  <si>
    <t>Revisión de informe JJL</t>
  </si>
  <si>
    <t>Identificación de necesidades</t>
  </si>
  <si>
    <t>Compra Luminarias</t>
  </si>
  <si>
    <t>Instalación</t>
  </si>
  <si>
    <t>Implementación BASC MCA</t>
  </si>
  <si>
    <t>J.Briceño/M.De La Cruz</t>
  </si>
  <si>
    <t>Implementación Red CI Molinca</t>
  </si>
  <si>
    <t>Refuerzo Comp.Seguro, SBS, Autocuidado</t>
  </si>
  <si>
    <t>Actualizar Normas Contratistas</t>
  </si>
  <si>
    <t>Elaborar Manual Contratistas</t>
  </si>
  <si>
    <t>Versión 03 del Documento ALI-C-CP-E8-004 (Obselescencia de cartilla Uso EPP Contratista-Visitante)</t>
  </si>
  <si>
    <t>Reunión con proveedor Lunes 22/03 MCA</t>
  </si>
  <si>
    <t>Desarrollar plan de trabajo</t>
  </si>
  <si>
    <t>Presentado en Comité Ejecutivo de Febrero el 15/03</t>
  </si>
  <si>
    <t>Responsable de Area/J.Briceño</t>
  </si>
  <si>
    <t>Preparar Material</t>
  </si>
  <si>
    <t>Definir programa de charlas</t>
  </si>
  <si>
    <t>Dictado en MCA</t>
  </si>
  <si>
    <t>Dictado en MFA</t>
  </si>
  <si>
    <t>Dictado en MSR</t>
  </si>
  <si>
    <t>Falta instalación de Luz.</t>
  </si>
  <si>
    <t>SELIN</t>
  </si>
  <si>
    <t>Se tiene cotización de Telefónica, SAEG.  Se ha programado reunión con R.Alemán para revisar proyecto.</t>
  </si>
  <si>
    <t>Revisión del proyecto con R.Alemán</t>
  </si>
  <si>
    <t>R.Alemán/C.Navarro/J.Briceño</t>
  </si>
  <si>
    <t>Reprogramar fecha para después del curso Safestart.</t>
  </si>
  <si>
    <t>TSPM A MARZO 2010</t>
  </si>
  <si>
    <t>HH trabajadas (1 año)</t>
  </si>
  <si>
    <t>OSHA incident rate (1 año)</t>
  </si>
  <si>
    <t>Accid.Incapacitantes (1 año)</t>
  </si>
  <si>
    <t>Accid.Incapacitantes 2010</t>
  </si>
  <si>
    <t>Accid.DMR 2010</t>
  </si>
  <si>
    <t>Lesión Menor 2010</t>
  </si>
  <si>
    <t>Días de Descanso 2010</t>
  </si>
  <si>
    <t>Días de Descanso (1 año)</t>
  </si>
  <si>
    <t>Total accidentes (1 año)</t>
  </si>
  <si>
    <t xml:space="preserve">Comentarios Mol.Lima </t>
  </si>
  <si>
    <t>HH trabajadas 2010</t>
  </si>
  <si>
    <t>Ind.Frecuencia 2010</t>
  </si>
  <si>
    <t>Ind.Severidad 2010</t>
  </si>
  <si>
    <t>OSHA incident rate 2010</t>
  </si>
  <si>
    <t>IF</t>
  </si>
  <si>
    <t>IS</t>
  </si>
  <si>
    <t>Dias Perdidos</t>
  </si>
  <si>
    <t>Se presento plan de trabajo al comite ejecutivo (15/03). Se emitio nueva versi'on Normas Contratistas.</t>
  </si>
  <si>
    <t>Se termino prueba Hidrostatica de la Red a 150 PSI.</t>
  </si>
  <si>
    <t>Elaborando con ESSAC un plan de trabajo.</t>
  </si>
  <si>
    <t>Se tiene cotización de Telefónica, SAEG.  Se ha programado reunión con R.Alemán para revisar proyecto. Programada prox.semana reunion de revision de cotizaciones con proveedores y R.Aleman.</t>
  </si>
  <si>
    <t>Prox.Semana se inicio el pegado de se;alectica</t>
  </si>
  <si>
    <t>Se tiene cotizacion de ESSAC para Memoria Descriptiva.</t>
  </si>
  <si>
    <t>Auditorías internas Tri-norma Alicorp</t>
  </si>
  <si>
    <t>Se cuenta con Diagnostico inicial para MCA</t>
  </si>
  <si>
    <t>IGP´s</t>
  </si>
  <si>
    <t>%Cumplim.uso EPP</t>
  </si>
  <si>
    <t>Asist.Brig Total</t>
  </si>
  <si>
    <t>Uso EPP</t>
  </si>
  <si>
    <t>Indicador acum.anual</t>
  </si>
  <si>
    <t>Fiscalización Perm.Trabajo</t>
  </si>
  <si>
    <t xml:space="preserve">Total Asistencia Brigadas </t>
  </si>
  <si>
    <t>MSR: 19/04 y 26/04 de 04:00 a 05:00 pm.
MFA: 21/04 (02:00 a 03:00 pm y de 03:00 a 04:00 pm)
         22/04 (02:00 a 03:00 pm)
         28/04 (02:00 a 03:00 pm y de 03:00 a 04:00 pm)
MCA: 03/05 8:00  a 09:30 pm
          26/04 05:00  a 06:00 pm
          03/05 05:00  a 06:00 pm 
Se modificar'a material de acuerdo a revision con C.Navarro. La charla se acomp;ar'a con un video (Rudi)</t>
  </si>
  <si>
    <t>Se envió Manual corregido a C.Navarro</t>
  </si>
  <si>
    <t>Se acordaron cambios en reunión.</t>
  </si>
  <si>
    <t>Revisar sistema de control acceso</t>
  </si>
  <si>
    <t>Charlas Resultados CP 2009 al personal</t>
  </si>
  <si>
    <t>Ya se tiene IPER de LIMTEK para MFA . Se han definido Reglas Generales y Específicas por áreas. Trabajándose para MCA y MSR.</t>
  </si>
  <si>
    <t>Se presentó propuesta nuevo formato. Prueba piloto Junio Lab.Copsa</t>
  </si>
  <si>
    <t>Se definieron cambios con Sup.Mnto 11/06</t>
  </si>
  <si>
    <t>Se contacto con Programadora (Soledad Castañeda) para reunirnos y revisar sistema</t>
  </si>
  <si>
    <t xml:space="preserve">Viernes 18/06 se termina piloto de nueva metodología IPER (Lab.Copsa).
Se han definido Reglas Generales y Específicas por áreas del MFA para el personal LIMTEK.
</t>
  </si>
  <si>
    <t>Fiscalización PT</t>
  </si>
  <si>
    <t>Incapacitantes</t>
  </si>
  <si>
    <t>DMR</t>
  </si>
  <si>
    <t>Menores</t>
  </si>
  <si>
    <t>Objetivo</t>
  </si>
  <si>
    <t>Accidentes</t>
  </si>
  <si>
    <t xml:space="preserve">Ene </t>
  </si>
  <si>
    <t>OSHA</t>
  </si>
  <si>
    <t>Indicadores</t>
  </si>
  <si>
    <r>
      <t>IF</t>
    </r>
    <r>
      <rPr>
        <sz val="8"/>
        <color indexed="8"/>
        <rFont val="Arial"/>
        <family val="2"/>
      </rPr>
      <t xml:space="preserve"> (Incapac.+DMR)</t>
    </r>
  </si>
  <si>
    <t>HH</t>
  </si>
  <si>
    <t>Incap+DMR</t>
  </si>
  <si>
    <t>MOL.LIMA</t>
  </si>
  <si>
    <t>Incapac</t>
  </si>
  <si>
    <t>4.77 - 5.57</t>
  </si>
  <si>
    <t>54.10 - 119.3</t>
  </si>
  <si>
    <t>2.39 - 2.55</t>
  </si>
  <si>
    <t>0.72 - 2.16</t>
  </si>
  <si>
    <t>0.00 - 90.19</t>
  </si>
  <si>
    <t>0.00 - 3.61</t>
  </si>
  <si>
    <t>2.56 - 7.69</t>
  </si>
  <si>
    <t>64.1 - 192.4</t>
  </si>
  <si>
    <t>2.56 - 5.13</t>
  </si>
  <si>
    <t>3.39 - 6.78</t>
  </si>
  <si>
    <t>84.8 - 169.6</t>
  </si>
  <si>
    <t>1.7 - 2.37</t>
  </si>
  <si>
    <t>Asist.Director Control</t>
  </si>
  <si>
    <t>Director Control -Asistencia</t>
  </si>
  <si>
    <t>IGP`s</t>
  </si>
  <si>
    <t>DIAS P</t>
  </si>
  <si>
    <t>Total accid</t>
  </si>
  <si>
    <t>19 PEND. 7 EXT.</t>
  </si>
  <si>
    <t>Accid.Incap+DMR Terc</t>
  </si>
  <si>
    <t>PROYECTADO 2010</t>
  </si>
  <si>
    <t>ACUMULADO 2010</t>
  </si>
  <si>
    <t>DIC09 - NOV10</t>
  </si>
  <si>
    <t>MOL</t>
  </si>
  <si>
    <t>INCAPACIT</t>
  </si>
  <si>
    <t>MENOR</t>
  </si>
  <si>
    <t>Acumulado</t>
  </si>
  <si>
    <t>obj 2010</t>
  </si>
  <si>
    <t>Mol.Lima</t>
  </si>
  <si>
    <t>Var.HH vs 2009</t>
  </si>
  <si>
    <t>ÍNDICE DE FRECUENCIA (Incap+DMR)</t>
  </si>
  <si>
    <t>INDICE FRECUENCIA (Incapacitante)</t>
  </si>
  <si>
    <t>ALICORP + MOLINCA</t>
  </si>
  <si>
    <t xml:space="preserve">HORAS TRABAJADAS 
</t>
  </si>
  <si>
    <t>1155 - 375</t>
  </si>
  <si>
    <t>104 - 50</t>
  </si>
  <si>
    <t>89 - 29</t>
  </si>
  <si>
    <t>2.4 - 1.0</t>
  </si>
  <si>
    <t>4.4 - 1.6</t>
  </si>
  <si>
    <t>3.6 - 1.0</t>
  </si>
  <si>
    <t>Acumulado Anual</t>
  </si>
  <si>
    <t>Proyectado 2011</t>
  </si>
  <si>
    <t>Real 2010</t>
  </si>
  <si>
    <t>Feb10 -Ene11</t>
  </si>
  <si>
    <t>47 - 13</t>
  </si>
  <si>
    <t>10 - 8</t>
  </si>
  <si>
    <t>Objetivo Prel.2011</t>
  </si>
  <si>
    <t>A partir del -&gt;</t>
  </si>
  <si>
    <t xml:space="preserve">Planta </t>
  </si>
  <si>
    <t>Fecha Accidente Incapacitante y Relativos</t>
  </si>
  <si>
    <t>Días sin Accidentes</t>
  </si>
  <si>
    <t>Días Perdidos</t>
  </si>
  <si>
    <t>MTBA</t>
  </si>
  <si>
    <t>MTTR</t>
  </si>
  <si>
    <t>TotalAlicorp</t>
  </si>
  <si>
    <t>Fecha Último Accidente con Tiempo Pérdido</t>
  </si>
  <si>
    <t>Tiempo Record sin Accidentes con Tiempo Pérdido</t>
  </si>
  <si>
    <t>Tiempo a la fecha sin Accidentes con Tiempo Pérdido</t>
  </si>
  <si>
    <t>En días</t>
  </si>
  <si>
    <t>En horas</t>
  </si>
  <si>
    <t>promedio</t>
  </si>
  <si>
    <t>Por planta o almacen</t>
  </si>
  <si>
    <t>Horas x día</t>
  </si>
  <si>
    <t>HELADOS LAMBORGINI</t>
  </si>
  <si>
    <t>ESKIMO - ECUADOR</t>
  </si>
  <si>
    <t>GARIN - ARGENTINA</t>
  </si>
  <si>
    <t>SAN JUSTO - ARGENTINA</t>
  </si>
  <si>
    <t>SAN JUAN - ARGENTINA</t>
  </si>
  <si>
    <t>BOGOTA - COLOMBIA</t>
  </si>
  <si>
    <t>200,</t>
  </si>
  <si>
    <t>1'000</t>
  </si>
  <si>
    <t>2'000</t>
  </si>
  <si>
    <t>4'000</t>
  </si>
  <si>
    <t>8'000</t>
  </si>
  <si>
    <t>RECONOCIMIENTOS</t>
  </si>
  <si>
    <t>x</t>
  </si>
  <si>
    <t>Del 01/01/2007 al 31/12/2010</t>
  </si>
  <si>
    <t>Del 01/01/2007 al 31/01/2011</t>
  </si>
  <si>
    <t>MOLINO TRUJILLO</t>
  </si>
  <si>
    <t>MOLINO PAITA</t>
  </si>
  <si>
    <t>Molinca</t>
  </si>
  <si>
    <t>MOL.CALLAO</t>
  </si>
  <si>
    <t>MOL.STA.ROSA</t>
  </si>
  <si>
    <t>MOL.FAUCETT</t>
  </si>
  <si>
    <t>7.3 - 2.9</t>
  </si>
  <si>
    <t>153 - 51</t>
  </si>
  <si>
    <t>2.8 - 1.0</t>
  </si>
  <si>
    <t>10 - 4</t>
  </si>
  <si>
    <t>0</t>
  </si>
  <si>
    <t>9 - 3</t>
  </si>
  <si>
    <t>210 - 70</t>
  </si>
  <si>
    <t>4 - 2</t>
  </si>
  <si>
    <t>3 - 1</t>
  </si>
  <si>
    <t>80 - 40</t>
  </si>
  <si>
    <t>6.3 - 3.1</t>
  </si>
  <si>
    <t>126 - 63</t>
  </si>
  <si>
    <t>2.2 - 0.9</t>
  </si>
  <si>
    <t>2 - 0</t>
  </si>
  <si>
    <t>40 - 0</t>
  </si>
  <si>
    <t>7.1 - 0.0</t>
  </si>
  <si>
    <t>142 - 0</t>
  </si>
  <si>
    <t>3.5 - 0.7</t>
  </si>
  <si>
    <t>90 - 30</t>
  </si>
  <si>
    <t>8.8 - 4.4</t>
  </si>
  <si>
    <t>198 - 66</t>
  </si>
  <si>
    <t>3.1 - 1.3</t>
  </si>
  <si>
    <t>Acum.2011</t>
  </si>
  <si>
    <t>7 - 3</t>
  </si>
  <si>
    <t>5 - 1</t>
  </si>
  <si>
    <t>0 - 0</t>
  </si>
  <si>
    <t>161 - 71</t>
  </si>
  <si>
    <t>HELADOS</t>
  </si>
  <si>
    <t>FID.ALIANZA</t>
  </si>
  <si>
    <t>FID.LIMA</t>
  </si>
  <si>
    <t>1 - 1</t>
  </si>
  <si>
    <t>50 - 0</t>
  </si>
  <si>
    <t>3.7 - 0.0</t>
  </si>
  <si>
    <t>92 - 0</t>
  </si>
  <si>
    <t>1.8 - 0.4</t>
  </si>
  <si>
    <t>7.4 - 3.7</t>
  </si>
  <si>
    <t>148 - 74</t>
  </si>
  <si>
    <t>2.2 - 0.7</t>
  </si>
  <si>
    <t>1 -1</t>
  </si>
  <si>
    <t>NAL</t>
  </si>
  <si>
    <t>GALLETERIA</t>
  </si>
  <si>
    <t>INSTANTANEOS</t>
  </si>
  <si>
    <t>DISTRIBUCIÓN</t>
  </si>
  <si>
    <t>Proy 2011</t>
  </si>
  <si>
    <t>ISTANTANEOS</t>
  </si>
  <si>
    <t>60 - 0</t>
  </si>
  <si>
    <t>8.1 - 4.1</t>
  </si>
  <si>
    <t xml:space="preserve">INSTANTANEOS </t>
  </si>
  <si>
    <t>GAL. TRUJILLO</t>
  </si>
  <si>
    <t>GALL. TRUJILLO</t>
  </si>
  <si>
    <t>Min</t>
  </si>
  <si>
    <t>Esp</t>
  </si>
  <si>
    <t>Màx</t>
  </si>
  <si>
    <t xml:space="preserve">IS </t>
  </si>
  <si>
    <t>ALICORP+MOLINCA</t>
  </si>
  <si>
    <t>IF (Incap+DMR)</t>
  </si>
  <si>
    <t>2.5 - 1.3</t>
  </si>
  <si>
    <t>FIDEERÍA LIMA</t>
  </si>
  <si>
    <t>Copsa</t>
  </si>
  <si>
    <t>Administración</t>
  </si>
  <si>
    <t>Bal.Trujillo</t>
  </si>
  <si>
    <t>Mol.Sta.Rosa</t>
  </si>
  <si>
    <t>Mol.Faucett</t>
  </si>
  <si>
    <t>Fid.Lima</t>
  </si>
  <si>
    <t>APT</t>
  </si>
  <si>
    <t>Producción</t>
  </si>
  <si>
    <t>APT-LIMTEK</t>
  </si>
  <si>
    <t>Centro Innovación</t>
  </si>
  <si>
    <t>Mayonesa y Salsas</t>
  </si>
  <si>
    <t>Desarrollo</t>
  </si>
  <si>
    <t>Proy.Infraest-Tercero</t>
  </si>
  <si>
    <t>Margarinas</t>
  </si>
  <si>
    <t>Planta</t>
  </si>
  <si>
    <t>Area</t>
  </si>
  <si>
    <t>Cant.Accid.</t>
  </si>
  <si>
    <t>Alm.Insumos-Tercero</t>
  </si>
  <si>
    <t>Detergente-Orus</t>
  </si>
  <si>
    <t>Galletería</t>
  </si>
  <si>
    <t>Cant.accid</t>
  </si>
  <si>
    <t>Distribución</t>
  </si>
  <si>
    <t>Incapac+DMR 2009</t>
  </si>
  <si>
    <t>Incapac+DMR 2010-2011</t>
  </si>
  <si>
    <t>Sidsur</t>
  </si>
  <si>
    <t>Mol.Victoria</t>
  </si>
  <si>
    <t>Horas/año</t>
  </si>
  <si>
    <t>Mol.Trujillo</t>
  </si>
  <si>
    <t>31</t>
  </si>
  <si>
    <t>7</t>
  </si>
  <si>
    <t>41</t>
  </si>
  <si>
    <t>79</t>
  </si>
  <si>
    <t>375</t>
  </si>
  <si>
    <t>2.9</t>
  </si>
  <si>
    <t>1.1</t>
  </si>
  <si>
    <t>54</t>
  </si>
  <si>
    <t>1</t>
  </si>
  <si>
    <t>4</t>
  </si>
  <si>
    <t>6</t>
  </si>
  <si>
    <t>10 - 6</t>
  </si>
  <si>
    <t>105 - 35</t>
  </si>
  <si>
    <t>2</t>
  </si>
  <si>
    <t>3</t>
  </si>
  <si>
    <t>35</t>
  </si>
  <si>
    <t>35-105</t>
  </si>
  <si>
    <t xml:space="preserve"> 2.9</t>
  </si>
  <si>
    <t>4.8 - 2.9</t>
  </si>
  <si>
    <t>100 - 33</t>
  </si>
  <si>
    <t>33</t>
  </si>
  <si>
    <t>1.3</t>
  </si>
  <si>
    <t>68 - 0</t>
  </si>
  <si>
    <t>3.6 - 1.4</t>
  </si>
  <si>
    <t>1.4</t>
  </si>
  <si>
    <t>2.3 - 0</t>
  </si>
  <si>
    <t>213 - 71</t>
  </si>
  <si>
    <t>3.2 - 1.2</t>
  </si>
  <si>
    <t>1.2</t>
  </si>
  <si>
    <t>71</t>
  </si>
  <si>
    <t>4.1</t>
  </si>
  <si>
    <t>15 - 9</t>
  </si>
  <si>
    <t>9</t>
  </si>
  <si>
    <t>GALLETERA TRUJILLO</t>
  </si>
  <si>
    <t>Mol.Callao</t>
  </si>
  <si>
    <t>Producción-LIMTEK</t>
  </si>
  <si>
    <t>40</t>
  </si>
  <si>
    <t>Grafico acumulado</t>
  </si>
  <si>
    <t xml:space="preserve">Abr </t>
  </si>
  <si>
    <t>+ 2 accid/Mes</t>
  </si>
  <si>
    <t>+ 3 accid/Mes</t>
  </si>
  <si>
    <t>+ 4 accid/Mes</t>
  </si>
  <si>
    <t>Proyección 2011</t>
  </si>
  <si>
    <t>+ 0 accid/Mes</t>
  </si>
  <si>
    <t>Calixto</t>
  </si>
  <si>
    <t>CD</t>
  </si>
  <si>
    <t>Detergentes</t>
  </si>
  <si>
    <t>Fid.Alianza</t>
  </si>
  <si>
    <t>Breña</t>
  </si>
  <si>
    <t xml:space="preserve"> 0</t>
  </si>
  <si>
    <t xml:space="preserve"> 2</t>
  </si>
  <si>
    <t>3.2</t>
  </si>
  <si>
    <t xml:space="preserve"> 0.6</t>
  </si>
  <si>
    <t>Alicorp+Molinca</t>
  </si>
  <si>
    <t>Alcorp + Molinca</t>
  </si>
  <si>
    <t>Copsa Comedor-Tercero</t>
  </si>
  <si>
    <t>Fid.Alianza-Cocina-Tercero</t>
  </si>
  <si>
    <t xml:space="preserve">Molienda </t>
  </si>
  <si>
    <t>Refinería - LIMTEK CDC</t>
  </si>
  <si>
    <t>Galletera Trujillo</t>
  </si>
  <si>
    <t>0.6</t>
  </si>
  <si>
    <t xml:space="preserve"> 0.0</t>
  </si>
  <si>
    <t>Area de Resp.</t>
  </si>
  <si>
    <t>Set 10 - Ago 11</t>
  </si>
  <si>
    <t>+ 2 accid</t>
  </si>
  <si>
    <t>+ 3 accid</t>
  </si>
  <si>
    <t>Nov 10 - Oct 11</t>
  </si>
  <si>
    <t>GALLETERA</t>
  </si>
  <si>
    <t>INSTANTÁNEOS</t>
  </si>
  <si>
    <t>Set</t>
  </si>
  <si>
    <t>menor alicorp</t>
  </si>
  <si>
    <t>menor Molinca</t>
  </si>
  <si>
    <t>Acum.2012</t>
  </si>
  <si>
    <t>411,691</t>
  </si>
  <si>
    <r>
      <t>IF</t>
    </r>
    <r>
      <rPr>
        <sz val="8"/>
        <color indexed="8"/>
        <rFont val="Arial"/>
        <family val="2"/>
      </rPr>
      <t xml:space="preserve"> </t>
    </r>
  </si>
  <si>
    <t>2.0</t>
  </si>
  <si>
    <t>0.5</t>
  </si>
  <si>
    <t>Proyectos</t>
  </si>
  <si>
    <t>Abr 11 - Mar 12</t>
  </si>
  <si>
    <t>if</t>
  </si>
  <si>
    <t>OBJ</t>
  </si>
  <si>
    <t>II Sem 11</t>
  </si>
  <si>
    <t>Relac.Laboral</t>
  </si>
  <si>
    <t>Mantenimiento</t>
  </si>
  <si>
    <t>falta molinca</t>
  </si>
  <si>
    <t>Activ.Productivas</t>
  </si>
  <si>
    <t>Desplazamientos</t>
  </si>
  <si>
    <t xml:space="preserve">Carga/Descarga </t>
  </si>
  <si>
    <t>Mnto/Proyectos</t>
  </si>
  <si>
    <t>Otras actividades</t>
  </si>
  <si>
    <t>Ventas</t>
  </si>
  <si>
    <r>
      <rPr>
        <b/>
        <sz val="10"/>
        <color indexed="8"/>
        <rFont val="Arial"/>
        <family val="2"/>
      </rPr>
      <t>IF</t>
    </r>
    <r>
      <rPr>
        <b/>
        <sz val="8"/>
        <color indexed="8"/>
        <rFont val="Arial"/>
        <family val="2"/>
      </rPr>
      <t xml:space="preserve"> </t>
    </r>
    <r>
      <rPr>
        <sz val="8"/>
        <color indexed="8"/>
        <rFont val="Arial"/>
        <family val="2"/>
      </rPr>
      <t>(Incapac.+DMR)</t>
    </r>
  </si>
  <si>
    <r>
      <rPr>
        <b/>
        <sz val="10"/>
        <color indexed="8"/>
        <rFont val="Arial"/>
        <family val="2"/>
      </rPr>
      <t>IF</t>
    </r>
    <r>
      <rPr>
        <sz val="8"/>
        <color indexed="8"/>
        <rFont val="Arial"/>
        <family val="2"/>
      </rPr>
      <t xml:space="preserve"> (Incapac.+DMR)</t>
    </r>
  </si>
  <si>
    <t>oct</t>
  </si>
  <si>
    <t>Con cargos Ansi</t>
  </si>
  <si>
    <t>Alm.Insumos</t>
  </si>
  <si>
    <t>Incluye Molinica</t>
  </si>
  <si>
    <t>Proy 2012</t>
  </si>
  <si>
    <t>Ene-Nov 12</t>
  </si>
  <si>
    <t>accidentabilidad</t>
  </si>
  <si>
    <t>FIDEERÍAS LIMA</t>
  </si>
  <si>
    <t>COPSA+BAL.LIMA</t>
  </si>
  <si>
    <t>DESARROLLO TECNOLOGICO</t>
  </si>
  <si>
    <t xml:space="preserve">TEAL </t>
  </si>
  <si>
    <t>INCALSA</t>
  </si>
  <si>
    <t>Incapacitantes+DMR</t>
  </si>
  <si>
    <t>Dias Perdidos+Ansi</t>
  </si>
  <si>
    <t>MENSUAL</t>
  </si>
  <si>
    <t>ACUMULADO</t>
  </si>
  <si>
    <t>IA</t>
  </si>
  <si>
    <t>MOL. SANTA ROSA</t>
  </si>
  <si>
    <t xml:space="preserve">MOL. FAUCETT </t>
  </si>
  <si>
    <t xml:space="preserve">MOL. CALLAO </t>
  </si>
  <si>
    <t>FIDEERIA LIMA</t>
  </si>
  <si>
    <t>FIDEERIA ALIANZA</t>
  </si>
  <si>
    <t>COPSA+BAL LIMA</t>
  </si>
  <si>
    <t>TEAL</t>
  </si>
  <si>
    <t>MOL.STA ROSA</t>
  </si>
  <si>
    <t>MOL. CALLAO</t>
  </si>
  <si>
    <t xml:space="preserve">FIDEERIA ALIANZA </t>
  </si>
  <si>
    <t xml:space="preserve">SIDSUR </t>
  </si>
  <si>
    <t>RELACION LABORAL</t>
  </si>
  <si>
    <t>DISTRBUCION LIMA</t>
  </si>
  <si>
    <t>ADMINISTRACION</t>
  </si>
  <si>
    <t>Acum.2013</t>
  </si>
  <si>
    <t>Obj a Feb</t>
  </si>
  <si>
    <t>2013</t>
  </si>
  <si>
    <t>DISTRIBUCION LIMA</t>
  </si>
  <si>
    <t>DISTRIBUCION PROVINCIAS</t>
  </si>
  <si>
    <t>RELACIONES LABORALES</t>
  </si>
  <si>
    <t>Marzo12-Feb13</t>
  </si>
  <si>
    <t>DP</t>
  </si>
  <si>
    <t>IO</t>
  </si>
  <si>
    <t>Obj</t>
  </si>
  <si>
    <t>Plan de Acción</t>
  </si>
  <si>
    <t>Estado</t>
  </si>
  <si>
    <t>Difusión del accidente</t>
  </si>
  <si>
    <t>S. Galvez</t>
  </si>
  <si>
    <t>Finalizado</t>
  </si>
  <si>
    <t>Fecha de Finalización</t>
  </si>
  <si>
    <t>Realizar la pasantía de seguridad al personal para concientizar que la prisa es un factor de riesgo.</t>
  </si>
  <si>
    <t xml:space="preserve">Agregar en Cartilla de Seguridad y SMAD, reglas: “Altura máxima para el traslado: 9 pallet” y “ Altura máxima para almacenaje en patio de maniobras: 18 pallet”. </t>
  </si>
  <si>
    <t>Asignar zona de pallet vacíos de altura 5 de alto, con lo cual se evitara el ingreso del montacargas al APT con pallet a más de 5 pallet de altura.</t>
  </si>
  <si>
    <t xml:space="preserve">Colocar  señalética – carteles en cada almacén de las reglas de altura máxima de pallet para manipuleo. </t>
  </si>
  <si>
    <t>S. Galvez/Jefes de Almacén</t>
  </si>
  <si>
    <t>Pendiente</t>
  </si>
  <si>
    <t>Elaborar procedimiento para el ingreso del personal de Limtek  a realizar funciones de limpieza dentro de almacenes.</t>
  </si>
  <si>
    <t>Elaborar un Manual de Uso y Manejo de Montacargas</t>
  </si>
  <si>
    <t>S. Galvez/Seg. Industrial</t>
  </si>
  <si>
    <t>LESION INCAPACITANTE</t>
  </si>
  <si>
    <t>LESIONES CON DMR</t>
  </si>
  <si>
    <t>LESION NO INCAPACITANTE</t>
  </si>
  <si>
    <t>DIAS PERDIDOS</t>
  </si>
  <si>
    <t>Mar 12 - Feb 13</t>
  </si>
  <si>
    <t>2012</t>
  </si>
  <si>
    <t>2'444,527</t>
  </si>
  <si>
    <t>2'428,106</t>
  </si>
  <si>
    <t>2.5</t>
  </si>
  <si>
    <t>49</t>
  </si>
  <si>
    <t>Abr12-Mar13</t>
  </si>
  <si>
    <t>DM</t>
  </si>
  <si>
    <t>dias sin accidentes incapacit</t>
  </si>
  <si>
    <t>año</t>
  </si>
  <si>
    <t>Cant.accid.</t>
  </si>
  <si>
    <t>Lima</t>
  </si>
  <si>
    <t>AQP</t>
  </si>
  <si>
    <t>TRJ</t>
  </si>
  <si>
    <t>Costo/Accid</t>
  </si>
  <si>
    <t>San Gabriel</t>
  </si>
  <si>
    <t>Hogar San Juan</t>
  </si>
  <si>
    <t>Clinica Sanchez</t>
  </si>
  <si>
    <t>mes</t>
  </si>
  <si>
    <t>INDICE DE ACCIDENTABILIDAD</t>
  </si>
  <si>
    <t>May12 - Abril 13</t>
  </si>
  <si>
    <t>0.1</t>
  </si>
  <si>
    <t>51</t>
  </si>
  <si>
    <t>1.0</t>
  </si>
  <si>
    <t>20</t>
  </si>
  <si>
    <t>Octubre</t>
  </si>
  <si>
    <t>Proyección 2013</t>
  </si>
  <si>
    <t>+ 5 accid/Mes</t>
  </si>
  <si>
    <t>ÍNDICE DE FRECUENCIA</t>
  </si>
  <si>
    <t>*No se considera gasto de S/.23,664 Operación de CLJ recién ingresado (1 mes) sin seguro aún (Mayo)</t>
  </si>
  <si>
    <t>Propio</t>
  </si>
  <si>
    <t>Terceros</t>
  </si>
  <si>
    <t>Obj a Ago</t>
  </si>
  <si>
    <t>49 - 41</t>
  </si>
  <si>
    <t>980 - 820</t>
  </si>
  <si>
    <t>Proy 2013</t>
  </si>
  <si>
    <t>3.8 - 3.2</t>
  </si>
  <si>
    <t>76 - 64</t>
  </si>
  <si>
    <t>0.29 - 0.20</t>
  </si>
  <si>
    <t>Set12-Ago13</t>
  </si>
  <si>
    <t>Limtek</t>
  </si>
  <si>
    <t>120 - 20</t>
  </si>
  <si>
    <t>4.0 - 0.7</t>
  </si>
  <si>
    <t>80 - 13</t>
  </si>
  <si>
    <t>0.32 - 0.01</t>
  </si>
  <si>
    <t>60 - 20</t>
  </si>
  <si>
    <t>5.6 - 1.9</t>
  </si>
  <si>
    <t>112 - 37</t>
  </si>
  <si>
    <t>0.63 - 0.07</t>
  </si>
  <si>
    <t>Acum. 2013</t>
  </si>
  <si>
    <t>2.7 - 0.0</t>
  </si>
  <si>
    <t>54 - 0</t>
  </si>
  <si>
    <t>0.15 - 0.0</t>
  </si>
  <si>
    <t>1 - 0</t>
  </si>
  <si>
    <t>20 - 0</t>
  </si>
  <si>
    <t>4.4 - 0.0</t>
  </si>
  <si>
    <t>89 - 0</t>
  </si>
  <si>
    <t>0.39 - 0.0</t>
  </si>
  <si>
    <t>6 - 1</t>
  </si>
  <si>
    <t>SIDSUR+MAQ</t>
  </si>
  <si>
    <t>DETERGENT.RIMAC</t>
  </si>
  <si>
    <t>DISTRIBUCION</t>
  </si>
  <si>
    <t>GALLET.CALLAO</t>
  </si>
  <si>
    <t>INSTANTAN.LIMA</t>
  </si>
  <si>
    <t>MOL.STA. ROSA</t>
  </si>
  <si>
    <t>MOLINO CALLAO</t>
  </si>
  <si>
    <t>MOLINO FAUCETT</t>
  </si>
  <si>
    <t>PLANEAMIENTO</t>
  </si>
  <si>
    <t>SEGURIDAD INDUSTRIAL</t>
  </si>
  <si>
    <t>Dic12-Nov13</t>
  </si>
  <si>
    <t>2012 TEAL</t>
  </si>
  <si>
    <t>HORAS HOMBRE</t>
  </si>
  <si>
    <t>2013 TEAL+INCALSA</t>
  </si>
  <si>
    <t>Altura</t>
  </si>
  <si>
    <t>CD Cuzco</t>
  </si>
  <si>
    <t>CD Huánuco</t>
  </si>
  <si>
    <t>Ofic.Vta Pro-Oriente Pucallpa</t>
  </si>
  <si>
    <t>06.04.2013</t>
  </si>
  <si>
    <t>Sidsur + Ofic.Vtas</t>
  </si>
  <si>
    <t>14.06.2013</t>
  </si>
  <si>
    <t>Molino Arequipa</t>
  </si>
  <si>
    <t>Ofic.Vtas Cuzco</t>
  </si>
  <si>
    <t>28.09.2013</t>
  </si>
  <si>
    <t>CD Trujillo</t>
  </si>
  <si>
    <t>CD Huaraz</t>
  </si>
  <si>
    <t>30.12.2013</t>
  </si>
  <si>
    <t>23.01.2014</t>
  </si>
  <si>
    <t>Fideería Alianza</t>
  </si>
  <si>
    <t>12.04.2014</t>
  </si>
  <si>
    <t>Fideería Lima</t>
  </si>
  <si>
    <t>07.05.2014</t>
  </si>
  <si>
    <t>Dep.Mco.Capac</t>
  </si>
  <si>
    <t>28.05.2014</t>
  </si>
  <si>
    <t>Copsa-Balanceados</t>
  </si>
  <si>
    <t>01.06.2014</t>
  </si>
  <si>
    <t>Galletería Lima</t>
  </si>
  <si>
    <t>Planta  Breña</t>
  </si>
  <si>
    <t>20.06.2014</t>
  </si>
  <si>
    <t>Jun.2014</t>
  </si>
  <si>
    <t>Ofic.Vtas Huancayo</t>
  </si>
  <si>
    <t>24.06.2014</t>
  </si>
  <si>
    <t>05.07.2014</t>
  </si>
  <si>
    <t>06.07.2014</t>
  </si>
  <si>
    <t>Edif.Central</t>
  </si>
  <si>
    <t>09.07.2014</t>
  </si>
  <si>
    <t>CD Tarapoto</t>
  </si>
  <si>
    <t>19.07.2014</t>
  </si>
  <si>
    <t>Mol.Trujillo- MOLINCA</t>
  </si>
  <si>
    <t>23.08.2014</t>
  </si>
  <si>
    <t>Nut.Animal Trujillo</t>
  </si>
  <si>
    <t>24.09.2014</t>
  </si>
  <si>
    <t>CD Chiclayo</t>
  </si>
  <si>
    <t>27.09.2014</t>
  </si>
  <si>
    <t>11.10.2014</t>
  </si>
  <si>
    <t>Of.Vtas Chiclayo</t>
  </si>
  <si>
    <t>16.10.2014</t>
  </si>
  <si>
    <t>CD Piura</t>
  </si>
  <si>
    <t>19.11.2014</t>
  </si>
  <si>
    <t>18.12.2014</t>
  </si>
  <si>
    <t>Galletería-MOLINCA</t>
  </si>
  <si>
    <t>03.01.2015</t>
  </si>
  <si>
    <t>31.01.2015</t>
  </si>
  <si>
    <t>Pta.Arroz</t>
  </si>
  <si>
    <t>05.03.2015</t>
  </si>
  <si>
    <t>Alm.Trigo (Jr.Loreto)</t>
  </si>
  <si>
    <t>04.04.2015</t>
  </si>
  <si>
    <t>Mol.Paita-MOLINCA</t>
  </si>
  <si>
    <t>20.06.2015</t>
  </si>
  <si>
    <t>CD Pucallpa</t>
  </si>
  <si>
    <t>16.07.2015</t>
  </si>
  <si>
    <t xml:space="preserve">Ago </t>
  </si>
  <si>
    <t>Vencido</t>
  </si>
  <si>
    <t>No tiene</t>
  </si>
  <si>
    <t>Detergentes (Rimac)</t>
  </si>
  <si>
    <t>Observaciones</t>
  </si>
  <si>
    <t>05.09.2015</t>
  </si>
  <si>
    <t>Fecha de Vencimiento</t>
  </si>
  <si>
    <t>El 31/01 se realizó la Inspección INDECI; levantando los Hallazgos. A la espera de Informe.</t>
  </si>
  <si>
    <t>Por confirmar.</t>
  </si>
  <si>
    <t>PREDIOS</t>
  </si>
  <si>
    <t>TOTAL PERU</t>
  </si>
  <si>
    <t>Días con Descansos Médicos</t>
  </si>
  <si>
    <t>OBJ 2014</t>
  </si>
  <si>
    <t>Acum.anual</t>
  </si>
  <si>
    <t>Horas Hombre Enero (propios, terceros y administrativos al 100%).</t>
  </si>
  <si>
    <t>Cantidad Accidentes (con descansos médicos &gt;24 hrs).</t>
  </si>
  <si>
    <t>Inspecciones Generales Planeadas</t>
  </si>
  <si>
    <t>Programadas</t>
  </si>
  <si>
    <t>Realizadas</t>
  </si>
  <si>
    <t>Permisos Trabajo Emitidos</t>
  </si>
  <si>
    <t>Caliente</t>
  </si>
  <si>
    <t>Espacio confinado</t>
  </si>
  <si>
    <t>En Frío</t>
  </si>
  <si>
    <t>Eléctricos</t>
  </si>
  <si>
    <t>Trabajo Provisionales</t>
  </si>
  <si>
    <t>Permisos Trabajo Observados (Falta de firmas, trabajos paralizados etc)</t>
  </si>
  <si>
    <t>En Caliente</t>
  </si>
  <si>
    <t>En Altura</t>
  </si>
  <si>
    <t>En Espacios Confinados</t>
  </si>
  <si>
    <t>STA AMALIA</t>
  </si>
  <si>
    <t>ARGENTINA</t>
  </si>
  <si>
    <t>ECUADOR</t>
  </si>
  <si>
    <t>CHILE</t>
  </si>
  <si>
    <t>PERMISOS DE TRABAJOS</t>
  </si>
  <si>
    <t>PLANTA</t>
  </si>
  <si>
    <t>ASIST</t>
  </si>
  <si>
    <t>APRO</t>
  </si>
  <si>
    <t>DESA</t>
  </si>
  <si>
    <t>FALTO</t>
  </si>
  <si>
    <t>%APROB</t>
  </si>
  <si>
    <t>APRB</t>
  </si>
  <si>
    <t>BALANC.LIMA</t>
  </si>
  <si>
    <t>Total general</t>
  </si>
  <si>
    <t>Falta incluir: Trab.En Caliente (Resp.Area)</t>
  </si>
  <si>
    <t>Falta dictar: Arequipa, Trujillo</t>
  </si>
  <si>
    <t>Argentina</t>
  </si>
  <si>
    <t>EN CALIENTE ESPECIALISTA</t>
  </si>
  <si>
    <t>EN ESPACIOS CONFINADOS</t>
  </si>
  <si>
    <t>EN ALTURA</t>
  </si>
  <si>
    <t>MOVIM.MECANICO CARGAS</t>
  </si>
  <si>
    <t>21.01.2016</t>
  </si>
  <si>
    <t>PROGRAMA CERTIFICACION INDECI 2014</t>
  </si>
  <si>
    <t>Resanaron paredes;  se prevee este mes 2nda inspección INDECI.</t>
  </si>
  <si>
    <t>El 12/06/2013 se presentó el expediente.  A la espera de su inspección.</t>
  </si>
  <si>
    <t>Se prevee entregar expediente la semana del 24/03</t>
  </si>
  <si>
    <t>Se prevee presentar expediente esta semana (10/03)</t>
  </si>
  <si>
    <t>Solciitando documentos para preparar expediente</t>
  </si>
  <si>
    <t>Se encuentra en CD Pucallpa</t>
  </si>
  <si>
    <t>En trámite</t>
  </si>
  <si>
    <t>NO VA</t>
  </si>
  <si>
    <t>Almacén Trigo - Paz Soldán 500</t>
  </si>
  <si>
    <t>Almacén Trigo (Paz Soldán 600 )</t>
  </si>
  <si>
    <t>21.02.2016</t>
  </si>
  <si>
    <t>Otros</t>
  </si>
  <si>
    <t>IGP</t>
  </si>
  <si>
    <t>Reportes Personal</t>
  </si>
  <si>
    <t>EPP</t>
  </si>
  <si>
    <t>Comité Paritario SST</t>
  </si>
  <si>
    <t>IPER</t>
  </si>
  <si>
    <t>Permisos Trabajo</t>
  </si>
  <si>
    <t>Inspección Pre-uso</t>
  </si>
  <si>
    <t>Instructivos Trabajo</t>
  </si>
  <si>
    <t>Reglas Generales</t>
  </si>
  <si>
    <t>Reglas Especificas</t>
  </si>
  <si>
    <t>Higiene Industrial</t>
  </si>
  <si>
    <t>Comportamiento Seguro</t>
  </si>
  <si>
    <t>Orden y Limpieza</t>
  </si>
  <si>
    <t>Sistema Mantenimiento</t>
  </si>
  <si>
    <t>Riesgo Electrico</t>
  </si>
  <si>
    <t>Señalectica</t>
  </si>
  <si>
    <t>Preparación y Resp.ante emergencia</t>
  </si>
  <si>
    <t>Evaluaciiones Médicas</t>
  </si>
  <si>
    <t>Estandares Desempeño Nivel Jerárquico</t>
  </si>
  <si>
    <t>Ecuador
Ene 2014</t>
  </si>
  <si>
    <t>Argentina
Feb 2014</t>
  </si>
  <si>
    <t>Sistemas Protección planta</t>
  </si>
  <si>
    <t>Control Sustancias Quimicas</t>
  </si>
  <si>
    <t>Chile
Ago 2014</t>
  </si>
  <si>
    <t>Brasil
Mar 2014</t>
  </si>
  <si>
    <t>Procesos</t>
  </si>
  <si>
    <t>% Avances del Programa</t>
  </si>
  <si>
    <t>Atricción</t>
  </si>
  <si>
    <t>Golpe</t>
  </si>
  <si>
    <t>Corte</t>
  </si>
  <si>
    <t>Contacto S.Quimica</t>
  </si>
  <si>
    <t>Esquince</t>
  </si>
  <si>
    <t>(Moinca 2014)</t>
  </si>
  <si>
    <t>SUPERO SU RECORD 628</t>
  </si>
  <si>
    <t>SUPERO SU RECORD 277</t>
  </si>
  <si>
    <t>Ecuador</t>
  </si>
  <si>
    <t>Brasil</t>
  </si>
  <si>
    <t>Chile</t>
  </si>
  <si>
    <t>2014 (Alicorp+TEAL)</t>
  </si>
  <si>
    <t>2014 Total</t>
  </si>
  <si>
    <t>Después de 324 días sin accidentes</t>
  </si>
  <si>
    <t>Calibrando/Regulando</t>
  </si>
  <si>
    <t>Durante operación productiva</t>
  </si>
  <si>
    <t>Manipulación Materiales/Herramientas</t>
  </si>
  <si>
    <t>Recuperación producto terminado</t>
  </si>
  <si>
    <t>Cocinando</t>
  </si>
  <si>
    <t>Desatorando línea</t>
  </si>
  <si>
    <t>Trasladandose</t>
  </si>
  <si>
    <t>Maniobras de equipos</t>
  </si>
  <si>
    <t>Cargando/Descargando camión</t>
  </si>
  <si>
    <t>Trajando en corrida de prueba</t>
  </si>
  <si>
    <t>CDI</t>
  </si>
  <si>
    <t>ACTIVIDAD</t>
  </si>
  <si>
    <t>Accid.Incapac.</t>
  </si>
  <si>
    <t>GLOBAL ALIMENTOS</t>
  </si>
  <si>
    <t>Despues de 830</t>
  </si>
  <si>
    <t>Despues de 428</t>
  </si>
  <si>
    <t>PRODUCCIÓN</t>
  </si>
  <si>
    <t xml:space="preserve">Luxación </t>
  </si>
  <si>
    <t xml:space="preserve">Perdida Falange </t>
  </si>
  <si>
    <t>Quemadura</t>
  </si>
  <si>
    <t>Fractura</t>
  </si>
  <si>
    <t>2015 (Alicorp+TEAL)</t>
  </si>
  <si>
    <t>(Moinca 2015)</t>
  </si>
  <si>
    <t>2015 Total</t>
  </si>
  <si>
    <t>Limpiando equipo o instalaciones</t>
  </si>
  <si>
    <t>San Justo</t>
  </si>
  <si>
    <t>Morón</t>
  </si>
  <si>
    <t>Garin</t>
  </si>
  <si>
    <t>IMSA</t>
  </si>
  <si>
    <t>PESA</t>
  </si>
  <si>
    <t>JABONERIA</t>
  </si>
  <si>
    <t>Jabonería</t>
  </si>
  <si>
    <t xml:space="preserve">ENERO </t>
  </si>
  <si>
    <t>FEBRERO</t>
  </si>
  <si>
    <t>MARZO</t>
  </si>
  <si>
    <t>ABRIL</t>
  </si>
  <si>
    <t>MAYO</t>
  </si>
  <si>
    <t>JUNIO</t>
  </si>
  <si>
    <t>JULIO</t>
  </si>
  <si>
    <t>AGOSTO</t>
  </si>
  <si>
    <t>SEPTIEMBRE</t>
  </si>
  <si>
    <t>OCTUBRE</t>
  </si>
  <si>
    <t>NOVIEMBRE</t>
  </si>
  <si>
    <t>DICIEMBRE</t>
  </si>
  <si>
    <t xml:space="preserve">Total </t>
  </si>
  <si>
    <t xml:space="preserve">Tercero </t>
  </si>
  <si>
    <t xml:space="preserve">Alicorp </t>
  </si>
  <si>
    <t>Año</t>
  </si>
  <si>
    <t>AFECCIÓN RESPIRATORIA</t>
  </si>
  <si>
    <t xml:space="preserve">MANO </t>
  </si>
  <si>
    <t>PIERNA</t>
  </si>
  <si>
    <t>Manejando traspaleta/Montacarga</t>
  </si>
  <si>
    <t>PIE</t>
  </si>
  <si>
    <t>Esguince</t>
  </si>
  <si>
    <t>CUERPO</t>
  </si>
  <si>
    <t>OTROS</t>
  </si>
  <si>
    <t>SGSST</t>
  </si>
  <si>
    <t>Sist.Emergencias</t>
  </si>
  <si>
    <t>Eval.Total</t>
  </si>
  <si>
    <t>Global</t>
  </si>
  <si>
    <t>CABEZA</t>
  </si>
  <si>
    <t>Después de 239 días sin accidentes</t>
  </si>
  <si>
    <t>BRAZO</t>
  </si>
  <si>
    <t>20/08/2015
11:05</t>
  </si>
  <si>
    <t>San Juan</t>
  </si>
  <si>
    <t>proyectos</t>
  </si>
  <si>
    <t>OJO</t>
  </si>
  <si>
    <t>Después de 294 días sin accidentes (25/02)</t>
  </si>
  <si>
    <t>Atricción Faja y/o Polin</t>
  </si>
  <si>
    <t>dias perdidos</t>
  </si>
  <si>
    <t>cantidad accidentes</t>
  </si>
  <si>
    <t>Limpiando equipo</t>
  </si>
  <si>
    <t>2016 (Alicorp+TEAL)</t>
  </si>
  <si>
    <t>(Moinca 2016)</t>
  </si>
  <si>
    <t>2016 Total</t>
  </si>
  <si>
    <t>GLOBAL</t>
  </si>
  <si>
    <t xml:space="preserve">IPER </t>
  </si>
  <si>
    <t>Importante</t>
  </si>
  <si>
    <t>Moderado</t>
  </si>
  <si>
    <t>Aceptable</t>
  </si>
  <si>
    <t>Jabonería/Glicerina</t>
  </si>
  <si>
    <t>Distribución Lima</t>
  </si>
  <si>
    <t>Distribución Provincias</t>
  </si>
  <si>
    <t>Alicorp Soluciones</t>
  </si>
  <si>
    <t>Mol.Paita</t>
  </si>
  <si>
    <t>Quemadura Electrica</t>
  </si>
  <si>
    <t>HOMBRO</t>
  </si>
  <si>
    <t>GALLETERA&amp; INSTANTANEOS</t>
  </si>
  <si>
    <t>PERU</t>
  </si>
  <si>
    <t>BRASIL</t>
  </si>
  <si>
    <t>Perú</t>
  </si>
  <si>
    <t>INDICE SEVERIDAD</t>
  </si>
  <si>
    <t>CANTIDAD DE TAREAS TRATADAS</t>
  </si>
  <si>
    <t>Evaluadas</t>
  </si>
  <si>
    <t>Finalizadas</t>
  </si>
  <si>
    <t>En Curso</t>
  </si>
  <si>
    <t>Actividades realizadas más relevantes</t>
  </si>
  <si>
    <t> Se automatiza traslado de Azúcar de planta galletas a planta PMX , vía transporte neumático (fines de Abril).</t>
  </si>
  <si>
    <t> Alternar tareas. Cada 500 sacos se realiza cambio de posición (embolsado/cosido)</t>
  </si>
  <si>
    <t> Mejora de Sistema de tecles para el cambio de moldes Plataforma</t>
  </si>
  <si>
    <t> Mantenimiento de carros de transporte de Detergentes</t>
  </si>
  <si>
    <t xml:space="preserve">Automatización de línea de detergentes.
Parchado del piso del CDC.
Capacitaciones: Pausas activas, Manipulación manual de cargas.
</t>
  </si>
  <si>
    <t>-  Implementación del encajado y paletizado automático (Robots Kuka)
- Reducción ancho de plano de trabajo en faja</t>
  </si>
  <si>
    <t>- Automatización del sistema de abastecimiento de producto: alimentación directa de mezcladora hacia la tolva alimentadora en envasado
'- Levantadores de sacos operativos.</t>
  </si>
  <si>
    <t>- Compra de 03 Manipuladores de Sacos por vacío.
- 01 Volteador de Bobinas con Puente Grúa. 
- Compra de 03 Manipuladores de Sacos por vacío.
- Implementación de coches para traslado de cilindros.</t>
  </si>
  <si>
    <t>Por evaluar</t>
  </si>
  <si>
    <t>INSTANTANEOS (Breña)</t>
  </si>
  <si>
    <t>INSTANTANEOS (Predio)</t>
  </si>
  <si>
    <t>CDA</t>
  </si>
  <si>
    <t>FIDEERIA</t>
  </si>
  <si>
    <t>MOLINO</t>
  </si>
  <si>
    <t>GALLETAS</t>
  </si>
  <si>
    <t xml:space="preserve">NOMBRE </t>
  </si>
  <si>
    <t>Edad</t>
  </si>
  <si>
    <t>Puesto de Trabajo</t>
  </si>
  <si>
    <t>SEXO</t>
  </si>
  <si>
    <t>TURNO</t>
  </si>
  <si>
    <t>Descripción del Accidente de Trabajo</t>
  </si>
  <si>
    <t>Parte Cuerpo</t>
  </si>
  <si>
    <t>Mes</t>
  </si>
  <si>
    <t>Días Perdidos x Lesión</t>
  </si>
  <si>
    <t>Cargo ANSI</t>
  </si>
  <si>
    <t xml:space="preserve">Jose Tapia Cuchi </t>
  </si>
  <si>
    <t>Maquinista</t>
  </si>
  <si>
    <t>M</t>
  </si>
  <si>
    <t xml:space="preserve">3ro </t>
  </si>
  <si>
    <t xml:space="preserve">20/01/16
01:30 </t>
  </si>
  <si>
    <t>Accidente Incapacitante</t>
  </si>
  <si>
    <t>Corte en dedo por manipulacion de galleta atrapada en máquina en movimiento</t>
  </si>
  <si>
    <t>Enero</t>
  </si>
  <si>
    <t>TERCERO</t>
  </si>
  <si>
    <t>F</t>
  </si>
  <si>
    <t>1ro</t>
  </si>
  <si>
    <t>09/01/2016
08:00</t>
  </si>
  <si>
    <t xml:space="preserve">Irritación ojo izquierdo por salpicadura de Topax </t>
  </si>
  <si>
    <t>MANTENIMIENTO</t>
  </si>
  <si>
    <t xml:space="preserve">TERCERO </t>
  </si>
  <si>
    <t>3ro</t>
  </si>
  <si>
    <t>12/01/2016  
23:00</t>
  </si>
  <si>
    <t xml:space="preserve">Quemaduras de II y III grado en rostro y brazos, queratitis térmica al instalar un contactor en un tablero energizado </t>
  </si>
  <si>
    <t>Herida cortante índice mano izquierda por aprisionamiento con compuerta durante acomodo de equipo</t>
  </si>
  <si>
    <t xml:space="preserve">26/01/2016
7:05 </t>
  </si>
  <si>
    <t xml:space="preserve">Corte en mano derecha contacto con faja en movimiento </t>
  </si>
  <si>
    <t>SIDSUR</t>
  </si>
  <si>
    <t>Robert Perez Argadoña</t>
  </si>
  <si>
    <t>05/02/2016
03:30 am</t>
  </si>
  <si>
    <t>Febrero</t>
  </si>
  <si>
    <t>JABONERÍA</t>
  </si>
  <si>
    <t>Joel Hancco Huaman</t>
  </si>
  <si>
    <t>Quemadura de 2° grado durante purga de tubería de vapor. Por manipulación del tapón de tubería.</t>
  </si>
  <si>
    <t xml:space="preserve">Heggar Tafur Chocano </t>
  </si>
  <si>
    <t>Operario de Producción</t>
  </si>
  <si>
    <t>17/01/2016
10:50</t>
  </si>
  <si>
    <t>Durante limpieza de equipo cae una puerta a la altura de la ceja izquierda del colaborador. Lesión policontusa en la cabeza</t>
  </si>
  <si>
    <t>Esteban Garcia Narciso</t>
  </si>
  <si>
    <t xml:space="preserve">Operador Lavanderia </t>
  </si>
  <si>
    <t>2do</t>
  </si>
  <si>
    <t>20/01/2016
20:00</t>
  </si>
  <si>
    <t xml:space="preserve">Golpe en la mano izquierda al intentar cambiar pieza en maquina cortadora en Equipo </t>
  </si>
  <si>
    <t>Elias Olivo Grijalva</t>
  </si>
  <si>
    <t>Ayudante de planta</t>
  </si>
  <si>
    <t>03/02/2016
13:00</t>
  </si>
  <si>
    <t xml:space="preserve">Esquince en el tobillo izquierdo al bajar de Big Bag y pisar sobre una parihuela durante izaje con cadena del tecle. </t>
  </si>
  <si>
    <t>Marcos Castillo Zapata</t>
  </si>
  <si>
    <t>Ayudante de almacén B</t>
  </si>
  <si>
    <t>09/02/2016
19:18</t>
  </si>
  <si>
    <t>Corte en tobillo derecho, por aprisión entre base de estantería y plataforma de ERE714 al bajar del equipo en movimiento,</t>
  </si>
  <si>
    <t>Leonardo Carrasco Benavides</t>
  </si>
  <si>
    <t>Abril</t>
  </si>
  <si>
    <t>9 meses</t>
  </si>
  <si>
    <t>Cabeza choca con el drenaje del tubo del secador, ocasionándole este un corte.</t>
  </si>
  <si>
    <t>Marzo</t>
  </si>
  <si>
    <t xml:space="preserve">Lady Burgos </t>
  </si>
  <si>
    <t>Jefe de Turno</t>
  </si>
  <si>
    <t>2 años</t>
  </si>
  <si>
    <t>Sufre doblatura a la altura del tobillo y cae sentada apoyando las manos en las gradas de la escalera frente al CDC.</t>
  </si>
  <si>
    <t>MOLINCA</t>
  </si>
  <si>
    <t>Edison Altamirano León</t>
  </si>
  <si>
    <t>Operador de empaque</t>
  </si>
  <si>
    <t>Johan Rojas Quispe</t>
  </si>
  <si>
    <t>Preparación de Ingredientes</t>
  </si>
  <si>
    <t>2 meses</t>
  </si>
  <si>
    <t>Accidente incapacitante</t>
  </si>
  <si>
    <t>Le salpica jabón preparado cuando Se acercó a la tapa superior del tanque pulmón para ver si había obstrucción</t>
  </si>
  <si>
    <t>1 año</t>
  </si>
  <si>
    <t>Corte de uña de dedo índice izquierdo durante reparación de máquina envasadora.</t>
  </si>
  <si>
    <t xml:space="preserve">NUTRICION ANIMAL TRUJILLO </t>
  </si>
  <si>
    <t xml:space="preserve">Espino Leyva, Creisaan </t>
  </si>
  <si>
    <t xml:space="preserve">Caída desde 2.5 metros por trabajos de hermetización en el almacén de materias primas provoca fractura de vértebra lumbar 1 </t>
  </si>
  <si>
    <t xml:space="preserve">Abril </t>
  </si>
  <si>
    <t>VITAPRO</t>
  </si>
  <si>
    <t>Contrata</t>
  </si>
  <si>
    <t>MAN POWER</t>
  </si>
  <si>
    <t>EDIN</t>
  </si>
  <si>
    <t>PROYECTOS</t>
  </si>
  <si>
    <t>INDICE FRECUENCIA (con Global 2015)</t>
  </si>
  <si>
    <t xml:space="preserve">Accidente Incapacitante </t>
  </si>
  <si>
    <t xml:space="preserve">Contusión rodilla derecha cuando la pierna del supervisor cae en el espacio entre la plataforma de los multicabezales y la plataforma de tránsito </t>
  </si>
  <si>
    <t>Mayo</t>
  </si>
  <si>
    <t xml:space="preserve">Operador de Secado </t>
  </si>
  <si>
    <t xml:space="preserve">F </t>
  </si>
  <si>
    <t xml:space="preserve">Corte y golpe de la mano derecha durante la limpieza del mezclador al no esperar que pare la </t>
  </si>
  <si>
    <t xml:space="preserve">Golpe en la rodilla al pierna entre entre la plataforma y la envasadora </t>
  </si>
  <si>
    <t>BSF PUNTA HERMOSA</t>
  </si>
  <si>
    <t xml:space="preserve">Golpe de montacarga a persona, mientra esta caminaba cerca de la línea peatonal en zona colindante al almacen ALICORP. </t>
  </si>
  <si>
    <t>Susana Tello</t>
  </si>
  <si>
    <t>Supervisor Instrumentos Financieros</t>
  </si>
  <si>
    <t xml:space="preserve">Esguince en el tobillo por caída en escalera frente a Consumo Masivo </t>
  </si>
  <si>
    <t>Operador de Quebrantadora</t>
  </si>
  <si>
    <t xml:space="preserve">Fractura dedo pulgar mano izquierda durante el desatoro de Envasadora automática KR </t>
  </si>
  <si>
    <t>VITAPRO TRUJILLO</t>
  </si>
  <si>
    <t>Global 2015</t>
  </si>
  <si>
    <t>2015+global</t>
  </si>
  <si>
    <t>si</t>
  </si>
  <si>
    <t>Oswaldo Andrade Torres</t>
  </si>
  <si>
    <t>Operador Montacarga Eléctrico Supervisor</t>
  </si>
  <si>
    <t xml:space="preserve">2do </t>
  </si>
  <si>
    <t xml:space="preserve">28/04/2015
20:30 </t>
  </si>
  <si>
    <t>Esguince de tobillo durante un cambio de batería de elevador eléctrico</t>
  </si>
  <si>
    <t>MOLINO SANTA ROSA</t>
  </si>
  <si>
    <t>Eder García Isla</t>
  </si>
  <si>
    <t xml:space="preserve">29/09/2015
13:30 </t>
  </si>
  <si>
    <t>Escobilla metálica impacta contra structura ocasionándo corte de guante y herida en el dedo  índice durante limpieza mecánica.</t>
  </si>
  <si>
    <t>Setiembre</t>
  </si>
  <si>
    <t>Escobilla metálica</t>
  </si>
  <si>
    <t>AC y M</t>
  </si>
  <si>
    <t>Robert Anaya Esteban</t>
  </si>
  <si>
    <t xml:space="preserve">Ayudante de Planta </t>
  </si>
  <si>
    <t xml:space="preserve">23/04/2015
13:30 </t>
  </si>
  <si>
    <t>Corte de antepalma mano izquierda por caída de vidrio.</t>
  </si>
  <si>
    <t>Vidrio</t>
  </si>
  <si>
    <t>James Robert Choquehuanca Montalvo</t>
  </si>
  <si>
    <t>17/04/2015 
18:18</t>
  </si>
  <si>
    <t>Herida cortante abierta 1ra falange dedo pulgar mano derecha</t>
  </si>
  <si>
    <t>Equipo</t>
  </si>
  <si>
    <t>APT CERCADO</t>
  </si>
  <si>
    <t>Matías Alva Soto</t>
  </si>
  <si>
    <t>09/11/2015
13:45</t>
  </si>
  <si>
    <t xml:space="preserve">Manipulación de stocka durante estiba en contenedor produce golpe en la pierna del accidentado. Herida abierta. </t>
  </si>
  <si>
    <t>Noviembre</t>
  </si>
  <si>
    <t>Stocka</t>
  </si>
  <si>
    <t>carga/descarga de camión</t>
  </si>
  <si>
    <t>IOLSA</t>
  </si>
  <si>
    <t>Edwin Roy Cabrera Chuquihuaccha</t>
  </si>
  <si>
    <t>Ayudande de almacén B</t>
  </si>
  <si>
    <t>14/08/2015
04:05</t>
  </si>
  <si>
    <t>Golpe en la pierna y tobillo por order piker</t>
  </si>
  <si>
    <t>Agosto</t>
  </si>
  <si>
    <t>Order Piker</t>
  </si>
  <si>
    <t>Miguel Tolentino Escudero</t>
  </si>
  <si>
    <t>Mecánico</t>
  </si>
  <si>
    <t>24/08/2015
09:05</t>
  </si>
  <si>
    <t>Amputación tercio distal del dedo índice por cambio de rótula del regulador de fideos.</t>
  </si>
  <si>
    <t>Pérdida Falanges</t>
  </si>
  <si>
    <t>Julio Cesar Muñoz Garfias</t>
  </si>
  <si>
    <t>Operario de producción</t>
  </si>
  <si>
    <t>05/08/2015
09:20</t>
  </si>
  <si>
    <t>Herida contusa abierta en la 1ra y 2da falange del segundo dedo de la mano por atrapamiento en su intento de acomodar la masa de caramelo en la guia de la maquina</t>
  </si>
  <si>
    <t>Precy Cesar Ruiz Secaira</t>
  </si>
  <si>
    <t>14/08/2015
15:20</t>
  </si>
  <si>
    <t>Herida cortante abierta en 3er dedo de la mano derecha por contacto con cuchillo, mientras se manipulaba la masa de panetón hacia la olla.</t>
  </si>
  <si>
    <t>cuchillo</t>
  </si>
  <si>
    <t>Alex Mateo Aguilar Estrella</t>
  </si>
  <si>
    <t>24/08/2015
15:05</t>
  </si>
  <si>
    <t>Amputación traumática parcial de la falange distal del tercer dedo de la mano izquierda por atrapamiento de dedo por mordaza accionada accidentalmente por el mismo accidentado.</t>
  </si>
  <si>
    <t>GALLETERA LIMA</t>
  </si>
  <si>
    <t xml:space="preserve">Nicolás Mauricio Toledo Pachas </t>
  </si>
  <si>
    <t xml:space="preserve">M </t>
  </si>
  <si>
    <t xml:space="preserve">10/06/2015
14:50 </t>
  </si>
  <si>
    <t>Baranda del primer nivel de andamio cae sobre casco del trabajador mientras retiraba una soga.</t>
  </si>
  <si>
    <t xml:space="preserve">Junio </t>
  </si>
  <si>
    <t>BUILMEP</t>
  </si>
  <si>
    <t>Juan Carlos Horna Bocanegra</t>
  </si>
  <si>
    <t>Operador de rociado</t>
  </si>
  <si>
    <t xml:space="preserve">Esguince en el tobillo izquierdo al bajar de un montacargas </t>
  </si>
  <si>
    <t>Omar Jesus Silva Leyton</t>
  </si>
  <si>
    <t>18/04/2015
15:00</t>
  </si>
  <si>
    <t>Herida contusa abierta en la frente, contusión parte posterior de la cabeza y luxación dedo medio de la mano derecha.</t>
  </si>
  <si>
    <t xml:space="preserve">Rafael Fermin Rosales Mendoza  </t>
  </si>
  <si>
    <t>09/07/2015
15:00</t>
  </si>
  <si>
    <t>Fractura  en 2°, 3° y 4° metacarpiano de la mano derecha y laceración del brazo izquierdo por impacto con listón de madera desprendida.</t>
  </si>
  <si>
    <t>Julio</t>
  </si>
  <si>
    <t>Madero</t>
  </si>
  <si>
    <t>AC&amp;M</t>
  </si>
  <si>
    <t xml:space="preserve">COPSA </t>
  </si>
  <si>
    <t>Constante Mendocilla Diestra</t>
  </si>
  <si>
    <t>LIDER LINEA EXTRACCION MECANICA</t>
  </si>
  <si>
    <t>27/08/2015
11:10</t>
  </si>
  <si>
    <t>Traumatismo en cabeza y heridas en el rostro por choque con parte posterior de camión mientras manejaba bicicleta.</t>
  </si>
  <si>
    <t>Bicicleta</t>
  </si>
  <si>
    <t>Esquince en el hombro derecho durante el repaletizado de sacos de harina</t>
  </si>
  <si>
    <t>Diciembre</t>
  </si>
  <si>
    <t>Sacos</t>
  </si>
  <si>
    <t xml:space="preserve">Benigno Huamán Corillo </t>
  </si>
  <si>
    <t>Ayudante de Planta</t>
  </si>
  <si>
    <t xml:space="preserve">17/12/2015
05:46 </t>
  </si>
  <si>
    <t>Durante conducción en reversa de tranpaleta eléctrico, el trabajador se baja y su pie queda atrapado entre plataforma y ruma de paletas</t>
  </si>
  <si>
    <t>ERE</t>
  </si>
  <si>
    <t xml:space="preserve">Jhon Janic Vela Sandoval </t>
  </si>
  <si>
    <t xml:space="preserve">Mezclador Instantáneos </t>
  </si>
  <si>
    <t>7 años y 10 meses</t>
  </si>
  <si>
    <t>17/01/2015
19:20</t>
  </si>
  <si>
    <t>Contusión en pie derecho por aplastamiento con plataforma de acero (equipo de mezclado). Breña</t>
  </si>
  <si>
    <t>Plataforma de acero</t>
  </si>
  <si>
    <t xml:space="preserve">ALMACEN DE INSUMOS </t>
  </si>
  <si>
    <t>Andrés Avelino Quispe Carhuaz</t>
  </si>
  <si>
    <t>3 años</t>
  </si>
  <si>
    <t>14/01/2015
10:59</t>
  </si>
  <si>
    <t>Golpe e inflamación de pierna izquierda por estoca de montacargas. Detergentes</t>
  </si>
  <si>
    <t>BAS PERUANA
TRANSPORTES GIRASOLES</t>
  </si>
  <si>
    <t xml:space="preserve">VITAPRO </t>
  </si>
  <si>
    <t>CENTRO EXPERIMENTAL - TUMBES</t>
  </si>
  <si>
    <t>Juan Pablo Moreno Peña</t>
  </si>
  <si>
    <t>cintas metálicas  del alimentador enrolladas a presión se rompe y se expande súbitamente, ocasionándole un corte en la parte superior de la mano derecha</t>
  </si>
  <si>
    <t>Eujenio Baldeon Cosme</t>
  </si>
  <si>
    <t>17/10/2015
16:10</t>
  </si>
  <si>
    <t>Contusión en el hombro izquiero por impacto con liston de metal durante estibado de producto terminado</t>
  </si>
  <si>
    <t>Camión</t>
  </si>
  <si>
    <t>Freddy Rodriguez Chinchay</t>
  </si>
  <si>
    <t>Quemadura en dedo durante trabajo de soldadura</t>
  </si>
  <si>
    <t>Soldadura</t>
  </si>
  <si>
    <t>MANPAN</t>
  </si>
  <si>
    <t>Pedro Ynfantes Vasquez</t>
  </si>
  <si>
    <t>Preparador de Cremas</t>
  </si>
  <si>
    <t>03/12/2015
20:05</t>
  </si>
  <si>
    <t>Atrapamiento de mano y antebrazo derecho mientras realiza labores de dosificador de sal en máquina esparcidora</t>
  </si>
  <si>
    <t>Equipo en Movimiento</t>
  </si>
  <si>
    <t xml:space="preserve">Vitaliano Silloca Silloca </t>
  </si>
  <si>
    <t>Pesador de ingredientes</t>
  </si>
  <si>
    <t>12 años y 8 meses</t>
  </si>
  <si>
    <t xml:space="preserve">27/01/2015
08:30 </t>
  </si>
  <si>
    <t xml:space="preserve">Luxación-hombro por resbalón durante la limpieza y lavado de escalera de emergencia. Galletera </t>
  </si>
  <si>
    <t>Juan Jibaja Rojas</t>
  </si>
  <si>
    <t xml:space="preserve">1ro </t>
  </si>
  <si>
    <t>10 años</t>
  </si>
  <si>
    <t xml:space="preserve">30/01/2015 
14:20 </t>
  </si>
  <si>
    <t>Impacto con neumático de montacargas en el tobillo genera una contusión. CDC</t>
  </si>
  <si>
    <t>Montacargas</t>
  </si>
  <si>
    <t>Transportes Pacífico</t>
  </si>
  <si>
    <t>José Danilo Llanos Mego</t>
  </si>
  <si>
    <t xml:space="preserve">Técnico Mecánico </t>
  </si>
  <si>
    <t xml:space="preserve">17/01/2015
09:30 </t>
  </si>
  <si>
    <t>Fractura y corte de ligamento dedo meñique de mano derecha por atratamiento con compuerta de acero; máquina HH N°5</t>
  </si>
  <si>
    <t xml:space="preserve">Enero </t>
  </si>
  <si>
    <t>Samuel Chávez Tinoco</t>
  </si>
  <si>
    <t xml:space="preserve">28/01/2015
11:10 </t>
  </si>
  <si>
    <t>Exposición a gas (amoniaco) genera una afección respiratoria en azotea de planta Margarinas</t>
  </si>
  <si>
    <t>ALTA</t>
  </si>
  <si>
    <t>Cristian Javier Arias Medina</t>
  </si>
  <si>
    <t>Exposición a gas (amoniaco) genera una cefalea en azotea de planta Margarinas</t>
  </si>
  <si>
    <t xml:space="preserve">Bruno Díaz </t>
  </si>
  <si>
    <t xml:space="preserve">Ayudante </t>
  </si>
  <si>
    <t>04/02/2015
02:20 am</t>
  </si>
  <si>
    <t>Fractura de muñequa. Trabajador resbala y todo su peso cae sobre su cadera y muñequa.</t>
  </si>
  <si>
    <t xml:space="preserve">Febrero </t>
  </si>
  <si>
    <t>Piso</t>
  </si>
  <si>
    <t xml:space="preserve">Joaquin Oscco Chati </t>
  </si>
  <si>
    <t>22/12/2015
20:15</t>
  </si>
  <si>
    <t>Durante operación de repaletizado trabajador siente un fuerte dolor en la rodilla izquierda. Esguince en menisco.</t>
  </si>
  <si>
    <t>Saco</t>
  </si>
  <si>
    <t>ADMINISTRACIÓN</t>
  </si>
  <si>
    <t xml:space="preserve">Hilda Vásquez  Segovia </t>
  </si>
  <si>
    <t xml:space="preserve">17/03/2015
21:20 </t>
  </si>
  <si>
    <t xml:space="preserve">Policontusa al resbalarse en los SSHH
</t>
  </si>
  <si>
    <t>policontusa</t>
  </si>
  <si>
    <t>LIMTEK</t>
  </si>
  <si>
    <t xml:space="preserve">Percy Antonio Carranza Izaguirre  </t>
  </si>
  <si>
    <t xml:space="preserve">Operador de Máquina Envasadora </t>
  </si>
  <si>
    <t xml:space="preserve">25/02/2015
03:20 </t>
  </si>
  <si>
    <t xml:space="preserve">Atrapamiento con mordaza horizontal de máquina envasadora. Corte y quemadura 2do grado </t>
  </si>
  <si>
    <t>Iván Fuentes De La Cruz</t>
  </si>
  <si>
    <t xml:space="preserve">10/03/2015
13:45 </t>
  </si>
  <si>
    <t xml:space="preserve">Esguince 2do Grado Pulgar Mano Derecho durante limpieza en Lavatorio
</t>
  </si>
  <si>
    <t xml:space="preserve">Franque Leonel Reluz Sosa </t>
  </si>
  <si>
    <t xml:space="preserve">Ayudante de paletizador </t>
  </si>
  <si>
    <t>04/06/2015
14:20</t>
  </si>
  <si>
    <t>coge uno de los fardos de detergentes apoyando el dorso de la mano derecha sobre la faja, esto ocasionó que la faja arrastre su mano en dirección del movimiento y quede atrapada entre el protector del rodillo y la faja </t>
  </si>
  <si>
    <t>Junio</t>
  </si>
  <si>
    <t>Faja en movimiento</t>
  </si>
  <si>
    <t xml:space="preserve">Hector Albites Neyra </t>
  </si>
  <si>
    <t xml:space="preserve">Operador volante de aceites </t>
  </si>
  <si>
    <t xml:space="preserve">08/06/2015
15:00 </t>
  </si>
  <si>
    <t>corte en los dedos índice y medio de la mano izquierda con una cuchilla retráctil, debido a que la tenía sujetada con la hoja de corte expuesta, al momento de entregarla al Sr. Rojas.</t>
  </si>
  <si>
    <t>Cuchilla</t>
  </si>
  <si>
    <t>Anselmo Mendoza Acevedo</t>
  </si>
  <si>
    <t xml:space="preserve">25/03/2015
07:35 </t>
  </si>
  <si>
    <t xml:space="preserve">Pérdida de  falanges distales de dedo Índice  y dedo  medio de la mano derecha al intentar asegurar visor del volumétrico
</t>
  </si>
  <si>
    <t>Juan José Chinguel Carhuayocllo</t>
  </si>
  <si>
    <t xml:space="preserve">2do  </t>
  </si>
  <si>
    <t xml:space="preserve">22/04/2015
16:00 </t>
  </si>
  <si>
    <t xml:space="preserve">Esguince Tobillo derecho (IOLSA) por golpe con montacarga durante carga del contenedor </t>
  </si>
  <si>
    <t>Edgar Gaber Turpo Quispe</t>
  </si>
  <si>
    <t xml:space="preserve">05/06/2015
15:45 </t>
  </si>
  <si>
    <t xml:space="preserve">Chofer desplaza las puertas horizontalmente y dedo meñique queda atrapado entre puertas laterales. </t>
  </si>
  <si>
    <t xml:space="preserve">Transportes CR </t>
  </si>
  <si>
    <t xml:space="preserve">Augusto Vladimir Córdova </t>
  </si>
  <si>
    <t xml:space="preserve">08/06/2015
12:18 </t>
  </si>
  <si>
    <t>Baja la compuerta con la mano izquierda dejando el dedo medio de la mano derecha expuesto en el marco de la compuerta aprisionando  dicho dedo y causándole la lesión .</t>
  </si>
  <si>
    <t>Enrique Cuadrado Dominguez</t>
  </si>
  <si>
    <t xml:space="preserve">Líder Planta Refinación Física </t>
  </si>
  <si>
    <t xml:space="preserve">09/06/2015
00:10 </t>
  </si>
  <si>
    <t>Quemaduras de 1er y 2do grado en manos y pantorrilla derecha por salpicadura de aciete caliente a través de visor.</t>
  </si>
  <si>
    <t>Aceite</t>
  </si>
  <si>
    <t>Mario Joya Chumpitaz</t>
  </si>
  <si>
    <t>Coordinador de envasado      </t>
  </si>
  <si>
    <t xml:space="preserve">09/03/2015
06:00 </t>
  </si>
  <si>
    <t>Herida en primer dedo de mano izquierda con daño de uña/ Fractura de dedo pulgar mano izquierda al revisar sensor en máquina SIG.        </t>
  </si>
  <si>
    <t>Gilmar Darwin Viza Ayquipa</t>
  </si>
  <si>
    <t xml:space="preserve">Ayudante de Planta  </t>
  </si>
  <si>
    <t>29/05/2015
01:45</t>
  </si>
  <si>
    <t xml:space="preserve">la tarea de reproceso de harina, el trabajador Gilmar Viza Ayquipa se dobla el  1er dedo de mano izquierda con un saco con harina. </t>
  </si>
  <si>
    <t>Miguel Angel Marrujo Villanera</t>
  </si>
  <si>
    <t>Instrumentista</t>
  </si>
  <si>
    <t>02/11/2015
09:00</t>
  </si>
  <si>
    <t>Aprisión de falange distal al momento de montado de válvula neumática genera fractura de falange.</t>
  </si>
  <si>
    <t xml:space="preserve">Equipo </t>
  </si>
  <si>
    <t xml:space="preserve">Marco Santana </t>
  </si>
  <si>
    <t>Ayudante de Producción</t>
  </si>
  <si>
    <t>13/11/2015
04:00</t>
  </si>
  <si>
    <t xml:space="preserve">Fractura de falange durante cambio de molde por atrapamiento de dedo entre gancho de tecle y molde. </t>
  </si>
  <si>
    <t>Molde</t>
  </si>
  <si>
    <t>Diter Iván Liviapoma Nuñez</t>
  </si>
  <si>
    <t>Operador Materias Primas</t>
  </si>
  <si>
    <t>24/10/2015
19:08</t>
  </si>
  <si>
    <t>Atricción de dedos entre cadena y molde en Línea L23 durante el cambio de molde genera herida contusa cortante</t>
  </si>
  <si>
    <t xml:space="preserve">Josué Antonio Burgos Campos      </t>
  </si>
  <si>
    <t xml:space="preserve">Ayudante de Planta       </t>
  </si>
  <si>
    <t xml:space="preserve">22/09/2015
20:40 </t>
  </si>
  <si>
    <t>Contusión del pie izquierdo al quedar atrapado entre las maderas de una parihuela por saltar sobre ella.</t>
  </si>
  <si>
    <t>Heraldo Neyra Díaz</t>
  </si>
  <si>
    <t>12/07/2014  
06:55:00 a.m.</t>
  </si>
  <si>
    <t>Lesión Incapacitante</t>
  </si>
  <si>
    <t>Esguince en tobillo derecho por caida de paleta sobre su pierna durante carguio del camión</t>
  </si>
  <si>
    <t>julio</t>
  </si>
  <si>
    <t>Paleta</t>
  </si>
  <si>
    <t>Transporte Pablo Nuñez</t>
  </si>
  <si>
    <t xml:space="preserve">JUAN ALFONSO ZEVALLOS DIAZ </t>
  </si>
  <si>
    <t>Amputación de falange distal dedo índice mano derecha, corte y fractura falange distal dedo II durante el retiro de la bateria del montacarga para su recarga</t>
  </si>
  <si>
    <t>Batería</t>
  </si>
  <si>
    <t>Agencia Alemana Del Peru</t>
  </si>
  <si>
    <t>ELLIO VILLAJUAN PRINCIPE</t>
  </si>
  <si>
    <t>13/10/2014
15:20</t>
  </si>
  <si>
    <t>Lesión incapacitante</t>
  </si>
  <si>
    <t>En evaluación, fractura múltiple de antebrazo derecho al intentar limpiar polín con faja en movimiento</t>
  </si>
  <si>
    <t>Faja en Movimiento</t>
  </si>
  <si>
    <t>ROMEWA</t>
  </si>
  <si>
    <t xml:space="preserve">MOLINO SANTA ROSA </t>
  </si>
  <si>
    <t xml:space="preserve">GILBERT EDUARDO ESPINO GUERRERO </t>
  </si>
  <si>
    <t xml:space="preserve">Personal Alicorp </t>
  </si>
  <si>
    <t>2ro</t>
  </si>
  <si>
    <t>17 años</t>
  </si>
  <si>
    <t>07/11/2014
15:10</t>
  </si>
  <si>
    <t>Siendo la 15:15, luego de hacer la limpieza respectiva de fin de turno y estando la planta parada, el Sr. Gilbert Espino intenta cruzar por encima de la faja transportadora de sacos, enganchando su pie derecho con la baranda posterior, lo que origina que su rodilla derecha impacte con la baranda anterior.</t>
  </si>
  <si>
    <t>Salto sobre equipo</t>
  </si>
  <si>
    <t>LEANDRO ESTRADA SABINO</t>
  </si>
  <si>
    <t xml:space="preserve">31/12/2014
18:20  </t>
  </si>
  <si>
    <t>Al término de la carga de productos, los estibadores procedieron a bajar del camión, siendo el ultimo el estibador Sr. Leandro Estrada Sabino, quien para bajar de la ruma de parihuelas hacia el piso decide sentarse sobre la misma y apoyarse con la mano derecha sobre el filo posterior de la plataforma del camión, dando un pequeño salto hacia el piso, en forma paralela el Chofer de la Unidad de Transporte de la Empresa Megatrans S.R.L. Sr. Crescencio Alberca Huaman cierra la puerta posterior izquierda de manera intempestiva sin percatarse de la presencia del Sr. Estrada, aprisionando los dedos de su mano derecha entre la plataforma y la parte inferior de la puerta, provocándole una lesión que tuvo como consecuencia la amputación traumática parcial de la falange distal del tercer y cuarto dedo de dicha mano.</t>
  </si>
  <si>
    <t>Rosmel Tenorio Ortiz</t>
  </si>
  <si>
    <t>Personal TEAL</t>
  </si>
  <si>
    <t xml:space="preserve">7 meses </t>
  </si>
  <si>
    <t>04/01/2014
16:00</t>
  </si>
  <si>
    <t xml:space="preserve">En circunstancias que el Sr. Tenorio había encendido la maquina envolvedora de caramelo perita para el inicio de las operaciones y procedía a guiar la lamina de envoltura con caramelo perita con sus dedos de su mano derecha entre las fajas de transporte hacia la mordaza, apoya inconscientemente su mano izquierda en el rodillo vertical que da movimiento a la faja en sentido anti horario, quedando la primera falange de su dedo anular aprisionado entre la faja y el rodillo en referencia, provocándole una herida contusa abierta en dicha zona.
Cabe precisar que el Sr. Tenorio no estaba autorizado para la operación de esta maquina envolvedora, la misma que se utiliza esporádicamente (bimensualmente) y solamente es operado por los maquinistas Brenner Panta y Cesar Ore.
En el momento del accidente, el Supervisor de Turno Oscar Orrego se encontraba relevándose con su compañero Sr. Urrutia.
</t>
  </si>
  <si>
    <t>enero</t>
  </si>
  <si>
    <t xml:space="preserve">06/01/2014
</t>
  </si>
  <si>
    <t>Encajado Galletas Soda Granel.Atricción dedo polin y faja</t>
  </si>
  <si>
    <t xml:space="preserve">Narciso Vergaray Enrique </t>
  </si>
  <si>
    <t>2do Turno</t>
  </si>
  <si>
    <t xml:space="preserve">6 años 3 meses </t>
  </si>
  <si>
    <t>07/01/2014  
15:30</t>
  </si>
  <si>
    <t xml:space="preserve">Lesión incapacitante </t>
  </si>
  <si>
    <t>Perdida de falange distal del dedo indice de la mano derecha del señor Narciso Vergaray Enrique en circunstancia que introdujo su mano derecha a la transmision de la cadena de la maquina envasadora A1 de la linea 3.</t>
  </si>
  <si>
    <t>RENZO SUAREZ OLARTE</t>
  </si>
  <si>
    <t>0 Años</t>
  </si>
  <si>
    <t xml:space="preserve">Siendo aproximadamente las 4:20 pm, se suscita un corte de energía eléctrica de aproximadamente 4 segundos, el mismo que origina que el horno de la Galletería pare, cuando estos eventos suceden el personal acude al horno a dar manivela (como se ve en la foto adjunta), para que la malla del horno continúe avanzando y así poder sacar la galleta que aún permanece dentro del horno, esta operación se debe realizar con celeridad debido a que mientras más tiempo permanezca la galleta en el horno mayor será la probabilidad de que esta se incendie. 
El horno tiene dos manivelas una a cada lado, en el lado izquierdo se encontraba Renzo dando manivela y es en esta operación que la manivela se sale de su posición de trabajo  y por inercia de la acción el colaborador se da un golpe en la nariz con la misma manivela
</t>
  </si>
  <si>
    <t>Manivela horno</t>
  </si>
  <si>
    <t>CALIDAD</t>
  </si>
  <si>
    <t>Jenny Najarro Barrientos</t>
  </si>
  <si>
    <t xml:space="preserve">1 año 8 meses </t>
  </si>
  <si>
    <t xml:space="preserve">En circunstancias que la Srta. Jenny Najarro realizaba el corte de una hoja de papel bond A4 utilizando un cortador con cierre de deslizamiento de toque único con la mano derecha sobre una base metálica (móvil) y una guía de regla metálica, el cortador se desliza sobre la regla impactando sobre el dedo pulgar de la mano izquierda con el cual fijaba la hoja de papel sobre la base metálica, originándole un corte profundo en dicha zona.
Cabe precisar que la Srta. Jenny estaba rotulando archivadores con etiquetas de papel bond y para facilitar su trabajo de corte de papel, utilizo en vez de una tijera, el cortador con cierre de deslizamiento de toque único que es utilizado para el corte de cartones y embalajes.
</t>
  </si>
  <si>
    <t>Marco Barandarian Jimenez</t>
  </si>
  <si>
    <t xml:space="preserve">4 años </t>
  </si>
  <si>
    <t xml:space="preserve">El colaborador se encontraba alimentando azúcar a la Tolva 1 y al realizar el traspaso de sacos de azúcar de 50 kg. de la paleta hacia la plataforma de alimentación sin ayuda es cuando siente una molestia en el hombro del brazo izquierdo y avisó al coordinador.
</t>
  </si>
  <si>
    <t>PEÑA VILCHEZ MIGUEL ANGEL</t>
  </si>
  <si>
    <t>25 años</t>
  </si>
  <si>
    <t>8 meses</t>
  </si>
  <si>
    <t>18/02/2014 
21:30</t>
  </si>
  <si>
    <t xml:space="preserve">EL Trabajador Miguel Peña Vilchez se encontraba regulando el film de Bolívar Matic 1.5 kg luego de haberla bloqueado la Envasadora y al estar con la mano izquierda jalando el film a la altura de las mordazas, con la derecha se apoya en la mordaza cerrándola sobre los dedos de su mano izquierda sufriendo las quemaduras ( cuando la máquina está bloqueada las mordazas están sueltas, pueden correr con la mano. No tienen presión ) . </t>
  </si>
  <si>
    <t>febrero</t>
  </si>
  <si>
    <t>Jose Chavez Sanchez</t>
  </si>
  <si>
    <t>16 años</t>
  </si>
  <si>
    <t xml:space="preserve">Mientras se realizaba el reproceso de sacos rotos, el Sr. José Chavez, procedía a bajar uno de los sacos que se encontraba en la parte superior de la parihuela (6 camas de alto), dicha operación la realizaba sosteniendo una cuchilla en su mano derecha. En el momento de bajar el saco este se rompe originando un corte en su pierna derecha con la cuchilla que sostenía. 
</t>
  </si>
  <si>
    <t>OILSA</t>
  </si>
  <si>
    <t>Reyna Casavilca Huatay</t>
  </si>
  <si>
    <t xml:space="preserve">1er Turno </t>
  </si>
  <si>
    <t xml:space="preserve">1 mes y 15 dias </t>
  </si>
  <si>
    <t>19/02/2014
 11:00</t>
  </si>
  <si>
    <t xml:space="preserve">El día del accidente a la hora del almuerzo en pleno servicio, a falta de abastecimiento de verduras en el Salad Bar, la jefa del Concesionario REGIS “Ana Romero” le indicó a la moza que apoyara en el corte de lechuga.
Mientras la moza realizaba el corte con un cuchillo es que se ocasiona a ella misma un corte en el dedo medio de la mano izquierda.
</t>
  </si>
  <si>
    <t>Cuchillo</t>
  </si>
  <si>
    <t>Regis</t>
  </si>
  <si>
    <t>Jose Inca Quispe</t>
  </si>
  <si>
    <t>19</t>
  </si>
  <si>
    <t xml:space="preserve">2 mese </t>
  </si>
  <si>
    <t xml:space="preserve">El operario Jose Luis Inca Condori se disponía a realizar el mechoneo del segundo piso de planta de producción (sector de abastos - a un lado del área de mezclado). Para cambiar el mechón, el operario usó una cuchilla hechiza para cortar los precintos de plástico con los cuales se había asegurado el mechón a la base. Mientras cortaba el precinto se produce un corte profundo en la palma izquierda.  
</t>
  </si>
  <si>
    <t>Daniel Fernandez Chavez</t>
  </si>
  <si>
    <t>57</t>
  </si>
  <si>
    <t>2 años 5 meses</t>
  </si>
  <si>
    <t xml:space="preserve">Debido a trabajos de pintado y reparación de techos en el CD NPI por recomendaciones de DIGESA, se había trasladado parte del producto al patio de maniobras.
La madrugada del lunes 24-Feb comenzó a llover, el asistente de turno, Juan Sihuas, se da cuenta que parte del producto en patio se encontraba desmantado, para lo cual indica al operario  de montacargas Marco Santos que revise el estado del material.
Marco Santos, se acerca a la zona y solicita apoyo al personal de Limtek para mantear el producto, el Sr. Santos se retira de la zona dejando al personal de Limtek, Daniel Fernandez y Hamilton Canales, realizando la tarea. 
El Sr. Fernandez sube por sus propios medios sobre la ruma de 2.7 m de alto y termina de mantear el producto con ayuda del Sr. Canales quien se encontraba en la parte de abajo. Finalizada la tarea el Sr. Canales va a buscar apoyo para bajar a su compañero Fernandez y al volver lo encuentra en el piso producto de haber pisado un espacio vacío entre paletas. 
</t>
  </si>
  <si>
    <t>Caida</t>
  </si>
  <si>
    <t>MIGUEL CHOQUE TARIFA</t>
  </si>
  <si>
    <t>13 Años</t>
  </si>
  <si>
    <t xml:space="preserve">A las 7:55 pm el colaborador Miguel Choque Tarifa detecta fuga de harina en el 4° piso del molino Victoria por la tubería de reproceso. Para acceder a la zona afectada utiliza una escalera de tijera, una vez eliminada la fuga se dispone a recoger la harina derramada y limpiar el piso.
Mientras continua con la limpieza del sector, se da cuenta que la harina no fluye normalmente, por o que procede a acceder nuevamente a la zona afectada. Mientras esta subiendo por la escalera siente que esta se desliza lo que origina que Miguel se desestabilice, Miguel acentúa el pie derecho sobre la escalera originando que esta se voltee y él caiga al piso sobre su brazo izquierdo, Miguel llama por teléfono al coordinador del molino para informarle que sufrió un accidente , el coordinador  procede a llamar a la ambulancia Rescate 11-11 para que sea atendido, seguidamente es evacuado a la Clínica San Juan de Dios, donde el traumatólogo de turno diagnostica fractura del húmero brazo izquierdo
</t>
  </si>
  <si>
    <t>marzo</t>
  </si>
  <si>
    <t>Escalera Tijera</t>
  </si>
  <si>
    <t>contucion en el tobillo por rodaje que cae de altura</t>
  </si>
  <si>
    <t>abril</t>
  </si>
  <si>
    <t>Rodaje cae de altura</t>
  </si>
  <si>
    <t>Jarol Jonathan Huamán Tilce</t>
  </si>
  <si>
    <t>Tercero</t>
  </si>
  <si>
    <t>6 años</t>
  </si>
  <si>
    <t>24/04/2014
09:00</t>
  </si>
  <si>
    <t xml:space="preserve">Siendo alrededor de las 09:00am del día jueves 24 de abril. El señor Jarol Huamán se encontraba vistiéndose para el inicio de actividades, cuando le preguntó a su compañero, el Sr. Vicente Guzmán; si el porta martillo de su cinturón podría ser cortado con la cizalla que el Sr. Guzmán portaba en ese momento. El Sr. Guzmán respondió que sí se podía, por lo que intento cortarlo. El señor Huamán se opone y comenzaron en un “juego” sobre si lo cortaba uno u otro. Producto de ello, el Sr. Guzmán intenta cortar el porta-martillo en el preciso momento en que el Sr. Huaman aproxima su mano a la cizalla ocasionándole el corte.
</t>
  </si>
  <si>
    <t>Broma con Cizalla</t>
  </si>
  <si>
    <t>MMG</t>
  </si>
  <si>
    <t>Roberto Rivera Ramos</t>
  </si>
  <si>
    <t>7 años</t>
  </si>
  <si>
    <t>27/04/2014 
 11:30</t>
  </si>
  <si>
    <t xml:space="preserve">El colaborador se acerca a la zona de envasado de baldes para recoger una escoba que necesitaba para realizar limpieza de su área de trabajo. Según indica el accidentado, al ver que la escoba estaba siendo usada por unos contratistas que se encontraban en el área, procede a acercarse al módulo de la operadora de la línea LEOPAT para coger unos trapos. Es en ese momento que no se percata de la presencia del  tobogán, que está en   modificación por el Proyecto LINEA PATTYN ACEITES, se choca contra el mismo y sufre un corte en la región fronto – parietal. Los trabajadores del área al ver que el accidentado estaba sangrando lo asisten y activan la alarma de emergencia.
</t>
  </si>
  <si>
    <t>ROBERTO SANTOS SUGUENZA CUEVA</t>
  </si>
  <si>
    <t>3 meses</t>
  </si>
  <si>
    <t>30/04/2014
04:00</t>
  </si>
  <si>
    <t>Resbalón en rampa Resbalón en rampa
Esguince tobillo y lesión meniscal en rodilla derecha</t>
  </si>
  <si>
    <t>Transporte Carranza</t>
  </si>
  <si>
    <t>JUAN CARLOS CORONADO YPANAQUE</t>
  </si>
  <si>
    <t>4 meses</t>
  </si>
  <si>
    <t>06/05/2014
04:00</t>
  </si>
  <si>
    <t>Siendo las 04:00 a.m. aprox. el Sr. Juan Carlos Coronado Ypanaque, ayudante de almacén de la línea de detergente, quien se encontraba realizando sus labores de paletizador en dicha área, estaba verificando el estado de los paquetes que se desplazaban por la faja para separar los paquetes en mal estado (merma). Cuando se encontraba en su puesto fijo en la línea, final de la faja, se disponía a colocar uno de los paquetes en el pallet para paletizar, cuando lo encontró inflado con aire. Se dispuso a sacar el aire con la mano, dando palmadas, lo que ocasiona que le salpique detergente a su ojo izquierdo. 
Al creer que no era nada grave, acudió a los servicios higiénicos a lavarse, y no reportó lo ocurrido oportunamente. Al día siguiente evoluciono el dolor, aumentando el volumen de la hinchazón del ojo y disminución de la agudeza visual en el ojo izquierdo. 
Recién en ese momento acudió al tópico donde en una primera evaluación indican que posiblemente es una conjuntivis química, luego es derivado a la Clinica San Gabriel donde es examinado por el oftalmólogo quien determino que sufrió. Finalmente le dieron DM de 2 días y evolucionó favorablemente con la aplicación de gotas.</t>
  </si>
  <si>
    <t>mayo</t>
  </si>
  <si>
    <t>Detergente al ojo</t>
  </si>
  <si>
    <t>JERRY ESQUECHE</t>
  </si>
  <si>
    <t>14 años</t>
  </si>
  <si>
    <t>07/05/2014
09:00</t>
  </si>
  <si>
    <t xml:space="preserve">Siendo alrededor de las 09:00 am del día Miércoles  07 de Mayo , nos dirigimos con  Sr. Jerry Esqueche al depósito de repuestos usados para buscar  un elemento de una máquina. Al llegar al depósito (detrás de Galletera/ línea del tren)  saco su llavero y se dispuso a abrir el candado , lo cual hizo y luego jaló de izquierda a derecha
 al final de la carrera de la puerta sufre el atrapamiento entre la puerta fija y la móvil. Al ver la parte herida (dedo índice derecho-ultima falange) muestra  su uña estaba morado y salía sangre por los costados </t>
  </si>
  <si>
    <t>Puerta</t>
  </si>
  <si>
    <t>Caida por resbalón cargando balde 20lts solución láctea originando dolor lumbar</t>
  </si>
  <si>
    <t>Juan Jose Jave Burgos</t>
  </si>
  <si>
    <t>15 años</t>
  </si>
  <si>
    <t>29/05/2014  
14:15</t>
  </si>
  <si>
    <t xml:space="preserve">El día en mención el trabajador de la empresa ALBARQ se encontraba junto a sus compañeros desmontando los vidrios templados de una mampara,  es cuando al retirar el antepenúltimo paño de vidrio, la compresión de la estructura de acero inoxidable dificulta, y al forzarlo rompe el vidrio en fragmentos pequeños, produciendo dos cortes en la mano derecha del trabajador. 
</t>
  </si>
  <si>
    <t>Albarq</t>
  </si>
  <si>
    <t>Gamarra Quinto Edwin</t>
  </si>
  <si>
    <t xml:space="preserve">Durante la operación de carga de parihuelas metálicas (ruma de 5 parihuelas de 180 kg. c/u); el Sr. Edwin Gamarra (chofer) ingresa al furgón del camión para dirigir esta carga. 
Cuando el operario de almacén acomodaba la ruma de parihuelas estas se deslizan, ocasionando que la rejilla (20 Kg. aprox.) de la paleta superior impacte sobre el pie izquierdo del chofer.
</t>
  </si>
  <si>
    <t>junio</t>
  </si>
  <si>
    <t>Parihuela metalica</t>
  </si>
  <si>
    <t>CHOFER</t>
  </si>
  <si>
    <t xml:space="preserve">Jose Antonio Ramirez Condori </t>
  </si>
  <si>
    <t>17/06/2014 
 12:00</t>
  </si>
  <si>
    <t xml:space="preserve">El día en mención el trabajador de la empresa SIGE se encontraba junto a un compañero, cortando con maquina plasma (equipo con función similar al oxicorte y; funciona con energía eléctrica y aire comprimido) un tubo cuadrado de 5m de longitud,  16” de alto x 8” de ancho. En el transcurso de su labor, el trabajador accidentado no termina de cortar completamente el tubo cuadrado, quedando una pulgada de diferencia, por lo que en una decisión incorrecta levanta el tubo cuadrado para golpear contra la losa de concreto y así terminar de romper la pulgada de diferencia. Es ahí donde el tubo se abre y golpea el dedo pulgar izquierdo del trabajador contra la losa, causando una contusión en dicho dedo.
</t>
  </si>
  <si>
    <t>Tubo durante corte</t>
  </si>
  <si>
    <t>SIGE</t>
  </si>
  <si>
    <t>NAVARRO MIRANDA ALEJANDRO FELIX</t>
  </si>
  <si>
    <t>04/07/2014 
 13:10</t>
  </si>
  <si>
    <t>dispone a mover su silla giratoria, para lo cual la carga en la posición mostrada en la foto y al realizar un movimiento brusco y ejercer fuerza, tuerce su dedo meñique que estaba atrapado en la rendija del respaldo del asiento.</t>
  </si>
  <si>
    <t>Silla</t>
  </si>
  <si>
    <t>1er</t>
  </si>
  <si>
    <t xml:space="preserve">Contusión brazo durante limpieza máquina amasadora no bloqueada </t>
  </si>
  <si>
    <t>SABOGAL CARBAJAL MOISES</t>
  </si>
  <si>
    <t xml:space="preserve">14 años </t>
  </si>
  <si>
    <t>25/07/2014
20:00</t>
  </si>
  <si>
    <t xml:space="preserve">Corte en dedos mientras manipulaba herramienta hexagonal </t>
  </si>
  <si>
    <t>Herramienta</t>
  </si>
  <si>
    <t>REYNER QUIROZ QUINTANA</t>
  </si>
  <si>
    <t>02/08/2014
15:15</t>
  </si>
  <si>
    <t xml:space="preserve">Atricción de antebrazo izquierdo. Herida excoriativa en antebrazo izquierdo entre faja y polin, retirando producto de la linea aun en pruebas
</t>
  </si>
  <si>
    <t xml:space="preserve">Agosto </t>
  </si>
  <si>
    <t>EIG</t>
  </si>
  <si>
    <t xml:space="preserve">LADINES MILLA JOSE </t>
  </si>
  <si>
    <t>12 años</t>
  </si>
  <si>
    <t>04/08/2014
08:05</t>
  </si>
  <si>
    <t>golpe produciendo una herida en brazo izquierdo , herida de aprox 2 cm, sangrante , sin limitación funcional.</t>
  </si>
  <si>
    <t xml:space="preserve">Farith Bulnes Pinto </t>
  </si>
  <si>
    <t>5 dias</t>
  </si>
  <si>
    <t>05/08/2014
15:30</t>
  </si>
  <si>
    <t>contusión frontal con la llave del agua, al momento de agacharse a recoger el shampoo en la ducha.</t>
  </si>
  <si>
    <t>Llave ducha</t>
  </si>
  <si>
    <t>HUMAN CASTILLO JIM LEONARDO</t>
  </si>
  <si>
    <t>CLJ</t>
  </si>
  <si>
    <t>6 meses</t>
  </si>
  <si>
    <t>06/08/2014
16:00</t>
  </si>
  <si>
    <t>Paciente se encontraba  en la zona de encajado en galletera manipulando una galleta sufre una atrición de dedo de la mano entre 2 fajas  produciendo  herida y daño en  la uña.</t>
  </si>
  <si>
    <t>PAREDES AMESQUITA, ROGER CIRILO</t>
  </si>
  <si>
    <t>07/08/2014
14:00</t>
  </si>
  <si>
    <t>EN CIRCUNSTANCIA QUE EL OPERARIO PAREDES RETORNABA DE LOS SERVICIOS HIGIENICOS HACIA SU PUESTO DE TRABAJO, NO SE PERCATA QUE EL PISO SE ENCONTRABA MOJADO DEBIDO A LAS LABORES DE LIMPIEZA QUE SE ESTABAN REALIZANDO AL INGRESO DE LA PLANTA, POR LO CUAL RESBALA Y CAE DE ESPALDA GOLPEANDOSE LA PARTE  POSTERIOR DE LA CABEZA Y COLUMNA DORSAL OCASIONANDOLE UNA HERIDA CONTUSA Y UN TRAUMATISMO ENCEFALO CRANEANO LEVE.</t>
  </si>
  <si>
    <t>ANGEL RODRIGUEZ</t>
  </si>
  <si>
    <t>4 años</t>
  </si>
  <si>
    <t>10/08/2014
08:25</t>
  </si>
  <si>
    <t>Atrición de dedo meñique mano izquierda desatorando tolva</t>
  </si>
  <si>
    <t>Kelly Vilchez</t>
  </si>
  <si>
    <t>14/08/2014
19:15</t>
  </si>
  <si>
    <t>Luxacion en Tobillo pie derecho</t>
  </si>
  <si>
    <t>Otro</t>
  </si>
  <si>
    <t>E&amp;G</t>
  </si>
  <si>
    <t>CURILLA VILLAVERDE, PETER ADOLFO</t>
  </si>
  <si>
    <t>15 dias</t>
  </si>
  <si>
    <t>21/08/2014
13:15</t>
  </si>
  <si>
    <t>EN CIRCUNSTANCIAS QUE EL SEÑOR ADOLFO CURILLA VILLAVERDE PERSONAL DEL ÁREA DE LA  CÁMARA  DE FERMENTACIÓN DE GALLETA SODA, REALIZABA LA OPERACIÓN VOLCADO DE COCHE CON REMEZCLA DE MASA PARA GALLETA SODA, UNA VEZ QUE EL COCHE SE ENCUENTRA EN POSICIÓN HORIZONTAL DECIDE LIMPIAR CON UNA ESPÁTULA METÁLICA DE MANGO LARGO LAS PAREDES INTERNAS DEL COCHE DEBIDO A LA PRESENCIA DE  RESTOS DE MASA ADHERIDAS, LUEGO PROCEDE A RECOGER LOS RESTOS DE MASA CON EL RECOGEDOR DEJANDO DENTRO DEL COCHE LA ESPÁTULA EN POSICIÓN VERTICAL, EL CUAL FUE IMPACTADO EN LA BASE CON EL RECOGEDOR EN LA OPERACIÓN DE RECOJO, EL CUAL HACE PALANCA Y SE VOLTEA, IMPACTANDO EL MANGO CON EL ROSTRO DEL OPERARIO, PROVOCÁNDOLE UNA HERIDA CONTUSA ABIERTA EN LA BOCA.</t>
  </si>
  <si>
    <t xml:space="preserve">Manuel Veintimilla Noblecilla </t>
  </si>
  <si>
    <t>26/08/2014
11:30</t>
  </si>
  <si>
    <t>Realizando Mnto a los robots salta desde una cama de paletas y cae sobre un tubo perdiendo el equilibrio y cayendo sobre su brazo izquierdo.</t>
  </si>
  <si>
    <t>Andes Technology SAC</t>
  </si>
  <si>
    <t xml:space="preserve">MAURICIO RAUL VIDAL </t>
  </si>
  <si>
    <t>10/09/2014
13:11</t>
  </si>
  <si>
    <t>Presenta herida cortante de 4 cm aprox rn dedo meñique de mano derecha con abundante sangrado.</t>
  </si>
  <si>
    <t>Septiembre</t>
  </si>
  <si>
    <t>Balvino</t>
  </si>
  <si>
    <t>OCAMPO AGUILAR JHONNY</t>
  </si>
  <si>
    <t>11/09/2014
21:20</t>
  </si>
  <si>
    <t>Atricción Pie Izquierdo entre paletas</t>
  </si>
  <si>
    <t>Richard Alonso Hinojosa Barbaron</t>
  </si>
  <si>
    <t>12/09/2014
07:50</t>
  </si>
  <si>
    <t>Herida contusa abierta por aplastamiento del dedo con compuerta de la sig</t>
  </si>
  <si>
    <t>Carlos Manuel Gaona Torres</t>
  </si>
  <si>
    <t xml:space="preserve">18 años </t>
  </si>
  <si>
    <t>17/09/2014
09:00</t>
  </si>
  <si>
    <t>BUSTAMANTE RIVERA HENRRY</t>
  </si>
  <si>
    <t>23/09/2014
12:30</t>
  </si>
  <si>
    <t>FRACTURA DE DEDO durante calibración del detector de metales</t>
  </si>
  <si>
    <t>MARCO MENDOZA CORREA</t>
  </si>
  <si>
    <t>23/09/2014
08:00</t>
  </si>
  <si>
    <t>golpe en el hombro con bobina plastica</t>
  </si>
  <si>
    <t>bobina</t>
  </si>
  <si>
    <t xml:space="preserve">ESPINO REYES ALEXIS </t>
  </si>
  <si>
    <t>24/09/2014
15:20</t>
  </si>
  <si>
    <t>Dx traumatismo y aplastamiento de rodilla izq al bajar maquina de soldar por las escaleras</t>
  </si>
  <si>
    <t>Caida objeto</t>
  </si>
  <si>
    <t>ELIAS RAMIREZ TORRES</t>
  </si>
  <si>
    <t>02/10/2014
12:00</t>
  </si>
  <si>
    <t>Quemadura puntual de Segundo Grado por salpicadura de silicona (panetones)</t>
  </si>
  <si>
    <t>Silicona</t>
  </si>
  <si>
    <t>DAVID JUSTAMANTE LUNA</t>
  </si>
  <si>
    <t>06/10/2014
7:50</t>
  </si>
  <si>
    <t>realizaba la operación de  limpieza y desinfección de la superficie externa de la banda sanitaria  del transportador de apilado inclinado-Enfriado Línea-3, se percata de que uno de los polines internos presentaba restos de polvillo de galletas y decide limpiarlo cuando esta se encontraba en movimiento, inclinándose para introducir su mano Izquierda utilizando un trapo industrial, en ese momento el trapo es jalado y atrapado entre el polín y la banda que giraba en sentido  horario; en ese instante el operario por tratar de retirar el trapo sus dedos índice y medio de su mano izquierda es  aprisionado,  ocasionándole una atricción severa (desgarramiento de piel) en dichos dedos.</t>
  </si>
  <si>
    <t>JAVIER PAREDES BECERRA</t>
  </si>
  <si>
    <t>12/10/2014
9:20</t>
  </si>
  <si>
    <t>Pérdida de pieza dentaria cortes internos y externos labio inferior</t>
  </si>
  <si>
    <t xml:space="preserve">BALANCEADOS LIMA </t>
  </si>
  <si>
    <t>AGURTO CORONADO JEXI</t>
  </si>
  <si>
    <t>14/10/2014
15:01</t>
  </si>
  <si>
    <t>Policontuso Contusión en rodilla d/c fractura descargando sacos de camión</t>
  </si>
  <si>
    <t>ANDREA BALLARDO CUZCANO</t>
  </si>
  <si>
    <t>15/10/2014
10:00</t>
  </si>
  <si>
    <t>Quemadura de II grado en manos</t>
  </si>
  <si>
    <t>Producto</t>
  </si>
  <si>
    <t>EUSEBIO CHAPOÑAN SAN</t>
  </si>
  <si>
    <t>30/10/2014
12:30</t>
  </si>
  <si>
    <t>contusion parte baja de la espalda al resbalar</t>
  </si>
  <si>
    <t xml:space="preserve">ANGEL JESUS PRIETO LAZO </t>
  </si>
  <si>
    <t>03/11/2014
11:35</t>
  </si>
  <si>
    <t>En circunstancias que el Operario de Producción Sr. Ángel Prieto Lazo realizaba el traslado del coche de masa de soda para ubicarlo en la parte posterior de la cámara de fermentación, por la estrechez del espacio la rueda del coche choca con la barra de protección de impacto de la pared lateral izquierdo de la cámara, haciendo que esta rebote, venciendo la fuerza del operario y choque con otro coche aledaño, aprisionándole su dedo índice de la mano derecha,  provocándole una herida contusa abierta en dicha parte de la mano.</t>
  </si>
  <si>
    <t>Coches masa galleta</t>
  </si>
  <si>
    <t>JIMMY RAMOS LARROCHE</t>
  </si>
  <si>
    <t>07/11/2014
11:15</t>
  </si>
  <si>
    <t>Siendo las 11:15am, el señor Jimmy Ramos procede a hacer la limpieza respectiva del área con aire comprimido luego de la recepción de 2900Tn de trigo. El Sr Ramos, al pasar encima de una plataforma hecha con barras de acero, como se muestra en la figura 1, dos de estas barras se desprenden de uno de los puntos de soldadura, doblándose, momento en el cual el Sr Ramos pisa en falso, aguantando su peso en la pierda izquierda. El Sr Ramos sufre de lumbalgia, por lo que este movimiento afectó mas esta condición. El Sr Ramos se comunico con mi persona y se procedió al retiro del colaborador de la zona. Se llamo a Alerta medica, se activo la Brigada de Emergencia y se traslado al Sr Ramos a la Clínica San Gabriel, donde le diagnosticaron Estiramiento de la Zona Lumbar, dándole 3 días de Descanso Médico.
Se procedió con la investigación respectiva del accidente</t>
  </si>
  <si>
    <t>LUIS GONZALES ASMAD</t>
  </si>
  <si>
    <t>16 años 2 meses</t>
  </si>
  <si>
    <t>11/11/2014
15:30</t>
  </si>
  <si>
    <t xml:space="preserve">Quemadura por salpicadura de aceite caliente del dispositivo de lubricación de un banco cilindros </t>
  </si>
  <si>
    <t>Lubricante</t>
  </si>
  <si>
    <t xml:space="preserve">RAUL MONTALVO GUZMAN </t>
  </si>
  <si>
    <t>11/11/2014
14:15</t>
  </si>
  <si>
    <t xml:space="preserve">El señor Montalvo se encontraba haciendo la regulación del alimentador del banco T1-2, luego de la regulación el señor se dirigió hacia el banco T1-1 realizando el mismo proceso. Esta tarea se hace levantando la tapa del equipo y enganchándola en uno de los costados, al momento del retorno hacia el banco T1-2  la tapa del equipo cae en forma vertical golpeando al señor Montalvo, a través de las botas de seguridad en el empeine del pie derecho. 
</t>
  </si>
  <si>
    <t>VIGO MOYA CESAR</t>
  </si>
  <si>
    <t>15 años 7 meses</t>
  </si>
  <si>
    <t>11/11/2014
11:30</t>
  </si>
  <si>
    <t>Caída al mismo nivel por tropezar con pallets de plástico</t>
  </si>
  <si>
    <t xml:space="preserve"> ANTHONY PURISACA RISCO </t>
  </si>
  <si>
    <t>11/11/2014
10:20</t>
  </si>
  <si>
    <t xml:space="preserve">En circunstancias que el Operario de Producción Sr. Anthony Purisaca  se disponía abrir las cajas de manteca, haciendo uso de un cuchillo  procedió  a cortar la cinta de embalaje de las aletas de la caja en sentido contrario de abajo hacia arriba y con  la posición inversa  del  filo del  cuchillo, ante la rapidez y descuido del  operario  el  cuchillo  hace contacto con el dedo pulgar de la mano derecha provocándole una herida cortante en dicho dedo de la mano.                    </t>
  </si>
  <si>
    <t xml:space="preserve">CARLOS FERNANDO VILCA BARRIGA </t>
  </si>
  <si>
    <t>13 años</t>
  </si>
  <si>
    <t>18/11/2014
16:45</t>
  </si>
  <si>
    <t>En el molino Victoria, a las 16:45 horas del 18 de Noviembre del 2014, el Sr. Carlos Fernando Vilca Barriga, Ayudante de Molino, luego de salirse la faja que acciona la rosca transportadora de trigo lavado y con el sector de Limpia de Trigo parado, se dispuso a colocar la mencionada faja utilizando una escalera tipo tijera. Cuando estuvo realizando esta tarea se le cierra la escalera, lo que origina que  pierda el equilibrio y caiga al piso. Se solicita la presencia de la ambulancia 11-11 quienes le dan la primera atención. 
Se procede a llevar al Sr. Carlos Vilca Barriga a la Clínica San Juan de Dios, donde el médico le diagnostica contusión en la zona izquierda del tórax y la canilla izquierda, otorgándole inicialmente 6 días de descanso médico, luego le amplían el descanso por 6 días mas. Se le toma Rayos X para descartar alguna fractura o fisura.</t>
  </si>
  <si>
    <t>Escalera tijera</t>
  </si>
  <si>
    <t>MATIAS ALVA SOTO</t>
  </si>
  <si>
    <t xml:space="preserve">30 años </t>
  </si>
  <si>
    <t>26/11/2014
19:14</t>
  </si>
  <si>
    <t>El Trabajador se encontraba en el muelle 29 del CDC estibando la unidad de transportes Asturias (Placa FGN918). Ya para culminar la carga (90% avance), el trabajador levantó manualmente la rampa de acero para trasladarla hacia la parte central de la puerta del furgón. 
En ese momento, el trabajador en mención no se percató que su compañero se encontraba retrocediendo (dentro de la unidad); éste último pisó la rampa, lo que originó que ésta cayera sobre la mano izquierda del Sr. Alva Soto.</t>
  </si>
  <si>
    <t>Rampa metalica</t>
  </si>
  <si>
    <t>GIANNONI GRADOS RAMIREZ</t>
  </si>
  <si>
    <t>4 años y 3 meses</t>
  </si>
  <si>
    <t xml:space="preserve">19/12/2014
08:50 </t>
  </si>
  <si>
    <t xml:space="preserve">El día 19/12/2014 a las 08:50 am el trabajador Grados Ramirez se dirige al almacén para retirar tuberías de 1” (peso aproximado de 15 kg); mientras estaba esperando decidió apoyar para retirar él mismo la tubería. Sin embargo al momento de retirar la 3era tubería de 1” de inox retrocede  y pisa una de las tuberías apiladas en el piso, resbalándose y  asentando la pisada en el tobillo derecho.
</t>
  </si>
  <si>
    <t>Tubería</t>
  </si>
  <si>
    <t>Luxación</t>
  </si>
  <si>
    <t xml:space="preserve">Jorge Oswaldo </t>
  </si>
  <si>
    <t>herida abierta en el dedo medio de la mano izquierda (Molino-Bco Cilindros)</t>
  </si>
  <si>
    <t>FERNANDO ATALAYA GOYCOCHEA</t>
  </si>
  <si>
    <t xml:space="preserve">El día 19 de Marzo del 2014, al promediar las 20:00 hrs. el colaborador Fernando Atalaya Goicochea estaba trasladando pallets desde el canal 03 hacia el muelle de carga por la puerta 03, utilizando un transportador eléctrico ERE120. 
Cuando quedaban tres pallets para terminar la labor, Fernando extrae un pallet de aceite con el ERE 120, momento en el que escuchó una consulta que le realizaban a otro compañero; él quiso avisar de lo que sabía y realizar la operación de retroceso  al mismo tiempo, momento en el que no se percata del elevador Crown 004 que estaba estacionado en el canal siguiente, el cual no tenía operaciones. Esto ocasiona el impacto entre la parte posterior del ERE 120 y el Crown 004. 
</t>
  </si>
  <si>
    <t>RAMIREZ ARONES JULIO CESAR</t>
  </si>
  <si>
    <t>5 años 8 meses</t>
  </si>
  <si>
    <t xml:space="preserve">23/03/2014
01:15 </t>
  </si>
  <si>
    <t>El monitor de planta Walter Huamaní le indica al instrumentista Julio Ramirez que presentaba problemas en la dosificación de carbonato de sodio.
Julio Ramirez identifica el problema en el guardamotor 62CL4. 
Acción 1- Se coloca el Guardamotor de reemplazo al lado del instalado, reduciendo el espacio.
Acción 2- Se traslada los cables de un equipo a otro mientras estos se encuentran energizados
Acción 3 : Ocurrencia de corto circuito entre dos fases</t>
  </si>
  <si>
    <t>Electricidad</t>
  </si>
  <si>
    <t>SOLANO YNUMA HENRY</t>
  </si>
  <si>
    <t xml:space="preserve">3 dias </t>
  </si>
  <si>
    <t xml:space="preserve">28/03/2014
13:30 </t>
  </si>
  <si>
    <t>El Colaborador Henry Solano se encontraba rompiendo bolsas con detergente para recuperación, al abrir una de estas el detergente sale hacia arriba y una pequeña cantidad de polvo cae en el ojo del trabajador; este se lava la cara y el ojo con agua pero la molestia persiste; se le lleva al topico donde se le deriva a la clinica</t>
  </si>
  <si>
    <t>ADRIANO BAZAN JOSE LUIS</t>
  </si>
  <si>
    <t xml:space="preserve">14/04/2014
16:25 </t>
  </si>
  <si>
    <t xml:space="preserve">El Técnico Jose Luis Adriano Bazán se encontraba inspeccionando las líneas de envasado y se percata que la faja de alimentación de granel desde la tolva hacia la maquina se encontraba desalineada, por lo cual decide templar la faja regulando su rodillo tensor.
La faja de alimentación gira y se detiene automáticamente alimentando producto a la maquina envasadora, en el momento de la intervención la faja se encontraba energizada.
El técnico observa que el rodillo estaba sucio, por lo que decide primero retirar la suciedad del rodillo con su llave mixta -  para realizar la limpieza no bloqueo eléctricamente la faja transportadora.
En el segundo golpe de limpieza del rodillo, arranca nuevamente la faja y atrapa la llave mixta, la cual era sostenida por el técnico.
El técnico tenia el dedo anular izquierdo en la corona de la llave, por lo que el atrapamiento del dedo se da entre la llave y el rodillo que son de metal, generando el corte del dedo.
El técnico logra desenergizar la maquina y avisa al personal de producción de su accidente para ser evacuado al tópico.
</t>
  </si>
  <si>
    <t>LOZADA AYALA JUAN JOSE</t>
  </si>
  <si>
    <t>8 años</t>
  </si>
  <si>
    <t xml:space="preserve">Lesión Incapacitante </t>
  </si>
  <si>
    <t>Abastecimiento MP</t>
  </si>
  <si>
    <t>-</t>
  </si>
  <si>
    <t xml:space="preserve">Personal no Alicorp </t>
  </si>
  <si>
    <t>realizaba el cableado usando una wincha metálica, la cual al momento de ser manipulada hace contacto con la barra de distribución del tablero energizado, lo que ocasiona un fogonazo que va directo al rostro del trabajador.</t>
  </si>
  <si>
    <t>REWELS</t>
  </si>
  <si>
    <t>MIRANDA GUTIERREZ VICTOR</t>
  </si>
  <si>
    <t>59</t>
  </si>
  <si>
    <t xml:space="preserve">Mantenimiento de equipo la manguera se suelta, salpicándole el ácido en el rostro. </t>
  </si>
  <si>
    <t>Contacto sustancia Quimica</t>
  </si>
  <si>
    <t>resbalar en piso de comedor que estaba mojado, sufriendo traumatismo en brazo izquierdo.</t>
  </si>
  <si>
    <t>CONCESIONARIO JG SERVICE</t>
  </si>
  <si>
    <t>TAMAYO ARANDA SANDRO DAVID</t>
  </si>
  <si>
    <t>Personal no Alicorp</t>
  </si>
  <si>
    <t>bajarla de la ruma, al momento de realizar esta actividad es que la paleta se le resbala, golpeándole ambas rodillas</t>
  </si>
  <si>
    <t>Limpieza paletas</t>
  </si>
  <si>
    <t>FIGUEROA CASTILLEJO ELODIA ELIZABETH</t>
  </si>
  <si>
    <t>38</t>
  </si>
  <si>
    <t>9 años</t>
  </si>
  <si>
    <t>desarmaban en su área el molino coloidal una parte de éste resbala e impacta en su mano izquierda, ocasionándole herida</t>
  </si>
  <si>
    <t>Fractura tobillo pie izquierdo, contusión dedo meñique pie derecho al caerle una paleta al ser golpeada por Montacarga</t>
  </si>
  <si>
    <t>Traslado Paletas Montacargas</t>
  </si>
  <si>
    <t>Atropello</t>
  </si>
  <si>
    <t>MMG, sube al nivel +6 del edificio de manufactura ayudándose de un andamio ubicado en la zona lateral del edificio, durante el transito de un cuerpo del andamio hacia otro, la pierna izquierda del trabajador queda atrapada en una abertura de aproximadamente 7 cm que se tenia entre las bandejas que forman la plataforma del andamio como consecuencia de ello el trabajador sufre una caída a nivel y un esquince en la rodilla izquierda.</t>
  </si>
  <si>
    <t>Andamio</t>
  </si>
  <si>
    <t>CHAVEZ TAPULLIMA WALTER</t>
  </si>
  <si>
    <t>21</t>
  </si>
  <si>
    <t>5 meses</t>
  </si>
  <si>
    <t>APLASTAMIENTO DE LA  MANO MUÑECA Y ANTEBRAZO DERECHA POR UNA FAJA ALIMENTADORA DE ENVASES</t>
  </si>
  <si>
    <t>Alimentación Envases</t>
  </si>
  <si>
    <t>Esguince muñeca derecha al caérse la plancha de 30kg para encofrado (Gerenpro)</t>
  </si>
  <si>
    <t>Carga materiales</t>
  </si>
  <si>
    <t>GERENPRO</t>
  </si>
  <si>
    <t>RIVADENEIRA MENDOZA VICTOR ANGEL</t>
  </si>
  <si>
    <t>36</t>
  </si>
  <si>
    <t>se encontraba en el Segundo Piso de Balanceados cargando aditivos. Indica que al girar pisa el borde de la estoca perdiendo el equilibrio, cae al piso y sufre un golpe en pierna y torcedura de tobillo derecho.</t>
  </si>
  <si>
    <t xml:space="preserve">Marzo </t>
  </si>
  <si>
    <t>Carga aditivos</t>
  </si>
  <si>
    <t>Torcedura pie</t>
  </si>
  <si>
    <t>AMES RODRIGUEZ HENRY</t>
  </si>
  <si>
    <t>39</t>
  </si>
  <si>
    <t>se encontraba regulando la enfardeladora de la maquina VPM de fideos cortados, su mano izquierda fue golpeada por la cadena transportadora.</t>
  </si>
  <si>
    <t>VALDIVIA SUCASACA JUAN CARLOS</t>
  </si>
  <si>
    <t>antideslizante en la faja plana de banco de cilindro, tarea que se realiza durante el arranque del molino. Al momento de realizar esta tarea el colaborador sufre un corte en el dorzo del antebrazo derecho</t>
  </si>
  <si>
    <t>PISCO RODRIGUEZ ANDY</t>
  </si>
  <si>
    <t>28</t>
  </si>
  <si>
    <t>escalera apoyada en el ducto vertical de descarga y procede a subir para cerciorarse si estaba vacía , al descender por la escalera utilizada, la  base de esta resbala y el colaborador cae recibiendo el peso de su cuerpo en la mano izquierda.</t>
  </si>
  <si>
    <t>Escalera portatil</t>
  </si>
  <si>
    <t>Revisión equipo en altura</t>
  </si>
  <si>
    <t>REYES OLLAIS ERICKA ISABEL</t>
  </si>
  <si>
    <t>al trasladar un producto de la bandeja es que gira y se golpea el codo de antebrazo izquierdo en una base metálica</t>
  </si>
  <si>
    <t>Alimentación producto</t>
  </si>
  <si>
    <t>FASABI CEOPA MANUEL</t>
  </si>
  <si>
    <t>22</t>
  </si>
  <si>
    <t>7 mese</t>
  </si>
  <si>
    <t>introduce su mano por la abertura de inspección de la tolva pulmón , en estos instantes cuando él intenta sopletear la salida de la tolva 4 para limpiar restos de pellets, la compuerta se cierra accionada desde scada por el operario de rociado, produciéndose así la atricción de la mano derecha entre la compuerta y el marco de salida de la tolva.</t>
  </si>
  <si>
    <t>empresa GEPROIN  Trabajador sufre traumatismo por caida de concreto</t>
  </si>
  <si>
    <t>GEPROIN</t>
  </si>
  <si>
    <t xml:space="preserve">Empresa ALTA se encontraba detrás de un compañero que estaba esmerilando y le penetra una esquirla de metal en ojo izquierdo. 
</t>
  </si>
  <si>
    <t>Esquirla</t>
  </si>
  <si>
    <t>Verificando esmerilado</t>
  </si>
  <si>
    <t>Materia extraña al ojo</t>
  </si>
  <si>
    <t>Relaciones Laborales</t>
  </si>
  <si>
    <t>transitaba por la línea de servido con dirección a la Exhibidora de Gaseosas, en ese momento sufre una caída. La caída fue a consecuencia de que el piso estaba mojado.</t>
  </si>
  <si>
    <t>CONCESIONARIO (REGIS)</t>
  </si>
  <si>
    <t>Empresa Geproin Pierna de trabajador se introduce en agujero. sufre un esguince en el tobillo de la pierna izquierda, opuesta a la introducida en la perforación</t>
  </si>
  <si>
    <t xml:space="preserve">Empresa Fabtech levanta la careta para poder realizar el cambio del electrodo, en simultaneo se estaban realizando trabajos de soldadura en los niveles superiores de la escalera, por tanto una de las chispas de la soldadura rebota contra el silo y se introduce en el ojo derecho del trabajador </t>
  </si>
  <si>
    <t>FABTECH</t>
  </si>
  <si>
    <t>MARQUEZ PARIONA JIMMY ANTONY</t>
  </si>
  <si>
    <t>1 mes, 20 dias</t>
  </si>
  <si>
    <t>mano izquierda quede atrapada entre los polines por unos 30 segundos, y por el roce con la faja transportadora se originó la quemadura de su mano izquierda</t>
  </si>
  <si>
    <t>Recepción productos</t>
  </si>
  <si>
    <t>SILVA PALMA MARCO ANTONIO</t>
  </si>
  <si>
    <t>27</t>
  </si>
  <si>
    <t>7 meses</t>
  </si>
  <si>
    <t>pisa en falso en la última grada doblandose el tobillo izquierdo y cae en el descanso</t>
  </si>
  <si>
    <t>Escalera fija</t>
  </si>
  <si>
    <t>MEJIA POCOMUCHA MIGUEL</t>
  </si>
  <si>
    <t>Atricción dedos índice y medio de la mano izquierda.</t>
  </si>
  <si>
    <t>COTRINA OCAS SEGUNDO MANUEL</t>
  </si>
  <si>
    <t>44</t>
  </si>
  <si>
    <t xml:space="preserve">Golpe hombro izquierdo por caída, dirigirse al vestuario </t>
  </si>
  <si>
    <t>RUBINA AVILA RAFAEL ENRIQUE</t>
  </si>
  <si>
    <t>24</t>
  </si>
  <si>
    <t>Paciente indica que al manipular un saco de trigo de aprox. 40 kg se golpea la mano derecha sobre una superficie de madera</t>
  </si>
  <si>
    <t>Manipuleo de carga</t>
  </si>
  <si>
    <t>sostener la plancha por los extremos esta se le resbaló de las manos y le cayó en el pie izquierdo en la zona del empeine</t>
  </si>
  <si>
    <t xml:space="preserve">FABTECH </t>
  </si>
  <si>
    <t>FIGUEROA CONDORI ALFREDO AQUILINO</t>
  </si>
  <si>
    <t>58</t>
  </si>
  <si>
    <t>37 años</t>
  </si>
  <si>
    <t xml:space="preserve">Contusión de dedo con pinza amperimétrica </t>
  </si>
  <si>
    <t xml:space="preserve">Medición de equipo </t>
  </si>
  <si>
    <t>acción temeraria pasando por encima del transportador de cadena para realizar la limpieza en un espacio restringido. Al momento de querer salir del área intenta pasar nuevamente sobre el transportador y es en ese momento que se resbala cae al piso.</t>
  </si>
  <si>
    <t>Salta por encima de equipo</t>
  </si>
  <si>
    <t>GUZMAN ANGLAS MARTIN</t>
  </si>
  <si>
    <t>42</t>
  </si>
  <si>
    <t>m</t>
  </si>
  <si>
    <t>El colaborador se encontraba revisando la operación de corte de las cuchillas en la máquina volpak pues había detectado que algunos doypacks no salían cortados correctamente en su parte inferior, para ello apertura la puerta de la máquina deteniéndose esta y procede a colocar la máquina en manual y utilizar el pulsador con su mano derecha para paso a paso observar a que se debe la falla, mientras tanto utiliza la mano izquierda para retirar los doypacks que le bloqueban la visión, en ese momento (en su intento de retirar el doypack a la vez que acciona el pulsador) el pulgar de su mano izquierda toma contacto con la cuchilla y sufre el corte.</t>
  </si>
  <si>
    <t xml:space="preserve">Producción </t>
  </si>
  <si>
    <t>ZUÑIGA HUANCAYO, JIM PAOL               </t>
  </si>
  <si>
    <t>30</t>
  </si>
  <si>
    <t>Lesión Incapacitante (MOLINCA)</t>
  </si>
  <si>
    <t xml:space="preserve">Corte en dedo en esclusa </t>
  </si>
  <si>
    <t>Esclusa</t>
  </si>
  <si>
    <t>LOPEZ PANAYFO CARLOS HUMBERTO</t>
  </si>
  <si>
    <t>46</t>
  </si>
  <si>
    <t xml:space="preserve">Refiere que hace 5 minutos aproximadamente, se encontraba manipulando una máquina selladora de bolsa, la cual ejerció presión sobre el dedo generando un corte +- 3cm con sangrado activo en 1er dedo de mano derecha.  
</t>
  </si>
  <si>
    <t>MANRIQUE QUISPE EDWARD CRISTHOPHER</t>
  </si>
  <si>
    <t>8 dias</t>
  </si>
  <si>
    <t>En momentos que el Sr Manrique Quispe Edward se encontraba realizando el paletizado de sacos de harina , uno de estos sacos se desplaza provocando que el Sr Manrique caiga al piso desde una altura aproximada de 1 m . Ocasionándole un esguince en la muñeca de la mano derecha. Se comunica vía RPM a garita de vigilancia el Sr. ARANIBAR LOAYZA SAUL CLODOALDO Coordinador del Molino indicando que solicite la presencia de la ambulancia Rescate 11-11 para la atención al Sr. MANRIQUE QUISPE EDWARD CRISTHOPHER. quien acompañado por el Gestor de RRHH, es trasladado a la Clínica San Juan de Dios, donde se le toma placas sin encontrar señales de fisura o fractura. Por precaución, el médico tratante dispone un descanso de 3 días.</t>
  </si>
  <si>
    <t xml:space="preserve">Manipuleo de Carga </t>
  </si>
  <si>
    <t>El Sr. Valverde se encontraba limpiando los sacos encima del andamio y perdió el equilibrio golpeándose y golpeando a su compañero Miranda que se encontraba al pie.</t>
  </si>
  <si>
    <t>Andrea Lopez La Torre</t>
  </si>
  <si>
    <t>Personal Alicorp</t>
  </si>
  <si>
    <t>1año 3 mese</t>
  </si>
  <si>
    <t xml:space="preserve">forzara el llevarselo con la mano izquierda y por la inercia de éste movimiento su dedo índice de la mano izquierda terminó siendo golpeado por el portabolsa contra la mesa de empaquetado, </t>
  </si>
  <si>
    <t xml:space="preserve">Julio </t>
  </si>
  <si>
    <t>otros</t>
  </si>
  <si>
    <t>Forcejeo</t>
  </si>
  <si>
    <t>Piñarreta Zúñiga Juan Eduardo</t>
  </si>
  <si>
    <t xml:space="preserve">Atricción del dedo índice de la mano derecha </t>
  </si>
  <si>
    <t xml:space="preserve"> trata de tomar el plato y es cuando se resbala, cayendo así sobre su brazo derecho. Lesión : Esguince en el hombro derecho</t>
  </si>
  <si>
    <t xml:space="preserve">Atención en el comedor </t>
  </si>
  <si>
    <t>El evento ocurre mientras el Sr. JOSE CAMPOS CHIROQUE de la empresa FABTECH se encontraba maniobrando un anillo con un tecle y sogas, en el instante que una de las sogas se solto por uno de los extremos la tuberia bajo de nivel, hasta el nivel donde se encontraba el trabajador de la empresa FABTECH, trayendo como consecuencia una contusion en la cadera del trabajador.</t>
  </si>
  <si>
    <t>Tubo</t>
  </si>
  <si>
    <t>FabTech</t>
  </si>
  <si>
    <t xml:space="preserve">Irritación de ojos . Al estar lavando la ducha con la mezcla de éstos, le salpicó en los ojos, en ese momento procedió a lavarse con abundante agua. </t>
  </si>
  <si>
    <t xml:space="preserve">Jose Jorge Huacal Sanchez </t>
  </si>
  <si>
    <t xml:space="preserve">Girando una ruma de latas el dedo anular de la mano izquierda tiene contacto con el filo cortante de la boca de la lata (orificio de llenado) ocacionandole un corte de un cm de largo en la yema del dedo. </t>
  </si>
  <si>
    <t>lata</t>
  </si>
  <si>
    <t>Contacto con lata</t>
  </si>
  <si>
    <t>Haydee Avedaño Galindo</t>
  </si>
  <si>
    <t xml:space="preserve">se encontraba sacando restos de wafer que se encontraba en el “empujador” que los lleva hacia la envasadora Easy Run,pero NO paró la envasadora a través de la botonera,sino que lo hizo sin este bloqueo y en esas circunstancias es que el “empujador” se activa y ella saca su mano y se corta el cuarto dedo de la mano derecha con los filos de la cadena transmisora,que ya estaba en movimiento. Al examen Físico, se encuentra una herida horizontal en tercio medio del 4° dedo (articulación interfalángica proximal) de la mano derecha, en la cual se evidencia la presencia del tendón flexor. </t>
  </si>
  <si>
    <t>Estefany Rodriguez</t>
  </si>
  <si>
    <t xml:space="preserve">1 mes </t>
  </si>
  <si>
    <t>Se tropezo al enredarse el pie con el Stretch Film que se encontraba en el suelo proveniente del pallet donde retiraban las cajas , esto causó que se doblara el pie izquierdo dando como resultado un esguince de segundo grado en el tobillo.</t>
  </si>
  <si>
    <t>Strech</t>
  </si>
  <si>
    <t>Retiro de cajas de pallet</t>
  </si>
  <si>
    <t>Ronald Mauricio Ochoa</t>
  </si>
  <si>
    <t>EL Sr. Ochoa ayduante SCN Jaboneria, al tratar de abriri una valvula en la zona de tanque de condensos, rebala e introduce el pie derecho en un buzon de drenaje con agua caliente. Lo cual le produce quemaduras de 2do grado.</t>
  </si>
  <si>
    <t>Buzón</t>
  </si>
  <si>
    <t xml:space="preserve">Personal No Alicorp </t>
  </si>
  <si>
    <t>apertura del contenedor de Aceite Girasol de importación, el bolsón que contenía las 22 toneladas del producto (sin jaula de contención solo con reja de contención) se rompe y origina la apertura brusca de la puerta, golpeando al chofer y afectando a 2 trabajadores del Área de Refinerías COPSA, e inundando la Calle Refinerías</t>
  </si>
  <si>
    <t>Contenedor</t>
  </si>
  <si>
    <t xml:space="preserve">Armando Peña </t>
  </si>
  <si>
    <t xml:space="preserve">19 años </t>
  </si>
  <si>
    <t>El personal ISELSA Santos Bedon, Rafael; se presiono el dedo al querer sacar los palos de la carreta, el cual le produzco un corte de 1 cm en el dedo.</t>
  </si>
  <si>
    <t>Iselsa</t>
  </si>
  <si>
    <t>CHAFLOQUE AYASTA PEDRO HUGO</t>
  </si>
  <si>
    <t xml:space="preserve">6 años </t>
  </si>
  <si>
    <t xml:space="preserve">alineando pequeños contenedores con OXIPET POLVO cuando quiso estibar el contenido en polvo cuando repentinamente una porción “saltó” a su ojo izquierdo. </t>
  </si>
  <si>
    <t xml:space="preserve">Acomodo </t>
  </si>
  <si>
    <t>MIO VILLEGAS HECTOR IVAN</t>
  </si>
  <si>
    <t xml:space="preserve">3er </t>
  </si>
  <si>
    <t>1año 5 meses</t>
  </si>
  <si>
    <t xml:space="preserve">Contusión codo brazo izquierdo  desatar el hilo que se usa para coser  los sacos de pre mezcla, resbala y cae al piso </t>
  </si>
  <si>
    <t xml:space="preserve">Desatar hilo </t>
  </si>
  <si>
    <t>Salpicadura de Ácido Sulfúrico Rostro y Cuello (Lado derecho)</t>
  </si>
  <si>
    <t xml:space="preserve">Medición de Tanque </t>
  </si>
  <si>
    <t>Empresa Transporte Enrique Cárcamo Granda SAC</t>
  </si>
  <si>
    <t>Josselyne Perez Fajardo</t>
  </si>
  <si>
    <t>13 meses</t>
  </si>
  <si>
    <t xml:space="preserve">Corte en dedo Pulgar de Mano </t>
  </si>
  <si>
    <t>Ivan Rugel</t>
  </si>
  <si>
    <t xml:space="preserve">Material extraño al ojo </t>
  </si>
  <si>
    <t>PICADURA</t>
  </si>
  <si>
    <t>Herida cortante en la frente</t>
  </si>
  <si>
    <t>JESUS VILCA GUTIERREZ</t>
  </si>
  <si>
    <t>1RO</t>
  </si>
  <si>
    <t>30 AÑOS</t>
  </si>
  <si>
    <t>Contusión en la cabeza y quemaduras eléctricas externas de segundo grado</t>
  </si>
  <si>
    <t>Golpe en mano izquierda con puerta furgoneta</t>
  </si>
  <si>
    <t>CR SERVICE</t>
  </si>
  <si>
    <t>Seguridad Ind.</t>
  </si>
  <si>
    <t>erickson Yaser Guerrero</t>
  </si>
  <si>
    <t>Esguince de 4to dedo de la mano derecha manipulando extintor</t>
  </si>
  <si>
    <t>Extintor</t>
  </si>
  <si>
    <t>Inspeccionando</t>
  </si>
  <si>
    <t>Víctor Noé Rodríguez Aguilar</t>
  </si>
  <si>
    <t>Lesión Incapacitante (molinca)</t>
  </si>
  <si>
    <t>atrapamiento de la mano en polin y linea transportadora</t>
  </si>
  <si>
    <t>corte con amoladora de 7 pulgadas</t>
  </si>
  <si>
    <t>CASOLI</t>
  </si>
  <si>
    <t>Jose Rafael Leyva</t>
  </si>
  <si>
    <t xml:space="preserve">esguince rodilla izquierda, ruptura de menisco </t>
  </si>
  <si>
    <t xml:space="preserve">corte del 3er y 4to dedo </t>
  </si>
  <si>
    <t>FLORIMAR</t>
  </si>
  <si>
    <t>clavo en el pie</t>
  </si>
  <si>
    <t>Clavo</t>
  </si>
  <si>
    <t>Punzada</t>
  </si>
  <si>
    <t>Angel Quispe Pedraza</t>
  </si>
  <si>
    <t>Atricción del tercer dedo de la mano derecha  en linea de fraccionados</t>
  </si>
  <si>
    <t>Contusion en falange proximal 5to dedo derecho, a descartar fractura al resbalar en vestuarios CDC</t>
  </si>
  <si>
    <t>caida de 6 metros por orificio en piso tapado con madera</t>
  </si>
  <si>
    <t>DMD</t>
  </si>
  <si>
    <t>Serapio Felipe Loaiza Chavez</t>
  </si>
  <si>
    <t>Atrición del tercer dedo de la mano derecha al colocar faja de transmisión</t>
  </si>
  <si>
    <t>La Rosa Vilcherres, Jerry Lener</t>
  </si>
  <si>
    <t>Herida en mano por atricción mano derecha en faja y polin por no bloquear equipo</t>
  </si>
  <si>
    <t xml:space="preserve">Jose Luis Quispe Diaz </t>
  </si>
  <si>
    <t>Aplastamiento con montacarga contra rack</t>
  </si>
  <si>
    <t>GRACO</t>
  </si>
  <si>
    <t>mientras realizaba sus labores de supervisión en los camiones en el estacionamiento de CDC , caminando en el interior de l mismo cubierto por unos cartones se encontraba un agujero el cual al pisarlo cae intempestivamente produciendo politraumatismo .</t>
  </si>
  <si>
    <t>JMA</t>
  </si>
  <si>
    <t>SILVANO CERVANTES AMBROCIA LUCIA</t>
  </si>
  <si>
    <t xml:space="preserve">Atrición del primer dedo de la mano derecha; selladora manual de la máquina P-3 </t>
  </si>
  <si>
    <t>ZAPATA RAMOS ROSSANA</t>
  </si>
  <si>
    <t>Albajar del Bus Rossana zapata recibe un diario y al caminar distraida sufre una caída al piso sufirendo un esguince en el tobillo-</t>
  </si>
  <si>
    <t>Personal No Alicorp</t>
  </si>
  <si>
    <t>colaborador de limtek Guillermo Villegas Burga sufre caida de escalera tipo tijera y es trasladado a la clinica san gabriel.</t>
  </si>
  <si>
    <t>PINGO CASTRO SAMUEL</t>
  </si>
  <si>
    <t>Atricción de falanges distales 3er y 4to dedos mano derecha cambiando molde  fideería</t>
  </si>
  <si>
    <t>GONZALES RODRIGUES, ROSA</t>
  </si>
  <si>
    <t>5 años</t>
  </si>
  <si>
    <t>Golpe de mano derecha ocasionado por atricción con puertas abatibles.</t>
  </si>
  <si>
    <t>CORTE PROFUNDO EN MUÑECA MANO DERECHA</t>
  </si>
  <si>
    <t>Calamina</t>
  </si>
  <si>
    <t>MONTALVO VERA RAMON PRIMITIVO</t>
  </si>
  <si>
    <t>23 años</t>
  </si>
  <si>
    <t>Salpicadura de agua de tanque de condensos al colaborador Ramon Montalvo</t>
  </si>
  <si>
    <t>Agua caliente</t>
  </si>
  <si>
    <t>AZAÑERO CUEVA WILMER DE LA CRUZ</t>
  </si>
  <si>
    <t>Quemadura de brazo derecho por detergente liquido caliente</t>
  </si>
  <si>
    <t>Dertergente caliente</t>
  </si>
  <si>
    <t>Alexander Cabezas Galvez</t>
  </si>
  <si>
    <t>1año</t>
  </si>
  <si>
    <t>Choque de paleta vacia contra el tobillo del Ayudante Paletizador (Sr. Alexander Cabezas Galvez, Fideería Lima)</t>
  </si>
  <si>
    <t>Pedro Phil Renato Bocanegra Colacc</t>
  </si>
  <si>
    <t>Sr. Pedro Phil Renato Bocanegra Colacci (CDC), mientras se encontraba manejando una maquina (traspaletas) es golpeado por otra maquina (elevador electrico) golpeandose a nivel de hemitorax anterior izquierdo cayendo al suelo en posicion sentada de una altura aproximada de 15 cm.</t>
  </si>
  <si>
    <t xml:space="preserve">Cesar Alarcon </t>
  </si>
  <si>
    <t>4años</t>
  </si>
  <si>
    <t xml:space="preserve">Trabajador Cesar Alarcon , operador Receptor de Granel,  se encontraba jalando un carro de granel de Bolivar para la alimentación de las maquinas HH, el carro se corre a un lado aprisionandole la canilla de la pierna izquierda entre la base de la rueda y la baranda de protección de la Massipak " D ". </t>
  </si>
  <si>
    <t>Coche detergente</t>
  </si>
  <si>
    <t>Sr. Alejandro Ross Zuñiga  de la empresa ISELSA. Golpe en la cabeza con la puerta del container.</t>
  </si>
  <si>
    <t>ISELSA</t>
  </si>
  <si>
    <t>JHON TARAZONA BERNUY</t>
  </si>
  <si>
    <t>Sr. John Tarazona Bernuy, colaborador de Fideería Alianza. Corte en el dedo índice de la mano derecha</t>
  </si>
  <si>
    <t>Personal no alicorp</t>
  </si>
  <si>
    <t>Sr Jose luis Astupiñan Tantaruna, trabajador (empresa Regis) del comedor de planta Galletera. Quemadura de Primer grado en cara y antebrazo.</t>
  </si>
  <si>
    <t>REGIS</t>
  </si>
  <si>
    <t>Alfredo Alvarez Pinto</t>
  </si>
  <si>
    <t>Sr. Alfredo Alvarez Pinto, colaborador Molino Victoria. Esguince en el metacarpo del dedo pulgar derecho.</t>
  </si>
  <si>
    <t>Estibando</t>
  </si>
  <si>
    <t>Luis Cavero Martinez</t>
  </si>
  <si>
    <t>11 meses</t>
  </si>
  <si>
    <t xml:space="preserve">Sr. Luis Cavero Martinez, colaborador de Distribucion. Esguinse de muñeca cargando lata
</t>
  </si>
  <si>
    <t>Lata</t>
  </si>
  <si>
    <t>BURGOS RIBOTTE JEFFERSON</t>
  </si>
  <si>
    <t>5 mese</t>
  </si>
  <si>
    <t>Sr. BURGOS RIBOTTE JEFFERSON, del sector de COPSA ENVASAMIENTO ACEITES. En circunstancias en que manipulaba haciendo cortes de bidones en la maquina Romela es que se le resbala y la cuchilla le produce un corte en el antebrazo izquierdo.</t>
  </si>
  <si>
    <t>José Matos Silva</t>
  </si>
  <si>
    <t xml:space="preserve">SR JOSE MATOS SILVA (COPSA). QUEMADURA (EN LA CARA) QUIMICA POR AMONIACO </t>
  </si>
  <si>
    <t>Durante la operación estibado de sacos, luego de hacer la inspección respectiva de la plataforma del vehículo con Placa YD3807 de la Empresa Guzmán, se procede a cargar el camión, es en estos momentos que el estibador Antonio Guzmán, pisa una de las tablas la cual se rompe transversalmente, ocasionando que su pie derecho se introduzca en el espacio generado; no llega a caerse totalmente porque su pie encuentra apoyo en un soporte metálico que tenía el vehículo (APT - MCA)</t>
  </si>
  <si>
    <t>Planta Fideria APT: Sr. Deivis Allca Huaraca de la Empresa Hermanos Cure, mientras se encontraba en el camión acomodando con la malla los sacos de afrecho ,se resbala de una altura de 4.5 metros aprox.  Paciente refiere que al resbalar se coge de la malla para no caer al suelo ,posteriormente cae al suelo en posición de pie.
D/C Fractura de Calcaneo vs Fractura de Astragalo.</t>
  </si>
  <si>
    <t xml:space="preserve">SR. CHUCCHUCAN  HUARIPATA LUIS FERNANDO (LIMTECK). PACIENTE REFIERE AL ENCONTRARSE LIMPIANDO EN FIDERIA , MOLINO  3ER PISO AL LEVANTAR DEL SUELO UN TUBO DE FIERRO QUE SIRVE PARA ARMAR ANDAMIO  SE  LE RESBALA  DE LA MANO Y CAE SOBRE SU PIE IZQUIERDO PRODUCIENDO TRAUMATISMO SUPERFICIAL CAUSANDO DOLOR AGUDO
</t>
  </si>
  <si>
    <t>Cesar Dominguez</t>
  </si>
  <si>
    <t>Sr. César Augusto Domínguez Rodríguez , trabajador de COPSA. Paciente se encontraba ayudando a reparar una "máquina Petri", indica que al manipularla con una llave esta aplasta su mano derecha sobre una superficie. 
Presenta 2 heridas superficiales en primer dedo, sangrado escaso. Refiere dolor moderado en primer y tercer dedo de la mano derecha.</t>
  </si>
  <si>
    <t xml:space="preserve">Sr. Hector Cuellar Caceres, personal que brinda servicios a la Empresa  "Servicios Balbinito", refiere que mientras se encontraba cortando lechuga con cuchillo, sufre lesión en región palmar de mano izquierda provocando sangrado de regular cantidad. </t>
  </si>
  <si>
    <t xml:space="preserve">Sarita Alarcón Medina, contratista de la empresa ACCESS LINE SRL (accidente ocurrido en Fidería Alianza. Mientras se encontraba sellando envoltura con la máquina selladora, en el área  de envasados manuales, el segundo dedo de mano derecha queda atrapado provocándole lesión en región distal de dicho dedo acompañado de abundante sangrado. 
</t>
  </si>
  <si>
    <t xml:space="preserve">Sr Edson Rodriguez de Baca, contratista de la empresa San Silvestre. Paciente refiere que mientras hacia lubricación de la maquinaria de la línea 24 de la planta de Fideria, se quedo atrapado el trapo en la cadena y al tratar de sacarlo se le atriccionó la mano.  </t>
  </si>
  <si>
    <t>Srta Grecia mientras se encontraba bajando los escalones del segundo al primer piso luego de sacar copias, sufre un resbalón ocasionándole golpes en las piernas y la nalga.</t>
  </si>
  <si>
    <t>Castillo Luna Jacqueline</t>
  </si>
  <si>
    <t xml:space="preserve">SRA CASTILLO LUNA JACQUELINE SOLEDAD, TRABAJADORA DEL ÁREA DE COPSA ENVASAMIENTO MARGARINA. MIENTRAS TRABAJABA EN LA FAJA TRANSPORTADORA DE CAJAS, ESTAS NO CIRCULABAN POR LO CUAL CON LA MANO DERECHA EMPUJA LA CAJA OBSTRUIDA Y CON LA IZQUIERDA RETIENE LAS DEMAS, AL GIRAR LA VISTA HACIA EL LADO IZQUIERO BAJA LA MANO DERECHA LA CUAL QUEDA ATRAPADA ENTRE LA FAJA Y EL POLIN POR UN LAPSO APROX. DE 3 MINUTOS, SIENDO AUXILIADA POR SUS COMPAÑEROS Y EL EQUIPO DE SEGURIDAD INDUSTRIAL. </t>
  </si>
  <si>
    <t>GUANILO LEON ALBERTO RAPHAEL</t>
  </si>
  <si>
    <t>7 dias</t>
  </si>
  <si>
    <t>el envasador utiliza el montacargas para retirar el big bag de finos de Krs , en ese momento el montacargas arranca pero pierde aceleración ^balón de gas nivel mínimo, casi vacío^, al no avanzar  insiste con el acelerador , tras varios intentos arranca a alta velocidad  y gira el volante para no atropellar a compañero que se encontraba a aproximadamente 1 metro trabajando como segundo emparrillador, éste trata de evitar el impacto pero la parte lateral del castillo de montacargas le golpea el hombro derecho.</t>
  </si>
  <si>
    <t>FUENTES LEON RONALD</t>
  </si>
  <si>
    <t>2.5 meses</t>
  </si>
  <si>
    <t>Al iniciar el tercer turno el colaborador Ronald Fuentes ^Contratado^se dirigió a su puesto de armado de cajas de la línea 3. Al momento de coger un paquete de cajas que estaban ubicadas sobre una paleta de madera se le incrustó una astilla en un dedo de la mano derecha. Dicha astilla era de 1.2 cm aprox, se dirigió al tópico y el doctor indico que tenía que ser trasladado a la clínica para la extracción de dicha astilla.En la clínica el doctor le realizo una pequeña cirugía para la extracción de la astilla otorgándole un descanso relativo de 5 días.</t>
  </si>
  <si>
    <t>Cajas</t>
  </si>
  <si>
    <t>Incrustación astilla</t>
  </si>
  <si>
    <t>Nelson Alberto Quiroz Jimenez</t>
  </si>
  <si>
    <t xml:space="preserve">Molinca </t>
  </si>
  <si>
    <t>Cuando el trabajador se encontraba retirando la manta que cubría un lote de cajas almacenadas de manera temporal en el patio de maniobras para su atención a planta, la manta queda enganchada en una parihuela, por lo que el trabajador decide subir sobre una parihuela con cajas que se encontraba junto a los pallets a fin de desenganchar la manta. Al ejercer presión sobre la parihuela con cajas, éstas se deslizan parcialmente, ocasionando la caída del trabajador.Esta zona de almacenamiento ha sido habilitada temporalmente a fin de poder efectuar trabajos de obras civiles en el Almacén de Envases (unión a media caña) de acuerdo a exigencias sanitarias.</t>
  </si>
  <si>
    <t xml:space="preserve">Administración </t>
  </si>
  <si>
    <t>El accidente ocurre en circunstancias que el trabajador de Limtek luego de desechar bolsas de basura bajaba las escaleras de la Oficina del Molino- Balanza y al estar en el penúltimo peldaño resbala torciendo se el tobillo. Evaluado en la Clínica San Gabriel diagnostican fractura distal del pie izquierdo.</t>
  </si>
  <si>
    <t>Siendo las 15:45hrs del día de hoy, 23^08^2012 acude al Tópico el Sr. Felipe Atauje Muñoz, de 47 años de edad, trabajador de la empresa CONSORCIO ARAL colaboradora de SEDAPAL, debido a que, mientras cortaba un tubo de agua con un esmeril en el pozo Nro 3 de COPSA el disco del equipo queda atrapado en la zona cortada de la tubería, por lo que opta por jalarlo con fuerza, fuerza que no es controlada ocasionando que el disco del esmeril le corte el rostro por debajo del pómulo derecho.</t>
  </si>
  <si>
    <t>Michael LLactas Ataucusi</t>
  </si>
  <si>
    <t>SIENDO LAS 7:10AM ACUDE A TOPICO EL SR MICHAEL LLACTAS ATAUCUSI DE 19 AÑOS, CON CODIGO 20496, CLJ DE BALANCEADOS LIMA. PACIENTE REFIERE QUE SE RESBALO EN EL BAÑO DEBIDO A QUE EL PISO SE ENCONTRABA MOJADO. Y  AL CAER DE ESPALDAS PARA NO GOLPEARSE PONE LA MANO IZQUIERDA EXTENDIDA.SE EVALUA AL PACIENTE  SE APLICA ANALGESICO Y SE DECIDE EL TRASLADO A LA CLINICA SAN GABRIEL PARA RX DE MANO. DX: CONTUSION DE MANO Y MUÑECA, D/C FX DE HUESOS DEL CARPO (ESCAFORIDES)</t>
  </si>
  <si>
    <t>CCOLCCA AVALOS ZACARIAS</t>
  </si>
  <si>
    <t>2.5 años</t>
  </si>
  <si>
    <t>Cuando se encontraba realizando el cambio de empaquetadura de vibradores de cisterna, siendo las 12:45pm, el mecanico Zacarias Ccolcca Avalos con codigo 18060 sufre un corte profundo en el dedo anular de la mano derecha con una cuchilla, se procede a llamar a Alerta Medica luego de ser evaluado se determina su traslado a la clinica San Gabriel, en la clinica le colocaron 4 puntos y le otorgan 5 dias de descanso medico</t>
  </si>
  <si>
    <t xml:space="preserve">Norma Chira Romanet </t>
  </si>
  <si>
    <t>Siendo las 09:30 p.m. del día 29-08-12, la colaboradora Norma Chira Romanet se encontraba encajando galletas Miniglacitas, cuando al momento de jalar las bolsitas con galletas que se encontraban sobre la faja, su dedo anular de la mano izquierda queda atrapado entre la faja y una plancha de metal provocandole una herida, la colaboradora es llevado al tópico, es evaluada por el médico quien decide envíarla a la clínica San Gabriel para descartar fractura a donde va acompañada del Ing. Francisco Medrano, En la clinica se le saca una radiografía no encontrandose fractura, se le cura la herida y se le otorga descanso médico hasta el día sábado, día en que tiene que ir a la clínica para ser nuevamente evaluada.</t>
  </si>
  <si>
    <t xml:space="preserve">Juan Villarroel Rojas </t>
  </si>
  <si>
    <t>Habiéndose cortado la carga de la Línea “B” para la parada semanal del molino, el trabajador Juan Villarroel Rojas junto con el Coordinador de Molino, Fernando Guevara Tuesta, al tener que reprocesar unos sacos de harina provenientes de un atoro de la rosca en el Sótano de esta línea, procedieron a retirar un sector de la tapa de la rosca transportadora para vaciar el producto, y en estas circunstancias el saco de polipropileno es atrapado por las paletas de la rosca, jalando y atrapando el brazo izquierdo del trabajador Juan Villarroel. El Coordinador de Molino, quien se encontraba en el lugar, trabó la rosca con un madero, sacándola fuera de servicio. El Supervisor de Operaciones y brigadistas procedieron a liberar el brazo del trabajador, brindándole los primeros auxilios y evacuándolo al Hospital Víctor Lazarte Echegaray. El trabajador se encuentra internado en dicho hospital, presenta una buena evolución y en evaluación permanente por parte del cuerpo médico.</t>
  </si>
  <si>
    <t xml:space="preserve">Proyectos </t>
  </si>
  <si>
    <t xml:space="preserve">Siendo las 17:09 hrs del día de hoy acude a Tópico el Sr. Roberto Rivas Prieto, de 51 años, colaborador de MMG Mientras realizaba el desencofrado de una viga de concreto, al intentar retirar una placa de encofrado metálico de 1.20mx0.35m realizó una incorrecta manipulación de la placa de encofrado tomando la placa por la parte inferior. Al momento que la placa fue removida, por la fuerza misma utilizada,  la mano derecha quedó atrapada entre la placa de encofrado y un canal metálico ubicado debajo de la placa de encofrado provocando la lesión. El señor es derivado a la Clínica San Gabriel y se le otorgan 08 días de descanso medico. En la clínica se descarta fractura de dedo.
</t>
  </si>
  <si>
    <t>Placa metal</t>
  </si>
  <si>
    <t xml:space="preserve">El Sr. Lingán había terminado de realizar la tarea de “desenmantar la tolva del camión”, cuando se disponía a bajar de la tolva usando las escaleras cae de una altura aproximada de 2 mt sufriendo un golpe en la cabeza. Se le diagnostica Herida contusa en cabeza. Es trasladado a la clínica San Gabriel </t>
  </si>
  <si>
    <t>Davod Infante Huahualuque</t>
  </si>
  <si>
    <t>2 semanas</t>
  </si>
  <si>
    <t>Bajaba paquetes de la línea 26 de Fideería, su pie izquierdo fue golpeado por la uña de equipo Traspaleta Eléctrico, cuando el Ayudante Edi Mayuri procedía a retirar el pallet completo de producto terminado.</t>
  </si>
  <si>
    <t>Jose Inoñan</t>
  </si>
  <si>
    <t>Siendo las 17:10 horas cuatro operarios intentan mover (acomodar) una paleta cargada con producto que se encontraba mal ubicada en el segundo nivel de un rack en el almacén de frio. Cuando ya estaban por acomodarla esta resbaló y golpeó la mano izquierda de Jose Miguel Inoñan contra el rack causándole una contusión y raspado de la mano izquierda.</t>
  </si>
  <si>
    <t>Almacenando</t>
  </si>
  <si>
    <t>Mientras descargaba galleta molida una de las puertas corredizas se desliza atrapando el dedo de la mano derecha , ocasionándole un corte en el pulgar de la maño derecha.</t>
  </si>
  <si>
    <t>Golpe con palo de mopa en los testiculos (LIMTEK)</t>
  </si>
  <si>
    <t>Escoba</t>
  </si>
  <si>
    <t>Aplastamiento de chofer entre dos vehículos (Empresa transporte ELIZ SA)</t>
  </si>
  <si>
    <t>Almacén Insumos</t>
  </si>
  <si>
    <t>Trauma acústico por voladura bolsa de aire del sistema de suspensión neumática. (ayudante de transporte)</t>
  </si>
  <si>
    <t>Trauma acustico</t>
  </si>
  <si>
    <t>Torcedura de Tobillo al bajar ultimo peldaño de escalera vesturarios COPSA</t>
  </si>
  <si>
    <t>Escalera Fija</t>
  </si>
  <si>
    <t>ARISPE CHALCO RONY WARDO</t>
  </si>
  <si>
    <t>Fractura en falange distal dedo medio mano izquierda al intentar levantar molde fideería con desarmador</t>
  </si>
  <si>
    <t>Analy Troncoso</t>
  </si>
  <si>
    <t>Caída por resbalón por piso mojado goteo aire acondicionado (Ofic.NNAA)</t>
  </si>
  <si>
    <t>PLASENCIA LEON CARLOS ENRIQUE</t>
  </si>
  <si>
    <t>Pérdida falange en limpieza interna del enfriador.</t>
  </si>
  <si>
    <t>RIVASPLATA CUEVA CESAR RAUL</t>
  </si>
  <si>
    <t xml:space="preserve">Caída por saco roto </t>
  </si>
  <si>
    <t>Carlos Guzman de la Cruz</t>
  </si>
  <si>
    <t>operando el Traspaleta eléctrico en retroceso impactando contra una paleta llena de insumos sólidos golpeándose parte del pecho contra el manubrio del timón del Traspaleta eléctrico</t>
  </si>
  <si>
    <t>GOMEZ LEZAMA FERNANDO LUIS</t>
  </si>
  <si>
    <t>14 meses</t>
  </si>
  <si>
    <t xml:space="preserve">desplazando con prisa para desatorar la tolva de tapas de la máquina y es ahí cuando se resbala y al tratar de sujetarse del eje de las bobinas para no caerse, no logra hacerlo y su brazo entra en contacto con el eje que sobresale de la máquina y le produce el corte.  </t>
  </si>
  <si>
    <t xml:space="preserve">Diciembre </t>
  </si>
  <si>
    <t>CARHUAPOMA PALMA GIAN CARLOS MANUEL</t>
  </si>
  <si>
    <t>1.5 años</t>
  </si>
  <si>
    <t>operando el Traspaleta eléctrico luego de dejar una ruma de paletas vacías y mirar hacia atrás retrocede justo en momentos que el envasador bordea su paleta para revisarla golpeándolo en la pierna izquierda.</t>
  </si>
  <si>
    <t>Vapor</t>
  </si>
  <si>
    <t>Jabón</t>
  </si>
  <si>
    <t>Equipo en movimiento</t>
  </si>
  <si>
    <t>escalera fija</t>
  </si>
  <si>
    <t>Sustancia Quimica</t>
  </si>
  <si>
    <t>Transitando</t>
  </si>
  <si>
    <t>Rosca</t>
  </si>
  <si>
    <t>Moviendo silla</t>
  </si>
  <si>
    <t>Limpiando instalaciones</t>
  </si>
  <si>
    <t>VENTAS</t>
  </si>
  <si>
    <t>Cilindros</t>
  </si>
  <si>
    <t>Fractura en la parte superior del dedo anular manipulando cilindros de insumos</t>
  </si>
  <si>
    <t>Atricción del torax al caerle bolson de fideeos para moler al empujar stocka</t>
  </si>
  <si>
    <t>Caida al bajar de camión cisterna de Sulfónico luego de descargar</t>
  </si>
  <si>
    <t>Golpe en la nariz al caer sobre baranda de escalera frente a mensajeria</t>
  </si>
  <si>
    <t>Fractura en la tibia pierna derecha al retroceder el ERE y chocar contra otro en retroceso con pierna abajo accionando el equipo por error</t>
  </si>
  <si>
    <t>Caldero</t>
  </si>
  <si>
    <t>Irritación ocular</t>
  </si>
  <si>
    <t>Atricción de dedo durante cambio de bateria de montacarga</t>
  </si>
  <si>
    <t>BRAZO/HOMBRO</t>
  </si>
  <si>
    <t>caida de dos metro de altura (muñeca)</t>
  </si>
  <si>
    <t>Durante proyecto</t>
  </si>
  <si>
    <t>HUECO EN PISO</t>
  </si>
  <si>
    <t>Trauma mano derecha desatorando linea de harina</t>
  </si>
  <si>
    <t>Dias + ansi</t>
  </si>
  <si>
    <t>Producto al ojo</t>
  </si>
  <si>
    <t>Gustavo Luis Mendoza Martinez</t>
  </si>
  <si>
    <t>Operario de Almacén</t>
  </si>
  <si>
    <t>Reynaldo Malpartida Lopez</t>
  </si>
  <si>
    <t>Aprendiz de Operario en Logística y Almacenes</t>
  </si>
  <si>
    <t xml:space="preserve">Geremias Caushi Toledo </t>
  </si>
  <si>
    <t xml:space="preserve">Robert Morales </t>
  </si>
  <si>
    <t xml:space="preserve">Ayudante de Almacén </t>
  </si>
  <si>
    <t>DESARROLLO TECN.</t>
  </si>
  <si>
    <t>DISTRBUCION PROV</t>
  </si>
  <si>
    <t>Después de 452 días sin accidentes (17/03/2015)</t>
  </si>
  <si>
    <t>Después de 416 días sin accidentes (28/04/2015)</t>
  </si>
  <si>
    <t>Después de 274 días sin accidentes</t>
  </si>
  <si>
    <t>Total Accidentes</t>
  </si>
  <si>
    <t>Dias</t>
  </si>
  <si>
    <t>Equipo/Maquinaria</t>
  </si>
  <si>
    <t>Manejando Montacarga/ERE/Order Picker</t>
  </si>
  <si>
    <t>Calibrando/Regulando Equipos</t>
  </si>
  <si>
    <t>Accid</t>
  </si>
  <si>
    <t>Despues de 166 DÍAS</t>
  </si>
  <si>
    <t>Después de 173 días sin accidentes</t>
  </si>
  <si>
    <t>Quimico</t>
  </si>
  <si>
    <t xml:space="preserve">Pierde el control del vehículo y colisiona con un auto estacionado quedando policontuso </t>
  </si>
  <si>
    <t>Vehiculo</t>
  </si>
  <si>
    <t>golpe</t>
  </si>
  <si>
    <t>Montacarga</t>
  </si>
  <si>
    <t>Manipulando materiales</t>
  </si>
  <si>
    <t xml:space="preserve">Jorge Candela </t>
  </si>
  <si>
    <t>Yordan Alache Acuña</t>
  </si>
  <si>
    <t xml:space="preserve">Fractura del primer Metatarsiano del pie derecho por atrapamiento de pie entre transpaleta y ruma de parihuelas. </t>
  </si>
  <si>
    <t>Estiba</t>
  </si>
  <si>
    <t>mantenimiento</t>
  </si>
  <si>
    <t>Corte en el dorso de los dedos índice y medio de la mano izquierda, durante limpieza de equipo fuera de servicio con trapeador.</t>
  </si>
  <si>
    <t>SAN JUSTO</t>
  </si>
  <si>
    <t>MORON</t>
  </si>
  <si>
    <t>GARIN</t>
  </si>
  <si>
    <t>MASTERBREAD</t>
  </si>
  <si>
    <t>PROSEGUR</t>
  </si>
  <si>
    <t>Trasladandose a pie</t>
  </si>
  <si>
    <t xml:space="preserve">: Esguince del dedo anular de la mano derecha al resbalar y caer sobre plataforma </t>
  </si>
  <si>
    <t xml:space="preserve">Contusión mano derecha al caer de un camión </t>
  </si>
  <si>
    <t xml:space="preserve">Corte en la mano durante corte de liston de manera con amoladora sin guarda </t>
  </si>
  <si>
    <t xml:space="preserve">Roce en el ojo con cartón </t>
  </si>
  <si>
    <t xml:space="preserve">Pérdida falange en banco de cilindros en su intento de desatorar producto </t>
  </si>
  <si>
    <t>Quemadura 2ndo grado en piernas con Soda Cáustica al resbalar y caer al piso en zona de ACOPIO</t>
  </si>
  <si>
    <t>Atricción de dedo con puerta peatonal del portón principal del predio de Mol Sta.Rosa</t>
  </si>
  <si>
    <t>Quemadura Sustancias Quimica</t>
  </si>
  <si>
    <t>Irritación ocular durante la reparación del quemador y pruebas de funcionamiento del caldero, ocurre una explosión en el interior del mismo, la cual generó la apertura de forma intempestiva de la tapa izquierda con rotura de los seguros. Una mezcla de hum</t>
  </si>
  <si>
    <t>Atricción mano derecha al momento de limpiar debajo del brazo neumático, el trapo con el que estaba realizando la limpieza activa el sensor del brazo (no había sido apagado), el cual desciende rápidamente y atrapa su mano derecha, causándole un golpe y un</t>
  </si>
  <si>
    <t>Pérdida falange1er distal  2ndo dedo mano izquierda; metió la mano izquierda cerca a la mordaza para jalar la envoltura centrarla y tensarla con la máquina en movimiento y es en esta circunstancia que la cuchilla de la mordaza horizontal se activa  y secc</t>
  </si>
  <si>
    <t>dos trabajadores de la empresa contratista suben al techo de la nave de la planta de extruidos para realizar trabajos de instalación de estructuras sin recibir autorización por parte de Global Alimentos. (sin permiso de trabajo autorizado y sin uso de EPP</t>
  </si>
  <si>
    <t>contacto al ojo</t>
  </si>
  <si>
    <t>total DM (sin ansi)</t>
  </si>
  <si>
    <t>Fracturas</t>
  </si>
  <si>
    <t>DM sin ansi</t>
  </si>
  <si>
    <t>Amoladora</t>
  </si>
  <si>
    <t>Cartón</t>
  </si>
  <si>
    <t>Eléctricidad</t>
  </si>
  <si>
    <t>Faja de Transmisión</t>
  </si>
  <si>
    <t>2015+Global</t>
  </si>
  <si>
    <t>2015 +Global</t>
  </si>
  <si>
    <t>2015 (con Global)</t>
  </si>
  <si>
    <t>2016 (con Global</t>
  </si>
  <si>
    <t>Después de 273 días sin accidentes</t>
  </si>
  <si>
    <t>Después de 731 días sin accidentes</t>
  </si>
  <si>
    <t>Manejando Camioneta</t>
  </si>
  <si>
    <t xml:space="preserve">Realizando la limpieza del área de paletizado con el sistema mecanizado (Brazo robot), el colaborador Carlos Manuel Gaona Torres se sube sobre los polines de  desplazamiento, instante en que se resbala y se golpea la pierna derecha sufriendo una herida contuso cortante. Se solicita la presencia de la ambulancia Rescate 11-11, quienes  le dan las primeras atenciones . </t>
  </si>
  <si>
    <t>Galletería&amp; Inst</t>
  </si>
  <si>
    <t>Vitapro</t>
  </si>
  <si>
    <t>Detergente</t>
  </si>
  <si>
    <t>Distribución Prov</t>
  </si>
  <si>
    <t>RRLL</t>
  </si>
  <si>
    <t>Herida cortante en la mano izquierda mientras perforaba base tablero eléctrico en el taller</t>
  </si>
  <si>
    <t xml:space="preserve">Atrición muñeca brazo izquierdo al deslizarse una paleta </t>
  </si>
  <si>
    <t>Atricción dedo meñique con faja vertical en encintadora (Mayonesa)</t>
  </si>
  <si>
    <t>Corte en dedo pulgar (mano derecha) durante lavado de envase de vidrio en laboratorio refinería</t>
  </si>
  <si>
    <t>Contusión en región anterior de pie derecho con un pallet llevado con stocka por otro trabajador (Balanceados)</t>
  </si>
  <si>
    <t>Corte punzocortante mano derecha envasadora Volpak 1 durante su regulación (Mayonesa)</t>
  </si>
  <si>
    <t>Taladro</t>
  </si>
  <si>
    <t>Envase vidrio</t>
  </si>
  <si>
    <t xml:space="preserve">Perdida falange durante el accionamiento de lona Retráctil para el inicio de envasado Galleta Soda </t>
  </si>
  <si>
    <t xml:space="preserve">Síndrome Vestibular Periférico Oído Izquierdo (Inflamación de tímpano) por deterioro del ventilador
</t>
  </si>
  <si>
    <t>Inflamación Oido</t>
  </si>
  <si>
    <t xml:space="preserve">Caída de personal Limtek con golpe a la cabeza </t>
  </si>
  <si>
    <t>2016 (sin Masterbread)</t>
  </si>
  <si>
    <t>Masterbread</t>
  </si>
  <si>
    <t xml:space="preserve">Amputación de falange distal dedo índice - Mano izquierda mientras alineaba el film en la MASIPACK </t>
  </si>
  <si>
    <t>Perdida Falange</t>
  </si>
  <si>
    <t>Atrapamiento del dedo de la mano derecha al cerrar puerta laterial (</t>
  </si>
  <si>
    <t xml:space="preserve">Amputación parcial de la falange distal del dedo pulgar de la mano izquierda al tratar de destrabar pistón neumático del molino </t>
  </si>
  <si>
    <t>Herida contusa abierta en el falange distal del dedo meñique de la mano izquierda durante el traslado de puerta enrollable automática de poliuretano al almacén</t>
  </si>
  <si>
    <t>Puerta enrollable</t>
  </si>
  <si>
    <t xml:space="preserve">Amputación de brazo durante limpieza de tambor motriz de faja Post Dosing en movimiento ubicada en el 4to piso de Manufactura </t>
  </si>
  <si>
    <t xml:space="preserve">BRAZO </t>
  </si>
  <si>
    <t>Perdida Brazo</t>
  </si>
  <si>
    <t>Golpe y corte en el dedo medio, mano derecha cerrando la puerta de la esclusa de la aduana</t>
  </si>
  <si>
    <t xml:space="preserve">Corte en el dedo índice de la mano derecha mientras estaba alimentando en el magazine de galletas de la L1 </t>
  </si>
  <si>
    <t>SENATI</t>
  </si>
  <si>
    <t>Esguince de 1er grado en pie derecho al intentar pasar por encima de paleta</t>
  </si>
  <si>
    <t>Operador de barras</t>
  </si>
  <si>
    <t>Quemadura 2ndo grado en brazo derecho por salpicadura de jarabe</t>
  </si>
  <si>
    <t>Jarabe</t>
  </si>
  <si>
    <t>10 meses</t>
  </si>
  <si>
    <t xml:space="preserve">Palacios Quispe Nancy Justina
</t>
  </si>
  <si>
    <t xml:space="preserve">Cóndor Vega Jefferson Raul
</t>
  </si>
  <si>
    <t xml:space="preserve">Oscar Ramirez Carhuas
</t>
  </si>
  <si>
    <t xml:space="preserve">Milagros Martinez Berrocal
</t>
  </si>
  <si>
    <t>1 año 9 meses</t>
  </si>
  <si>
    <t>8 años 7 meses</t>
  </si>
  <si>
    <t>4 meses en Alicorp</t>
  </si>
  <si>
    <t>PROSERGUR</t>
  </si>
  <si>
    <t xml:space="preserve">Rimachi Jorge, Florencio
</t>
  </si>
  <si>
    <t>1 mes 12 días</t>
  </si>
  <si>
    <t>1 año 7 mese</t>
  </si>
  <si>
    <t xml:space="preserve">Yauli Cuadros, Moises Lee
</t>
  </si>
  <si>
    <t>SGOC</t>
  </si>
  <si>
    <t>1 año 3 meses</t>
  </si>
  <si>
    <t>32 días</t>
  </si>
  <si>
    <t xml:space="preserve">Carbajal Gutiérrez Junior
</t>
  </si>
  <si>
    <t>2ndo</t>
  </si>
  <si>
    <t>1ero</t>
  </si>
  <si>
    <t xml:space="preserve">Ángela Viera Gutierrez
</t>
  </si>
  <si>
    <t xml:space="preserve">Victor Lizano Beltrán
</t>
  </si>
  <si>
    <t>AGENTE SERGURIDAD (ITSANET PERU)</t>
  </si>
  <si>
    <t xml:space="preserve">Valera Chumpitaz, Raúl
</t>
  </si>
  <si>
    <t xml:space="preserve">Richard Mejia 
</t>
  </si>
  <si>
    <t xml:space="preserve">Juan Miguel Ortiz Uzuriaga
</t>
  </si>
  <si>
    <t xml:space="preserve">Portilla Coronado, Víctor Jesús
</t>
  </si>
  <si>
    <t xml:space="preserve">Hachiri Chancayauri, Huber
</t>
  </si>
  <si>
    <t>1 mes</t>
  </si>
  <si>
    <t>TRASVIDA</t>
  </si>
  <si>
    <t xml:space="preserve">Miker Tapullima Yahuarcani 
</t>
  </si>
  <si>
    <t xml:space="preserve">Operador producción barras
</t>
  </si>
  <si>
    <t>TECNICAD</t>
  </si>
  <si>
    <t xml:space="preserve">Karol Isidro Mori
</t>
  </si>
  <si>
    <t xml:space="preserve">Rodriguez Pomarrosa, Clever
</t>
  </si>
  <si>
    <t>7 días</t>
  </si>
  <si>
    <t xml:space="preserve">Jorge Giraldo Asencios
</t>
  </si>
  <si>
    <t xml:space="preserve">Gomez Tomaya, Hugo
</t>
  </si>
  <si>
    <t xml:space="preserve">Elder Miguel Bastante Santana
</t>
  </si>
  <si>
    <t xml:space="preserve">Operador 1 de Molino
</t>
  </si>
  <si>
    <t>Valenzuela Rojas, Gino Alexander</t>
  </si>
  <si>
    <t>27 dias</t>
  </si>
  <si>
    <t>FERPA</t>
  </si>
  <si>
    <t xml:space="preserve">Jannibeth García Guerra
</t>
  </si>
  <si>
    <t xml:space="preserve">José Rafael Leiva
</t>
  </si>
  <si>
    <t>4 años 5 meses</t>
  </si>
  <si>
    <t>AUXILIAR PRODUCCIÓN</t>
  </si>
  <si>
    <t>8 AÑOS</t>
  </si>
  <si>
    <t xml:space="preserve">Eladio Quispe Choque
</t>
  </si>
  <si>
    <t xml:space="preserve">Ayudante de Molino
</t>
  </si>
  <si>
    <t xml:space="preserve">Cubas Lluncor Jose
</t>
  </si>
  <si>
    <t xml:space="preserve">Carlos Bracamonte
</t>
  </si>
  <si>
    <t>9 año 3 meses</t>
  </si>
  <si>
    <t xml:space="preserve">Operario de Producción 
</t>
  </si>
  <si>
    <t xml:space="preserve">Quispe Zelaya, Jhayson Jim
</t>
  </si>
  <si>
    <t xml:space="preserve">Operario de Producción
</t>
  </si>
  <si>
    <t xml:space="preserve">Wilfredo Puicón
</t>
  </si>
  <si>
    <t xml:space="preserve">Operador 2 de Molino
</t>
  </si>
  <si>
    <t>voladura equipo</t>
  </si>
  <si>
    <t xml:space="preserve">Edson Mario Salinas Martinez
</t>
  </si>
  <si>
    <t xml:space="preserve">Operador de Balanzas de Refinería
</t>
  </si>
  <si>
    <t xml:space="preserve">Lizana Dominguez, Miguel Ángel
</t>
  </si>
  <si>
    <t xml:space="preserve">Aprendiz de operario en Logística y Almacenes
</t>
  </si>
  <si>
    <t xml:space="preserve">JEANPIERE ORTIZ FASABI 
</t>
  </si>
  <si>
    <t xml:space="preserve">Operador de Volpak
</t>
  </si>
  <si>
    <t xml:space="preserve">RAMOS TOCTO PHILIP ABDON 
</t>
  </si>
  <si>
    <t>1 años</t>
  </si>
  <si>
    <t xml:space="preserve">Silva Espinoza, Keny
</t>
  </si>
  <si>
    <t>FLOURP</t>
  </si>
  <si>
    <t xml:space="preserve">Estaban Vargas Tasayco </t>
  </si>
  <si>
    <t xml:space="preserve">Olivo Grijalva, Elias
</t>
  </si>
  <si>
    <t>8 meses29 dias</t>
  </si>
  <si>
    <t xml:space="preserve">Ayudante de Planta
</t>
  </si>
  <si>
    <t>5 años 25 dias</t>
  </si>
  <si>
    <t>MANPOWER</t>
  </si>
  <si>
    <t xml:space="preserve">Grace Aguilar Cerna  </t>
  </si>
  <si>
    <t>2 meses 3 semanas</t>
  </si>
  <si>
    <t xml:space="preserve">Pedro Vargas Quintana  </t>
  </si>
  <si>
    <t>14 años 5 meses</t>
  </si>
  <si>
    <t>Pedro Malaver Rodriguez</t>
  </si>
  <si>
    <t>Atricción dedo medio mientras realizaba el centrado del transportador de alimentación de masa (Galletas)</t>
  </si>
  <si>
    <t>Rider Cabanillas Jimenez</t>
  </si>
  <si>
    <t>Ayudante de Maquinista</t>
  </si>
  <si>
    <t>Chujandama Saurin, Kelsen</t>
  </si>
  <si>
    <t>Operador de Molinos</t>
  </si>
  <si>
    <t>Juan Lozada</t>
  </si>
  <si>
    <t>Quemadura Ier grado con silicona en el cuello (Panetones)</t>
  </si>
  <si>
    <t>CR TRANSPORTES</t>
  </si>
  <si>
    <t xml:space="preserve">Victor Kana Yucravilca </t>
  </si>
  <si>
    <t>Percy Carranza Izaguirre</t>
  </si>
  <si>
    <t>Operador de Envasadora Masipack</t>
  </si>
  <si>
    <t>1 mes  15 días</t>
  </si>
  <si>
    <t>2 años 2 meses</t>
  </si>
  <si>
    <t>41 años</t>
  </si>
  <si>
    <t>Accidente Incapacitante (NO IF)</t>
  </si>
  <si>
    <t>Esguince al tobillo derecho al bajar de escalera que da acceso al secador de la prensa 1 . Daño a rodilla pre existente.</t>
  </si>
  <si>
    <t>MENOS DE 1 AÑO</t>
  </si>
  <si>
    <t>Obrero Estables</t>
  </si>
  <si>
    <t>Obrero Contratados</t>
  </si>
  <si>
    <t>Empleado Estable</t>
  </si>
  <si>
    <t>Perdida falange del dedo medio de la mano derecha queda atrapado contra el tobogán mientras realizaba el alimentado.</t>
  </si>
  <si>
    <t xml:space="preserve">Raul Castro Sayan </t>
  </si>
  <si>
    <t>Aprendiz de Operario de Logística y Almacén</t>
  </si>
  <si>
    <t>Atricción del pie con paleta al bajarla de ruma de 5 paletas durante paletización de salsas</t>
  </si>
  <si>
    <t>Jeydy Hernandez Cherres</t>
  </si>
  <si>
    <t>Caída mismo nivel mientras transitaba hacia vestidores. Bromeaba con compañero. Golpe en la rostro , labio y rodilla</t>
  </si>
  <si>
    <t>responsable de la maquina cortadora de Pan, se presta a sacar un porta cuchillas del rack,  accidentalmente golpea a otro juego de porta cuchillas que estaba más arriba, provocando la caída de este del rack y cayendo directamente en su brazo, provocándole un profundo corte en el brazo.</t>
  </si>
  <si>
    <t>operador</t>
  </si>
  <si>
    <t>Gerónimo Piralla Zela</t>
  </si>
  <si>
    <t>Tornero principal</t>
  </si>
  <si>
    <t xml:space="preserve">Herida contusa en dedo índice realizando trabajos de mecanizado en el torno ubicado en el taller de mantenimiento; en específico, el proceso de asentamiento del eje en bocina para el soporte de cuchilla perteneciente a la envolvedora de chicles del área caramelos, una mala maniobra hizo que se deslizara el dedo índice de la mano derecha cerca de la estructura que rotaba sobre el eje en el torno, </t>
  </si>
  <si>
    <t>Torno</t>
  </si>
  <si>
    <t>Katherin Cristobal Ccahuana</t>
  </si>
  <si>
    <t>Conjuntivitis química por contacto con lejía durante limpieza de SSHH en oficinas Mol.Callao</t>
  </si>
  <si>
    <t>Lejia</t>
  </si>
  <si>
    <t>Contacto al ojo</t>
  </si>
  <si>
    <t xml:space="preserve">Jusvani Ramos </t>
  </si>
  <si>
    <t>Operador de envasado</t>
  </si>
  <si>
    <t>1 mes y 1 dia</t>
  </si>
  <si>
    <t xml:space="preserve">Corte en el dedo índice y quemaduras de primer grado en el mismo dedo de la mano derecha durante la limpieza de la maquina 15 de empacado con la ayuda de un trabajador del área de recepción Jonathan Apaza (Manpower), cuya función era mantener presionado el botón de “abierto” mientras Jusvani Ramos limpiaba la cuchilla. Al terminar de limpiar la cuchilla Jusvani menciona que ha terminado y el ayudante Jonathan Apaza deja de presionar el botón de abierto y presiona el botón de cierre, cuando en ningún momento se le dio dicha orden, ya que toda la actividad terminaba al dejar de presionar el botón de “abierto”. </t>
  </si>
  <si>
    <t xml:space="preserve">Casimiro Ccasihue </t>
  </si>
  <si>
    <t>Operador de producción</t>
  </si>
  <si>
    <t xml:space="preserve">12 años y 7 meses </t>
  </si>
  <si>
    <t xml:space="preserve">Quemadura en el antebrazo izquierdo y dedo pulgar izquierdo.había parado el extrusor 2, ya que este se había atorado y tenia que limpiar la matriz, para lo cual quito los seguros del coche del extrusor 2 y correr el coche de forma manual por su respectiva riel. Durante dicha acción por uno de los orificios de la matriz salió disparada un poco de masa caliente, la cual le cayó en el brazo y parte de la mano izquierda.  
</t>
  </si>
  <si>
    <t>Quemadura con producto</t>
  </si>
  <si>
    <t xml:space="preserve">Anthony Aguilar Núñez </t>
  </si>
  <si>
    <t>BALVINITO</t>
  </si>
  <si>
    <t>Quemadura de segundo grado pierna derecha, altura de la rodilla en circunstancias que se realizaba el lavado CIP (pase de solución alcalina caliente</t>
  </si>
  <si>
    <t xml:space="preserve">Saul Pariona Perez </t>
  </si>
  <si>
    <t>Operador de Manufactura Mostaza</t>
  </si>
  <si>
    <t>solución alcalina caliente</t>
  </si>
  <si>
    <t>Corte en tercer dedo de mano en comedor Copsa, cortando verduras con cuchillo</t>
  </si>
  <si>
    <t>Golpe en el hombro por caída a desnivel desde muelle de patio de CDA SIDSUR</t>
  </si>
  <si>
    <t>Etiquetas de fila</t>
  </si>
  <si>
    <t xml:space="preserve">Cuenta de Planta </t>
  </si>
  <si>
    <t>Proyecto</t>
  </si>
  <si>
    <t>2017 (Global+Mast)</t>
  </si>
  <si>
    <t>2017 (Alicorp+TEAL)</t>
  </si>
  <si>
    <t>APT FIDEERIA LIMA</t>
  </si>
  <si>
    <t xml:space="preserve">FAUSTINO REYES LIDIA </t>
  </si>
  <si>
    <t>AYUDANTE EMBALADOR A MANO/CAJA</t>
  </si>
  <si>
    <t xml:space="preserve">Aplatamiento mano derecha al coger doypack al final de la faja (DM: 7 días)
</t>
  </si>
  <si>
    <t>ENERO</t>
  </si>
  <si>
    <t xml:space="preserve">MANUYAMA DIAZ JHON </t>
  </si>
  <si>
    <t>AYUDANTE DE PLANTA</t>
  </si>
  <si>
    <t>2 MESES</t>
  </si>
  <si>
    <t>. Lucas Jaque Torero</t>
  </si>
  <si>
    <t>Caida en un contenedor con golpe en la cabeza</t>
  </si>
  <si>
    <t xml:space="preserve">Lizmar Huaman  Echegaray </t>
  </si>
  <si>
    <t xml:space="preserve">Tecnico de Laboratorio </t>
  </si>
  <si>
    <t>Herida en el 2do dedo del pie derecho al golpearse con puerta de casillero en vestuariosCopsa</t>
  </si>
  <si>
    <t xml:space="preserve">Juan Garcia  Zapata
</t>
  </si>
  <si>
    <t>Oficial civil</t>
  </si>
  <si>
    <t>1 AÑO 2 MESES</t>
  </si>
  <si>
    <t xml:space="preserve">Poryección de particula al ojo mientras  realizaba la demolición de base con rotomartillo
</t>
  </si>
  <si>
    <t>ECEL</t>
  </si>
  <si>
    <t>Daniel Montalván Orbegozo</t>
  </si>
  <si>
    <t xml:space="preserve">Golpe en cabeza y espalda al caer de la cabina de un camión aprox 1.20 mt </t>
  </si>
  <si>
    <t>Victor Raúl  Monja  Manayay</t>
  </si>
  <si>
    <t>Ayudante  de Maquinista</t>
  </si>
  <si>
    <t xml:space="preserve">Herida  Contusa Abierta dedo anular mano derecha al intentar desatorar silo con martillo de goma </t>
  </si>
  <si>
    <t xml:space="preserve">Leonidas Luciano Diaz Herrera </t>
  </si>
  <si>
    <t xml:space="preserve">Electricista de Turno / Ayudante de Molino </t>
  </si>
  <si>
    <t>Corte en el dorso de la maño derecha conctacto con vidrio durante la limpieza de mallas de las ventanas de la sala de tableros eléctricos en el sótano (Molino Victoria)</t>
  </si>
  <si>
    <t xml:space="preserve">Henry Paulino Seminario </t>
  </si>
  <si>
    <t>APE</t>
  </si>
  <si>
    <t>Contusión en dedo medio y anular mano izquierda contacto faja y polín - Línea de enfardado 2001</t>
  </si>
  <si>
    <t>Humberto Pimentel Flores</t>
  </si>
  <si>
    <t>Vigilante</t>
  </si>
  <si>
    <t>5 meses en Alicorp</t>
  </si>
  <si>
    <t xml:space="preserve">Traumatismo en torax por contacto con portón de acceso a vehículos en Mol.Sta.Rosa </t>
  </si>
  <si>
    <t>LIDERMAN</t>
  </si>
  <si>
    <t>Castillo Mendoza Antonio</t>
  </si>
  <si>
    <t xml:space="preserve">Operario de Limpieza </t>
  </si>
  <si>
    <t>Golpe en la nariz y esquince en muñeca al intentar bajar el coche por la gradas agarrándolo de las manijas perdiendo el equilibrio (APT Fideeria Lima)</t>
  </si>
  <si>
    <t>Herida cortante en primer dedo de mano izquierda con cuchilla retráctil cortando suncho de fardo de sacos subproducto</t>
  </si>
  <si>
    <t xml:space="preserve">CANALES ANCHORENA, PATTY  </t>
  </si>
  <si>
    <t xml:space="preserve">Caída al resbalar cruzando calzada al ingresar al Predio </t>
  </si>
  <si>
    <t>Caída por los 3 ultimos peldaños de escalera con golpe en zona lumbar durante la limpieza de planta</t>
  </si>
  <si>
    <t>Suma de Días Perdidos x Lesión</t>
  </si>
  <si>
    <t>IF 2017</t>
  </si>
  <si>
    <t>IS 2017</t>
  </si>
  <si>
    <t>Omar Medina Morante</t>
  </si>
  <si>
    <t>Operador de Wafer</t>
  </si>
  <si>
    <t>Quemadura antebrazo izquierdo con compuerta horno Wafer</t>
  </si>
  <si>
    <t>HUANCA IPARRAGUIRRE RAFAEL ALBERTO</t>
  </si>
  <si>
    <t>OPERADOR DE ENFARDADO</t>
  </si>
  <si>
    <t>Esguince de primer grado tobillo izquierdo al bajar por la escalera de los SSHH</t>
  </si>
  <si>
    <t xml:space="preserve">DE LA CRUZ NAJARRO HECTOR </t>
  </si>
  <si>
    <t>LIDER SAPONIFICACIÓN CONTINUA</t>
  </si>
  <si>
    <t>Quemadura II grado antebrazo derecho con vapor durante la evacuación de jabón del tanque neutralizador</t>
  </si>
  <si>
    <t>JIMMY GUEVARA</t>
  </si>
  <si>
    <t>OPERADOR DE EXTRUSORA</t>
  </si>
  <si>
    <t xml:space="preserve">Contusión por Atrición en pie izquierdo al intentar trasladar un repuesto al taller de mantenimiento </t>
  </si>
  <si>
    <t>LEON ZANMORA OSWALDO</t>
  </si>
  <si>
    <t>OPERADOR DE MAQUINA ENVASADORA</t>
  </si>
  <si>
    <t xml:space="preserve">Contacto del ojo con la  varilla reguladora durante la regulación del máquina envasadora </t>
  </si>
  <si>
    <t>APT EL AGUSTINO</t>
  </si>
  <si>
    <t xml:space="preserve">Contusión toráxica con la puerta del camión antes de iniciar la descarga </t>
  </si>
  <si>
    <t>Herida en el Pulpejo del pulgar de la mano Izquierda al cortar suncho de cajas vacías con cuchilla</t>
  </si>
  <si>
    <t xml:space="preserve">Traumatismo por aplastamiento de la de la mano izquierda con mordaza de jebe de embolsadora </t>
  </si>
  <si>
    <t>CAMION</t>
  </si>
  <si>
    <t>CASILLERO</t>
  </si>
  <si>
    <t>PARTICULA</t>
  </si>
  <si>
    <t>EQUIPO</t>
  </si>
  <si>
    <t>PORTON</t>
  </si>
  <si>
    <t>CUCHILLA</t>
  </si>
  <si>
    <t>HORNO</t>
  </si>
  <si>
    <t>VAPOR</t>
  </si>
  <si>
    <t>COCHE</t>
  </si>
  <si>
    <t>PISO</t>
  </si>
  <si>
    <t>ESCALERA</t>
  </si>
  <si>
    <t>REPUESTO</t>
  </si>
  <si>
    <t>CAIDA</t>
  </si>
  <si>
    <t>VIDRIO</t>
  </si>
  <si>
    <t>QUEMADURA</t>
  </si>
  <si>
    <t>traspaleta</t>
  </si>
  <si>
    <t>Aplastamiento del pie con traspaleta</t>
  </si>
  <si>
    <t>Esgunce</t>
  </si>
  <si>
    <t>Fractura de Clavícula Izquierda, Fractura de tobillo izquierdo, Contusión en cabeza al caer en la parte posterior de la cisterna de harina al ser golpeado por tapa presurizada</t>
  </si>
  <si>
    <t xml:space="preserve">Herida cortante en segundo dedo de mano izquierda cortando verduras </t>
  </si>
  <si>
    <t xml:space="preserve">Conduciendo un transpaleta eléctrico ERE20, choca lateralmente con un pallet ubicado en el canal, sufriendo un golpe a la altura del estómago con el timón del equipo </t>
  </si>
  <si>
    <t>Sufre caída del mismo nivel al resbalar originando golpe a nivel lumbar izquierdo</t>
  </si>
  <si>
    <t>CISTERNA</t>
  </si>
  <si>
    <t>CUCHILLO</t>
  </si>
  <si>
    <t xml:space="preserve">Lizbeth Timana Sisniegas </t>
  </si>
  <si>
    <t xml:space="preserve">Operador de envasado </t>
  </si>
  <si>
    <t>3 años 1 mes</t>
  </si>
  <si>
    <t>Sanchez Chavez Natividad</t>
  </si>
  <si>
    <t xml:space="preserve">Luis La Torres Cáceres </t>
  </si>
  <si>
    <t>06 Meses</t>
  </si>
  <si>
    <t>10 AÑOS</t>
  </si>
  <si>
    <t>BALBINO</t>
  </si>
  <si>
    <t xml:space="preserve">Marleny Castro </t>
  </si>
  <si>
    <t>Contusión en el dedo anular de la mano derecha cuando se encontraba recogiendo producto de la máquina 3 y fue golpeado por un embudo cuando activaron la faja</t>
  </si>
  <si>
    <t>equipo</t>
  </si>
  <si>
    <t>ACCIDENTE INCAPACITANTE</t>
  </si>
  <si>
    <t>Fractura de los dedos medio y anular / mano izquierda durante la carga de Harina a Cisterna</t>
  </si>
  <si>
    <t xml:space="preserve">Contusión costal derecho al tropezar con manguera de aire en el piso y caer sobre baranda de seguridad (Tórax) </t>
  </si>
  <si>
    <t>MANGUERA DE AIRE</t>
  </si>
  <si>
    <t>MATERIAL PARTICULADO</t>
  </si>
  <si>
    <t xml:space="preserve">Contusión en el tercer dedo de la mano derecha manipulando paletas </t>
  </si>
  <si>
    <t>PALETAS</t>
  </si>
  <si>
    <t>MONTACARGA ELECTRICO</t>
  </si>
  <si>
    <t>Fractura dedo pulgar retirando el distribuidor de carga prensa nro.6</t>
  </si>
  <si>
    <t>Camión/Cisterna</t>
  </si>
  <si>
    <t>Cuchilla/cuchillo</t>
  </si>
  <si>
    <t>Esguince tobillo pie derecho al caer en escalera (RRHH)</t>
  </si>
  <si>
    <t>Dolor en zonas blandas de mano derecha (tendones o ligamentos)</t>
  </si>
  <si>
    <t>Día</t>
  </si>
  <si>
    <t xml:space="preserve">Pedro Paredes Llontop </t>
  </si>
  <si>
    <t xml:space="preserve">Herida/contusa cortante mano izquierda en extrusor #3 </t>
  </si>
  <si>
    <t>CORTE</t>
  </si>
  <si>
    <t>Tarde</t>
  </si>
  <si>
    <t>Marco Osvaldo Mendoza Talavera</t>
  </si>
  <si>
    <t xml:space="preserve">6 años 5 meses </t>
  </si>
  <si>
    <t xml:space="preserve">Herida dedo de mano con cuchilla de maquina envasadora </t>
  </si>
  <si>
    <t>Rocio Navarro Pastor</t>
  </si>
  <si>
    <t>1 año 2 meses</t>
  </si>
  <si>
    <t>Contusión muñeca izquierda al tropezar con traspaleta</t>
  </si>
  <si>
    <t>Ana Reyes Apolinario</t>
  </si>
  <si>
    <t>22 días</t>
  </si>
  <si>
    <t>Golpe en la muñeca y dedo mano izaquierda</t>
  </si>
  <si>
    <t>Johel de la Cruz</t>
  </si>
  <si>
    <t>Miguel Espinoza Haro</t>
  </si>
  <si>
    <t xml:space="preserve">Atrición del tercer dedo de la mano izquierda en su intento de limpiar mordazas horizontales sin detener la máquina </t>
  </si>
  <si>
    <t>Operador de empacado</t>
  </si>
  <si>
    <t>Agustín Ayala López</t>
  </si>
  <si>
    <t>Yober Odon Curo</t>
  </si>
  <si>
    <t xml:space="preserve">Herida cortante 5to dedo de la mano derecha al cerrarse puerta de emergencia de área de embolse de subproducto </t>
  </si>
  <si>
    <t>Julio Phuturi Berna</t>
  </si>
  <si>
    <t>PUERTA</t>
  </si>
  <si>
    <t xml:space="preserve">Aplastamiento del dedo con paleta cargada de producto de caramelos en mesa de polines </t>
  </si>
  <si>
    <t>PALETA</t>
  </si>
  <si>
    <t xml:space="preserve">Delar Areli Santa Cruz  Torres  </t>
  </si>
  <si>
    <t>3 AÑOS Y 8 MESES</t>
  </si>
  <si>
    <t xml:space="preserve">José Noa Espino  </t>
  </si>
  <si>
    <t xml:space="preserve">Luxación Tobillo Derecho durante baldeo de la zona de pozas </t>
  </si>
  <si>
    <t>6 MESES</t>
  </si>
  <si>
    <t>José Barrera Gonzales</t>
  </si>
  <si>
    <t>AUUDANTE DE PLANTA</t>
  </si>
  <si>
    <t>Estiramiento del dedo en limpiadora de mangas</t>
  </si>
  <si>
    <t>ESTIRAMIENTO</t>
  </si>
  <si>
    <t>fractura de rotula y rotura de ligamento rodilla derecha al ser impactado por elevador eléctrico manejado por APE</t>
  </si>
  <si>
    <t>NO MODIFICAR LOS DATOS MANUALMENTE ; SON FORMULADOS</t>
  </si>
  <si>
    <t>Luis Alberto Rojas Arias</t>
  </si>
  <si>
    <t>Operador 2 de Molino</t>
  </si>
  <si>
    <t>DIA</t>
  </si>
  <si>
    <t>21 años 6 meses</t>
  </si>
  <si>
    <t>Atricción muslo derecho al caer de una escalera de 1.10 mt</t>
  </si>
  <si>
    <t>Ronald Olmedo Dionisio Rodríguez.</t>
  </si>
  <si>
    <t>11 años 11 meses</t>
  </si>
  <si>
    <t>Atricción antebrazo derecho con comba de 5 kg al acompañar en el desmontaje de chumacera del Banco cilindros</t>
  </si>
  <si>
    <t>HERRAMIENTA</t>
  </si>
  <si>
    <t>José Gonzales Sócola</t>
  </si>
  <si>
    <t>NOCHE</t>
  </si>
  <si>
    <t xml:space="preserve">Atricción dedo anular mano izquierda con la mordaza equipo embolsado </t>
  </si>
  <si>
    <t>MANO</t>
  </si>
  <si>
    <t xml:space="preserve">Jasón Jesus Cuadros Rengifo. </t>
  </si>
  <si>
    <t>Cuerpo extraño dentro del ojo izquierdo transitando por la vereda hacia el comedor de CDC – SENATI (COPSA)</t>
  </si>
  <si>
    <t>MOLINO AREQUIPA</t>
  </si>
  <si>
    <t xml:space="preserve">Edwar Huaymana Huani </t>
  </si>
  <si>
    <t>1 AÑO 3 MESES</t>
  </si>
  <si>
    <t>Lesión en el tobillo al resbalar durante la limpieza pisos en oficina Mol.Faucett</t>
  </si>
  <si>
    <t>Walter Suarez Marrufo</t>
  </si>
  <si>
    <t xml:space="preserve">6 años 9 meses </t>
  </si>
  <si>
    <t xml:space="preserve">Amputación de yema de índice de mano izquierda durante desatoro de tubería neumática </t>
  </si>
  <si>
    <t>TUBERIA</t>
  </si>
  <si>
    <t>Sanchez Jara Fredi Alberto</t>
  </si>
  <si>
    <t>Operario de Producción Panetones</t>
  </si>
  <si>
    <t xml:space="preserve">Golpe y corte en la cabeza al cruzar por debajo de una banda transportadora </t>
  </si>
  <si>
    <t>BANDA TRANSPORTADORA</t>
  </si>
  <si>
    <t>Jesus Igme Mollo</t>
  </si>
  <si>
    <t xml:space="preserve">Contusión moderada de mano izquierda con mordaza de Embolsadora </t>
  </si>
  <si>
    <t xml:space="preserve">Freddy Alexander Jara Vasquez </t>
  </si>
  <si>
    <t xml:space="preserve">Fractura de 3 metatarsianos en pie derecho al caer de 2 mt un panel TR4 durante su izaje  </t>
  </si>
  <si>
    <t>plancha TR4</t>
  </si>
  <si>
    <t>FRACTURA</t>
  </si>
  <si>
    <t>Torres Hidalgo Antonio</t>
  </si>
  <si>
    <t>Operaria de limpieza</t>
  </si>
  <si>
    <t>1 año 7 meses</t>
  </si>
  <si>
    <t xml:space="preserve">Golpe en la mano durante la limpieza de tolva  </t>
  </si>
  <si>
    <t>APT TEAL</t>
  </si>
  <si>
    <t>Cantidad de Actividades con NIVEL RIESGO:</t>
  </si>
  <si>
    <t>Galletería &amp; Instant</t>
  </si>
  <si>
    <t>Miguel Pariona</t>
  </si>
  <si>
    <t>Julián Gutierrez</t>
  </si>
  <si>
    <t>José Ladines</t>
  </si>
  <si>
    <t>Enrique Aguilar</t>
  </si>
  <si>
    <t>Wilmer Uriarte</t>
  </si>
  <si>
    <t>Johny Luna</t>
  </si>
  <si>
    <t>Fredy Lostaunau</t>
  </si>
  <si>
    <t>Jhon Sanchez</t>
  </si>
  <si>
    <t>Gilberto Prado</t>
  </si>
  <si>
    <t>Rolando Takasawa</t>
  </si>
  <si>
    <t>Ignacio Apaza</t>
  </si>
  <si>
    <t>Angelino Loli</t>
  </si>
  <si>
    <t>Mario Joya</t>
  </si>
  <si>
    <t>Luis Zapata</t>
  </si>
  <si>
    <t>Walter Porras</t>
  </si>
  <si>
    <t>Desierio Vidal</t>
  </si>
  <si>
    <t>Luis Rosas</t>
  </si>
  <si>
    <t>Alfredo Zegarra</t>
  </si>
  <si>
    <t>Carlos Capristan</t>
  </si>
  <si>
    <t>Jimmy Tapia</t>
  </si>
  <si>
    <t>Juan Chapoñan</t>
  </si>
  <si>
    <t>Jimmy Ramos</t>
  </si>
  <si>
    <t>MOL.STA,ROSA</t>
  </si>
  <si>
    <t>Promotor</t>
  </si>
  <si>
    <t>Rep.a Ago</t>
  </si>
  <si>
    <t>Roberto Huarahuara</t>
  </si>
  <si>
    <t>Valerio Ccalla</t>
  </si>
  <si>
    <t>Felix Ramos</t>
  </si>
  <si>
    <t>José Huacasi</t>
  </si>
  <si>
    <t>Saul Aranibar</t>
  </si>
  <si>
    <t>Frisgal Llacchua</t>
  </si>
  <si>
    <t>Ronny Arispe</t>
  </si>
  <si>
    <t>Javier Paredes</t>
  </si>
  <si>
    <t>Leonel Cuba</t>
  </si>
  <si>
    <t>Ernan Condori</t>
  </si>
  <si>
    <t>Gerardo Layme</t>
  </si>
  <si>
    <t>Miguel Mayta</t>
  </si>
  <si>
    <t>Roberto Colque</t>
  </si>
  <si>
    <t>Feliciano Pari</t>
  </si>
  <si>
    <t>Miguel Manrique</t>
  </si>
  <si>
    <t>Enrique Calapuja</t>
  </si>
  <si>
    <t>Rolando Valencia</t>
  </si>
  <si>
    <t>SIDSUR + MOL.AREQUIPA + CDA</t>
  </si>
  <si>
    <t>Iniciaron el 11.09</t>
  </si>
  <si>
    <t>HENRY QUIROZ</t>
  </si>
  <si>
    <t>JUAN GUILLEN</t>
  </si>
  <si>
    <t>SABINO MAMANI</t>
  </si>
  <si>
    <t>LUCIO VELASQUEZ</t>
  </si>
  <si>
    <t>LUIS TERRONES</t>
  </si>
  <si>
    <t>CARLOS VILCARROMERO</t>
  </si>
  <si>
    <t>Refinería</t>
  </si>
  <si>
    <t>Pio Salvatierra</t>
  </si>
  <si>
    <t>Luis Britto</t>
  </si>
  <si>
    <t>Enrique Cuadrado</t>
  </si>
  <si>
    <t>Aceites</t>
  </si>
  <si>
    <t xml:space="preserve">ARCE COSAVALENTE, JOHN </t>
  </si>
  <si>
    <t>GUTIERREZ CABRERA, MARTIN</t>
  </si>
  <si>
    <t xml:space="preserve">ARELLANO PISCONTE, MARCO </t>
  </si>
  <si>
    <t>Margarinas y Mantecas</t>
  </si>
  <si>
    <t xml:space="preserve">César Vidal Díaz </t>
  </si>
  <si>
    <t xml:space="preserve">Marlon Espinoza Gil </t>
  </si>
  <si>
    <t xml:space="preserve">Javier Cossio Ordinola </t>
  </si>
  <si>
    <t>Salsas 1</t>
  </si>
  <si>
    <t xml:space="preserve">TOKUMINE LAMA, MARITZA </t>
  </si>
  <si>
    <t>ZUÑIGA FALCONI, ELIZABETH</t>
  </si>
  <si>
    <t>TENORIO RIOS, EDITH NORMA</t>
  </si>
  <si>
    <t>Salsas 2</t>
  </si>
  <si>
    <t xml:space="preserve">MONTENEGRO PAZ, HECTOR </t>
  </si>
  <si>
    <t>ESPINOZA ZEGARRA, MARCO</t>
  </si>
  <si>
    <t xml:space="preserve">VASQUEZ GALLOZO, JOSE </t>
  </si>
  <si>
    <t>Salsas 3</t>
  </si>
  <si>
    <t xml:space="preserve">Jorge Martinez  </t>
  </si>
  <si>
    <t xml:space="preserve">Jose Palacios </t>
  </si>
  <si>
    <t>Rolando Baca</t>
  </si>
  <si>
    <t>17 PROMOTORES</t>
  </si>
  <si>
    <t xml:space="preserve">Distribucion </t>
  </si>
  <si>
    <t>Yhonatan Yanpier Dueñas Granda</t>
  </si>
  <si>
    <t xml:space="preserve">Contusión nasal por golpe con tapa de impresora durante cambio de etiqueta </t>
  </si>
  <si>
    <t>SETIEMBRE</t>
  </si>
  <si>
    <t>Simón Andres Caballero Pantisonco</t>
  </si>
  <si>
    <t>Conductor de la empresa YSAMAR</t>
  </si>
  <si>
    <t xml:space="preserve">Esguince en el tobillo durante el desplazamiento de la cortina de la carreta </t>
  </si>
  <si>
    <t xml:space="preserve">Erick Javier Alaba </t>
  </si>
  <si>
    <t xml:space="preserve">Fractura 1° falange - dedo medio mano izquierda mientras guardaba las bobinas de PMX </t>
  </si>
  <si>
    <t>BOBINA</t>
  </si>
  <si>
    <t xml:space="preserve">Golpe en el dedo tras contacto con máquina durante el trasladando de una bandeja de pan </t>
  </si>
  <si>
    <t xml:space="preserve">Ayala Ramirez Daniel código </t>
  </si>
  <si>
    <t xml:space="preserve">Herida contusa en dedo medio de mano izquierda durante el traslado de artesas </t>
  </si>
  <si>
    <t>Jaime Ivan Cavero Rios</t>
  </si>
  <si>
    <t>CD TRUJILLO</t>
  </si>
  <si>
    <t>adMINISTRACIÓN</t>
  </si>
  <si>
    <t xml:space="preserve">Operario de Clasificación de residuos de Cartón </t>
  </si>
  <si>
    <t xml:space="preserve">Quemadura de Segundo Grado Dorsal por contacto de Acido Acético al lanzar galonera al contenedor durante la reclasificación de residuos reciclables </t>
  </si>
  <si>
    <t>ACIDO ACETICO</t>
  </si>
  <si>
    <t xml:space="preserve">Noemí flores Chiguay  </t>
  </si>
  <si>
    <t>ayudante de cocina</t>
  </si>
  <si>
    <t>Corte en dedo medio y dedo índice de la mano izquierda cortando verduras</t>
  </si>
  <si>
    <t>corte</t>
  </si>
  <si>
    <t xml:space="preserve">:                Rodriguez Flores Juan Luis (Concesionario)           </t>
  </si>
  <si>
    <t xml:space="preserve">Nicolás Lecca Fernández </t>
  </si>
  <si>
    <t>ESTIBADOR</t>
  </si>
  <si>
    <t xml:space="preserve">Fractura hueso muñeca mano derecha al caer del camión al piso durante el carguío de productos </t>
  </si>
  <si>
    <t>SUPERVISOR PRODUCCION</t>
  </si>
  <si>
    <t>Elliot Geresy Parodi Ruiz</t>
  </si>
  <si>
    <t>AGUA CALIENTE</t>
  </si>
  <si>
    <t xml:space="preserve">QUEMADURA </t>
  </si>
  <si>
    <t xml:space="preserve">Quemadura de 2ndo grado en mano derecha con agua caliente durante limpieza de extrusor
</t>
  </si>
  <si>
    <t>PERSONAL TERCERO</t>
  </si>
  <si>
    <t>Eleodoro Montero Inilipu</t>
  </si>
  <si>
    <t xml:space="preserve">Operador de envasadora
</t>
  </si>
  <si>
    <t xml:space="preserve">Fractura de rotula al caer sobre el peldaño de una escalera durante la limpieza del equipo mientras descendía por la escalera de espaldas </t>
  </si>
  <si>
    <t>CCANTO ESPESA SEGUNDO PETER</t>
  </si>
  <si>
    <t xml:space="preserve">Golpe en el Torax y mentón al impactar el Order picker con una paleta con producto ubicada en el nivel bajo de la estantería aduciendo que se queda dormido introduciendo parte del equipo debajo del rack. Personal APE </t>
  </si>
  <si>
    <t>ORDER PICKER</t>
  </si>
  <si>
    <t xml:space="preserve">Raul Ronald Narciso Robles </t>
  </si>
  <si>
    <t>AYUDANTDE MAQUINISTA - LINEA PANETONES</t>
  </si>
  <si>
    <t xml:space="preserve">Perdida de uña dedo mano derecha con bandeja de coche mientras lo retiraba </t>
  </si>
  <si>
    <t>Alessandro Ramos Zuñiga</t>
  </si>
  <si>
    <t>5 MESES</t>
  </si>
  <si>
    <t xml:space="preserve">Fractura del dedo mano izquierda mientras depositaba en el piso una caja con rollos de stretch film produciendo contacto con perfil metálico de columna. Personal APE </t>
  </si>
  <si>
    <t>CHUQUIPOMA HUAYTA EDER WILLIAM</t>
  </si>
  <si>
    <t>OPERADOR DE MONTACARGAS</t>
  </si>
  <si>
    <t>Golpe en el dedo al cerrarse la puerta del almacén</t>
  </si>
  <si>
    <t>puertta</t>
  </si>
  <si>
    <t>EDUARDO RODRIGO CRUZ LEON</t>
  </si>
  <si>
    <t>al cruzar una zona existe una faja el cual al cruzarla no mide ben el tamaño y se golpea con un apunta de acero produciendo traumatismo de frente con herida cortante.</t>
  </si>
  <si>
    <t>Cuenta de FR</t>
  </si>
  <si>
    <t>Escalera fija/portatil</t>
  </si>
  <si>
    <t>Mano</t>
  </si>
  <si>
    <t>STOCKA</t>
  </si>
  <si>
    <t>Operador de calderas</t>
  </si>
  <si>
    <t>Antonio Huallpa Moreno</t>
  </si>
  <si>
    <t>OPERADOR</t>
  </si>
  <si>
    <t>RENZO JOHEL ÑOPO ZAMBRANO</t>
  </si>
  <si>
    <t>DESGARRO MUSCULAR</t>
  </si>
  <si>
    <t>EN EL AREA DE EMBALZADO DE HARINA BAJANDO UNA PALETAS HACE UN ESFUERZO Y SIENTE UN DOLOR INTENSO EN LA REGION DE LA PANTORRILLA DERECHA QUE LE IMPOSIBILITA LOS MOVIEMNTOS Y DOLOR INTENS</t>
  </si>
  <si>
    <t>BARRENO MOYANO, JUAN CARLOS</t>
  </si>
  <si>
    <t>30/12/2017 (00:30)</t>
  </si>
  <si>
    <t>se encontraba en la zona de servicios higiénicos; cuando se dirigía a lavarse las manos, se resbala y cae apoyándose en su brazo derecho para mitigar el golpe de la caída a nivel</t>
  </si>
  <si>
    <t>Líder de Linea</t>
  </si>
  <si>
    <t>15 AÑOS</t>
  </si>
  <si>
    <t>13 AÑOS</t>
  </si>
  <si>
    <t xml:space="preserve">Se dispone a separar el bonete del cuerpo de la válvula para el cambio de empaquetadura, sale el agua residual que aún estaba caliente, acumulada dentro de la tubería de 6” ingreso al manifold cayéndole en la parte derecha del cuerpo produciéndole quemaduras de primer y  segundo grado en la parte  parcial del cuerpo ya mencionado. : Zona de calderas
</t>
  </si>
  <si>
    <t xml:space="preserve">9 meses en Laboratorio Jabonería
2 semanas en Laboratorio Detergentes
</t>
  </si>
  <si>
    <t>5 AÑOS</t>
  </si>
  <si>
    <t>16 AÑOS</t>
  </si>
  <si>
    <t>4 MESES</t>
  </si>
  <si>
    <t>14 AÑOS</t>
  </si>
  <si>
    <t>3 AÑOS</t>
  </si>
  <si>
    <t>6 AÑOS</t>
  </si>
  <si>
    <t>1 MES 25 DIAS</t>
  </si>
  <si>
    <t>Julio Cesar Delgado Rajo</t>
  </si>
  <si>
    <t>operario de producción</t>
  </si>
  <si>
    <t>2 años 16 dias</t>
  </si>
  <si>
    <t>Carlos Gavidia Díaz</t>
  </si>
  <si>
    <t>operados 2 del molino</t>
  </si>
  <si>
    <t>José Miguel Galindo</t>
  </si>
  <si>
    <t xml:space="preserve">2 años 4 meses </t>
  </si>
  <si>
    <t>18 meses</t>
  </si>
  <si>
    <t>19 años 3 meses</t>
  </si>
  <si>
    <t>2 meses 3 dias</t>
  </si>
  <si>
    <t>operador envasadoras</t>
  </si>
  <si>
    <t>1 año 1 días</t>
  </si>
  <si>
    <t>AUXILIAR ESTIBA</t>
  </si>
  <si>
    <t xml:space="preserve">Conductor </t>
  </si>
  <si>
    <t>RETIRO DE FARDOS</t>
  </si>
  <si>
    <t>4.5 AÑOS</t>
  </si>
  <si>
    <t>SISTEMAS</t>
  </si>
  <si>
    <t>CONDUCTOR</t>
  </si>
  <si>
    <t>TRANSP.PACIFICO</t>
  </si>
  <si>
    <t xml:space="preserve">Caída mismo nivel por piso húmedo SSHH originando un trauma Lumbo-Sacro </t>
  </si>
  <si>
    <t>Ayudante de cocina</t>
  </si>
  <si>
    <t>BERTHA RIVERA HENOSTROSA</t>
  </si>
  <si>
    <t>INSTRUCTORA SENATI</t>
  </si>
  <si>
    <t>Operario de almacén</t>
  </si>
  <si>
    <t>3 MESES</t>
  </si>
  <si>
    <t>1 AÑO 6 MESES</t>
  </si>
  <si>
    <t>JUAN CARLOS ECHEGARAY (transp)</t>
  </si>
  <si>
    <t>Faminmur (contratista)</t>
  </si>
  <si>
    <t>ysamar (transp)</t>
  </si>
  <si>
    <t>Empresa tercera Trupal / Adeco (acopio)</t>
  </si>
  <si>
    <t>Transportista</t>
  </si>
  <si>
    <t>VIGILANCIA</t>
  </si>
  <si>
    <t>COSNULTORA SISTEMAS</t>
  </si>
  <si>
    <t xml:space="preserve">Evelyn Figueroa  (LIMTEK) </t>
  </si>
  <si>
    <t xml:space="preserve">Reynaldo Ferreira </t>
  </si>
  <si>
    <t>ayudante de planta</t>
  </si>
  <si>
    <t>1 año 7 7eses</t>
  </si>
  <si>
    <t>JIMMY MINGA</t>
  </si>
  <si>
    <t>6 AÑOS 2 MESES</t>
  </si>
  <si>
    <t>OK</t>
  </si>
  <si>
    <t>3 AÑOS 10 MESES</t>
  </si>
  <si>
    <t>OTROS (RRHH)</t>
  </si>
  <si>
    <t>OTROS (TERCERO)</t>
  </si>
  <si>
    <t>ok</t>
  </si>
  <si>
    <t>POR ACTIVIDAD</t>
  </si>
  <si>
    <t>POR FR</t>
  </si>
  <si>
    <t>SUCURSALES</t>
  </si>
  <si>
    <t>GALLETERIA&amp;INSTANT.</t>
  </si>
  <si>
    <t xml:space="preserve">Germán Risco Guerrero </t>
  </si>
  <si>
    <t>Operador de Prensa</t>
  </si>
  <si>
    <t>TARDE</t>
  </si>
  <si>
    <t>15 AÑOS Y 2 MESES</t>
  </si>
  <si>
    <t xml:space="preserve">Quemadura de 2do grado en el antebrazo izquierdo durante el desmontaje de la guarda de protección del ventilador del motor de la prensa #05 </t>
  </si>
  <si>
    <t>EQUPO</t>
  </si>
  <si>
    <t xml:space="preserve">José Aguilar Gutierrez </t>
  </si>
  <si>
    <t>Auxiliar de producción</t>
  </si>
  <si>
    <t>09 años  04 meses .</t>
  </si>
  <si>
    <t>Herida cortante en mano derecha durante la limpieza del secador de la línea 10</t>
  </si>
  <si>
    <t>HAYDEE AVENDAÑO GALINDO</t>
  </si>
  <si>
    <t>OPERADOR DE PRODUCCION</t>
  </si>
  <si>
    <t>ESCALON</t>
  </si>
  <si>
    <t xml:space="preserve">FIGUEROA INOCENTE, LILI ANA      </t>
  </si>
  <si>
    <t>1.5 AÑOS</t>
  </si>
  <si>
    <t>Contusión dorsolumbar al contacto con columna de 8 bandejas de paquetes primarios (Senati - DM: 2 días)</t>
  </si>
  <si>
    <t>COLUMNA BANDEJAS</t>
  </si>
  <si>
    <t>GOLPE</t>
  </si>
  <si>
    <t xml:space="preserve">Sugeylly Gonzales Flores </t>
  </si>
  <si>
    <t>19/012/2018</t>
  </si>
  <si>
    <t xml:space="preserve">Contusión rodilla derecha al tropezar con puerta inferior del elevador de carga trasladando útiles de limpieza </t>
  </si>
  <si>
    <t xml:space="preserve">PUERTA ELEVADOR </t>
  </si>
  <si>
    <t>Segovia Angel, Víctor</t>
  </si>
  <si>
    <t>9 DIAS</t>
  </si>
  <si>
    <t>Golpe leve dedo meñique mano derecha durante el armado de la paleta con producto última fila (MANPOWER - DM: 2 días)</t>
  </si>
  <si>
    <t>CAJA PRODUCTO</t>
  </si>
  <si>
    <t>Maria Acasiete Aparcana</t>
  </si>
  <si>
    <t>Operador manufactura salsas</t>
  </si>
  <si>
    <t>18 AÑOS</t>
  </si>
  <si>
    <t>Fractura falange distal en IV dedo de la mano izquierda al terminar de limpiar tolva y al colocarla en el equipo (SALSAS 1)</t>
  </si>
  <si>
    <t>NOEMI AVILA PRIETO</t>
  </si>
  <si>
    <t xml:space="preserve">Corte con puntos en contacto con taper de vidrio al romperse durante su lavado </t>
  </si>
  <si>
    <t>TAPER</t>
  </si>
  <si>
    <t>COOPSOL</t>
  </si>
  <si>
    <t xml:space="preserve">Elsa Marina Fernandez Rodriguez </t>
  </si>
  <si>
    <t>Torcedura de pie derecho durante su traslado por el comedor</t>
  </si>
  <si>
    <t>CABLE EN PISO</t>
  </si>
  <si>
    <t>TORCERDURA</t>
  </si>
  <si>
    <t xml:space="preserve">Charlotte SAC  </t>
  </si>
  <si>
    <t>2018 (Alicorp+TEAL)</t>
  </si>
  <si>
    <t>2018 (Global+Mast)</t>
  </si>
  <si>
    <t>Paita</t>
  </si>
  <si>
    <t xml:space="preserve">Luis Alberto Zea Ramirez   </t>
  </si>
  <si>
    <t>Inspector de Mantenimiento</t>
  </si>
  <si>
    <t>MAYOR 15 AÑOS</t>
  </si>
  <si>
    <t xml:space="preserve">Fractura y Cortes en  falange distal del tercer y cuarto dedo de la mano derecha al contacto de aspas del ventilador durante análisis vibracional </t>
  </si>
  <si>
    <t>Randy Anderson Chero Morales</t>
  </si>
  <si>
    <t xml:space="preserve">Fractura de muñeca mano izquierda al caer luego de jalar un saco de harina de una paleta </t>
  </si>
  <si>
    <t>SACO HARINA</t>
  </si>
  <si>
    <t xml:space="preserve">Jose Luis Llana Chauin </t>
  </si>
  <si>
    <t>Contusión del globo ocular y del tejido orbital del Ojo derecho al soltársele la manguera de aire comprimido</t>
  </si>
  <si>
    <t xml:space="preserve">ANSELMO ALVAREZ CARLOS ALFREDO          </t>
  </si>
  <si>
    <t>Ayudante de máquina</t>
  </si>
  <si>
    <t xml:space="preserve">Contusión pierna derecha al resbalar del equipo golpeandose la pierna (Linea encajado automático  - Linea 3) </t>
  </si>
  <si>
    <t xml:space="preserve">VARGAS BELLIDO ANTHONY NICK       </t>
  </si>
  <si>
    <t>1 AÑO</t>
  </si>
  <si>
    <t>Corte en el dedo meñique de la mano izquierda al intentar desatorar una bandeja llena de galleta ubicada al final de la mesa de acomodo (</t>
  </si>
  <si>
    <t xml:space="preserve">Noa Curo, Odon Yober        </t>
  </si>
  <si>
    <t>1 AÑO 1 MES</t>
  </si>
  <si>
    <t xml:space="preserve">Esguince de la mano izquierda flexionando la manija de la stocka para elevar la pallets </t>
  </si>
  <si>
    <t>ESGUINCE</t>
  </si>
  <si>
    <t>APT PAITA</t>
  </si>
  <si>
    <t>DISTRIBUCION PROV</t>
  </si>
  <si>
    <t>CD CHICLAYO</t>
  </si>
  <si>
    <t xml:space="preserve">CDC </t>
  </si>
  <si>
    <t>Limpiando Equipos</t>
  </si>
  <si>
    <t>Limpiando Instalaciones</t>
  </si>
  <si>
    <t>Durante la actividad Productiva</t>
  </si>
  <si>
    <t>Ingenieria</t>
  </si>
  <si>
    <t>Procedimiento</t>
  </si>
  <si>
    <t>Señaletica</t>
  </si>
  <si>
    <t>Capacitación</t>
  </si>
  <si>
    <t>Ronald Quispe Sanchez</t>
  </si>
  <si>
    <t>07 MESES</t>
  </si>
  <si>
    <t>Contusión dedo pulgar de mano derecha con el tambor de la consedora durante la colocación del hilo al accionar por error el equipo  (Cajamarquilla)</t>
  </si>
  <si>
    <t xml:space="preserve">ABENDAÑO ROMAN, AGUSTIN PELAGIO          </t>
  </si>
  <si>
    <t>Operador de moldeado</t>
  </si>
  <si>
    <t>DÍA</t>
  </si>
  <si>
    <t xml:space="preserve">Atrición mano derecha en contacto con faja entre polín de goma y de arrastre durante la limpieza de la faja sinfín de la estación de moldeado de la línea 4 </t>
  </si>
  <si>
    <t>FAJA</t>
  </si>
  <si>
    <t xml:space="preserve">RISCO PRECIADO MANUEL </t>
  </si>
  <si>
    <t>Fractura expuesta del 2do  y 3er Dedo  de la Mano Izquierda al contacto con el transportador al intentar retirar la masa de recorte acumulada en la tolva de alimentación del Laminado Vertical (Galletera)</t>
  </si>
  <si>
    <t>TRANSPORTADOR</t>
  </si>
  <si>
    <t>JUAN MANUEL ORELLANA SOTOMAYOR</t>
  </si>
  <si>
    <t>ESTABILIZAR UN TABLERO ELÉCTRICO, ESTE CAE SOBRE SU RODILLA Y MANO IZQUIERDA.  SE REALIZA HEMOSTASIA DE ZONA AFECTADA</t>
  </si>
  <si>
    <t>MANIOBRAS PACHECO SAC - RYCH MECANICA INDUSTRIAL Y PROYECTOS</t>
  </si>
  <si>
    <t>PATTRICIA TELLO CORDOVA</t>
  </si>
  <si>
    <t xml:space="preserve"> A BAJAR ESCALERAS SUFRE TRASPIES DONDE PRESENTA TORCEDURA DE TOBILLO DERECHO Y ERSCORIACIONES EN RODILLA IZQUIERDA </t>
  </si>
  <si>
    <t>LUCKY</t>
  </si>
  <si>
    <t>ESCALERQ</t>
  </si>
  <si>
    <t xml:space="preserve">Durante la Operación </t>
  </si>
  <si>
    <t>Golpe en la ceja al liberar los seguros de la compuerta de tolva de recepción provocándole una herida a la altura de la ceja izquierda</t>
  </si>
  <si>
    <t>Inflamación muscular en la cara interior de la mano izquierda con el eje de las bobinas</t>
  </si>
  <si>
    <t>Miguel Sachún Rodriguez (</t>
  </si>
  <si>
    <t>Operador de máquina Masipack</t>
  </si>
  <si>
    <t>ABRAHNM GOMEZ</t>
  </si>
  <si>
    <t>19/04/0218</t>
  </si>
  <si>
    <t>4 AÑOS</t>
  </si>
  <si>
    <t>CD HUACHIPA</t>
  </si>
  <si>
    <t>Rol</t>
  </si>
  <si>
    <t>DEPOSITO MCO CAPAC</t>
  </si>
  <si>
    <t>Luciano Condori Macedo</t>
  </si>
  <si>
    <t>ALTURA</t>
  </si>
  <si>
    <t>ROTURA LIGAMENTO</t>
  </si>
  <si>
    <t xml:space="preserve">Heydi Sifuentes Agreda </t>
  </si>
  <si>
    <t xml:space="preserve">Polvo de cocoa en los ojos mientras lo vaceaba a la mezcladora </t>
  </si>
  <si>
    <t>COCOA</t>
  </si>
  <si>
    <t>MATERIAL EXTRAÑO AL OJO</t>
  </si>
  <si>
    <t>Daniel Antezana</t>
  </si>
  <si>
    <t xml:space="preserve">Corte en la frente al caer bandeja que protege el polin de la faja </t>
  </si>
  <si>
    <t>Johan Cervantes</t>
  </si>
  <si>
    <t xml:space="preserve">Aprisionamiento de dedo índice mano derecha con selladora de bolsas L6 al activarda por su pie </t>
  </si>
  <si>
    <t>Raúl Samán Cuenca</t>
  </si>
  <si>
    <t>11 años</t>
  </si>
  <si>
    <t xml:space="preserve">Contusión dorsal al caer tras resbalarse en piso de SSHH </t>
  </si>
  <si>
    <t>Kevin Lomas (29123)</t>
  </si>
  <si>
    <t>8 DIAS</t>
  </si>
  <si>
    <t xml:space="preserve">Golpe en rodilla izquierda contra una de las patas del transportador de cajas </t>
  </si>
  <si>
    <t>Mori Martin Arnulfo</t>
  </si>
  <si>
    <t>TERCERO CONDUCTOR</t>
  </si>
  <si>
    <t>5 años y 6 meses  (4 meses en Supervan)</t>
  </si>
  <si>
    <t xml:space="preserve">Golpe en la cabeza al volcarse un camión con tolva mientras retrocedía cayendo a un desnivel </t>
  </si>
  <si>
    <t>SUPERVAN</t>
  </si>
  <si>
    <t>Jefferson Delgado</t>
  </si>
  <si>
    <t xml:space="preserve">Aprisionamiento del tobillo al bajar del ETV en movimiento </t>
  </si>
  <si>
    <t xml:space="preserve">Piedra Medina, Joselyn          </t>
  </si>
  <si>
    <t>1.5 meses</t>
  </si>
  <si>
    <t xml:space="preserve">Contusión lumbosacro y de pelvis al resbalarse en piso con restos de galleta mientras transportaba bandejas </t>
  </si>
  <si>
    <t>Carga/Descarga Camión</t>
  </si>
  <si>
    <t>SENATI (Ok)</t>
  </si>
  <si>
    <t>Fisura en la falange distal dedo índice mano izquierda al introducir la mano en el equipo en movimiento, sufriendo un golpe con la estrella guía de la tapadora  en el dedo índice de la mano izquierda</t>
  </si>
  <si>
    <t>fractura (fisura)</t>
  </si>
  <si>
    <t xml:space="preserve">Apolonio Andres Cano Yaranga  </t>
  </si>
  <si>
    <t>Mecánico de Turno</t>
  </si>
  <si>
    <t>11 AÑOS</t>
  </si>
  <si>
    <t xml:space="preserve">Esguince codo derecho al caer de la silla de la línea de la envasadora Volpak 4 </t>
  </si>
  <si>
    <t>: Fractura dedo anular mano izquierda al golpearse con la pala y la olla de crema de la Envasadora A1</t>
  </si>
  <si>
    <t xml:space="preserve">Pinto Vega, Jorge Luis      </t>
  </si>
  <si>
    <t>AYUDANTE DE MAQUINA</t>
  </si>
  <si>
    <t>Ayudante, embalador Mano/Caja (CLJ)</t>
  </si>
  <si>
    <t>4 meses, 19 días</t>
  </si>
  <si>
    <t>AMIAS RENGIFO, KARY</t>
  </si>
  <si>
    <t>SILLA</t>
  </si>
  <si>
    <t>Rotura de ligamento rodilla derecha al caer del muelle de 1.2 mt de altura apt Sidsur</t>
  </si>
  <si>
    <t>SDISUR</t>
  </si>
  <si>
    <t>Marco Antonio Vargas Arévalo</t>
  </si>
  <si>
    <t>Operador de Máquina Envasadora</t>
  </si>
  <si>
    <t>Herida contusa en pierna izquierda al subir por una escalera de 2 pasos con una olla que contenía alcohol para la preparación de la esencia de vainilla cuando resbaló la pierna izquierda y se golpeó con el borde de la escalera</t>
  </si>
  <si>
    <t>escalera</t>
  </si>
  <si>
    <t>CD PIURA</t>
  </si>
  <si>
    <t>APT FIDEERIA</t>
  </si>
  <si>
    <t>RANSA</t>
  </si>
  <si>
    <t>SAN MIGUEL INDUSTRIAL</t>
  </si>
  <si>
    <t xml:space="preserve">RAMON HUAMANI JIBAJA   </t>
  </si>
  <si>
    <t>1 AÑOS 3 MESES</t>
  </si>
  <si>
    <t xml:space="preserve">Herida cortante primer dedo de la mano derecha al accionar la manivela en forma manual por el operador durante el cambio de formato
</t>
  </si>
  <si>
    <t>AMPUTACION YEMA DEDO</t>
  </si>
  <si>
    <t>Fernando Villegas Moquillaza</t>
  </si>
  <si>
    <t xml:space="preserve">PRODUCCIÓN </t>
  </si>
  <si>
    <t>2 AÑOS</t>
  </si>
  <si>
    <t>Fractura antebrazo izquierdo al alcanzar el panel retrociendo el ETV</t>
  </si>
  <si>
    <t>fractura</t>
  </si>
  <si>
    <t>Brayan chirinos</t>
  </si>
  <si>
    <t xml:space="preserve"> 2 meses</t>
  </si>
  <si>
    <t>Esquince hombro izquierdo al resbalar en escalera y cogerse del pasamanos</t>
  </si>
  <si>
    <t>esguince</t>
  </si>
  <si>
    <t>operador de Wafles</t>
  </si>
  <si>
    <t xml:space="preserve">Bellido Peralta, Walter      </t>
  </si>
  <si>
    <t>18 años</t>
  </si>
  <si>
    <t>Herida contusocortante en labio inferior con cabezal del TAWI al soltarse el saco</t>
  </si>
  <si>
    <t xml:space="preserve">Jhordin Solorzano Leiva </t>
  </si>
  <si>
    <t>Quemadura de Primer y Segundo grado en cara y cuello (lado derecho) al salpicar el producto a 80 C al reventar una bolsa de ketchup que se engancha en la estructura de la faja en Salsas</t>
  </si>
  <si>
    <t>producto</t>
  </si>
  <si>
    <t>Chavez Rojas Edgard Javier</t>
  </si>
  <si>
    <t>11 dias</t>
  </si>
  <si>
    <t>hombro doloroso Traslado de bolsas de cereales</t>
  </si>
  <si>
    <t>manpower</t>
  </si>
  <si>
    <t>bolsa cereal</t>
  </si>
  <si>
    <t>Juan José Soto Quispe</t>
  </si>
  <si>
    <t>Herida  en el cuarto dedo de la mano izquierda al caerle el brazo hidraulico del Laminador 2</t>
  </si>
  <si>
    <t>abastecedor de materiales</t>
  </si>
  <si>
    <t>David Castillo Pachas</t>
  </si>
  <si>
    <t>retirando la masa que estaba adherida a la paleta de la batidora vertical, al jalar la masa sufrió un corte en el dedo meñique de la mano derecha.</t>
  </si>
  <si>
    <t xml:space="preserve">Atricción Mano Izquierda por atrapamiento de faja y plancha inferior línea Volpak 4 al intentar retirar doypack acumulados en el extremo de la faja </t>
  </si>
  <si>
    <t xml:space="preserve">Contratista; Corte en la cara con esmeril durante el corte de un tubo </t>
  </si>
  <si>
    <t xml:space="preserve">Contusión en empeine de pie izquierdo al caerle un taco de madera que se soltó de una paleta mientras la bajaba de la ruma </t>
  </si>
  <si>
    <t xml:space="preserve">Contusión moderada de mano derecha al intentar retirar el producto acumulado en la faja transportadora del equipo de Rayos X </t>
  </si>
  <si>
    <t xml:space="preserve">Herida en el dedo anular mano derecha durante la colocación de parante de madera lateral del camión de plataforma. </t>
  </si>
  <si>
    <t>Atricción en 2 dedos (medio y anular) de la mano derecha a retirar producto acumulado con la mano derecha entre los rollos del banco D3 marca Simon sin percatarse que este se encontraba girando por inercia</t>
  </si>
  <si>
    <t>GLOBAL CAJAMARQUILLA</t>
  </si>
  <si>
    <t>GLOBAL ÑAÑA</t>
  </si>
  <si>
    <t>APT MOLINO FAUCETT</t>
  </si>
  <si>
    <t>KARINA QUISPE INOCENTE</t>
  </si>
  <si>
    <t>faja</t>
  </si>
  <si>
    <t>esmeril</t>
  </si>
  <si>
    <t>RICARDO FRANCISCO HINOSTROZA SAAVEDRA</t>
  </si>
  <si>
    <t>MEJIA ICHO JAIRO EMANUEL</t>
  </si>
  <si>
    <t>Ayudante producto terminado CLJ</t>
  </si>
  <si>
    <t>MARIANELA DEL PILAR GUERRERO BALDERA</t>
  </si>
  <si>
    <t>WILMER ECHE BANDIN</t>
  </si>
  <si>
    <t xml:space="preserve">PARANTE </t>
  </si>
  <si>
    <t>1 MES</t>
  </si>
  <si>
    <t>Luis Zapata Ameri</t>
  </si>
  <si>
    <t>Coordinador de Producción</t>
  </si>
  <si>
    <t>BANCO</t>
  </si>
  <si>
    <t>MANPOWER (OPERARIO LIMPIEZA)</t>
  </si>
  <si>
    <t>En Formación</t>
  </si>
  <si>
    <t>SAO</t>
  </si>
  <si>
    <t>OPERADOR MONTACARGAS (CONTRATADO)</t>
  </si>
  <si>
    <t>Operario de Producción (CONTRATADO)</t>
  </si>
  <si>
    <t>AYUDANTE DE TOLVAS (CONTRATADO)</t>
  </si>
  <si>
    <t>Ayudante de planta (CONTRATADO)</t>
  </si>
  <si>
    <t>Tecnico de Mantenimiento (MANPOWER)</t>
  </si>
  <si>
    <t>Operario de Laminado (CONTRATADO)</t>
  </si>
  <si>
    <t>15.4 AÑOS</t>
  </si>
  <si>
    <t>3 AÑOS 8 MESES</t>
  </si>
  <si>
    <t xml:space="preserve">Contusión 5to dedo mano derecha durante el embolsado de sacos 25 Kg en Embolsadora 3 </t>
  </si>
  <si>
    <t xml:space="preserve">Corte superficial dedo índice mano derecha realizando la operación de alimentación de galletas al magazine de la envasadora SIG 51 </t>
  </si>
  <si>
    <t>Regulando la silla sufre una atricción de la mano izquierda</t>
  </si>
  <si>
    <t>Tecnico de Calidad: Caída al resbalarse por escalera que va al sótano del molino durante toma de muestras golpeándose la rodilla</t>
  </si>
  <si>
    <t>Esguince de pie derecho al bajar de una tarima de 17.5 cm.</t>
  </si>
  <si>
    <t>Supervisor INTERTEK: Policontusión al caerle 2 sacos de productos estibados en contenedor mientras tomaba fotos en el interior</t>
  </si>
  <si>
    <t>INTERTEK</t>
  </si>
  <si>
    <t>Victor Moises Perez Terrones</t>
  </si>
  <si>
    <t>2.5 MESES</t>
  </si>
  <si>
    <t>TEAL GALLETAS</t>
  </si>
  <si>
    <t>Luis Valeriano Mamani Ticona</t>
  </si>
  <si>
    <t>TECNICO DE CALIDAD</t>
  </si>
  <si>
    <t>7 AÑOS</t>
  </si>
  <si>
    <t>GOLPE (ROTURA MENISCOS?)</t>
  </si>
  <si>
    <t>CÉSAR YUMBATO LAICHI</t>
  </si>
  <si>
    <t xml:space="preserve">NECIOSUP SERNAQUE JOSE        </t>
  </si>
  <si>
    <t>Maquinista de Envasadoras SIG</t>
  </si>
  <si>
    <t>Ambar Torres Berrospi</t>
  </si>
  <si>
    <t xml:space="preserve">Operario de Producción </t>
  </si>
  <si>
    <t>TARIMA</t>
  </si>
  <si>
    <t xml:space="preserve">Johana Salvador Suarez </t>
  </si>
  <si>
    <t>SACOS</t>
  </si>
  <si>
    <t>SUPERVISION DE CARGA</t>
  </si>
  <si>
    <t>FINO (Cochabambas)</t>
  </si>
  <si>
    <t>FINO (Felipe)</t>
  </si>
  <si>
    <t>TOTAL FINO</t>
  </si>
  <si>
    <t>PAITA</t>
  </si>
  <si>
    <t>Ayudante embalador/SENATI</t>
  </si>
  <si>
    <t>Fractura radio distal izquierdo al tropezar con escalon de SSHH mujeres y caer al piso</t>
  </si>
  <si>
    <t xml:space="preserve">Caída de escalera de un equipo Esquince tobillo derecho 2 do grado (DM: 13 días)
</t>
  </si>
  <si>
    <t>Alex Puruguay Prado</t>
  </si>
  <si>
    <t>Accidente Incapacitante (No afecta IF)</t>
  </si>
  <si>
    <t>Operador de máquina envasadora</t>
  </si>
  <si>
    <t xml:space="preserve">Herida en 4to dedo de mano izquierda Envasadora L2 un trabamiento de la mordaza de la envasadora pack A8 de la línea 2, sin haber bloqueado el equipo, el colaborador manipula el magazine para desatorarlo retirando un paquete </t>
  </si>
  <si>
    <t xml:space="preserve">El colaborador se encontraba doblando las mantas que habían sido usadas para cubrir la mercadería para luego proceder a guardarlas. Ya terminando, se da cuenta que una de ellas estaba un poco enredada y decide seguir con lo que estaba haciendo, sin darse cuenta pisa una esquina de la manta y procede a jalar con fuerza para desenredarla, es ahí donde siente un tirón en el tobillo izquierdo, luego trata de pisar y siente dolor </t>
  </si>
  <si>
    <t>manta</t>
  </si>
  <si>
    <t>Alberto Rojas</t>
  </si>
  <si>
    <t>TÉCNICO DE ENVASADO</t>
  </si>
  <si>
    <t>PEREZ SIQUERO JOSUE</t>
  </si>
  <si>
    <t>AYUDANTE DE ALMACEN</t>
  </si>
  <si>
    <t>Durante las pruebas de la envasadora CPL B para el arranque de línea 23 es cuando se produce el atoro del laminado en la mordaza inferior, procede a detener la línea para retirar el laminado atorado, levanta manualmente la cuchilla superior con la mano derecha y retira los restos de laminado de la mordaza inferior con la mano izquierda; en ese momento su dedo pulgar de la mano izquierda toca la resistencia de la mordaza inferior y bruscamente levanta la mano y golpea el dorso de su mano con la cuchilla superior y mordaza superior</t>
  </si>
  <si>
    <t>MEDIDAS DE CONTROL</t>
  </si>
  <si>
    <t>PARA ACTIVIDADES CON RIESGO IMPORTANTE</t>
  </si>
  <si>
    <t>PARA ACTIVIDADES CON RIESGO MODERADO</t>
  </si>
  <si>
    <t>Propuestas</t>
  </si>
  <si>
    <t>Implementadas</t>
  </si>
  <si>
    <t xml:space="preserve">% Implementadas </t>
  </si>
  <si>
    <t>Balanceados Lima</t>
  </si>
  <si>
    <t xml:space="preserve">Instantáneos </t>
  </si>
  <si>
    <t xml:space="preserve">corte en la yema de los dedos anular y medio cuando apoyaba su mano en el equipo de volteo de pan haciendo contacto con cadena y chumacera </t>
  </si>
  <si>
    <t xml:space="preserve">Chofer de vehículo, cae del camión y sufre contusión en 1er dedo de mano izquierda </t>
  </si>
  <si>
    <t>MATMIN</t>
  </si>
  <si>
    <t>Contusión tobillo derecho tras contacto con paleta que transportaba el montacarga</t>
  </si>
  <si>
    <t xml:space="preserve">Golpe en la pierna tras golpe listón de madera que se desprende de una paleta </t>
  </si>
  <si>
    <t>Trauma dorso lumbar caer al piso tras resbalarse por agua en el suelo en tuneles de frio</t>
  </si>
  <si>
    <t>Salpicadura de Ketchup caliente, en la línea de envasado. Quemadura de 1er y 2do grado en brazo</t>
  </si>
  <si>
    <t xml:space="preserve">Herida por Atrición en 1er dedo mano izquierda durante el rallado de Rollo en el taller de mantenimiento </t>
  </si>
  <si>
    <t>Atropellamiento de chofer tras deslizarse un camión encendido sin conductor.</t>
  </si>
  <si>
    <t>TACSA</t>
  </si>
  <si>
    <t xml:space="preserve">Contusión en dedos de la mano, al sufrir golpe con la puerta de la aduana </t>
  </si>
  <si>
    <t>camion</t>
  </si>
  <si>
    <t>piso</t>
  </si>
  <si>
    <t>paleta</t>
  </si>
  <si>
    <t>quemadura</t>
  </si>
  <si>
    <t>atropello</t>
  </si>
  <si>
    <t>Bolivia</t>
  </si>
  <si>
    <t>PROGRAMA</t>
  </si>
  <si>
    <t>Carlos Ojeda Peña</t>
  </si>
  <si>
    <t>11 MESES</t>
  </si>
  <si>
    <t>Samuel Ochoa Villano</t>
  </si>
  <si>
    <t>Cesar Balleto</t>
  </si>
  <si>
    <t>TERCERO (limtek)</t>
  </si>
  <si>
    <t>MANPOWER (OPERADOR PTA MAIZ)</t>
  </si>
  <si>
    <t xml:space="preserve">Noe Montesinos Mejia </t>
  </si>
  <si>
    <t>Golpe en pierna derecha tras caída a diferente nivel en tolva planta maiz</t>
  </si>
  <si>
    <t xml:space="preserve">Carlos  Renteros Reyes </t>
  </si>
  <si>
    <t>MANPOWER (operador envasado)</t>
  </si>
  <si>
    <t>Jaricza Uriarte</t>
  </si>
  <si>
    <t>Kevin Araujo Huamani</t>
  </si>
  <si>
    <t>MECANICO</t>
  </si>
  <si>
    <t xml:space="preserve">Juan Huaman Cruz </t>
  </si>
  <si>
    <t>COPSA-SALSAS 3</t>
  </si>
  <si>
    <t>Operario de Producción (CONTRATADO )</t>
  </si>
  <si>
    <t xml:space="preserve">Lila Rojas Santisteban </t>
  </si>
  <si>
    <t>OPERARIO PRODUCCION</t>
  </si>
  <si>
    <t xml:space="preserve">Incio Rojas Tulio Nestor
</t>
  </si>
  <si>
    <t>20 DÍAS</t>
  </si>
  <si>
    <t>Auxiliar de Laboratorio</t>
  </si>
  <si>
    <t xml:space="preserve">Flores García, Geiner </t>
  </si>
  <si>
    <t>Herida Cortante en el 5to dedo de mano derecha durante el lavado de vaso de precipitado de vidrio</t>
  </si>
  <si>
    <t>COPSA-margarinas</t>
  </si>
  <si>
    <t>ZUÑIGA COLONIA, LEOCADIO RAFAEL</t>
  </si>
  <si>
    <t>Operador Volpak</t>
  </si>
  <si>
    <t>Herida Cortante en mano derecha durante el cambio de cuchilla se resbala la herramienta mientras ajustaba la cuchilla y la mano hace contacto con cuchilla</t>
  </si>
  <si>
    <t>Juan Castillo Ramos</t>
  </si>
  <si>
    <t>Caída de un trabajador tercero en su intento de bajar a la fosa del elevador se golpea la pierna con el borde del piso</t>
  </si>
  <si>
    <t>5.5 MESES</t>
  </si>
  <si>
    <t>Herida cortante en dedo de mano por aprisionamiento de su dedo pulgar izquierdo por la cadena de arrastre al intentar direccionar el saco al sistema de dobaldo</t>
  </si>
  <si>
    <t>4 meses 14 dias</t>
  </si>
  <si>
    <t>10 MESES</t>
  </si>
  <si>
    <t>8 MESES</t>
  </si>
  <si>
    <t>4 AÑOS 9 MESES</t>
  </si>
  <si>
    <t>9 AÑOS 7 MESES</t>
  </si>
  <si>
    <t>Operador Sopladora Botellas PET N° 2. (TERCERO)</t>
  </si>
  <si>
    <t>COPSA-SALSAS 1</t>
  </si>
  <si>
    <t>2 MESE 17 DIAS</t>
  </si>
  <si>
    <t>9 MESES</t>
  </si>
  <si>
    <t xml:space="preserve">2 MESES </t>
  </si>
  <si>
    <t>01 años  07 meses .</t>
  </si>
  <si>
    <t>4 AÑOS 6 MESES</t>
  </si>
  <si>
    <t>41 AÑOS</t>
  </si>
  <si>
    <t>FALTA</t>
  </si>
  <si>
    <t>% TOTAL AVANCE</t>
  </si>
  <si>
    <t>APT MCA</t>
  </si>
  <si>
    <t>ALMACEN</t>
  </si>
  <si>
    <t>SUCURSAL AREQUIPA</t>
  </si>
  <si>
    <t xml:space="preserve">CD AGUSTINO </t>
  </si>
  <si>
    <t>SEDE</t>
  </si>
  <si>
    <t>%</t>
  </si>
  <si>
    <t>%VAR</t>
  </si>
  <si>
    <t>COPSA AC.DOMESTICO</t>
  </si>
  <si>
    <t>COPSA AC.GRANEL</t>
  </si>
  <si>
    <t>COPSA MARG DOM</t>
  </si>
  <si>
    <t>COPSA MARG IND</t>
  </si>
  <si>
    <t>COPSA MTCA IND</t>
  </si>
  <si>
    <t>COPSA DERIV.GRASOS</t>
  </si>
  <si>
    <t>COPSA SALSAS MAY</t>
  </si>
  <si>
    <t>COPSA SALSAS PICANTE</t>
  </si>
  <si>
    <t>COPSA SALSAS FOOD SRV</t>
  </si>
  <si>
    <t>MOLINO STA ROSA</t>
  </si>
  <si>
    <t>MOLINO SIDSUR</t>
  </si>
  <si>
    <t>MOLINO KUANE</t>
  </si>
  <si>
    <t>MOLINO TEAL</t>
  </si>
  <si>
    <t>VITAPRO TRJ</t>
  </si>
  <si>
    <t>TEAL CARAMELOS</t>
  </si>
  <si>
    <t>TEAL CHOCOLATES</t>
  </si>
  <si>
    <t>TEAL PANETONES</t>
  </si>
  <si>
    <t>TOTAL ALICORP</t>
  </si>
  <si>
    <t>JABONES</t>
  </si>
  <si>
    <t>TOTAL SUBSIDIARIAS</t>
  </si>
  <si>
    <t>MES/AÑO</t>
  </si>
  <si>
    <t>FINO WARNER</t>
  </si>
  <si>
    <t>FINO CBBS</t>
  </si>
  <si>
    <t>HONDURAS</t>
  </si>
  <si>
    <t>GALLETERIA - INSTANT</t>
  </si>
  <si>
    <t>PERSONAL PROPIO</t>
  </si>
  <si>
    <t>T O T A  L</t>
  </si>
  <si>
    <t xml:space="preserve">corta sacos utilizando como herramienta manual una cuchilla en su mano derecha , luego al jalar  el saco para abastecerlo  el mismo peso del saco con la cuchilla abierta  le hace un corte en el brazo izquierdo </t>
  </si>
  <si>
    <t>queda atrapado uno de sus dedos entre la polea y la faja de la máquina descascaradora.</t>
  </si>
  <si>
    <t>FINO WARNES</t>
  </si>
  <si>
    <t>MOL PAITA</t>
  </si>
  <si>
    <t>12 meses</t>
  </si>
  <si>
    <t>ACCIDENTES INCAPACITANTES</t>
  </si>
  <si>
    <t>Herida por Atricción en dedo índice – mano derecha durante el montaje de tubería</t>
  </si>
  <si>
    <t>Golpe contuso cortante sobre ceja Izquierda con el elevador de sacos</t>
  </si>
  <si>
    <t>ELEVADOR</t>
  </si>
  <si>
    <t>GLOBAL-ñaña</t>
  </si>
  <si>
    <t>Quemadura dedos mano derecho con silicona caliente durante la limpieza de la máquina armadora de cajas</t>
  </si>
  <si>
    <t>AREA COMUN</t>
  </si>
  <si>
    <t>ASTILLA</t>
  </si>
  <si>
    <t>SILICONA</t>
  </si>
  <si>
    <t>INCRUSTRACION</t>
  </si>
  <si>
    <t>Preparador de Cobertura</t>
  </si>
  <si>
    <t>Trabajador de Galletera que se dirigía a trabajar en Copsa sufre caída mientras se desplazaba por el comedor Copsa originándole una contusión en la muñeca</t>
  </si>
  <si>
    <t>MOL FAUCETT</t>
  </si>
  <si>
    <t>QUISPE PEDRAZA ANGEL RULE</t>
  </si>
  <si>
    <t>Al retirarse de los vestuarios cuando al abrir la puerta el brazo hidráulico se traba y al empujar con fuerza  la manija lo golpea en la parrilla costal izquierda</t>
  </si>
  <si>
    <t>AREA RESPONSABILIDAD</t>
  </si>
  <si>
    <t>P E R S O N A L    T E R C E R O S (SCAST + Registros Vigilancia)</t>
  </si>
  <si>
    <t>Fecha</t>
  </si>
  <si>
    <t>Experiencia en el Puesto Trabajo</t>
  </si>
  <si>
    <t>Caida luego de realizar la inspección de la cabina del camión por una escalera de 03 pasos del propio camión.</t>
  </si>
  <si>
    <t>ROM</t>
  </si>
  <si>
    <t>PGL10854</t>
  </si>
  <si>
    <t>PFL10849</t>
  </si>
  <si>
    <t>GLOBAL-Cajamarquilla</t>
  </si>
  <si>
    <t>Operador de picos  ( 4° piso)</t>
  </si>
  <si>
    <t>Quemaduras en el rostro, mentón, labios, entre cejas y ambos pómulos por salpicadura de slurry destapando una lanza</t>
  </si>
  <si>
    <t>SLURRY</t>
  </si>
  <si>
    <t>TOTAL 2018</t>
  </si>
  <si>
    <t>BOLIVIA</t>
  </si>
  <si>
    <t>COCHABAMBAS</t>
  </si>
  <si>
    <t>TOTAL 2017</t>
  </si>
  <si>
    <t>DEFENSE</t>
  </si>
  <si>
    <t>TERCERO (OPERARIA)</t>
  </si>
  <si>
    <t>Dolor articular leve en la muñeca derecho producto de una mala maniobra con una bolsa con objeto pesado</t>
  </si>
  <si>
    <t>BOLSA CON OBJETO</t>
  </si>
  <si>
    <t>FUENTE PELIGRO</t>
  </si>
  <si>
    <t>SOBREESFUERZO</t>
  </si>
  <si>
    <t>2 AÑOS 7 MESES</t>
  </si>
  <si>
    <t>5 MESES 27 DÍAS</t>
  </si>
  <si>
    <t>3 AÑOS Y 1 MES</t>
  </si>
  <si>
    <t>JULIÁN ALTAMIRANO LIÑAN</t>
  </si>
  <si>
    <t>OPERARIO</t>
  </si>
  <si>
    <t xml:space="preserve"> Contusión y Herida en la cara al acomodar el celofan en la maquina amasadora de wafer</t>
  </si>
  <si>
    <t>MAQUINA</t>
  </si>
  <si>
    <t>TAMAYO LOAYZA SANTOS DAVID</t>
  </si>
  <si>
    <t>Herida superficial en maxilar inferior al realizar trabajos sellando bolsas de detergente</t>
  </si>
  <si>
    <t>OMAR GOMEZ GOMEZ</t>
  </si>
  <si>
    <t>CARLOS HUAMAN VALER</t>
  </si>
  <si>
    <t>HUAMÁN LAGO DIONOCIA</t>
  </si>
  <si>
    <t>MIGUEL RAMOS ZAVALA</t>
  </si>
  <si>
    <t>LUIS VILA RIVERA</t>
  </si>
  <si>
    <t>SEQUERIA GONZALO</t>
  </si>
  <si>
    <t>QUISPE LEÓN ELENA</t>
  </si>
  <si>
    <t>MARCOS VARGAS ARÉVALO</t>
  </si>
  <si>
    <t xml:space="preserve">INSTANTANEOS LIMA </t>
  </si>
  <si>
    <t>Herida en dorso de tercer dedo de la mano izquierda al realizar limpieza de portafaja de harinas.</t>
  </si>
  <si>
    <t>MARTIN CALLE PEÑA</t>
  </si>
  <si>
    <t>Dolor y limitación funcional traes tropezar en el comedor y apoyarse sobre su mano izquierda.</t>
  </si>
  <si>
    <t>TAYPE QUISPE MARISABEL</t>
  </si>
  <si>
    <t>Herida en base de primer dedo de la mano derecha mientras realizaba limpieza de portafaja de harinas.</t>
  </si>
  <si>
    <t>ATRICCIÓN</t>
  </si>
  <si>
    <t>OPERADOR DE RECEPCIÓN</t>
  </si>
  <si>
    <t>MECÁNICO DE TALLER</t>
  </si>
  <si>
    <t>BARRIENTOS LISBONA JUAN JUSTINIANO</t>
  </si>
  <si>
    <t>OPERARIO DE MONTACARGA</t>
  </si>
  <si>
    <t>Sufre herida lacerativa con balde presentando ligero sangrado mientras realizaba rutina de trabajo.</t>
  </si>
  <si>
    <t>BALDE</t>
  </si>
  <si>
    <t>VILA CHUAZA KARLA</t>
  </si>
  <si>
    <t>GALLETERA CALLAO</t>
  </si>
  <si>
    <t>OPERARIA</t>
  </si>
  <si>
    <t>Sufre herida cortante en mano izquierda tras introducir su mano con el fin de  intentar desatorar la fuente de galletas.</t>
  </si>
  <si>
    <t>CRUZ GRADOS SAID</t>
  </si>
  <si>
    <t>EMBALADOR</t>
  </si>
  <si>
    <t xml:space="preserve">Sufre contusión leve en el pie. Se encontraba jalando la estoca, la cual no se detuvo. </t>
  </si>
  <si>
    <t>DIOSES VASQUEZ JAMIRE</t>
  </si>
  <si>
    <t>Presenta lesión tipo hincada entre uña y pulpejo mientras acomodaba paletas.</t>
  </si>
  <si>
    <t>PALETAS DE MADERA</t>
  </si>
  <si>
    <t>ROSALES CRISPIN DINA</t>
  </si>
  <si>
    <t>Sufre resbalón mientras caminaba en el baño, cayendo sobre mano derecha y golpeándose la muñeca.</t>
  </si>
  <si>
    <t xml:space="preserve">ZALDIVAR ROMAN ROLANDO </t>
  </si>
  <si>
    <t>Se acerca refiriendo dolor perineal de moderada intensidad.</t>
  </si>
  <si>
    <t xml:space="preserve">HINOJOSA LAYME KEREN </t>
  </si>
  <si>
    <t>Se encontraba caminando por debajo de la línea cuando chocó con una varilla de metal.</t>
  </si>
  <si>
    <t>OTROS(VARILLA)</t>
  </si>
  <si>
    <t xml:space="preserve">BREISI GARCÍA DIAZ 
</t>
  </si>
  <si>
    <t>Contusión en pierna izquierda con silla.</t>
  </si>
  <si>
    <t>BALDEON ZARZOZO LEONARDO RODRIGO</t>
  </si>
  <si>
    <t>CAJA</t>
  </si>
  <si>
    <t>Trabajo de rutina</t>
  </si>
  <si>
    <t>Sufre herida lacerativa no cortante con una caja. Mientras realizaba rutina de trabajo</t>
  </si>
  <si>
    <t>FLORES CIELO YAZMIN</t>
  </si>
  <si>
    <t>OBRERA</t>
  </si>
  <si>
    <t xml:space="preserve">Presenta dolor lumbar, imposibilitándola de caminar. </t>
  </si>
  <si>
    <t>FERNANDO QUISPE TEJEDA</t>
  </si>
  <si>
    <t>OPERARIO CLJ</t>
  </si>
  <si>
    <t xml:space="preserve">Recibe golpe en pie izquierdo mientras jugaba fútbol dentro de sus horas de actividades programadas. </t>
  </si>
  <si>
    <t>ELVER RIMARACHIN</t>
  </si>
  <si>
    <t>FABIOLA SILVIA HINOJOSA RAMIREZ</t>
  </si>
  <si>
    <t>Sufre resbalón mientras caminaba al realizar sus labores. Contusión en pierna y cadera.</t>
  </si>
  <si>
    <t>CHOQUEHUANCA ARRIAGA LUIS</t>
  </si>
  <si>
    <t>Accidente No Incapacitante</t>
  </si>
  <si>
    <t>ESCALERAS</t>
  </si>
  <si>
    <t>CORONADO BONILLA MIGUEL ANGEL</t>
  </si>
  <si>
    <t>PERSONAL DE LIMPIEZA</t>
  </si>
  <si>
    <t>Sufre caída mientras bajaba escaleras, se golpea miembro superior derecho y miembro inferior derecho.</t>
  </si>
  <si>
    <t>ASDRUBAL ROJAS MILLA</t>
  </si>
  <si>
    <t>PEREZ TELLO JULISSA</t>
  </si>
  <si>
    <t>Al presionar el botón de emergencia de un elevador, este se desplomó desde el séptimo piso al primero sin consecuencias.</t>
  </si>
  <si>
    <t>EVENTO DEPORTIVO</t>
  </si>
  <si>
    <t>SANCARRANCO MORI MICHELLE</t>
  </si>
  <si>
    <t>OPERADOR SALSAS 3</t>
  </si>
  <si>
    <t>SALSA</t>
  </si>
  <si>
    <t xml:space="preserve">Se encontraba empaquetando bolsas con saliente caliente, uno de ellas cae sobre su pierna derecha. No sufre lesión por estar protegida con EPP. </t>
  </si>
  <si>
    <t>VERAMENDI GADEA MISHELL CELI</t>
  </si>
  <si>
    <t>APRENDIZ DE SENATI</t>
  </si>
  <si>
    <t>Durante su labor uno de sus dedos roza con una superficie filosa, presentando herida superficial.</t>
  </si>
  <si>
    <t>RIVADENEYRA CRUZ SEBASTIAN</t>
  </si>
  <si>
    <t>CUCHILLA RETRÁCTIL</t>
  </si>
  <si>
    <t xml:space="preserve">Sufre lesión en segundo dedo de mano izquierda al encontrarse cortando cintas con cuchilla retráctil. </t>
  </si>
  <si>
    <t>VILLAFANA GIRON GRECIA</t>
  </si>
  <si>
    <t>PRACTICANTE</t>
  </si>
  <si>
    <t>Sufre corte superficial al encontrarse cortando una manzana con un cuchillo.</t>
  </si>
  <si>
    <t>PALACIN ALVAREZ ALFREDO</t>
  </si>
  <si>
    <t xml:space="preserve">El colaborador trasladaba una bobina de forma horizontal hacia una paleta y al momento de dejarla de forma vertical, la bobina se balancea y atricciona el dedo del colaborador contra la bobina del costado . Sufre fractura de tercera falange de cuarto dedo de la mano izquierda. </t>
  </si>
  <si>
    <t>Almacén Suc.Pucallpa</t>
  </si>
  <si>
    <t>Almacén Suc.Tarapoto</t>
  </si>
  <si>
    <t>Almacén Suc.Chiclayo</t>
  </si>
  <si>
    <t>Almacén Suc.Trujillo</t>
  </si>
  <si>
    <t>Almacén Suc.Cusco</t>
  </si>
  <si>
    <t>Almacén Suc.Huánuco</t>
  </si>
  <si>
    <t>Almacén Suc.Piura</t>
  </si>
  <si>
    <t>Almacén Suc.Iquitos</t>
  </si>
  <si>
    <t>Trabajador de IOLSA es impactado en el rostro por unos de los componentes de las fajas de ajuste que son utilizados para asegurar la manta superior luego de cargar PT  originando fractura huesos nasales</t>
  </si>
  <si>
    <t>Fractura doble de maléolo externo – tobillo izquierdo al resbalar bajando la escalera de la oficina del taller de mantenimiento</t>
  </si>
  <si>
    <t xml:space="preserve">Contusión en muslo y parte derecha de cadera al bajar de una escalera con las herramientas en mano es que resbala del 4 escalón de la escalera </t>
  </si>
  <si>
    <t>Sufre contusión en mano derecha con selladora de premezclas industriales al pasar el saco de balanza a las selladora</t>
  </si>
  <si>
    <t xml:space="preserve">Tarrillo Azmat Joel </t>
  </si>
  <si>
    <t>Miguel Angel Coronado Bonilla</t>
  </si>
  <si>
    <t>23 AÑOS</t>
  </si>
  <si>
    <t>MOLINO FAUCETT-PREMEZCLAS</t>
  </si>
  <si>
    <t>Guacara Alanoca Aida Santusa</t>
  </si>
  <si>
    <t>LEBRAND</t>
  </si>
  <si>
    <t>TERCERO (LIMPIEZA)</t>
  </si>
  <si>
    <t>TERCERO (LIMTEK)</t>
  </si>
  <si>
    <t>1 AÑO 10 MESES</t>
  </si>
  <si>
    <t xml:space="preserve">Montacarguista almacén general </t>
  </si>
  <si>
    <t xml:space="preserve">ingresando a la ducha, sin sandalias, resbalo golpeándose la base del dedo pulgar contra la llave de paso de la ducha (no cayó al suelo). </t>
  </si>
  <si>
    <t>Víctor Trujillo Segovia</t>
  </si>
  <si>
    <t>Erika Nancy Aranguri Rojas</t>
  </si>
  <si>
    <t>COPSA-PTA PILOTO DT</t>
  </si>
  <si>
    <t xml:space="preserve">Líder de Laboratorio </t>
  </si>
  <si>
    <t xml:space="preserve">camino al vestuario saliendo del laboratorio central COPSA, en el trayecto, a la altura de la planta piloto de DT, sufrió un resbalón ocasionándole una herida en la rodilla y un doblez en el pie derecho. </t>
  </si>
  <si>
    <t>Sidsur - Adm (SCAST)</t>
  </si>
  <si>
    <t>Sidsur - RRLL (SCAST)</t>
  </si>
  <si>
    <t>Sidsur - Proyectos (SCAST)</t>
  </si>
  <si>
    <t>Sidsur - Distribución (SCAST)</t>
  </si>
  <si>
    <t>Predio Central - Adm (SCAST)</t>
  </si>
  <si>
    <t>Predio Central - RRLL (SCAST)</t>
  </si>
  <si>
    <t>Predio Central - Proyectos (SCAST)</t>
  </si>
  <si>
    <t>Predio Central - Distribución (SCAST)</t>
  </si>
  <si>
    <t>Sidsur - Producción (SCAST)</t>
  </si>
  <si>
    <t>MSR - Adm (SCAST)</t>
  </si>
  <si>
    <t>MSR - RRLL (SCAST)</t>
  </si>
  <si>
    <t>MSR - Producción (SCAST)</t>
  </si>
  <si>
    <t>MSR - Proyectos (SCAST)</t>
  </si>
  <si>
    <t>MSR - Distribución (SCAST)</t>
  </si>
  <si>
    <t>MCA - Adm (SCAST)</t>
  </si>
  <si>
    <t>MCA - RRLL (SCAST)</t>
  </si>
  <si>
    <t>MCA - Producción (SCAST)</t>
  </si>
  <si>
    <t>MCA - Proyectos (SCAST)</t>
  </si>
  <si>
    <t>MCA - Distribución (SCAST)</t>
  </si>
  <si>
    <t>SEDES</t>
  </si>
  <si>
    <t>CD HUACHIPA - Adm (SCAST)</t>
  </si>
  <si>
    <t>CD HUACHIPA - Distribución (SCAST)</t>
  </si>
  <si>
    <t>CD HUACHIPA - Producción (SCAST)</t>
  </si>
  <si>
    <t>CD HUACHIPA - RRLL (SCAST)</t>
  </si>
  <si>
    <t>CD HUACHIPA - Proyectos (SCAST)</t>
  </si>
  <si>
    <t>VIG MCA - VISITAS</t>
  </si>
  <si>
    <t>VIG MCA - CONTRATISTAS</t>
  </si>
  <si>
    <t>VIG MCA - VIGILANCIA</t>
  </si>
  <si>
    <t>VIG MCA - CONCESIONARIOS</t>
  </si>
  <si>
    <t>VIG MCA - LIMTEK</t>
  </si>
  <si>
    <t>VIG MCA - TRANSPORTES</t>
  </si>
  <si>
    <t>VIG MSR - VISITAS</t>
  </si>
  <si>
    <t>VIG MSR - CONTRATISTAS</t>
  </si>
  <si>
    <t>VIG MSR - VIGILANCIA</t>
  </si>
  <si>
    <t>VIG MSR - CONCESIONARIOS</t>
  </si>
  <si>
    <t>VIG MSR - LIMTEK</t>
  </si>
  <si>
    <t>VIG MSR - TRANSPORTES</t>
  </si>
  <si>
    <t>VIG ALIANZA - VISITAS</t>
  </si>
  <si>
    <t>VIG ALIANZA - CONTRATISTAS</t>
  </si>
  <si>
    <t>VIG ALIANZA - VIGILANCIA</t>
  </si>
  <si>
    <t>VIG ALIANZA - CONCESIONARIOS</t>
  </si>
  <si>
    <t>VIG ALIANZA - LIMTEK</t>
  </si>
  <si>
    <t>VIG ALIANZA - TRANSPORTES</t>
  </si>
  <si>
    <t>VIG FID LIMA - FIDEERIA VISITAS</t>
  </si>
  <si>
    <t>VIG FID LIMA - FIDEERIA CONTRATISTAS</t>
  </si>
  <si>
    <t>VIG FID LIMA - FIDEERIA VIGILANCIA</t>
  </si>
  <si>
    <t>VIG FID LIMA - FIDEERIA CONCESIONARIOS</t>
  </si>
  <si>
    <t>VIG FID LIMA - FIDEERIA LIMTEK</t>
  </si>
  <si>
    <t>VIG FID LIMA - FIDEERIA TRANSPORTES</t>
  </si>
  <si>
    <t>VIG FID LIMA - MFA VIGILANCIA</t>
  </si>
  <si>
    <t>VIG FID LIMA - MFA CONTRATISTAS</t>
  </si>
  <si>
    <t>VIG FID LIMA - MFA VISITAS</t>
  </si>
  <si>
    <t>VIG FID LIMA - MFA CONCESIONARIOS</t>
  </si>
  <si>
    <t>VIG FID LIMA - MFA LIMTEK</t>
  </si>
  <si>
    <t>VIG FID LIMA - MFA TRANSPORTES</t>
  </si>
  <si>
    <t>VIG FID LIMA - GALLETERIA VISITAS</t>
  </si>
  <si>
    <t>VIG FID LIMA - GALLETERIA CONTRATISTAS</t>
  </si>
  <si>
    <t>VIG FID LIMA - GALLETERIA VIGILANCIA</t>
  </si>
  <si>
    <t>VIG FID LIMA - GALLETERIA CONCESIONARIOS</t>
  </si>
  <si>
    <t>VIG FID LIMA - GALLETERIA LIMTEK</t>
  </si>
  <si>
    <t>VIG FID LIMA - GALLETERIA TRANSPORTES</t>
  </si>
  <si>
    <t>VIG FID LIMA - ADM VISITAS</t>
  </si>
  <si>
    <t>VIG FID LIMA - ADM CONTRATISTAS</t>
  </si>
  <si>
    <t>VIG FID LIMA - ADM VIGILANCIA</t>
  </si>
  <si>
    <t>VIG FID LIMA - ADM CONCESIONARIOS</t>
  </si>
  <si>
    <t>VIG FID LIMA - ADM LIMTEK</t>
  </si>
  <si>
    <t>VIG FID LIMA - ADM TRANSPORTES</t>
  </si>
  <si>
    <t>VIG FID LIMA - COPSA VISITAS</t>
  </si>
  <si>
    <t>VIG FID LIMA - COPSA CONTRATISTAS</t>
  </si>
  <si>
    <t>VIG FID LIMA - COPSA VIGILANCIA</t>
  </si>
  <si>
    <t>VIG FID LIMA - COPSA CONCESIONARIOS</t>
  </si>
  <si>
    <t>VIG FID LIMA - COPSA LIMTEK</t>
  </si>
  <si>
    <t>VIG FID LIMA - COPSA TRANSPORTES</t>
  </si>
  <si>
    <t>VIG FID LIMA - DISTRIBUCION VISITAS</t>
  </si>
  <si>
    <t>VIG FID LIMA - DISTRIBUCION CONTRATISTAS</t>
  </si>
  <si>
    <t>VIG FID LIMA - DISTRIBUCION VIGILANCIA</t>
  </si>
  <si>
    <t>VIG FID LIMA - DISTRIBUCION CONCESIONARIOS</t>
  </si>
  <si>
    <t>VIG FID LIMA - DISTRIBUCION LIMTEK</t>
  </si>
  <si>
    <t>VIG FID LIMA - DISTRIBUCION TRANSPORTES</t>
  </si>
  <si>
    <t>VIG J.CHAVEZ - FIDEERIA VISITAS</t>
  </si>
  <si>
    <t>VIG J.CHAVEZ  - FIDEERIA CONTRATISTAS</t>
  </si>
  <si>
    <t>VIG J.CHAVEZ  - FIDEERIA VIGILANCIA</t>
  </si>
  <si>
    <t>VIG J.CHAVEZ  - FIDEERIA CONCESIONARIOS</t>
  </si>
  <si>
    <t>VIG J.CHAVEZ  - FIDEERIA LIMTEK</t>
  </si>
  <si>
    <t>VIG J.CHAVEZ  - FIDEERIA TRANSPORTES</t>
  </si>
  <si>
    <t>VIG J.CHAVEZ  - MFA VISITAS</t>
  </si>
  <si>
    <t>VIG J.CHAVEZ  - MFA CONTRATISTAS</t>
  </si>
  <si>
    <t>VIG J.CHAVEZ  - MFA VIGILANCIA</t>
  </si>
  <si>
    <t>VIG J.CHAVEZ  - MFA CONCESIONARIOS</t>
  </si>
  <si>
    <t>VIG J.CHAVEZ  - MFA LIMTEK</t>
  </si>
  <si>
    <t>VIG J.CHAVEZ  - MFA TRANSPORTES</t>
  </si>
  <si>
    <t>VIG J.CHAVEZ  - GALLETERIA VISITAS</t>
  </si>
  <si>
    <t>VIG J.CHAVEZ  - GALLETERIA CONTRATISTAS</t>
  </si>
  <si>
    <t>VIG J.CHAVEZ - GALLETERIA VIGILANCIA</t>
  </si>
  <si>
    <t>VIG J.CHAVEZ  - DISTRIBUCION TRANSPORTES</t>
  </si>
  <si>
    <t>VIG J.CHAVEZ  - GALLETERIA CONCESIONARIOS</t>
  </si>
  <si>
    <t>VIG J.CHAVEZ  - GALLETERIA LIMTEK</t>
  </si>
  <si>
    <t>VIG J.CHAVEZ  - GALLETERIA TRANSPORTES</t>
  </si>
  <si>
    <t>VIG J.CHAVEZ  - ADM VISITAS</t>
  </si>
  <si>
    <t>VIG J.CHAVEZ  - ADM CONTRATISTAS</t>
  </si>
  <si>
    <t>VIG J.CHAVEZ  - ADM VIGILANCIA</t>
  </si>
  <si>
    <t>VIG J.CHAVEZ  - ADM CONCESIONARIOS</t>
  </si>
  <si>
    <t>VIG J.CHAVEZ  - ADM LIMTEK</t>
  </si>
  <si>
    <t>VIG J.CHAVEZ  - ADM TRANSPORTES</t>
  </si>
  <si>
    <t>VIG J.CHAVEZ  - COPSA VISITAS</t>
  </si>
  <si>
    <t>VIG J.CHAVEZ  - COPSA CONTRATISTAS</t>
  </si>
  <si>
    <t>VIG J.CHAVEZ  - COPSA VIGILANCIA</t>
  </si>
  <si>
    <t>VIG J.CHAVEZ  - COPSA CONCESIONARIOS</t>
  </si>
  <si>
    <t>VIG J.CHAVEZ  - COPSA LIMTEK</t>
  </si>
  <si>
    <t>VIG J.CHAVEZ  - COPSA TRANSPORTES</t>
  </si>
  <si>
    <t>VIG J.CHAVEZ - DISTRIBUCION VISITAS</t>
  </si>
  <si>
    <t>VIG J.CHAVEZ  - DISTRIBUCION CONTRATISTAS</t>
  </si>
  <si>
    <t>VIG J.CHAVEZ  - DISTRIBUCION VIGILANCIA</t>
  </si>
  <si>
    <t>VIG J.CHAVEZ  - DISTRIBUCION CONCESIONARIOS</t>
  </si>
  <si>
    <t>VIG J.CHAVEZ  - DISTRIBUCION LIMTEK</t>
  </si>
  <si>
    <t>Predio Central - Galleteria (SCAST)</t>
  </si>
  <si>
    <t>Predio Central - Fideeria (SCAST)</t>
  </si>
  <si>
    <t>Predio Central - Copsa (SCAST)</t>
  </si>
  <si>
    <t>Predio Central - Detergentes (SCAST)</t>
  </si>
  <si>
    <t>Predio Central - Jaboneria (SCAST)</t>
  </si>
  <si>
    <t>Predio Central - MFA (SCAST)</t>
  </si>
  <si>
    <t xml:space="preserve">ADMINISTRACION </t>
  </si>
  <si>
    <t>VIG BREÑA (ASA) - VISITAS</t>
  </si>
  <si>
    <t>VIG BREÑA  - CONTRATISTAS</t>
  </si>
  <si>
    <t>VIG BREÑA - VIGILANCIA</t>
  </si>
  <si>
    <t>VIG BREÑA  - CONCESIONARIOS</t>
  </si>
  <si>
    <t>VIG BREÑA  - LIMTEK</t>
  </si>
  <si>
    <t>VIG BREÑA  - TRANSPORTES</t>
  </si>
  <si>
    <t>RESUMEN DE DATOS</t>
  </si>
  <si>
    <t>accidentes 
Extranjero</t>
  </si>
  <si>
    <t>Incrustración de clavo en pie mientras transitaba por la planta</t>
  </si>
  <si>
    <t>MOZOMBITE IMUNDA JOS</t>
  </si>
  <si>
    <t>Limpieza instalación</t>
  </si>
  <si>
    <t>CLAVO</t>
  </si>
  <si>
    <t>INCRUSTACION</t>
  </si>
  <si>
    <t>INTRADEVCO</t>
  </si>
  <si>
    <t>3 años 6 meses</t>
  </si>
  <si>
    <t>Cartagena Iriarte Ana Maria</t>
  </si>
  <si>
    <t>8 años y 4 meses</t>
  </si>
  <si>
    <t>Encajonador</t>
  </si>
  <si>
    <t>Arnold Mejia Linares</t>
  </si>
  <si>
    <t>al salir del vestuario sufrió un resbalon en el piso, en ese momento el señor estaba cargando su bolso y ya se encontraba vestido listo para irse. Para evitar la caída apoyó el brazo derecho causando la fractura del húmero.</t>
  </si>
  <si>
    <t xml:space="preserve">se encontraba trasladándose al tanque colector del saca muestras del TK 636 para vaciar el aceite en el tanque de recuperados. El piso en ese momento estaba siendo lavado con borra por otra trabajadora de limpieza (tareas paralelas). En ese momento la señora se resbalo ocasionando la caída y golpe contra los tubos. 
</t>
  </si>
  <si>
    <t>11:23 la trabajadora limpiaba el piso en el área de tanques de crudo de soya. Se disponía a limpiar el área cargando un balde con agua, en ese instante se resbalo golpeándose la cabeza y espalda.</t>
  </si>
  <si>
    <t>NAVARRO VILLARREAL MASSIEL</t>
  </si>
  <si>
    <t xml:space="preserve">Paciente refiere haber estado usando mascarilla otorgada por la empresa, la cual le genera sensación de ardor y escozor en región peribucal. </t>
  </si>
  <si>
    <t>MASCARILLA</t>
  </si>
  <si>
    <t>ALTAMIRANO LIÑAN JULIAN</t>
  </si>
  <si>
    <t>Paciente sufre contusión y heridad en región frontal de cara al agacharse para acomodar celofán de máquina amasadora.</t>
  </si>
  <si>
    <t>ANTON GONZALES HENRY GIOVANI</t>
  </si>
  <si>
    <t>PREPARADOR DE CREMA WAFER</t>
  </si>
  <si>
    <t>Paciente sufre herida cortante en tercer dedo de la mano derecha al manipular lata metálica.</t>
  </si>
  <si>
    <t>LATA METÁLICA</t>
  </si>
  <si>
    <t>VITAPRO ECUADOR</t>
  </si>
  <si>
    <t>LUIS ALMEIDA / HENRY OVIEDO</t>
  </si>
  <si>
    <t>MONTACARGUISTAS</t>
  </si>
  <si>
    <t>1 SEMANA / 3 AÑOS</t>
  </si>
  <si>
    <t>El Sr. Almeida, se distrae y colisiona con el lado derecho del montacargas que operaba el Sr. Oviedo. Daños materiales.</t>
  </si>
  <si>
    <t>JOSE CARLOS OROPEZA PULGAR</t>
  </si>
  <si>
    <t>SCHINDLER</t>
  </si>
  <si>
    <t>CHUQUI LI BRUCE ALEXANDER</t>
  </si>
  <si>
    <t>DIAZ SAUCEDO JOSUE YHONATHAN</t>
  </si>
  <si>
    <t>POCHOPP GONZALES PAUL</t>
  </si>
  <si>
    <t>Paciente refiere presentar sensación de cuerpo extraño en dedo de mano derecha. No se evidencia cuerpo extraño.</t>
  </si>
  <si>
    <t>QUISPE TEJEDA FERNANDO</t>
  </si>
  <si>
    <t>Paciente sufre herida en dorso de mano derecha mientras trabajaba en empacadora de vainilla.</t>
  </si>
  <si>
    <t>MISARAIMI BENITO BEATRIZ PAOLA</t>
  </si>
  <si>
    <t>ALIMENTADORA</t>
  </si>
  <si>
    <t>Sufre contusión en tercer y cuarto dedo de mano derecha, evidencia aumento de volumen en cutículas de tercer y cuarto dedo.</t>
  </si>
  <si>
    <t>SANTIAGO ROJAS SALLY</t>
  </si>
  <si>
    <t>OPERADOR LOGISTICO</t>
  </si>
  <si>
    <t>Sufre un corte al intentar abrir una lata de atún.</t>
  </si>
  <si>
    <t>RIVERA CORDOVA MICHEL</t>
  </si>
  <si>
    <t>12 AÑOS</t>
  </si>
  <si>
    <t>SILVA BANCES JHON CARLOS</t>
  </si>
  <si>
    <t>GALLETERIA CALLAO</t>
  </si>
  <si>
    <t>OTRO</t>
  </si>
  <si>
    <t>Presenta dolor lumbar irradiado en miembro inferior al intentar jalar una bolsa con merma de galletas. Paciente no puede caminar ni incorporarse por sí solo.</t>
  </si>
  <si>
    <t xml:space="preserve">COMICI ORTIZ MARCO LUIS </t>
  </si>
  <si>
    <t>10 DIAS</t>
  </si>
  <si>
    <t>PRODUCCION</t>
  </si>
  <si>
    <t>PASCUAL RAÚL</t>
  </si>
  <si>
    <t>Sufre quemadura tras salpicadura de sustancias en antebrazo al intentar aliviar la obstrucción de jabón en la máquina.</t>
  </si>
  <si>
    <t>SOLANO GUERRERO JEAN PIERRE</t>
  </si>
  <si>
    <t>OPERARIO DE PRODUCCION</t>
  </si>
  <si>
    <t>Paciente se encontraba limpiando un tubo de metal, sufre un golpe en la muñeca derecha con dicho tubo. Presenta leve inflamación.</t>
  </si>
  <si>
    <t>TUBO DE METAL</t>
  </si>
  <si>
    <t>ZAPATA MARTINEZ PATRICIA</t>
  </si>
  <si>
    <t>FABULA</t>
  </si>
  <si>
    <t>PROMOTOR TECNICO</t>
  </si>
  <si>
    <t>SOMBRILLA</t>
  </si>
  <si>
    <t xml:space="preserve">Paciente refiere que se encontraba saliendo del Cafetin Fabula cuando sufre golpe en el ojo izquierdo con la punta de una sombrilla, ocasionándole fuerte dolor. </t>
  </si>
  <si>
    <t>CORDOVA ALARCON SHIRLEY</t>
  </si>
  <si>
    <t>Luego de pesar bolsas de sachets e insertarla en caja de cartón, nota una herida en el cuarto dedo de la mano derecha.</t>
  </si>
  <si>
    <t>QUISPE LEON ELENA</t>
  </si>
  <si>
    <t>AVENDAÑO GALINDO HAYDE</t>
  </si>
  <si>
    <t>OPERARIA DE PRODUCCION</t>
  </si>
  <si>
    <t>Paciente se encontraba desplazándose por planta, cuando resbala y siente un "estirón" en cara lateral externa de la rodilla izquierda.</t>
  </si>
  <si>
    <t>RAMOS LOPEZ MARCELINO</t>
  </si>
  <si>
    <t>40 AÑOS</t>
  </si>
  <si>
    <t>Paciente se encontraba visualizando la carga de sacos de harina en un vehículo, pisa falsamente uno de los extremos de la plataforma y cae contra el pavimento desde una altura de 1.5 mts. Sufre lesión en muñeca izquierda.</t>
  </si>
  <si>
    <t>Picadura de araña</t>
  </si>
  <si>
    <t xml:space="preserve">Desguince tobillo derecho al doblarse el pie en el sardinel mientras retornaba de SSHH </t>
  </si>
  <si>
    <t>Durante el mantenimiento de elevador de Galletería el técnico sufre un traumatismo en la nariz al caerle un pistón golpeándole el casco y teniendo contacto con la baranda de seguridad de la plataforma</t>
  </si>
  <si>
    <t>Fractura de muñeca derecha al resbalar por agua y lubricante en el piso mientras trasladaba botellas sin etiquetas para reingresarlas en la línea</t>
  </si>
  <si>
    <t>Policontusión al caer de escalera de tres gradas mientras alimentaba la tolva del laminado con recortes de mesa</t>
  </si>
  <si>
    <t>Paciente resbala sobre piso mojado, se golpea rodilla y hombro derecho en laboratorio de Microbiologia. Presenta mareos y náuseas.</t>
  </si>
  <si>
    <t>ARAÑA</t>
  </si>
  <si>
    <t>TRASPALETA</t>
  </si>
  <si>
    <t>CONTROLADOR DE PATIOS (TERCERO)</t>
  </si>
  <si>
    <t>Sede</t>
  </si>
  <si>
    <t>MOL. STA. ROSA</t>
  </si>
  <si>
    <t xml:space="preserve">FIDEERIA LIMA </t>
  </si>
  <si>
    <t>BAL. LIMA</t>
  </si>
  <si>
    <t>BAL. TRUJILLO</t>
  </si>
  <si>
    <t>BAL. TUMBES</t>
  </si>
  <si>
    <t>CDR AREQUIPA</t>
  </si>
  <si>
    <t>CDR  PIURA</t>
  </si>
  <si>
    <t>CDR TRUJILLO</t>
  </si>
  <si>
    <t>Otras Sucursales</t>
  </si>
  <si>
    <t>Marketing</t>
  </si>
  <si>
    <t>Oficina Central</t>
  </si>
  <si>
    <t>Jaboneria</t>
  </si>
  <si>
    <t>PDF</t>
  </si>
  <si>
    <t xml:space="preserve">El contratista se encontraba realizando sus tareas civiles  en las oficinas de Ing, y al bajar la escalera pone un pie en el suelo y pisa el nylon de cobertura en el piso y resbala. </t>
  </si>
  <si>
    <t>1 MES Y MEDIO</t>
  </si>
  <si>
    <t>Franco Carlos</t>
  </si>
  <si>
    <t>MICROBIOLOGIA</t>
  </si>
  <si>
    <t xml:space="preserve">René Condori
</t>
  </si>
  <si>
    <t xml:space="preserve">En la apertura del camión, éste fue golpeado por una de las compuertas posteriores de la carrocería, ocasionando que caiga sobre su rodilla derecha. </t>
  </si>
  <si>
    <t>Durante el corte de los sunchos de los fardos de cajas sufrió un corte en el dedo índice. (DM: 20 día)</t>
  </si>
  <si>
    <t>CD AGUSTINO</t>
  </si>
  <si>
    <t>OPERARIO (CONTRATADO)</t>
  </si>
  <si>
    <t>HUAMAN AYALA RONI JOHN BRANDO</t>
  </si>
  <si>
    <t>Paciente sufre quemadura en 4 dedos de la mano derecha, debido a que la selladora que utilizaba se activo al sentir el contacto con sus dedos.</t>
  </si>
  <si>
    <t xml:space="preserve">VALLADOLID PANTALEON CESAR AUGUSTO </t>
  </si>
  <si>
    <t>CONSULTAR</t>
  </si>
  <si>
    <t>CHION BEDOYA IVONNE</t>
  </si>
  <si>
    <t>ADMINISTRATIVO</t>
  </si>
  <si>
    <t>AUTO</t>
  </si>
  <si>
    <t>Paciente se golpea la cabeza con la puerta de la maletera de su auto. Paciente presenta dolor intenso y náuseas.</t>
  </si>
  <si>
    <t>ALDEAN MOTA JUAN CARLOS</t>
  </si>
  <si>
    <t>MULLISACA RAFAEL RAUL</t>
  </si>
  <si>
    <t>MOL STA ROSA</t>
  </si>
  <si>
    <t>ELECTRICISTA</t>
  </si>
  <si>
    <t>LOPEZ COLLAZOS JULLIANO RYAN</t>
  </si>
  <si>
    <t>CORRALES VALQUI RICARDO</t>
  </si>
  <si>
    <t>Paciente refiere que mientras realizaba el "lampeo" de crema hacia la olla alimentadora, sintió un dolor súbito en 1er dedo y antebrazo izquierdo que aumenta con el movimiento.</t>
  </si>
  <si>
    <t>MONTERO PANAQUE WILMER</t>
  </si>
  <si>
    <t>TERAN SANTIAGO MARCO</t>
  </si>
  <si>
    <t>Paciente refiere que al recibir materiales para almacén LIMTEK, sujeta una galonera de lejía. La galonera cae al piso y se abre, provocando que la lejía que salpique los ojos del paciente.</t>
  </si>
  <si>
    <t>GALONERA CON LEJÍA</t>
  </si>
  <si>
    <t>CUSTODIO ARENAS ELENA</t>
  </si>
  <si>
    <t>LIMPIE SAC</t>
  </si>
  <si>
    <t>Paciente se encontraba limpiando borde de puerta elevadiza, durante esta actividad, otro trabajador sin darse cuenta acciona el botón de la puerta generando que su brazo derecho quede atrapado entre la puerta y el marco.</t>
  </si>
  <si>
    <t>AGUILAR RAMOS JULIAN</t>
  </si>
  <si>
    <t>GUARDIA DE SEGURIDAD</t>
  </si>
  <si>
    <t>VITAPRO HONDURAS</t>
  </si>
  <si>
    <t>Paciente cierra con mucha fuerza puerta de salida de vehículos, ocasionando que esta se descarrilara, cayendo sobre él. Se producen lesiones de aplastamiento.</t>
  </si>
  <si>
    <t>LUGAR</t>
  </si>
  <si>
    <t>INTOXICACION</t>
  </si>
  <si>
    <t xml:space="preserve">Sufre fractura en dedos pulgar e indice de pie derecho debido a aprisionamiento con maquinaria Auxpama </t>
  </si>
  <si>
    <t>OIDO</t>
  </si>
  <si>
    <t>Al encender los motores de transmisión de 2300V del Molino, uno de ellos ocurre una explosión en el arrancador. El trabajador gira la cabeza para evitar cualquier impacto en el rostro. El fuerte sonido de la explosión hizo que el trabajador quede aturdido y con dolor en oído izquierdo. Vértigo Paroxístico Benigno</t>
  </si>
  <si>
    <t>TERCERO CHOFER</t>
  </si>
  <si>
    <t>Paciente refiere haber estado realizando rutina de trabajo cuando seLEVANTA de la silla  y realiza mala pisada, doblándose el tobillo izquierdo.</t>
  </si>
  <si>
    <t>propio</t>
  </si>
  <si>
    <t>APLASTAMIENTO</t>
  </si>
  <si>
    <t>Sufre resbalón y herida cortante con varillas de acero de mesa de acomodo mientras realizaba rutina de trabajo de limpieza.</t>
  </si>
  <si>
    <t>PGL10923</t>
  </si>
  <si>
    <t>MSR11166</t>
  </si>
  <si>
    <t>DIS 11075</t>
  </si>
  <si>
    <t>MFA10921</t>
  </si>
  <si>
    <t xml:space="preserve">Al acercarse el traspaleta a recoger la paleta de saldo movió la paleta, presionando el pie al colaborador </t>
  </si>
  <si>
    <t>DET11043</t>
  </si>
  <si>
    <t>MFA10962</t>
  </si>
  <si>
    <t>MFA11109</t>
  </si>
  <si>
    <t xml:space="preserve">Incrustración de astilla metálica al colocar el contenido de la caja de manteca en el equipo </t>
  </si>
  <si>
    <t>PCO11111</t>
  </si>
  <si>
    <t>PCO11016</t>
  </si>
  <si>
    <t>MORALES CERON CARMEN DELIA</t>
  </si>
  <si>
    <t xml:space="preserve">Paciente refiere que al ingresar a su turno, empuja la puerta de la entrada de vigilancia de fideería con fuerza y en simultáneo esta es abierta desde el interior. Esto le causa dolor de moderada intensidad en la región lumbar. </t>
  </si>
  <si>
    <t>IPANAQUE PALOMINO CARLOS</t>
  </si>
  <si>
    <t>CLJ GALLETERIA</t>
  </si>
  <si>
    <t>Paciente inidca que al estar acomodando bota de trabajo, sufre herida superficial en tercer dedo de mano derecha.</t>
  </si>
  <si>
    <t>BOTA</t>
  </si>
  <si>
    <t>PLANTA PARQUE INDUSTRIAL</t>
  </si>
  <si>
    <t>Después de realizar descarga de un camión de soya, cuando se procedía a bajar la plataforma, este se desploma.</t>
  </si>
  <si>
    <t>NO SE TIENEN PERSONAS INVOLUCRADAS</t>
  </si>
  <si>
    <t>NO APLICA</t>
  </si>
  <si>
    <t>DESLIZAMIENTO</t>
  </si>
  <si>
    <t>VERAMENDI GADEA MISHELLE</t>
  </si>
  <si>
    <t>SALPICADURA</t>
  </si>
  <si>
    <t xml:space="preserve">Paciente refiere haber estado realizando rutina de trabajo haciendo uso de frasco contenido sustituto de cumarina. El frasco se cae al suelo y salpica grandes dotas, entrando en contacto con el ojo izquierdo. </t>
  </si>
  <si>
    <t>Montacarguista identifica humo en el predio del área verde frontal. Los brigadistas de planta lograron controlar el fuego, se identifica cortadora de pasto quemada en el lugar, causante del inicio del fuego.</t>
  </si>
  <si>
    <t>CORTADORA DE PASTO</t>
  </si>
  <si>
    <t>BOZO FLORES LUIS</t>
  </si>
  <si>
    <t>JEFE DE CENTROS DE ACOPIOS</t>
  </si>
  <si>
    <t>Personal se encontraba circulando por vereda peatonal, en una de las pendientes resbala. Reporta dolor en el tobillo. Se diagnostica esguince de tobillo derecho.</t>
  </si>
  <si>
    <t>PLANTA CARAMELOS</t>
  </si>
  <si>
    <t>ATENCIO CRESPO ANET VALERIA</t>
  </si>
  <si>
    <t>PRACTICANTE DE IMPORTACIONES</t>
  </si>
  <si>
    <t>Paciente acude por herida cortante en dedo pulgar de mano derecha. Se produjo al manipular un fastener.</t>
  </si>
  <si>
    <t>FASTENER</t>
  </si>
  <si>
    <t>GUTIERREZ FERNANDEZ YUBER CLETO</t>
  </si>
  <si>
    <t>22 DIAS</t>
  </si>
  <si>
    <t>por definir</t>
  </si>
  <si>
    <t>Paciente decide introducir un trapo para la limpieza del polín (Rodillo) , es cuando queda atrapado el trapo de limpieza y al querer retirarlo sufre el atrapamiento del miembro superior derecho , causándole múltiples fracturas</t>
  </si>
  <si>
    <t>Limpieza de máquina</t>
  </si>
  <si>
    <t>RAMIREZ ROMERO NICOLAS</t>
  </si>
  <si>
    <t>OBRERO</t>
  </si>
  <si>
    <t>BEJARANO NICOL</t>
  </si>
  <si>
    <t>TAIPE GUTIERREZ FREDDY</t>
  </si>
  <si>
    <t>ROCE</t>
  </si>
  <si>
    <t>VARGAS RONALD</t>
  </si>
  <si>
    <t>MECANICO DE TURNO</t>
  </si>
  <si>
    <t>Al terminar mantenimiento de llenadora, sufre un corte en la parte trasera de la oreja al impactar dicha área con un soporte de la máquina con esquina punteaguda.</t>
  </si>
  <si>
    <t>20 AÑOS</t>
  </si>
  <si>
    <t>PUSARI CABEZAS ROYF</t>
  </si>
  <si>
    <t>VOLANTE DE OPERADORES MARGARINAS</t>
  </si>
  <si>
    <t>SANCHEZ ZEGARRA ALEXIS JAVIER</t>
  </si>
  <si>
    <t>Paciente se encontraba haciendo uso de máquina cortadora de embase, la bolsa revienta y salpica detergente cayendo en contacto con sus ojos.</t>
  </si>
  <si>
    <t>PACHECO CURILLA JUNIOR</t>
  </si>
  <si>
    <t>Paciente refiere que al intentar abrir envase cerrado herméticamente, este explota su contenido líquido sobre su cuerpo.</t>
  </si>
  <si>
    <t>ENVASE</t>
  </si>
  <si>
    <t>CABRERA LIBERATO ERNESTO</t>
  </si>
  <si>
    <t xml:space="preserve">19 AÑOS </t>
  </si>
  <si>
    <t xml:space="preserve">fractura radio cubito brazo derecho y primer metacarpiano derecho en circunstancias que realizaba la limpieza de la faja transportadora de la maquina embolsadora Mainar-ElPack, el operario decide introducir un trapo para la limpieza del polín que se encuentra debajo de la faja </t>
  </si>
  <si>
    <t>Herida tercer dedo mano izquierda desatorando un paquete en la envasadora C7 de la línea 1 con el equipo parado. Durante ello, su mano izquierda estaba por debajo de un zuncho metálico y al retirarla se cortó ligeramente</t>
  </si>
  <si>
    <t>Cortes y fisuras en dedos anular e índice; así mismo, pérdida de tejido (yema) del dedo medio con exposición ósea realizaba la regulación de la estación de potes de la envasadora Benhil N°6, el operador Royf Pusari al querer desatorar la pila de potes de la vía N°4 decide introducirse para solucionarlo con la máquina en movimiento</t>
  </si>
  <si>
    <t xml:space="preserve">Herida segundo dedo mano izquierda encontraba preparando masas en la línea 4, abriendo una bolsa de Maltitol utilizando una cuchilla autorretractil específicamente. Durante ello, su mano derecha realiza el corte y la cuchilla alcanza el dedo índice de su mano izquierda </t>
  </si>
  <si>
    <t>Gutierrez Fernandez Yuber Cleto</t>
  </si>
  <si>
    <t>operario</t>
  </si>
  <si>
    <t>esencia</t>
  </si>
  <si>
    <t xml:space="preserve">Esguince tobillo derecho por resbalón mismo nivel </t>
  </si>
  <si>
    <t>DESNIVEL</t>
  </si>
  <si>
    <t>1.5 ños</t>
  </si>
  <si>
    <t>jefe centro de acopio</t>
  </si>
  <si>
    <t>Paciente  coloca su mano en faja en movimiento durante varios segundos, su mano queda atrapada por un segundo entre la estructura metálica y la faja de la encintadora de cajas</t>
  </si>
  <si>
    <t xml:space="preserve">agua </t>
  </si>
  <si>
    <t>distensión</t>
  </si>
  <si>
    <t>Alejandra Miranda Gutierrez</t>
  </si>
  <si>
    <t>newrest</t>
  </si>
  <si>
    <t>Ruiz Picon, Terry</t>
  </si>
  <si>
    <t>Herida contusa Traslado de Parihuelas con PT utilizando la transpaleta manual</t>
  </si>
  <si>
    <t>3.5 meses</t>
  </si>
  <si>
    <t>GLOBAL (Manpower + 3eros)</t>
  </si>
  <si>
    <t>Cant.Cursos</t>
  </si>
  <si>
    <t>FRIO RANSA</t>
  </si>
  <si>
    <t>OJOS</t>
  </si>
  <si>
    <t>Paciente se encontraba manipulando máquina envasadora pack, se corta parcialmente la falange distal del 4to dedo de mano derecha al intentar retirar un paquete</t>
  </si>
  <si>
    <t>LAMPA</t>
  </si>
  <si>
    <t>SOBRE ESFUERZO</t>
  </si>
  <si>
    <t>Ingiere detergente SODA que se encontraba en un tomatodo por error.</t>
  </si>
  <si>
    <t>LAVADO VARILLAS KEVIN</t>
  </si>
  <si>
    <t>OPERARIO DE ENVASADO</t>
  </si>
  <si>
    <t>GLOBAL ALIMENTOS - ÑAÑA</t>
  </si>
  <si>
    <t>Quemadura de primer grado en la mano derecha (03 dedos)</t>
  </si>
  <si>
    <t>Resbala mientras trasladaba una fuente de snacks debido a tener los zapatos desatados y debido a que el piso estaba mojado, no pudo mantener el equilibrio. Sufre una distensión muscular.</t>
  </si>
  <si>
    <t>VALENZUELA MEZA CAROLYNE</t>
  </si>
  <si>
    <t>Sufre lesión en muñeca derecha con asa de guarda de acrílico al intentar apagar faja de envasadora línea 2.</t>
  </si>
  <si>
    <t>RODRIGUEZ QUEQUE LUIS DAVID</t>
  </si>
  <si>
    <t>CUCHILLA DE AFEITAR</t>
  </si>
  <si>
    <t>Al introducir mano en su mochila, sufre corte con una máquina de afeitar en el primer dedo de mano derecha.</t>
  </si>
  <si>
    <t>OSORES PIZARRO ASTETE</t>
  </si>
  <si>
    <t>MAQUINISTA</t>
  </si>
  <si>
    <t>Paciente introduce su mano izquierda en máquina embolsadora al intentar liberar envoltura acumulada. Sufre aprisionamiento de mano izquierda, causándole lesión en lecho ungueal.</t>
  </si>
  <si>
    <t>ZAPATA MIMBELA JUAN</t>
  </si>
  <si>
    <t>Paciente se encontraba realizando labores de limpieza cuando siente picazón en la zona abdominal. Al revisar, se percata que su traje de protección se encontraba razgado y su piel había sufrido contacto con hidróxido de sodio al 0.6%.</t>
  </si>
  <si>
    <t>HIDROXIDO DE SODIO</t>
  </si>
  <si>
    <t>PINTADO CHUQUIRIMA JUAN CARLOS</t>
  </si>
  <si>
    <t>TABLERO</t>
  </si>
  <si>
    <t>Paciente resbala y para no caer, apoya la mano en la pared donde se encontraba el soporte de la mota. Sufre corte en mano derecha.</t>
  </si>
  <si>
    <t>SANTA AMALIA</t>
  </si>
  <si>
    <t xml:space="preserve">ELECTRICISTA CONTRATISTA </t>
  </si>
  <si>
    <t>VALTENIR PEREIRA DE ALMEIDA</t>
  </si>
  <si>
    <t>2 AÑOS 2 MESES</t>
  </si>
  <si>
    <t>Paciente realizaba limpieza de rosca de tubo transportador. Coloca la mano derecha en abertura de limpieza de tubo, dedos índice, medio y anular son alcanzados por la rosca, causando lesión.</t>
  </si>
  <si>
    <t>SHOCK</t>
  </si>
  <si>
    <t>ALFARO QUIROZ ROBERT ENRIQUE</t>
  </si>
  <si>
    <t>EMBOLSADOR</t>
  </si>
  <si>
    <t>1 AÑO 4 MESES</t>
  </si>
  <si>
    <t>Contusión en muñeca y mano derecha por golpe con estructura de elevador de materia prima.</t>
  </si>
  <si>
    <t>CONTUSIÓN</t>
  </si>
  <si>
    <t>SOSA RAMIREZ JENNY</t>
  </si>
  <si>
    <t>Sufre resbalón en el área de envasado de panes congelados. Cae sobre rodilla derecha y sufre contusión.</t>
  </si>
  <si>
    <t>MERMA DE PAN</t>
  </si>
  <si>
    <t>Trabajador realiza apagado de GGEE desde el tablero de control. Minutos después, se escucha una explosión en el tablero n° 3. No se generó daño a personas.</t>
  </si>
  <si>
    <t>EXPLOSION</t>
  </si>
  <si>
    <t>CARDENAS MENDOZA CHRISTIAN</t>
  </si>
  <si>
    <t>Paciente se corta la falange distal del 5to dedo de mano derecha (1cm) con el filo de su escritorio. No acepta ser trasladado.</t>
  </si>
  <si>
    <t>ESCRITORIO</t>
  </si>
  <si>
    <t>EDIF MIRAFLORES (FABULA)</t>
  </si>
  <si>
    <t>FRACTURA Y CORTE</t>
  </si>
  <si>
    <t>CAIDA CONTUSION</t>
  </si>
  <si>
    <t>SALSAS 2</t>
  </si>
  <si>
    <t>HINOJOSA RAMIREZ FABIOLA</t>
  </si>
  <si>
    <t xml:space="preserve">Durante la rutina de trabajo (limpieza) realiza un mal paso cayendo apoyada sobre hemicuerpo derecho, golpeandose brazo, cadera y miembro inferior </t>
  </si>
  <si>
    <t>DIGESTIVO</t>
  </si>
  <si>
    <t>ANCO HIDALGO EUDOGIO JACINTO</t>
  </si>
  <si>
    <t>12 AÑOS 9 MESES</t>
  </si>
  <si>
    <t>PATIO DE MANIOBRAS CDC</t>
  </si>
  <si>
    <t>Al bajar de vehículo, su pie se traba con 2do estribo, lo cual provoca su caída. Producto de ello, sufre un golpe en la cabeza que le genera un corte en el cuero cabelludo.</t>
  </si>
  <si>
    <t>Transportes HPL</t>
  </si>
  <si>
    <t>TERCERO supervisora newrest</t>
  </si>
  <si>
    <t>TERCERO  (LIMPIE SAC)</t>
  </si>
  <si>
    <t>TERCERO OPERARIO (LIMTEK)</t>
  </si>
  <si>
    <t>TERCERO (LIMTEK) SSEE</t>
  </si>
  <si>
    <t>TERCERO MANTENIMIENTO LIMTEK. SSEE</t>
  </si>
  <si>
    <t>APT MSR</t>
  </si>
  <si>
    <t>CD HUANUCO</t>
  </si>
  <si>
    <t>CD PUCALLPA</t>
  </si>
  <si>
    <t>CD CUZCO</t>
  </si>
  <si>
    <t>PGL11225</t>
  </si>
  <si>
    <t>PGL11258</t>
  </si>
  <si>
    <t>PGL11267</t>
  </si>
  <si>
    <t>PCO11339</t>
  </si>
  <si>
    <t xml:space="preserve">NAVARRO VILLARREAL MASSIEL </t>
  </si>
  <si>
    <t>MATMIN PERU</t>
  </si>
  <si>
    <t>FORERO CEDIEL JHONATHAN</t>
  </si>
  <si>
    <t>Paciente refiere haberse golpeado la mano con paleta mientras estibaba, sufre contusión en mano izquierda con leve dolor.</t>
  </si>
  <si>
    <t>BANCES VALDERA CHRISTIAN JESUS</t>
  </si>
  <si>
    <t>Paciente se corta el pulpejo de 2do dedo de mano izquierda con el filo de máquina de rebanar pan.</t>
  </si>
  <si>
    <t>7 MESES</t>
  </si>
  <si>
    <t>CASTILLO WALTER</t>
  </si>
  <si>
    <t>OPERADOR ROBOT ENCAJONADOR</t>
  </si>
  <si>
    <t>El operador se encontraba regulando el divisor de frascos y en un momento llega un frasco caído procede a levantarlo y al sacarlo siente como que algo filoso le cortaba la mano. Lesión cortante en palma de la mano derecha. (eminencia tenar)</t>
  </si>
  <si>
    <t>DIVISOR DE FRASCOS</t>
  </si>
  <si>
    <t>INBALNOR</t>
  </si>
  <si>
    <t>FAJARDO NESTOR</t>
  </si>
  <si>
    <t>AUXILIAR DE PRODUCCION</t>
  </si>
  <si>
    <t>3 AÑOS 6 MESES</t>
  </si>
  <si>
    <t>Paciente se encontraba ajustando perno de maquinaria, cuando su mano derecha resbala. Dedos indice y medio entran en contacto con la parte móvil, generando atrapamiento.</t>
  </si>
  <si>
    <t>ATRAPAMIENTO</t>
  </si>
  <si>
    <t xml:space="preserve">PCO11519
</t>
  </si>
  <si>
    <t>VPE 2142</t>
  </si>
  <si>
    <t>PGL 11227</t>
  </si>
  <si>
    <t>SALIRROSAS NEYRA SEGUNDO GILMER</t>
  </si>
  <si>
    <t>VPE2198</t>
  </si>
  <si>
    <t>TRUJILLO</t>
  </si>
  <si>
    <t>Paciente se encontraba adicionando producto por la tolva de aspiración. En ese momento, la tapa de la tolva se cierra abruptamente, generándole un golpe en el dedo índice de la mano izquierda.</t>
  </si>
  <si>
    <t>TOLVA</t>
  </si>
  <si>
    <t>RIVAS CASTAÑEDA ENRIQUE HUMBERTO</t>
  </si>
  <si>
    <t>Paciente se encontraba jugando fútbol, sufre golpe contuso con pelota en ojo derecho.</t>
  </si>
  <si>
    <t>MOYA ORELLANA RAFAEL ADOLFO</t>
  </si>
  <si>
    <t>Paciente refiere sensación de latido de pecho más fuerte que antes y leve malestar general.</t>
  </si>
  <si>
    <t>KALALA KABEYA AARON</t>
  </si>
  <si>
    <t>Paciente se encontraba preparando mezcla de limpieza con detergente cuando sufre contacto del químico con ojo derecho.</t>
  </si>
  <si>
    <t>QUIMICOS</t>
  </si>
  <si>
    <t>CHAMBI OJEDA ANTHONY NOEL</t>
  </si>
  <si>
    <t>ESTIBA DE CAJAS SOBRE PARIHUELAS</t>
  </si>
  <si>
    <t>28 DIAS</t>
  </si>
  <si>
    <t>Paciente cumplía labor de colocar cajas sobre una parihuela, al coger una parihuela se le resbala de las manos y cae sobre su pie izquierdo.</t>
  </si>
  <si>
    <t>PARIHUELA</t>
  </si>
  <si>
    <t>ANGULO ROJAS VICTOR FABRIZIO</t>
  </si>
  <si>
    <t>Paciente refiere haber estado en su domicilio, cuando ingiere casualmente avena con lejía.  Luego de 3 horas inicia con cialorrea, dolor de cabeza y náuseas.</t>
  </si>
  <si>
    <t>LEJIA</t>
  </si>
  <si>
    <t>GROVER CAMARGO</t>
  </si>
  <si>
    <t>SUPERVISOR DE ALMACEN PT</t>
  </si>
  <si>
    <t xml:space="preserve">Se encontraba en el área de patio de carguio/descargue  de producto terminado, cuando es golpeado en el hombro izquierdo por un montacargas conducido por otro trabajador. </t>
  </si>
  <si>
    <t xml:space="preserve">GUEDEZ ARIMOYA MARVIN </t>
  </si>
  <si>
    <t xml:space="preserve">AYUDANTE DE PRODUCCION </t>
  </si>
  <si>
    <t>Se encontraba realizando limpieza de máquina de envasado, dispersando partículas de detergentes, entrando en contacto con sus ojos causándole irritación.</t>
  </si>
  <si>
    <t>DETERGENTE</t>
  </si>
  <si>
    <t>IRRITACIÓN</t>
  </si>
  <si>
    <t>NAVARRO SANCHEZ EDUARDO</t>
  </si>
  <si>
    <t>Sufre fractura de la falange media del 4to dedo de mano izquierda al recibir golpe de uno de los lados del plato clasificador de la línea de microfeed.</t>
  </si>
  <si>
    <t>ESCALERAS COMEDOR GALLETERA</t>
  </si>
  <si>
    <t>Paciente sufre caída de las 3 últimas gradas de escalera mientras trasladaba bandejas por escalera de comedor galletera</t>
  </si>
  <si>
    <t>MANPOWER - LLIMPIEZA</t>
  </si>
  <si>
    <t>Caída desde techo de la planta peletizado durante la preparación del área para realizar la tarea de limpieza</t>
  </si>
  <si>
    <t xml:space="preserve">Carlos Villacorta Amaya </t>
  </si>
  <si>
    <t>23 DIAS</t>
  </si>
  <si>
    <t>CONJUNTIVIS</t>
  </si>
  <si>
    <t>LIMPIEZA DE INSTALACIONES</t>
  </si>
  <si>
    <t>LINDERO BUZON ELECTRICO</t>
  </si>
  <si>
    <t>Colabora tropieza con lindero de buzon eléctrico frente a Comedor Copsa distraída por trabajos en Cajero golpeandose la rodilla</t>
  </si>
  <si>
    <t>MONTACARGA</t>
  </si>
  <si>
    <t xml:space="preserve">Lesión cortante en palma de la mano derecha mientras regulaba el revisor de frascos </t>
  </si>
  <si>
    <t xml:space="preserve">Walter Castillo </t>
  </si>
  <si>
    <t>OPERADOR DEL ROBOT</t>
  </si>
  <si>
    <t>pta</t>
  </si>
  <si>
    <t>Manpower (Global)</t>
  </si>
  <si>
    <t>Copiar tal cual archivo de Gloria . No descontar Detergentes</t>
  </si>
  <si>
    <t>TOTAL EXTRANJERO</t>
  </si>
  <si>
    <t>X</t>
  </si>
  <si>
    <t>CUENCA ZUÑIGA LUZ</t>
  </si>
  <si>
    <t>SOSA MORALES JHONATHAN</t>
  </si>
  <si>
    <t>40 DIAS</t>
  </si>
  <si>
    <t>Paciente cierra compuerta de mezclador, sufriendo aprisionamiento de mano izquierda, causándole herida cortante en quinto dedo.</t>
  </si>
  <si>
    <t>SANCHEZ PEREZ JOSE</t>
  </si>
  <si>
    <t xml:space="preserve">Paciente refiere  haberse encontrado levantando baldes con contenido de ketchup caliente y al levantar "salpicaron unas gotas" en su antebrazo derecho ocasionandole eritema indoloro de aproximadamente 4cm en antebrazo derecho </t>
  </si>
  <si>
    <t>GOTAS DE KETCHUP</t>
  </si>
  <si>
    <t>MENDOZA RIVERA JORGE</t>
  </si>
  <si>
    <t>Paciente refiere que mientras caminaba sufre tropiezo y caída consecuente, produciendose una herida superficial en pierna derecha</t>
  </si>
  <si>
    <t>Trasladándose a pie</t>
  </si>
  <si>
    <t>HERIDA SIMPLE</t>
  </si>
  <si>
    <t>OLIVERA MEDINA JUAN</t>
  </si>
  <si>
    <t>Al inclinarse a recoger un balde  se golpea la frente con una placa de acero (sensor de la faja). presenta una herida lineal menor a un centimetro.</t>
  </si>
  <si>
    <t>PLACA DE ACERO</t>
  </si>
  <si>
    <t xml:space="preserve">BILBAO PAUCAR JORGE </t>
  </si>
  <si>
    <t>Paciente refiere haber estado jugando football en el evento deportivo organizado, al realizar movimiento inicia dolor intenso en muslo derecho limitando realizar actividad fisica</t>
  </si>
  <si>
    <t>ALLEMANT POEMAPE MIGUEL ANGEL</t>
  </si>
  <si>
    <t xml:space="preserve">Paciente refiere haber estado jugando football en el evento deportivo organizado, al realizar movimiento inicia dolor intenso en muslo derecho limitando realizar actividad fisica. </t>
  </si>
  <si>
    <t>PIERRE YAIR EZETA LLONTOP</t>
  </si>
  <si>
    <t>SUPERVISOR DE RONDA</t>
  </si>
  <si>
    <t xml:space="preserve">Paciente refiere que bajando una escalera se dobla el tobillo izquierdo. al no ceder el dolor acude al topico. se evidencia dolor a la palpacion y movilizacion del tobillo izquierdo con leve aumento de volumen. </t>
  </si>
  <si>
    <t>VIGO LOAYZA JAVIER</t>
  </si>
  <si>
    <t>OPERADOR MASERO</t>
  </si>
  <si>
    <t>Al mover una escalera golpea el borde ungueal del 5to dedo de la mano izquierda. Produciendo sangrando debajo de la uña.</t>
  </si>
  <si>
    <t>RECSI ALEX GUTIERREZ</t>
  </si>
  <si>
    <t>ÑAÑA</t>
  </si>
  <si>
    <t>GRUPO DJS EIRL</t>
  </si>
  <si>
    <t xml:space="preserve">No controló  el movimiento de la paleta  ocasionando que las ruedas de la stocka sobrepasen el filo de la unidad quedando atrapado el pie izquierdo entre el piso de la unidad y base de la stocka. </t>
  </si>
  <si>
    <t>1 MES Y 7 DIAS</t>
  </si>
  <si>
    <t>VILCHEZ MORI ROBINSON</t>
  </si>
  <si>
    <t>Plancha del pisto de arrastre de la línea al enfardelado aplasta el 3er dedo de la mano derecha con el rodillo de la enfardeladora.</t>
  </si>
  <si>
    <t>ACHICAHUALA CHAVEZ OSCAR</t>
  </si>
  <si>
    <t>Al levantar una plataforma metálica cubierta de manteca, esta resbala y le produce herida superficial en primer dedo de la mano derecha.</t>
  </si>
  <si>
    <t>PLATAFORMA METALICA</t>
  </si>
  <si>
    <t>OVIEDO HIDALGO EDGAR</t>
  </si>
  <si>
    <t xml:space="preserve">CAMPO DEPORTIVO </t>
  </si>
  <si>
    <t xml:space="preserve">Al encontrarse jugando fútbol, sufre contusión en tobillo izquierdo. </t>
  </si>
  <si>
    <t>CONTUSION</t>
  </si>
  <si>
    <t>TINEO ELIAS JOSE</t>
  </si>
  <si>
    <t>OPERARIO DE PRODUCCIÓN</t>
  </si>
  <si>
    <t>Por una distracción coloca la mano en la zona del recorrido de la cadena de acomodo de envoltura. Sufre aplastamiento del dedo medio de la mano izquierda. Parcial desprendimiento de uña por el retiro inmediato de la mano.</t>
  </si>
  <si>
    <t>CORAL DAHUA VICTOR</t>
  </si>
  <si>
    <t>SERVICIOS GENERALES DARMAX</t>
  </si>
  <si>
    <t>REFINERIA</t>
  </si>
  <si>
    <t>Mientras realizaba labores de pintado de tubos, siente ingreso de partículas en el ojo izquierdo. Presenta ardor e irritación.</t>
  </si>
  <si>
    <t>PARTICULAS DE PINTURA</t>
  </si>
  <si>
    <t>REV DIC 2017</t>
  </si>
  <si>
    <t>REV DIC 2018</t>
  </si>
  <si>
    <t>Incidente</t>
  </si>
  <si>
    <t>accidente fuera del trabajo</t>
  </si>
  <si>
    <t>incidente</t>
  </si>
  <si>
    <t>APT MOL CALLAO</t>
  </si>
  <si>
    <t>Herida contusa cortante ceja Izquierda al tropezarse y caer con saco de 40 kg de sub producto</t>
  </si>
  <si>
    <t>Manuel Medina Briones</t>
  </si>
  <si>
    <t>Auxiliar de Carga (estibador)</t>
  </si>
  <si>
    <t>DIS12063</t>
  </si>
  <si>
    <t>CARAMELOS</t>
  </si>
  <si>
    <t>MOLINO FAUCETT (FAWEMA)</t>
  </si>
  <si>
    <t>MENSAJERIA (ESCALERA)</t>
  </si>
  <si>
    <t>Supervisor de Seguridad Física</t>
  </si>
  <si>
    <t>Ezeta Llontop Pierre Yair</t>
  </si>
  <si>
    <t>ESCALERA FIJA</t>
  </si>
  <si>
    <t>Bajando escalera se dobla tobillo originando Esguince tobillo izquierdo</t>
  </si>
  <si>
    <t>CONTABILIDAD</t>
  </si>
  <si>
    <t>Caida por escalera de Jaboneria durante inventario (vino a trabajar al día siguiente)</t>
  </si>
  <si>
    <t>empleado</t>
  </si>
  <si>
    <t>TOTAL (sin ITDC)</t>
  </si>
  <si>
    <t>CD IQUITOS</t>
  </si>
  <si>
    <t>Carga/Descarga de camión</t>
  </si>
  <si>
    <t>MEDIDAS CONTROL PARA ACTIVIDADES CON RIESGO IMPORTANTE</t>
  </si>
  <si>
    <t>MEDIDAS DE CONTROL A IMPLEMENTAR PARA ACTIVIDADES CON RIESGO MODERADO</t>
  </si>
  <si>
    <t>PROP</t>
  </si>
  <si>
    <t>IMPLEM</t>
  </si>
  <si>
    <t xml:space="preserve">DUEÑAS GRANDA JHONATHAN </t>
  </si>
  <si>
    <t>Sufre lesión en mano izquierda mientras realiza actividades laborales, con una máquina por mecanismo de aplastamiento.</t>
  </si>
  <si>
    <t>HUAMAN CASTILLO BRYAN</t>
  </si>
  <si>
    <t>CARLOS BENITES ISAAC BRYAN</t>
  </si>
  <si>
    <t>Sufre torcedura de rodilla izquierda durante evento deportivo.</t>
  </si>
  <si>
    <t>TORCEDURA</t>
  </si>
  <si>
    <t>RAMIREZ HUAMAN REYNALDO</t>
  </si>
  <si>
    <t>Mientras realizaba sus labores, al cargar un saco en conjunto con otro trabajador, sintió un "desprendimiento" en región lumbar.</t>
  </si>
  <si>
    <t>TRAUMATISMO</t>
  </si>
  <si>
    <t>RIOS RENGIFO ALISSON</t>
  </si>
  <si>
    <t>Paciente acude refiriendo dolor lumbar. Antecedente : levantamiento de objetos pesados</t>
  </si>
  <si>
    <t>PANDURO EFFIO DAVID</t>
  </si>
  <si>
    <t>Realizaba limpieza de cabezal de codificador de tinta con solvente tipo pinzeta, el solvente salpica a ojo izquierdo. Causando enrojecimiento y lagrimeo.</t>
  </si>
  <si>
    <t>CORRALES DAVILA MARCO</t>
  </si>
  <si>
    <t>DURANTE JORNADA LABORAL</t>
  </si>
  <si>
    <t>RAMIREZ LUQUE CARLOS</t>
  </si>
  <si>
    <t xml:space="preserve">9 AÑOS </t>
  </si>
  <si>
    <t>OPERADOR DE MONTACARGA DE COMBUSTIÓN</t>
  </si>
  <si>
    <t xml:space="preserve">Trabajador se encontraba almacenando mercadería, cuando golpea tubería de agua, mojando dicha mercadería. </t>
  </si>
  <si>
    <t>DAÑO MATERIAL</t>
  </si>
  <si>
    <t>DIS12349</t>
  </si>
  <si>
    <t>A las 11:40 se tuvo un conato de incendio a la salida del horno de línea 3 durante la actividad de incineración de malla de horno por limpieza. El operador de horno se encontraba supervisando la incineración cuando se inició el fuego en la malla debido a los residuos carbonizados, el incidente fue controlado a las 11:50 am, debido a la intervención del equipo de horneros y brigadistas</t>
  </si>
  <si>
    <t>CONATO DE INCENDIO</t>
  </si>
  <si>
    <t>VALLE VASQUEZ JULIO</t>
  </si>
  <si>
    <t>MARGARINAS</t>
  </si>
  <si>
    <t>Sufre corte en tercer dedo de la mano izquierda con una paleta de la máquina envasadora Behil 8. Presenta sangrado escaso.</t>
  </si>
  <si>
    <t>LABORATORIO</t>
  </si>
  <si>
    <t>CALDERAS</t>
  </si>
  <si>
    <t>PANETONES</t>
  </si>
  <si>
    <t>GALLETEAS</t>
  </si>
  <si>
    <t>SSHH</t>
  </si>
  <si>
    <t>CARAMELO</t>
  </si>
  <si>
    <t>DEYVIS NARRO</t>
  </si>
  <si>
    <t>CÁMARA DE FERMENTACIÓN</t>
  </si>
  <si>
    <t>PANADERO</t>
  </si>
  <si>
    <t>2 AÑOS 6 MESES</t>
  </si>
  <si>
    <t>Trabajador es golpeado con coche con masas de pan al encontrarse vaciando baldes con agua. Sufre contusión en hombro izquierdo.</t>
  </si>
  <si>
    <t>DURANTE LIMPIEZA</t>
  </si>
  <si>
    <t>SANCHEZ ORTIZ PEDRO</t>
  </si>
  <si>
    <t>Mientras jugaba fútbol en evento organizado sufre torcedura de rodilla izquierda.</t>
  </si>
  <si>
    <t>CORONADO BALCAZAR JUAN</t>
  </si>
  <si>
    <t>Mientras jugaba fútbol sufre golpe con fuerza resistente contra el césped de la cancha.</t>
  </si>
  <si>
    <t>SILOS</t>
  </si>
  <si>
    <t xml:space="preserve">Durante la ejecución de desactivación de los residuos de mangas de fosfina (PH3) por parte de la empresa MIP los cuales se utilizaron para fumigación en el Silo horizontal B, estos fueron realizados en forma inadecuada, ocasionando al momento de descargar los residuos de fosfuro de aluminio una reacción exotérmica provocando llamas en el turril de 200 lts. </t>
  </si>
  <si>
    <t>DESACTIVACIÓN DE RESIDUOS</t>
  </si>
  <si>
    <t>INCENDIO</t>
  </si>
  <si>
    <t>FLORES AGUILAR JHONY</t>
  </si>
  <si>
    <t>Paciente refiere haber estado corriendo cuando inicia con dolor intenso en cara posterior de pierna derecha.</t>
  </si>
  <si>
    <t xml:space="preserve">GONZALES HUAMAN JOHN </t>
  </si>
  <si>
    <t>Cae sobre grass sintético, sobre rodilla y mano izquierda en evento deportivo. Presenta herida excoriativa y dolor moderado.</t>
  </si>
  <si>
    <t>RAMOS SANCHEZ CHRISTIAN</t>
  </si>
  <si>
    <t>Mientras jugaba fútbol, recibo un golpe en tobillo derecho. Presenta dolor intenso.</t>
  </si>
  <si>
    <t xml:space="preserve">Rotura de tendón superior del dedo meñique de la mano izquierda por atricción con mordaza de embolsadora de sacos </t>
  </si>
  <si>
    <t>EMBOLSADORA</t>
  </si>
  <si>
    <t>ROTURA TENDON</t>
  </si>
  <si>
    <t>REYES AGRAMENTE ANDHY LUIS</t>
  </si>
  <si>
    <t>AYUDANTE DE EMBOLSADO</t>
  </si>
  <si>
    <t>EMBOLSADO</t>
  </si>
  <si>
    <t xml:space="preserve">Quemadura 1er grado mano derecha por contacto con el sello longitudinal de la envasadora A5, línea galletera 2, mientras apoyaba al maquinista en la limpieza fina </t>
  </si>
  <si>
    <t xml:space="preserve">Luxación de 1 dedo en pie derecho (dedo gordo) y corte en planta de pie al activar el apilador hacia atrás </t>
  </si>
  <si>
    <t xml:space="preserve">Corte en la región del ojo izquierdo haciendo limpieza del sistema de dosificación de huevo líquido con aire comprimido </t>
  </si>
  <si>
    <t>AIRE COMPRIMIDO</t>
  </si>
  <si>
    <t>Ayudante de almacén</t>
  </si>
  <si>
    <t>Líder de Producción</t>
  </si>
  <si>
    <t>Danilo de Souza Francisco</t>
  </si>
  <si>
    <t>Ayudante, Embalador a Mano/Caja (CLJ)</t>
  </si>
  <si>
    <t>transformador</t>
  </si>
  <si>
    <t>MAQUINA volteadora</t>
  </si>
  <si>
    <t>envasadora</t>
  </si>
  <si>
    <t>benhill</t>
  </si>
  <si>
    <t>varillas</t>
  </si>
  <si>
    <t>elevador</t>
  </si>
  <si>
    <t>rebanadora</t>
  </si>
  <si>
    <t>microfeed</t>
  </si>
  <si>
    <t>mezclador</t>
  </si>
  <si>
    <t>enfardeladora</t>
  </si>
  <si>
    <t>empaquetadora</t>
  </si>
  <si>
    <t>aplilador</t>
  </si>
  <si>
    <t>EVALUACION DE LOS SGSST</t>
  </si>
  <si>
    <t>LIDERAZGO Y PARTICIPACION</t>
  </si>
  <si>
    <t>COMPETENCIA</t>
  </si>
  <si>
    <t>CULTURA</t>
  </si>
  <si>
    <t>COMPLIANCE</t>
  </si>
  <si>
    <t>DISEÑO SEGURO Y SALUDABLE</t>
  </si>
  <si>
    <t>SEGURIDAD EN PROCESOS</t>
  </si>
  <si>
    <t>% EVALUACION TOTAL</t>
  </si>
  <si>
    <t>MIDOT</t>
  </si>
  <si>
    <t>SALSAS</t>
  </si>
  <si>
    <t>EXPERIENCIAS ANTERIORES</t>
  </si>
  <si>
    <t>CONOCIMIENTO SOBRE SEGURIDAD</t>
  </si>
  <si>
    <t>DESEMPEÑO EN MATERIA DE SEGURIDAD</t>
  </si>
  <si>
    <t>TOLERANCIA AL ESTRÉS</t>
  </si>
  <si>
    <t>CAPACIDAD DE EVITAR RIESGOS</t>
  </si>
  <si>
    <t>NIVEL COMPROMISO</t>
  </si>
  <si>
    <t>ZONA RIESGO</t>
  </si>
  <si>
    <t>ZONA CONTROL</t>
  </si>
  <si>
    <t>ZONA SEGURIDAD</t>
  </si>
  <si>
    <t>ZONA INDEPENDIENTE</t>
  </si>
  <si>
    <t>PARTICIPANTES</t>
  </si>
  <si>
    <t>INVALIDADAS</t>
  </si>
  <si>
    <t>ACEITES</t>
  </si>
  <si>
    <t>FIDEOS</t>
  </si>
  <si>
    <t>HARINAS</t>
  </si>
  <si>
    <t>BALANCEADOS</t>
  </si>
  <si>
    <t>JABON LAVAR</t>
  </si>
  <si>
    <t>CEREALES</t>
  </si>
  <si>
    <t>Predio Central</t>
  </si>
  <si>
    <t>Otros Predios</t>
  </si>
  <si>
    <t>Trujillo</t>
  </si>
  <si>
    <t>Arequipa</t>
  </si>
  <si>
    <t>Provincias</t>
  </si>
  <si>
    <t>Honduras</t>
  </si>
  <si>
    <t>CENTROS DISTRIB.</t>
  </si>
  <si>
    <t>ZARATE PEZO CARLOS</t>
  </si>
  <si>
    <t>Paciente realiza "mal movimiento" durante partido de fútbol, siente dolor en región inguinal derecha.</t>
  </si>
  <si>
    <t>NIÑO RIVAS JESÚS</t>
  </si>
  <si>
    <t>Paciente refiere dolor tipo hincada en tobillo derecho por mecanismo de torsión durante evento deportivo.</t>
  </si>
  <si>
    <t>LOPEZ CANOVA MARCO ANTONIO</t>
  </si>
  <si>
    <t>PROGRAMADOR</t>
  </si>
  <si>
    <t>Impacto de balón de fútbol en primer dedo de mano derecha.</t>
  </si>
  <si>
    <t>BALÓN DE FÚTBOL</t>
  </si>
  <si>
    <t>DAVILA MOSCOSO OSCAR</t>
  </si>
  <si>
    <t>MONTACARGUISTA</t>
  </si>
  <si>
    <t>Al correr en campo deportivo siente en 2 oportunidades un estirón en pantorrilla derecha.</t>
  </si>
  <si>
    <t>DISTENSIÓN MUSCULAR</t>
  </si>
  <si>
    <t>BARRAGAN DAVILA JEAN</t>
  </si>
  <si>
    <t>Sufre caída durante evento deportivo sobre codo derecho. Dificultad a la movilización.</t>
  </si>
  <si>
    <t>PLANTA MORON</t>
  </si>
  <si>
    <t>VELIZ JORGE</t>
  </si>
  <si>
    <t>AYUDANTE DE AMASADO</t>
  </si>
  <si>
    <t>El operador se encontraba llevando la jaula de cartón al sector de basura, cuando quiere maniobrar el carro, para pasar entre medio de los volcadores de la líneas, el mismo se aprieta la mano derecha contra el volcador de masa de línea laminado.  Produciéndole un corte y un golpe en la misma.</t>
  </si>
  <si>
    <t>.</t>
  </si>
  <si>
    <t>MAQUINARIA</t>
  </si>
  <si>
    <t>NAVARRO GUTIERREZ ANIBAL</t>
  </si>
  <si>
    <t>8 AÑOS 5 MESES</t>
  </si>
  <si>
    <t>Sufre aplastamiento de mano izquierda mientras cargaba realizaba acomodo de paletas.</t>
  </si>
  <si>
    <t>CICLONETES</t>
  </si>
  <si>
    <t>MOTOR</t>
  </si>
  <si>
    <t>SALSAS 1</t>
  </si>
  <si>
    <t>MFA12533</t>
  </si>
  <si>
    <t>PRENSA LINEA 22</t>
  </si>
  <si>
    <t>OPERADOR DE PROCESO DE ELABORACIÓN DE PASTA</t>
  </si>
  <si>
    <t>19 AÑOS 8 MESES</t>
  </si>
  <si>
    <t xml:space="preserve">EMILIANO  JORGE CARDENAS </t>
  </si>
  <si>
    <t>Se encontraba retirando manualmente el extractor de moldes en la prensa de la línea 22, al momento de empujarlo es golpeado por el extremo del extractor y la base de la guía de moldes lo cual le produce una herida.</t>
  </si>
  <si>
    <t>MÁQUINA</t>
  </si>
  <si>
    <t xml:space="preserve">Pastifício Santa Amália </t>
  </si>
  <si>
    <t xml:space="preserve">Recepción de harina                    </t>
  </si>
  <si>
    <t>El empleado Carlos Donizete da Silva mientras realizaba las actividades en la descarga de harina se percato de que salía humo del sotano de la recepción de harina.</t>
  </si>
  <si>
    <t>CALERO JULCA MILDRE STEFANY</t>
  </si>
  <si>
    <t>FUERA DEL PREDIO</t>
  </si>
  <si>
    <t>Paciente refiere haber sufrido lesión en tobillo mientras se encontraba en el transporte público.</t>
  </si>
  <si>
    <t>CABRERA HINOJOSA MARCO</t>
  </si>
  <si>
    <t>TÉCNICO DE LABORATORIO</t>
  </si>
  <si>
    <t>PATIO DE TRIGO</t>
  </si>
  <si>
    <t>15 DIAS</t>
  </si>
  <si>
    <t>MSR 12534                   </t>
  </si>
  <si>
    <t>DERMATITIS</t>
  </si>
  <si>
    <t>SUSTANCIAS QUIMICAS</t>
  </si>
  <si>
    <t>VELA SANDOVAL JHON</t>
  </si>
  <si>
    <t>MEZCLADOR DE INSTANTANEOS</t>
  </si>
  <si>
    <t>ZONA DE MEZCLADOS DE INSTANTANEOS</t>
  </si>
  <si>
    <t>Paciente refiere que cuando manipulaba una estoca hidráulica, en un giro, siente dolor tipo hincada en región lumbar.</t>
  </si>
  <si>
    <t>LUMBALGIA</t>
  </si>
  <si>
    <t>GOMEZ QUISPE FRANCIS</t>
  </si>
  <si>
    <t>PALETA DE DISTRIBUCION</t>
  </si>
  <si>
    <t>Sufre golpe con paleta en el tercer dedo de mano izquierda.</t>
  </si>
  <si>
    <t>LOPEZ FLORES JAVIER</t>
  </si>
  <si>
    <t>MONTACARGAS</t>
  </si>
  <si>
    <t>Siente ingreso de una partícula en ojo izquierdo. Se realiza lavado ocular.</t>
  </si>
  <si>
    <t>CUERPO EXTRAÑO</t>
  </si>
  <si>
    <t>CONDUCCIÓN DE MONTACARGA</t>
  </si>
  <si>
    <t>CUERPO EXTRAÑO EN OJO</t>
  </si>
  <si>
    <t>APT MOLINO PAITA</t>
  </si>
  <si>
    <t xml:space="preserve">Atricción del 2do dedo de la mano izquierda durante el cambio de un motor del turbotamiz del diagrama B apoyando al electricista </t>
  </si>
  <si>
    <t xml:space="preserve">Dermatitis por contacto con sustancia química en extremidades inferiores y superiores durante desinsectación con plaguicida liquido en dos patios de almacenamiento de trigo </t>
  </si>
  <si>
    <t xml:space="preserve">Herida en cuarto dedo de la mano derecha mientras realizaba el retiro del elemento filtrante del filtro usando su mano izquierda, cae el filtro junto con la canastilla y golpea el cuarto dedo de su mano derecha contra la carcasa del filtro </t>
  </si>
  <si>
    <t xml:space="preserve">Bringas Figueroa, Juan </t>
  </si>
  <si>
    <t>OPERADOR DE REFINERIA</t>
  </si>
  <si>
    <t xml:space="preserve">PCO12539  </t>
  </si>
  <si>
    <t>TALLER GASTRONOMICO</t>
  </si>
  <si>
    <t xml:space="preserve">La colaboradora iba a realizar pruebas con el autofry, por lo que procede a conectar el equipo y a prender el mismo. Al traer una bandeja para ubicarla en la zona de recepción de las papas fritas este hizo contacto con el equipo y es ahí donde sintió la descarga eléctrica  y soltó la bandeja. </t>
  </si>
  <si>
    <t>DESCARGA ELECTRICA</t>
  </si>
  <si>
    <t xml:space="preserve">Karry Viviano Segura </t>
  </si>
  <si>
    <t xml:space="preserve">Ejecutivo Técnico </t>
  </si>
  <si>
    <t>ESTIBADOR (TERCERO)</t>
  </si>
  <si>
    <t>Edgar Umpire Rodriguez</t>
  </si>
  <si>
    <t>Técnico de Laboratorio</t>
  </si>
  <si>
    <t>haberse golpeado el dedo pulgar izquierdo con un perno de la tapa de la cisterna de harina que estaba tratando de abrir para inspeccionar las condiciones sanitarias de dicha tapa</t>
  </si>
  <si>
    <t xml:space="preserve"> VILLANUEVA MARTINEZ ARMANDO GABRIEL</t>
  </si>
  <si>
    <t>EMPAQUETADOR</t>
  </si>
  <si>
    <t>Paciente refiere que sufre "torsión" de tobillo derecho durante evento deportivo, refiere dolor tipo hiincada, en parte lateral  de tobillo derecho.</t>
  </si>
  <si>
    <t>MSR 12697</t>
  </si>
  <si>
    <t>HERRERA CABELLO REYNA YSABEL</t>
  </si>
  <si>
    <t>ENTRADA DE JABONERIA</t>
  </si>
  <si>
    <t>Al caminar por suelo mojado, sufre resbalón golpeándose cadera izquierda.</t>
  </si>
  <si>
    <t>PISO MOJADO</t>
  </si>
  <si>
    <t>Alimentador de Bañadora Chocotech 1</t>
  </si>
  <si>
    <t>Se encontraba alimentando galletas al magazín de la bañadora Chocotech 1, y se percata de que la galleta se atora en el magazín del alimentador. Por lo que decide introducir el dedo para desatorar la galleta sin parar la máquina, la misma que atrapa su dedo ocasionándole una atrición y corte</t>
  </si>
  <si>
    <t>CASTILLA APOLAYA CESAR</t>
  </si>
  <si>
    <t>CICLON DE TRIGO NIVEL 5</t>
  </si>
  <si>
    <t>ARRANQUE</t>
  </si>
  <si>
    <t xml:space="preserve">Trabajador detecta humo que provenía de ducto que se conecta directamente con quinto nivel de edificio de producción. </t>
  </si>
  <si>
    <t>ANCAJIMA CHAVEZ MARIO</t>
  </si>
  <si>
    <t>OPERADOR DESCERADO</t>
  </si>
  <si>
    <t>Trabajador realizaba la dosificación de ayuda filtrante al tanque de aceite. Luego de realizar su actividad procede a descender por la escalera y sufre un resbalón causándole un estiramiento de la rodilla derecha.</t>
  </si>
  <si>
    <t>PCO12824</t>
  </si>
  <si>
    <t>DOSIFICACIÓN  DE TANQUE DE ACEITE</t>
  </si>
  <si>
    <t xml:space="preserve">DIONICIO CESPEDES ROJAS </t>
  </si>
  <si>
    <t>AREA DE EMBOLSADO</t>
  </si>
  <si>
    <t>Paciente refiere haber sufrido accidente en área de embolsado por máquina embolsadora de carrusel. Sufre herida abierta en mano izquierda.</t>
  </si>
  <si>
    <t>HERIDA</t>
  </si>
  <si>
    <t>PEREZ OCHOA  ELIZABETH</t>
  </si>
  <si>
    <t>OFICINA PRINCIPAL</t>
  </si>
  <si>
    <t>Paciente manifiesta haber sufrido caída sobre el nivel del piso golpeándose el codo y muslo.</t>
  </si>
  <si>
    <t>MIFAEL  RINSQUI PALLAJO PONCIANO</t>
  </si>
  <si>
    <t>BAÑO</t>
  </si>
  <si>
    <t>Paciente refiere haber sufrido caída saliendo de la ducha del baño de la empresa. Sufre lesión en 3er dedo de mano derecha.</t>
  </si>
  <si>
    <t>RAMIREZ AUCATINCO PAUL</t>
  </si>
  <si>
    <t>AREA GALLETERA</t>
  </si>
  <si>
    <t>Se encontraba realizando limpieza de piso, sufre lesión con la parte distal de un cable, provocando laceración en 2do dedo de mano izquierda.</t>
  </si>
  <si>
    <t>CABLE</t>
  </si>
  <si>
    <t>Trabajador se encontraba realizando el trabajo de entubado y cableado  de ventiladores en los techos internos del área de empacado, con ayuda de una escalera telescópica a unos 5 metros de altura aproximadamente, el trabajador David Chilca se encontraba en la cima de la escalera a punto de colocar el punto de anclaje y enganchar su línea de vida, en ese mismo instante el Sr. Freddy C., ayudante designado a sostener la escalera dejó de hacerlo, por ello la escalera se desliza y el Sr. David  queda sostenido con ambos brazos en la vigueta para no caer, pero solo pudo sostenerse unos segundos y terminó soltándose, cayendo sobre una paleta. Teniendo como partes visiblemente afectadas las rodillas y la nariz (sangrado).</t>
  </si>
  <si>
    <t>DAVID CHILCA ESTEBAN</t>
  </si>
  <si>
    <t>LUIS ALBERTO MARTINEZ ALBORNOZ</t>
  </si>
  <si>
    <t>Torcedura de tobillo en evento deportivo.</t>
  </si>
  <si>
    <t>PEDRO MANTILLA OCAS</t>
  </si>
  <si>
    <t>AREA DE EMPAQUE CASINO</t>
  </si>
  <si>
    <t>Sufre pequeño corte en borde externo de dedo pulgar de mano izquierda mientras empaquetaba galletas.</t>
  </si>
  <si>
    <t>PAQUETE DE GALLETAS</t>
  </si>
  <si>
    <t>MACHACUAY RAMOS ALEXANDER</t>
  </si>
  <si>
    <t>ALMANCE DE MOL STA ROSA</t>
  </si>
  <si>
    <t>Sufre inhalación de sulfuro de aluminio, lo cual generó dolor de cabeza intenso y mareos. No se encontraba utilizando EPPs.</t>
  </si>
  <si>
    <t>MARIANA ZEGARRA NUÑAS</t>
  </si>
  <si>
    <t>7MO PISO</t>
  </si>
  <si>
    <t>Paciente se encontraba bajando escaleras, cuando en el último escalón se dobla el pie.</t>
  </si>
  <si>
    <t>ENVASADO LAMINADO</t>
  </si>
  <si>
    <t>SUSANA OLIVERA</t>
  </si>
  <si>
    <t>ENVASADO</t>
  </si>
  <si>
    <t>La operaria se encontraba destrabando los paquetes en la 3er envasadora, cuando al estirarse se aprieta el pecho derecho contra la guía del colector de paquetes. La misma tiene una punta la cual sobresale de la cinta transportadora.</t>
  </si>
  <si>
    <t>MORALES GALVEZ ALDO</t>
  </si>
  <si>
    <t>JEFE</t>
  </si>
  <si>
    <t>6TO PISO</t>
  </si>
  <si>
    <t>Paciente se encontraba subiendo escaleras, se engancha el pie y para frenar el impacto, coloca mano derecha.</t>
  </si>
  <si>
    <t>MIRAFLORES</t>
  </si>
  <si>
    <t>ZARANDA DE PREPARACION HLS</t>
  </si>
  <si>
    <t xml:space="preserve">Durante la ejecución de los trabajos en caliente por procesó de soldadura por arco eléctrico en el montaje de 1 escalera para acceso al elevador del Silo Pulmón de Preparación HLS, el vigilante del trabajo en caliente de la empresa IMETCO da la alerta de humo proveniente de la zaranda la cual se encontraba en plena operación, por lo que el procede a controlar con un recipiente de agua y comunica al operador. </t>
  </si>
  <si>
    <t>FERNANDEZ IZQUIERDO MARCOS ANTONIO</t>
  </si>
  <si>
    <t>PREPARADOR DE CREMA</t>
  </si>
  <si>
    <t>Paciente se realiza lesión lacerativa en dorso de mano derecha con borde inferior de mesa mientras realiza ba sus actividades.</t>
  </si>
  <si>
    <t>BORDE DE MESA</t>
  </si>
  <si>
    <t>HERIDA LACERATIVA</t>
  </si>
  <si>
    <t>BERMUDEZ NEYRA DEDICACIÓN</t>
  </si>
  <si>
    <t>CDC TRUJILLO</t>
  </si>
  <si>
    <t>Al percatarse del retraso (descarga), el Sr. Bermúdez decide abrir la puerta posterior del lado izquierdo de la carreta del camión, al no poder lograr la apertura decide trasladar a la zona una tabla de madera y golpear el sector del seguro para poder aflojarlo, la puerta al recibir la presión por la fuerza ejercita logra abrirse impactando encima de su ceja derecha, produciéndole un corte de aprox. 5 cm.</t>
  </si>
  <si>
    <t xml:space="preserve">PUERTA DE CARRETA </t>
  </si>
  <si>
    <t>HERIDA CORTANTE</t>
  </si>
  <si>
    <t>PINTO VEGA JORGE LUIS</t>
  </si>
  <si>
    <t xml:space="preserve">En evento deportivo el balon de futbol impacta sobre la mano izquierda produciendo tensión sobre la muñeca. </t>
  </si>
  <si>
    <t>BALON DE FUTBOL</t>
  </si>
  <si>
    <t>CORTEZ VASQUEZ YORDI</t>
  </si>
  <si>
    <t>ABASTECEDER CAMARA FRIA</t>
  </si>
  <si>
    <t>Contusión nasal en evento deportivo. Presenta aumento de volumen, desviación de tabique nasal y obstrucción de orificio nasal derecho.</t>
  </si>
  <si>
    <t>CONTUSION NASAL / DESVIACION SPTAL / D/C FRACTURA</t>
  </si>
  <si>
    <t>EDIF MIRAFLORES</t>
  </si>
  <si>
    <t xml:space="preserve">Fractura en el tobillo al tropezar bajando la escalera </t>
  </si>
  <si>
    <t>airtec</t>
  </si>
  <si>
    <t>transportista</t>
  </si>
  <si>
    <r>
      <t xml:space="preserve">ESTIBADOR </t>
    </r>
    <r>
      <rPr>
        <sz val="10"/>
        <color theme="3" tint="0.39997558519241921"/>
        <rFont val="Arial"/>
        <family val="2"/>
      </rPr>
      <t>(TERCERO)</t>
    </r>
  </si>
  <si>
    <r>
      <t>OPERARIO MECÁNICO MONTAJISTA</t>
    </r>
    <r>
      <rPr>
        <sz val="10"/>
        <color theme="3" tint="0.39997558519241921"/>
        <rFont val="Arial"/>
        <family val="2"/>
      </rPr>
      <t xml:space="preserve"> (tercero)</t>
    </r>
  </si>
  <si>
    <r>
      <t>ESTIBADOR</t>
    </r>
    <r>
      <rPr>
        <sz val="10"/>
        <color theme="3" tint="0.39997558519241921"/>
        <rFont val="Arial"/>
        <family val="2"/>
      </rPr>
      <t>(tercero)</t>
    </r>
  </si>
  <si>
    <t>CONDUCTOR (tercero)</t>
  </si>
  <si>
    <t>JHONATAS SOARES BEIRA</t>
  </si>
  <si>
    <t>Empacotadeira Linha 9</t>
  </si>
  <si>
    <t>Sufre lesión de uña del dedo central de mano izquierda, con fractura distal 1/3 de 3 dedos.</t>
  </si>
  <si>
    <t>ADUANA DE TRASPASO DE MATERIALES</t>
  </si>
  <si>
    <t>SIMON BARRIOS</t>
  </si>
  <si>
    <t xml:space="preserve">ABASTECEDOR </t>
  </si>
  <si>
    <t>El abastecedor se encontraba realizando una devolución de bobinas y al querer pasar la bobina a la balanza la misma se le vuelve al pallet ocasionándole el apriete del dedo.</t>
  </si>
  <si>
    <t>SALA DE COMPRESORES</t>
  </si>
  <si>
    <t>TOMASTO</t>
  </si>
  <si>
    <t>Se produjo un amago de incendio en la sala de compresores del primer piso Molino Callao.</t>
  </si>
  <si>
    <t>PARTÍCULA INCANDESCENTE</t>
  </si>
  <si>
    <t>SOLDADURA</t>
  </si>
  <si>
    <t>AMAGO DE INCENDIO</t>
  </si>
  <si>
    <t>LINEA 1</t>
  </si>
  <si>
    <t>Realizaba rutina de trabajo haciendo uso de la faja de rayos X, sufre atrapamiento de 4to dedo de mano izquierda.</t>
  </si>
  <si>
    <t>VERTIZ VILLAFANA ENRIQUE</t>
  </si>
  <si>
    <t>PESADOR DE INSUMOS</t>
  </si>
  <si>
    <t>ZONA DE PESADO</t>
  </si>
  <si>
    <t xml:space="preserve">Paciente refiere que mientras realizaba sus labores, presentó "tirón" en hombro derecho con irradiación hacia espalda. </t>
  </si>
  <si>
    <t>CONTRACTURA MUSCULAR</t>
  </si>
  <si>
    <t>MOSCAIZA NAVARRETE KARINA JANET</t>
  </si>
  <si>
    <t xml:space="preserve">LINEA 3 </t>
  </si>
  <si>
    <t xml:space="preserve">Paciente refiere haber estado realizando rutina de trabajo (barriendo) cuando sufre golpe en zona frontal con estructura metalica. produciendo herida cortante superficial  en zona frontal  sangrante. </t>
  </si>
  <si>
    <t>ESTRUCTURA METÁLICA</t>
  </si>
  <si>
    <t>DURANTE RUTINA DE TRABAJO</t>
  </si>
  <si>
    <t>HERIDA CONTUSO CORTANTE</t>
  </si>
  <si>
    <t>PUERTA DE MELAMINE</t>
  </si>
  <si>
    <t>MORALES MELENDEZ MARILYN</t>
  </si>
  <si>
    <t>CREDITOS-ADMIN CENTRAL</t>
  </si>
  <si>
    <t>INGRESO AL PREDIO (VIA PEATONAL)</t>
  </si>
  <si>
    <t>EMPLEADO</t>
  </si>
  <si>
    <t>Paciente refiere haber llegado al predio, desplazandose por calzada peatonal, realiza pisada en falso sufriendo flexion involuntaria de pie izquierdo, luego inicia con dolor que se incrementa cada vez al esfuerzo fisico y reposo.</t>
  </si>
  <si>
    <t>CASTRO HARO MIGUEL</t>
  </si>
  <si>
    <t>REFINERIA TANQUE A31</t>
  </si>
  <si>
    <t xml:space="preserve">En circunstancias que se encontraba descendiendo por la escalera caracol del tanque, se tropieza y cae de aproximadamente 2 metros de altura dentro de la escalera. </t>
  </si>
  <si>
    <t>ABAD</t>
  </si>
  <si>
    <t>tercero (abad)</t>
  </si>
  <si>
    <t>CHAUPIS PEREZ TITO</t>
  </si>
  <si>
    <t>PREMEZCLA</t>
  </si>
  <si>
    <t>AYUDANTE DE ENVASADO</t>
  </si>
  <si>
    <t>Paciente refiere que mientras realizaba sus labores, sufre herida en palma de la mano derecha por aplastamiento con puerta de un estante.</t>
  </si>
  <si>
    <t>ESTANTE</t>
  </si>
  <si>
    <t>HERIDA CONTUSA</t>
  </si>
  <si>
    <t>VILLANUEVA RAMOS ELMER</t>
  </si>
  <si>
    <t>MECÁNICO DE MONTAJE</t>
  </si>
  <si>
    <t>JJD</t>
  </si>
  <si>
    <t>REFINERÍA-BLANQUEAMIENTO</t>
  </si>
  <si>
    <t xml:space="preserve">Paciente refiere que mientras realizaba sus labores, sufre golpe con comba en rodilla derecha, presentando dolor intenso con imposibilidad para caminar. </t>
  </si>
  <si>
    <t>CONTUSIÓN/FRACTURA</t>
  </si>
  <si>
    <t>COMBA</t>
  </si>
  <si>
    <t>SILVA ARREDONDO EMMANUEL</t>
  </si>
  <si>
    <t>PRACTICANTE DE RELACIONES LABORALES</t>
  </si>
  <si>
    <t>OFICINA CENTRAL</t>
  </si>
  <si>
    <t>Paciente refiere que mientras realizaba sus labores( engrampar documentos), sufre una herida con grapa en tercer dedo de mano derecha</t>
  </si>
  <si>
    <t>GRAPADORA</t>
  </si>
  <si>
    <t>RAMOS LAURENTE  MIGUEL</t>
  </si>
  <si>
    <t>ZONA DE ENVASADO</t>
  </si>
  <si>
    <t>OPERADOR DE ENVASADORAS</t>
  </si>
  <si>
    <t>Al atascarse unos paquetes en la máquina enfardeladora de linea 24 esta se bloquea por lo que procede a abrir una puerta para retirar el producto. introduce la mano derecha sufriendo un corte.</t>
  </si>
  <si>
    <t>SUAREZ CORRALES JAVIER</t>
  </si>
  <si>
    <t>LINEA 3 - A1</t>
  </si>
  <si>
    <t>Paciente refiere que al pasar por la línea 3 - A1, sufre lesión con dicha estructura en hombro izquierdo.</t>
  </si>
  <si>
    <t>MFA13117</t>
  </si>
  <si>
    <t>VIG SIDSUR</t>
  </si>
  <si>
    <t>VIG AGUSTINO</t>
  </si>
  <si>
    <t>VIG BSF</t>
  </si>
  <si>
    <t>VIG MOL.AREQUIPA</t>
  </si>
  <si>
    <t>Vigilancia (Liderman)</t>
  </si>
  <si>
    <t>Limpieza (Limtek)</t>
  </si>
  <si>
    <t>Estiba (Iolsa)</t>
  </si>
  <si>
    <t>Transportista Reparto Local y LD</t>
  </si>
  <si>
    <t>Transportista Traslados</t>
  </si>
  <si>
    <t>Desinsectación de camiones (Flymsa)</t>
  </si>
  <si>
    <t>Contratista</t>
  </si>
  <si>
    <t>Cliente Recoge (Chofer)</t>
  </si>
  <si>
    <t>Paciente refiere que el dia de hoy al levantar objetos pesados presento dolor tipo hincada en zona dorsal de muñeca izquierda a predominio de esfuerzo fisico asociado a presencia de deformacion en dicha zona.</t>
  </si>
  <si>
    <t>OBJETOS PESADOS</t>
  </si>
  <si>
    <t>SEGUNDO NIVEL GALLETERIA</t>
  </si>
  <si>
    <t>Al manipular un mecanismo (faja oscilante de corte) este entra en funcionamiento produciendo atrapamiento de la mano izquierda y lesion del dedo medio de la mano derecha</t>
  </si>
  <si>
    <t>FAJA OSCILANTE DE CORTE</t>
  </si>
  <si>
    <t>AMPUTACIÓN</t>
  </si>
  <si>
    <t>CHACON GONZALEZ ALDAIR</t>
  </si>
  <si>
    <t>2DO PISO DETERGENTES(EMPAQUETADO)</t>
  </si>
  <si>
    <t>Al encajar una bobina uno de los topes de la base muerde el pulpejo del dedo indice causando una lesion.</t>
  </si>
  <si>
    <t>ACARO ARMAS HAMIGTON</t>
  </si>
  <si>
    <t>CANCHA DEPORTIVA</t>
  </si>
  <si>
    <t>Paciente refiere que sufrió contusión en cuarto dedo de mano derecha mientras realizaba práctica deportiva.</t>
  </si>
  <si>
    <t>GAMARRA HERNANDEZ LUIS</t>
  </si>
  <si>
    <t>PGL13197</t>
  </si>
  <si>
    <t>Manfer Ponce</t>
  </si>
  <si>
    <t>Apoyo Informatico</t>
  </si>
  <si>
    <t>OTROS (TERCEROS)</t>
  </si>
  <si>
    <t>3EROS</t>
  </si>
  <si>
    <t>Refiere el dia de hoy estar realizando rutina de trabajo  cuando puerta de melamine cae sobre dorso a nivel del tobillo de pie derecho (mismo pie afectado en accidente anterior)</t>
  </si>
  <si>
    <t>PACIENTE REFIERE HABER LLEGADO AL PREDIO, DESPLAZANDOSE POR CALZADA PEATONAL, REALIZA PISADA EN FALSO SUFRIENDO FLEXION INVOLUNTARIA DE PIE IZQUIERDO, LUEGO INICIA CON DOLOR QUE SE INCREMENTA CADA VEZ AL ESFUERZO FISICO Y REPOSO. AL EXAMEN FISICO SE EVIDENCIA AREA ARTICULAR DE TOBILLO CON SIGNOS DE INFLAMACION, CONSIDERABLEMENTE DOLOROSOS AL MOVIMIENTO Y DIGITOPRESION.  SE DECIDE SU TRASLADO A CLINICA SAN GABRIEL PARA EVALUACION POR TRAUMATOLOGIA</t>
  </si>
  <si>
    <t>CALZADA COMUN</t>
  </si>
  <si>
    <t>CREDITOS - ADMINIST. CENTRAL</t>
  </si>
  <si>
    <t>CALZADA</t>
  </si>
  <si>
    <t>FISURA</t>
  </si>
  <si>
    <t>Medico Ocupacional Lima</t>
  </si>
  <si>
    <t>atricción</t>
  </si>
  <si>
    <t>VITAPRO TUMBES</t>
  </si>
  <si>
    <t>total</t>
  </si>
  <si>
    <t>FIDEERIA SIDSUR</t>
  </si>
  <si>
    <t>GALLETERIA SIDSUR</t>
  </si>
  <si>
    <t>PREMEZCLA AQP</t>
  </si>
  <si>
    <t>NOTA MIDOT</t>
  </si>
  <si>
    <t>PFL13225</t>
  </si>
  <si>
    <t>PGL13109</t>
  </si>
  <si>
    <t>ALI13264</t>
  </si>
  <si>
    <t>RIOJAS SILVA ALEXIS EDUARDO</t>
  </si>
  <si>
    <t>AYUDANTE EMBALADOR</t>
  </si>
  <si>
    <t>LINEA 4</t>
  </si>
  <si>
    <t>Paciente refiere haber estado realizando  rutina de trabajo alimentando galletas margarita, sufre contacto con barra de metal de la faja que trayecta la galleta, produce herida cortante de 3er y 4to dedo de mano izquierda.</t>
  </si>
  <si>
    <t>BARRA DE METAL DE FAJA</t>
  </si>
  <si>
    <t xml:space="preserve">HERIDA CORTANTE </t>
  </si>
  <si>
    <t>Paciente refiere haber sentido "estirón" al subir escaleras, por lo cual acude a tópico.</t>
  </si>
  <si>
    <t>TORCEDURA DE TOBILLO</t>
  </si>
  <si>
    <t>CABRERA ACUÑA BRAYAN KLEIVER</t>
  </si>
  <si>
    <t xml:space="preserve">TECNICO DE LABORATORIO </t>
  </si>
  <si>
    <t>LABORATORIO CENTRAL</t>
  </si>
  <si>
    <t>Luego de manipular una solución de ácido acético y cloroformo presenta irritación y ardor en ala izquierda de la nariz.</t>
  </si>
  <si>
    <t>QUEMADURA POR SUSTANCIA QUÍMICA</t>
  </si>
  <si>
    <t>PGL12873</t>
  </si>
  <si>
    <t>DIS12941</t>
  </si>
  <si>
    <t>MCA12856</t>
  </si>
  <si>
    <t>PFL10512</t>
  </si>
  <si>
    <t>MPA1271</t>
  </si>
  <si>
    <t>ANTICONA DEL BOSQUE MIGUEL ANGEL</t>
  </si>
  <si>
    <t>PGL12272</t>
  </si>
  <si>
    <t>MSR12451</t>
  </si>
  <si>
    <t>PCO12453</t>
  </si>
  <si>
    <t>PCO12015</t>
  </si>
  <si>
    <t>DIS11825</t>
  </si>
  <si>
    <t>VPE2195</t>
  </si>
  <si>
    <t>APT FID</t>
  </si>
  <si>
    <t>TOTAL VALIDADAS</t>
  </si>
  <si>
    <t>no asistio</t>
  </si>
  <si>
    <t>no asistió</t>
  </si>
  <si>
    <t>El operador se encontraba llevando la jaula de cartón al sector de basura, cuando quiere maniobrar el carro, para pasar entre medio de los volcadores de la líneas, el mismo se aprieta la mano derecha contra el volcador de masa de línea laminado.  Produciéndole un corte y un golpe en la misma. Herida corto-punzante en dorso de mano derecha y traumatismo</t>
  </si>
  <si>
    <t>JORGE VELIZ</t>
  </si>
  <si>
    <t>OVEJERO OMAR</t>
  </si>
  <si>
    <t>El colaborador se encontraba corroborando el stock de stickrs de una variedad de acondicionador para lo que utiliza una escalera con plataforma para llegar a la posición. Para revisar otras cajas gira su cuerpo de manera descuidada y su mano pasa por el perfil provocándole la herida cortante. Se le realizan las curaciones y se lo deriva al centro médico dende le realizan cuatro puntos de sutura.</t>
  </si>
  <si>
    <t>OPERADOR DEPSITO</t>
  </si>
  <si>
    <t>SANGUINO BEJARANO MARIA</t>
  </si>
  <si>
    <t>VESTIDOR COPSA</t>
  </si>
  <si>
    <t xml:space="preserve">Mientras se cambiaba en vestidor, sufre golpe en la cabeza con puerta de metal de casillero. </t>
  </si>
  <si>
    <t>PUERTA DE CASILLERO</t>
  </si>
  <si>
    <t>MOSQUITO SANTIAGO JEMINA</t>
  </si>
  <si>
    <t>GALLETERA - LINEA 2</t>
  </si>
  <si>
    <t>Mientras realizaba labores, sufre golpe en pierna derecha con un motor.</t>
  </si>
  <si>
    <t>REYES DOMINGUEZ LUIS</t>
  </si>
  <si>
    <t>CDC ZONA ANTIGUA</t>
  </si>
  <si>
    <t>OPERADOR DE MONTACARGA</t>
  </si>
  <si>
    <t xml:space="preserve">Mientras realizaba labores, siente que algo le cae en el ojo derecho. </t>
  </si>
  <si>
    <t>LOPEZ SALDAÑA EBER</t>
  </si>
  <si>
    <t>TERCER PISO DE MOLINO</t>
  </si>
  <si>
    <t>Al intentar abrir ventana de vidrio, esta se rompe, produciéndole cortes en dedo, muñeca y antebrazo izquierdo.</t>
  </si>
  <si>
    <t>VENTANA DE VIDRIO</t>
  </si>
  <si>
    <t>HERIDAS CORTANTES</t>
  </si>
  <si>
    <t>SOTANOS DE SILOS PT</t>
  </si>
  <si>
    <t>Siendo las 11:05hrs del día Lunes 20, ocurre un desprendimiento de la base metálica de descarga del silo 10, causando la parada del sistema de envío de harina a las plantas Galletera Lima y Harinas Domesticas.</t>
  </si>
  <si>
    <t>RAMOS CAVERO EVERALDO NESTOR</t>
  </si>
  <si>
    <t>ÁREA DE DESPACHO DE INGREDIENTES</t>
  </si>
  <si>
    <t>VOLANTE PLANTA MARGARINAS</t>
  </si>
  <si>
    <t xml:space="preserve">Al abrir la tapa de un cilindro de lecitina sufre un corte con la abrazadera en quinto dedo de la mano izquierda. </t>
  </si>
  <si>
    <t>TAPA DE CILINDRO</t>
  </si>
  <si>
    <t>ALEGRE DAMIAN</t>
  </si>
  <si>
    <t>FORMULADOR</t>
  </si>
  <si>
    <t>El formulador estaba lavando el reactor Nº2 de Acondicionador. Luego de cerrar la válvula de agua caliente, retira la manguera que todavía contenía restos de agua, salpicándolo en el brazo y provocando la quemadura.</t>
  </si>
  <si>
    <t>RESTOS DE AGUA CALIENTE EN MANGUERA</t>
  </si>
  <si>
    <t>QUEMADURA CON AGUA</t>
  </si>
  <si>
    <t>Garcia Saravia Manuel Pedro</t>
  </si>
  <si>
    <t>Herida cortante en quinto dedo de mano izquierda durante labores de limpieza en el canal vibratorio de la Envasadora Masipack B9 (Segundo nivel), y mientras deslizaba su mano en el canal vibratorio sufre un corte en el dedo meñique.</t>
  </si>
  <si>
    <t xml:space="preserve">Ramos Cavero, Everaldo </t>
  </si>
  <si>
    <t>MARGARINAS: Patio de tanques M y G</t>
  </si>
  <si>
    <t>Herida cortante en quinto dedo de mano izquierda durante la apertura de la abrazadera del Cilindro de Lecitina de Soya</t>
  </si>
  <si>
    <t>PCO13406</t>
  </si>
  <si>
    <t>abrazadera de cilindro</t>
  </si>
  <si>
    <t>Volante de Planta Margarinas</t>
  </si>
  <si>
    <t>Medina Rondon, Rosemary</t>
  </si>
  <si>
    <t>CLJ: AYUDANTE/EMBALADOR A MANO CAJA</t>
  </si>
  <si>
    <t>SALSAS 3</t>
  </si>
  <si>
    <t>MIENTRAS ABRIA BOLSAS DE BALDES, SUFRE CONTUSIÓN CON LA TIJERA EN OJO DERECHO, PRESENTANDO LAGRIMEO Y ENROJECIMIENTO DEL MISMO</t>
  </si>
  <si>
    <t>TIJERA</t>
  </si>
  <si>
    <t>Laminador #02</t>
  </si>
  <si>
    <t>15 años y 09 meses</t>
  </si>
  <si>
    <t>Operador líder de extrusión</t>
  </si>
  <si>
    <t>Al percatarse que había un atoro de producto en el ingreso del laminador 02 y se dirige a la zona identificada, se dirige a la parte superior del laminador con una varilla de acero para retirar el producto aglomerado (Mezcla de Pellets de maíz que tienden a compactarse por efecto de condensación) cuando el equipo estaba en funcionamiento. El laminador jala la varilla y golpea los dedos índice y anular de la mano izquierda</t>
  </si>
  <si>
    <t>varilla de desatoro</t>
  </si>
  <si>
    <t>AMPUTACION</t>
  </si>
  <si>
    <t>GARIN: FORMULACIÓN PERSONAL CARE</t>
  </si>
  <si>
    <t>Lucas Somoza Luis</t>
  </si>
  <si>
    <t>SUPERVISOR DE SEGURIDAD</t>
  </si>
  <si>
    <t>Paciente refiere estar haciendo ronda a las afueras del predio cuando sufre agresión física por tercera persona. Refiere ser golpeado con cacha de pistola en la cabeza y ojo izquierdo.</t>
  </si>
  <si>
    <t xml:space="preserve">CONTUSIÓN </t>
  </si>
  <si>
    <t>Veramendi Gadea Michael</t>
  </si>
  <si>
    <t>Paciente refiere, como parte de sus labores, haber retirado un plástico de su linea (el cual es colocado como protector en situaciones de desinfección de la planta,  ya que el dia anterior la planta paso por este proceso). paciente refiere que una hora despues de haber retirado estos plasticos, presentó sensación de ardor tipo "quemante" en el rostro.</t>
  </si>
  <si>
    <t>DERMATITIS ALÉRGICA</t>
  </si>
  <si>
    <t>PRODUCTOS QUIMICOS</t>
  </si>
  <si>
    <t>Paz Ticona Ariana</t>
  </si>
  <si>
    <t>Lopez Ibarra Katherine</t>
  </si>
  <si>
    <t>Mosquito Santiago Jemina</t>
  </si>
  <si>
    <t>GARCIA CUCHO DENIS</t>
  </si>
  <si>
    <t>LINEA 25</t>
  </si>
  <si>
    <t>Trabajador refiere haber estado realizando rutina de trabajo a altas temperaturas durante 20 minutos. Posteriormente inicia con una sensación de "presión alta".</t>
  </si>
  <si>
    <t>ALTAS TEMPERATURAS</t>
  </si>
  <si>
    <t>DISLIPIDEMIA CRONICA</t>
  </si>
  <si>
    <t>PLANTA PPI</t>
  </si>
  <si>
    <t>CV-046</t>
  </si>
  <si>
    <t>Se siente olor a quemado en el sector del silo pulmón de la preparación HLS. Se realiza inspección y se observa humo proveniente de interior del Silo pulmón por la tapa superior de inspección.</t>
  </si>
  <si>
    <t>RODRIGUEZ TORRES RODOLFO</t>
  </si>
  <si>
    <t>PLANTA GALLETERA</t>
  </si>
  <si>
    <t>Paciente refiere que mientras realizaba limpieza de máquina envasadora, siente cuerpo extraño en mano derecha.</t>
  </si>
  <si>
    <t>ALAVA TORRES ERICK</t>
  </si>
  <si>
    <t>MFA13505</t>
  </si>
  <si>
    <t>AGUIRRE REAÑO MARCOS</t>
  </si>
  <si>
    <t>SELLOS LONGITUDINALES ENVASADORA PRIMARIA B4 WAFER</t>
  </si>
  <si>
    <t>Mientras realizaba limpieza, apoya su mano izquierda sobre estructura de la máquina y luego desliza la mano y se apoya en un par de discos, generándole quemadura en la palma de la mano.</t>
  </si>
  <si>
    <t>BECK ARAGON KARL</t>
  </si>
  <si>
    <t>EMBOLSE DE SUBPRODUCTO</t>
  </si>
  <si>
    <t>Paciente refiere que mientras embolsaba, sintió piquete en oreja izquierda. Luego de unos minutos, refiere sentir calentura en oreja izquierda asociada a picazón.</t>
  </si>
  <si>
    <t>DERMATITIS DE CONTACTO</t>
  </si>
  <si>
    <t>AVALOS CRUZ WILLIAM</t>
  </si>
  <si>
    <t>ENVASADOS</t>
  </si>
  <si>
    <t xml:space="preserve">Mientras realizaba rutina de trabajo, siente ingreso de partícula en ojo derecho. </t>
  </si>
  <si>
    <t>CUERPO EXTRAÑO EN SACO CONJUNTIVAL</t>
  </si>
  <si>
    <t>COVEÑAS TORRES XIOMARA</t>
  </si>
  <si>
    <t>Paciente refiere que sufre tropiezo y presenta caída a nivel en planta galletera.</t>
  </si>
  <si>
    <t>TRASLADÁNDOSE A PIE</t>
  </si>
  <si>
    <t>PAUCAR HIDALGO JIMMY</t>
  </si>
  <si>
    <t>Mientras realizaba limpieza de máquina envasadora, sufre quemadura de antebrazo derecho.</t>
  </si>
  <si>
    <t>TENEMAS VARGAS FIORELLA</t>
  </si>
  <si>
    <t>Mientras acomodaba baldes en línea de graneles, sufre torcedura de tobillo izquierdo.</t>
  </si>
  <si>
    <t>PCO13542</t>
  </si>
  <si>
    <t>5 MESES Y MEDIO</t>
  </si>
  <si>
    <t>ATALAYA RUIZ ANTONIO</t>
  </si>
  <si>
    <t>MBR13546</t>
  </si>
  <si>
    <t>CAMARA DE FERMENTACION VIÑAS</t>
  </si>
  <si>
    <t>1 MES 4 DIAS</t>
  </si>
  <si>
    <t>Trabajador se encontraba trasladando coches sin pan desde la zona de reposo hacia la cámara de fermentación. Habiendo finalizado el traslado nota que un coche quedó desalineado. En ese momento toma el coche y ejerce fuerza sobre el mismo para alinearlo causando una atricción de su dedo índice contra otro coche que se encontraba estacionado.</t>
  </si>
  <si>
    <t>CACERES A. CHRISTIAN</t>
  </si>
  <si>
    <t>AYUDANTE DE ALMACEN B</t>
  </si>
  <si>
    <t xml:space="preserve">Se encontraba desplazándose con el order picker en el lado impar del pasillo N° 2 y, aparentemente al trasladarse hacia el lado par realiza una maniobra y apoya el pie izquierdo en el piso, quedando el pie presionado entre el piso y la base del equipo. </t>
  </si>
  <si>
    <t>JULCAHUANCA BERRU EDAR</t>
  </si>
  <si>
    <t>Al momento de cerrar la compuerta luego de concluir la alimentación de caramelos, pierde el equilibrio al moverse la plataforma donde estaba parado, apoyando su mano derecha en la base de la compuerta y es cuando sufre una atricción en el dedo índice .</t>
  </si>
  <si>
    <t>VASQUEZ CAMACHO SAUL</t>
  </si>
  <si>
    <t>AYUDANTE</t>
  </si>
  <si>
    <t>Mientras se encontraba embolsando picarones, nota herida en cuarto dedo de mano izquierda.</t>
  </si>
  <si>
    <t>WAFER</t>
  </si>
  <si>
    <t>Se encontraba trabajando sentado sobre una banca. Un mal movimiento ocasionó que se reagudize dolor lumbar que padece.</t>
  </si>
  <si>
    <t>HERNIA LUMBAR</t>
  </si>
  <si>
    <t>Ayudante de pesado</t>
  </si>
  <si>
    <t>ANDERSON TRAVERSO ISUIZA</t>
  </si>
  <si>
    <t>Contusión nasal y corte en la región frontal con la puerta ingresando a la zona envasado</t>
  </si>
  <si>
    <t xml:space="preserve"> PCO13574</t>
  </si>
  <si>
    <t>Paciente refiere sufrir contusión en 5to dedo de mano izquierda contra estructura de metal al salirse la goma  mientras realizaba sus labores (martillaba).</t>
  </si>
  <si>
    <t>MARTILLO de goma</t>
  </si>
  <si>
    <t>Ramirez Rodriguez Raul</t>
  </si>
  <si>
    <t>7 DIAW</t>
  </si>
  <si>
    <t>Queratitis y conjuntivitis aguda desinfectando los lavaderos con lejia diluido al ojo izquierdo.</t>
  </si>
  <si>
    <t>OPERARIO LIMPIEZA (TERCERO)</t>
  </si>
  <si>
    <t>PROYECTOS GLOBAL</t>
  </si>
  <si>
    <t>PROYECTOS TEAL</t>
  </si>
  <si>
    <t>DISTRIBUCIÓN PAITA</t>
  </si>
  <si>
    <t>SUBESTACION DE 10KV A 440V</t>
  </si>
  <si>
    <t>Se produjo la falla del cable alimentador a la Sub Estación aproximadamente 2 metros antes del cabezal terminal, especifícame en la zona en donde se encuentra la primera abrazadera que soporta el peso del cable. Esta abrazadera generó un cuello en el aislamiento del cable dañando la pantalla de metal, lo que produjo un una descarga eléctrica inicial y luego el cortocircuito entre fases que provocó la activación de la protección SEAL.</t>
  </si>
  <si>
    <t>CORTO CIRCUITO</t>
  </si>
  <si>
    <t>ALMACEN F</t>
  </si>
  <si>
    <t>YHURI CASANI</t>
  </si>
  <si>
    <t>Trabajador se encontraba abasteciendo de soya y trigo a la línea de producción; fue en ese momento que impacta frontalmente el minicargador contra la columna del almacén F, el trabajador no sufrió lesión alguna, la columna es de concreto y resistió el impacto del minicargador frontal; sin embargo la cuchara quedó abollada.</t>
  </si>
  <si>
    <t>ANTICONA DEL BUSTO MIGUEL ANGEL</t>
  </si>
  <si>
    <t>CUARTO PISO DE PLANSISTERS</t>
  </si>
  <si>
    <t>OPERADOR 2 DE MOLINO</t>
  </si>
  <si>
    <t xml:space="preserve">Trabajador se encontraba sobre una escalera metalica sosteniendo un cajon de madera. pierde el equilibrio, se sujeta de una baranda con la mano izquierda y con la otra mano sostiene todo el peso del cajon sintiendo "un estiron" en el hombro derecho. </t>
  </si>
  <si>
    <t>DURANTE MANTENIMIENTO</t>
  </si>
  <si>
    <t>LESIÓN</t>
  </si>
  <si>
    <t>CABELLO MANTILLA BRANDO ALEJANDRO</t>
  </si>
  <si>
    <t>ENCAJONADORA DE POTES</t>
  </si>
  <si>
    <t>Al verter pergamento en un contenedor caliente, salpica unas gotas en ambas manos.</t>
  </si>
  <si>
    <t>PEGAMENTO</t>
  </si>
  <si>
    <t>DIANA TAYA ARANGO</t>
  </si>
  <si>
    <t>5 MESES 24 DIAS</t>
  </si>
  <si>
    <t>TRASLANDOSE A PIE</t>
  </si>
  <si>
    <t>RENGIFO VENTURA JEISON</t>
  </si>
  <si>
    <t>AYUDANTE DE EMPAQUETADORA</t>
  </si>
  <si>
    <t>Sufre herida en borde de uña de dedo índice derecho mientras empaquetaba galletas en una caja.</t>
  </si>
  <si>
    <t>ANDRES ORELLANA</t>
  </si>
  <si>
    <t>OPERADOR DE ENVASADO</t>
  </si>
  <si>
    <t>PINZA DE ENVASADORA</t>
  </si>
  <si>
    <t>HERIDA CONTUSO-PUNZANTE</t>
  </si>
  <si>
    <t>DAGA HUAMAN DANIEL</t>
  </si>
  <si>
    <t xml:space="preserve">Paciente refiere haber estado expuesto a sustancia quimica de fumigación(organofosforado, según hoja de seguridad) sin protección, mientras realizaba sus labores de mantenimiento por un lapso de 10 min aprox. </t>
  </si>
  <si>
    <t>EXPOSICIÓN A SUSTANCIAS QUIMICAS</t>
  </si>
  <si>
    <t>BLADIMIR NAVARRO RODRIGUEZ</t>
  </si>
  <si>
    <t>22 AÑOS</t>
  </si>
  <si>
    <t>QUEMADURA DÉRMICA</t>
  </si>
  <si>
    <t>ROMAN ALCOCER</t>
  </si>
  <si>
    <t xml:space="preserve">Cuando realizaba el carguío de un camión, el montacarguista, Miguel Burvega se disponía a retirar el pallet con estructura metálica de la plataforma utilizada para realizar el carguío, parte posterior del camión. Al momento de levantar el pallet, este resbala hacia adelante llegando a impactar el pie izquierdo del estibador, que se encontraba frente al pallet, el tobillo fue atrapado entre la estructura y el camión. </t>
  </si>
  <si>
    <t>CRUZ VILLEGAS MARCOS ANTONIO</t>
  </si>
  <si>
    <t>SERGO INDUSTRIAL</t>
  </si>
  <si>
    <t>PGL13704</t>
  </si>
  <si>
    <t>NUÑEZ CHAVEZ OSCAR</t>
  </si>
  <si>
    <t>Paciente refiere haber presentado caída al salir de vestuario de varones en planta Galletera. Presenta dolor leve en mano derecha.</t>
  </si>
  <si>
    <t>Herida contuso-punzante dedo anular y medio mano izquierda al intentar sacar el film que se había trabado de la envasadora con la maquina andando, tarea que no es de su posición, y para la cual no está capacitado. Y la pinza de la envasadora le apretó los dedos contra la cuchilla.</t>
  </si>
  <si>
    <t>Quemadura dermica cuando se disponía a llenar un balde con agua caliente para realizar la tarea de limpieza de la bandeja del muestreador de borra de la centrífuga. Al momento de llenar el balde con agua por la mitad levanta el balde para dirigirse al lugar de trabajo pero el agarrador de plástico del balde se rompe haciendo que el agua caiga sobre la pierna izquierda del operador; la temperatura del agua 74°C.</t>
  </si>
  <si>
    <t>PALLET</t>
  </si>
  <si>
    <t>SAO REFINERIA</t>
  </si>
  <si>
    <t>COCHABAMBAS - PLAYA PRODUCTO TERMINADO</t>
  </si>
  <si>
    <t>Taype Gutierrez Freddy</t>
  </si>
  <si>
    <t>OPERADOR MAQUINA ENVASADORA</t>
  </si>
  <si>
    <t>Envasadora Primaria D3</t>
  </si>
  <si>
    <t>Herida cortante en el segundo dedo de la mano izquierda realizando labores de limpieza de la máquina envasadora D3, y mientras bajaba la guarda de seguridad sufre un corte en el segundo dedo de la mano izquierda, debido al golpe entre la guarda y la estructura de la máquina.</t>
  </si>
  <si>
    <t>PICARONES</t>
  </si>
  <si>
    <t>Raul Saman Cuenca</t>
  </si>
  <si>
    <t>Contusión pierna derecha trasladando un coche inoxidable con bandejas de picarones hacia la cámara de Frío N°3, al subir la rampa de ingreso a la cámara el coche se frena y se va para adelante levantándose en la parte inferior, en ese momento su canilla de la pierna derecha impacta en el coche causándole la contusión. Le descartan fractura</t>
  </si>
  <si>
    <t>coche</t>
  </si>
  <si>
    <t>Sub-Estación Ayllon (Predio Sicaya)</t>
  </si>
  <si>
    <t>Medina Morales Johann Steeff</t>
  </si>
  <si>
    <t>Técnico Electromecánico – Contratista J&amp;W</t>
  </si>
  <si>
    <t>CONTRATISTA J&amp;W</t>
  </si>
  <si>
    <t>Quemaduras de tercer y segundo grado en el dorso (dedo pulgar y dedo índice) de la mano izquierda mientras procedía a realizar trabajos de ajuste en los conductores en el banco de condensadores. Cuando se produjo un corto circuito debido al contacto de la herramienta con dos fases del equipo, lo cual generó un arco eléctrico</t>
  </si>
  <si>
    <t>Juan Castillo Hernández</t>
  </si>
  <si>
    <t>QUEMDADURA</t>
  </si>
  <si>
    <t>CAMAR DE FERMENTACION</t>
  </si>
  <si>
    <t>Contusión cadera lado derecho se encontraba dejando 01 coche con masas de pan dentro de la cámara de fermentación. Habiendo finalizado el traslado, y al momento de girar el cuerpo se resbala y cae al piso.</t>
  </si>
  <si>
    <t>ELECTRICIDAD</t>
  </si>
  <si>
    <t>ELECTRICISTA DE TURNO</t>
  </si>
  <si>
    <t>Conjuntivitis: Deciden retirar un tramo de manguera de 6mm para comprobar la obstrucción, momento en el cual se da un retorno del fluido (soda cáustica al 50%) y le cae al costado de la cabeza. Usa el lavaojos del sector para aplicarse agua en la cabeza y momentos después nota picazón en el ojo.</t>
  </si>
  <si>
    <t>SODA CAUSTICA</t>
  </si>
  <si>
    <t>Rogger Herrera Fabián</t>
  </si>
  <si>
    <t>JUAN CARLOS HERRERA</t>
  </si>
  <si>
    <t>COCHABAMBAS - Envasado aceite, linea buratto</t>
  </si>
  <si>
    <t>Ordenador de botellas </t>
  </si>
  <si>
    <t xml:space="preserve">atrapamiento del dedo medio de la mano izquierda en la nueva máquina tapadora de botellas instalada 3 días antes.
El hecho ocurrió al realizar una verificación del estado de las tapas  por la puerta posterior quedando expuesto a las uñetas de la maquina con las botellas ya que se desactivaron las guardas de seguridad. El dedo fue atrapado con la botella y las uñetas. </t>
  </si>
  <si>
    <t xml:space="preserve">Vargas Quispe Modesto </t>
  </si>
  <si>
    <t>Almacén E de Materias Primas</t>
  </si>
  <si>
    <t>Auxiliar de carga</t>
  </si>
  <si>
    <t>Herida cortante en pierna derecha; se encontraba descargando materia prima en el almacén “E”, al momento de manipular un pallet la pierna derecha es impactada producto de la caída del pallet, generando una herida cortante</t>
  </si>
  <si>
    <t>Línea de Elaboración 2 – Elevador de Artesas – 2do piso</t>
  </si>
  <si>
    <t>SUPERVISOR Técnico de Mantenimiento Mecanico (SERGO)</t>
  </si>
  <si>
    <t xml:space="preserve">AMPUTACION de tibia y peroné de pierna izquierda ; realizando pruebas en el elevador de artesas de la línea 2, 
en ese momento el personal de la empresa Sergo, Marco Cruz había ingresado al interior de la cabina del elevador de artesas para revisar su funcionamiento. 
Mientras intervenía el sistema hidráulico del equipo, el mecanismo elevador de artesas se cae de manera imprevista e impacta sobre la pierna izquierda del mecánico, 
atrapándolo. </t>
  </si>
  <si>
    <t xml:space="preserve">AMPUTACION </t>
  </si>
  <si>
    <t>EQUIPO ELEVADOR ARTESAS</t>
  </si>
  <si>
    <t xml:space="preserve">Trabajadora se encontraba trasladando 01 coche con pan desde el túnel hacia el equipo de retiro de panes (Auxpama). El coche quedó desalineado al ingreso de la Auxpama y el ayudante intentó acomodar0;en ese momento sufre la atricción de su dedo medio de la mano derecha entre la estructura de la Auxpama y el coche. </t>
  </si>
  <si>
    <t>DIS 13824</t>
  </si>
  <si>
    <t>Patio 3 de Molino Santa Rosa</t>
  </si>
  <si>
    <t xml:space="preserve">Pinares Vargas Ismael </t>
  </si>
  <si>
    <t>El viernes 03/04 a las 03:04 am se reportó un accidente en el Patio 3 de Molino Santa Rosa. Las unidades de Pay Pay y Supervan se encontraban haciendo cola para realizar la descarga del trigo cuando el conductor Ysmael Pinares Vargas, con DNI 09065660 de la empresa Supervan, intentó bajar de la unidad para pedir permiso e ir a los servicios higiénicos ; dicho personal se resbaló del 3er peldaño de la cabina del camión, ocasionando que este caiga y sufra un golpe en la cabeza con el filo de la vereda.
El Analista de Monitoreo de Supervan coordinó el  traslado del conductor a la clínica San Gabriel</t>
  </si>
  <si>
    <t>DURANTE SU RUTINA DE TRABAJO</t>
  </si>
  <si>
    <t>PCO13826</t>
  </si>
  <si>
    <t>Taller de Mantenimiento COPSA</t>
  </si>
  <si>
    <t>Peter Huanca Huamani</t>
  </si>
  <si>
    <t>Mecanico</t>
  </si>
  <si>
    <t>4 años 7 meses</t>
  </si>
  <si>
    <t>El trabajador se encontraba en el taller de mantenimiento COPSA, realizando el desmontaje de un rodamiento 6216 del eje de 80 mm de la bomba P814AG del Desodorizador 4 (Refinería). Procede a colocar una tuerca en el extremo del eje para evitar daños a la parte roscada. Luego, coloca el eje en forma vertical en la prensa hidráulica, apoyando el rodamiento sobre la base de la prensa y con la mano izquierda centra el eje al vástago del equipo. Mientras ejercen presión sobre el eje, el trabajador continua sujetándolo y cuando el rodamiento queda liberado, el eje cae por su propio peso presionando su dedo pulgar entre la tuerca y el rodamiento.
En ese momento, se dirige al tópico para ser atendido, donde le realizan un lavado y se le deriva a la Clínica San Gabriel. Aquí le diagnostican atricción y fractura del dedo del pulgar izquierdo y le otorgan descanso médico por 19 días</t>
  </si>
  <si>
    <t>ATRICCION</t>
  </si>
  <si>
    <t>Edificio embolsado 1er piso</t>
  </si>
  <si>
    <t xml:space="preserve"> Juan Leonardo Quiquinlla Nuñez</t>
  </si>
  <si>
    <t>El día viernes 10.04 en el turno de noche (aprox. 23:00 hrs) el mecánico (conjuntamente con el electricista) realizan trabajo de soldadura en banda transportadora de sacos de sub-producto COD SAP 3151.
Al acabar la actividad el electricista evidencia un amago de incendio en la zona de faja Flatener de envío a paletizado y le pide soporte al mecánico para la extinción del amago. Al no tener un extintor con presión adecuada, y mientras el electricista busca otro extintor, el mecánico procede a apagar el amago utilizando sacos vacíos de sub-producto.
El día lunes 13.04 el mecánico informa a su supervisor de lo sucedido y que además fue atendido en EsSalud. Inmediatamente de recibir la comunicación, el supervisor contacta con el área de RRHH y Seguridad Ocupacional para gestionar la atención médica adecuada al colaborador y realizar la investigación del caso</t>
  </si>
  <si>
    <t>FUEGO</t>
  </si>
  <si>
    <t>PFL13857</t>
  </si>
  <si>
    <t>Envasadora “S” – Línea 28</t>
  </si>
  <si>
    <t>Antonio Jara</t>
  </si>
  <si>
    <t>Operador de envasadora</t>
  </si>
  <si>
    <t>En circunstancias en las que el operador de envasadora Antonio Jara se encontraba verificando las balanzas por un posible atoro, abre la puerta corrediza de la balanza 1, al verificar que se encuentra conforme, procede a abrir la puerta de la balanza 2 sin cerrar la puerta anterior, en ese momento el dedo índice de la mano izquierda queda atrapado entre las dos puerta produciéndole un golpe. En ese momento se dirige al tópico donde es derivado a la clínica San Gabriel para la evaluación correspondiente. Se diagnostica golpe en la el dedo índice de la mano izquierda y se le otorga 3 días de descanso médico.</t>
  </si>
  <si>
    <t>SALA DE OBRADOR</t>
  </si>
  <si>
    <t>ALAN BERTONI DIBURCIO ZARATE</t>
  </si>
  <si>
    <t>TECNICO ELECTRICISTA</t>
  </si>
  <si>
    <t>2 AÑOS 8 MESES</t>
  </si>
  <si>
    <t>Siendo aproximadamente a las 17:30 pm se reporta al área de Mantenimiento un sonido extraño en la faja transportadora 3.1 de línea Fortuna. El técnico de mantenimiento ALAN BERTONI DIBURCIO ZARATE atiende la observación. Mientras buscaba el origen del ruido extraño involuntariamente se apoya con la mano derecha sobre la faja, por la rugosidad de la faja en movimiento, ésta jala la mano y la atrapa entre la faja y el rodillo laminador. Como consecuencia sufre ATRICCION DE LA MANO DERECHA. 
El mismo colaborador realiza la parada de emergencia y da aviso al maquinista de la línea Fortuna (Alexander Taype) para que pueda levantar dicho rodillo.
Se le brinda los primeros auxilios colocando una bolsa de hielo en la mano accidentada y se lo deriva a la clínica San Gabriel cuyo personal médico diagnostica Fisura en dedo meñique de la mano derecha, se le otorgan 3 días de descanso médico.
Se procede a realizar la investigación correspondiente.</t>
  </si>
  <si>
    <t>FAJA TRANSPORTADORA</t>
  </si>
  <si>
    <t>EMBOLSADO DE HARINAS</t>
  </si>
  <si>
    <t>SAMIR CABRERA RAMIREZ</t>
  </si>
  <si>
    <t xml:space="preserve"> 1 mes 17 días</t>
  </si>
  <si>
    <t>Siendo aproximadamente las 10:30 am, el colaborador Samir Cabrera venía colocando sacos en la embolsadora 1, cuando las mordazas se abrieron intempestivamente antes de llegar al final de su carrera, no cumpliendo el ciclo completo de embolsado, por lo que el trabajador retira las manos rápidamente y en ese trayecto se golpea contra parte de la máquina causándole contusión en la mano izquierda. El trabajador fue evacuado a la Clínica San Gabriel, donde se le atendió y se le dio 5 días de descanso médico. Se ha descartado fractura.</t>
  </si>
  <si>
    <t xml:space="preserve">Almacén temporal de harinas </t>
  </si>
  <si>
    <t>Reynaldo Segura Torres</t>
  </si>
  <si>
    <t xml:space="preserve">Estibador de ensaque </t>
  </si>
  <si>
    <t>Aproximadamente a las 10:40 am, el colaborador Reynaldo Segura Torres, en circunstancia que estuvo colocando un pallet de madera de 40 kg vacío en una posición para continuar con la estiba de harina en sacos, durante el movimiento se desclava una de las tablas del pallet donde lo agarraba a una altura de 40 cm y cae sobre la parte baja de la tibia de la pierna derecha causándole un golpe, fue trasladado al tópico de salud ocupacional  en Teal y posterior a la clínica Montefiori donde descartado fractura, recomendaron 3 días de descanso médico.
Se procede a realizar la investigación correspondiente.</t>
  </si>
  <si>
    <t>Joseph Pillaca Pantoja</t>
  </si>
  <si>
    <t>Siendo las 12:50 hrs, mientras el personal estibador Sr. Joseph Pillaca se encontraba apilando sacos de harina en el vehículo de placa W1B876 (Cliente Recoge); este pisa en falso sobre la plataforma del camión, el cual tenía un agujero cubierto por una manta plástica quedando atrapada su pierna izquierda hasta la altura de la rodilla. Luego del evento el accidentado es evacuado por la ambulancia hacia la clínica Montefiori.</t>
  </si>
  <si>
    <t>PLATAFORMA CAMION</t>
  </si>
  <si>
    <t xml:space="preserve">Madeleyne Andrade Genebroso </t>
  </si>
  <si>
    <t>El día 14/05 cerca de las 2:45 am la colaboradora Madeleyne Andrade sufrió una caída cerca a la envasadora primaria D3 en la L4. Mientras se desplazaba, la operadora resbala y cae soportando su peso sobre su mano y brazo izquierdo, luego es trasladada al tópico donde la doctora recomienda llevarla a la clínica para descarta alguna fractura. Ya en la clínica San Gabriel le diagnosticaron una fractura radio distal izquierdo, con lo cual el médico le otorga un descanso de 30 días.</t>
  </si>
  <si>
    <t>Fractura radio distal izquierdo</t>
  </si>
  <si>
    <t>Embolsado – Línea N° 3</t>
  </si>
  <si>
    <t xml:space="preserve">Carlos Benites, Isaac Bryan </t>
  </si>
  <si>
    <t xml:space="preserve">1 MES </t>
  </si>
  <si>
    <t>Durante la realización de la operación del cosido del saco en el embolsado de harinas, el operador se percata que el saco queda atascado en la dobladora y procede a realizar la operación de su liberación. Una vez logra liberar el saco procede a arrancar nuevamente la línea sin percatarse que el colaborador Isaac Carlos Benites que se encontraba en el sector, tenía su mano izquierda en la línea de acción del sistema de la cosedora (polea-faja del motor) sufriendo el aplastamiento de los dedos anular y medio. El colaborador es derivado a la clínica San Gabriel</t>
  </si>
  <si>
    <t>Amputación de brazo en faja transportadora en Centro de Acopio Pailón (DM: ? días)</t>
  </si>
  <si>
    <t>CENTRO DE ACOPIO PAILON</t>
  </si>
  <si>
    <t>DAVID RAMOS</t>
  </si>
  <si>
    <t xml:space="preserve">fractura de la F3 del dedo índice mano izquierda; estaba regulando la bolsa para ajustar el corte de la misma a causa de un desplazamiento de  la bobina. Durante esta operación sufrió un atrapamiento en el dedo índice de la mano izquierda por las mordazas que cortan y sueldan la bolsa. </t>
  </si>
  <si>
    <t>RECEPCIONISTA</t>
  </si>
  <si>
    <t>COCHABAMBAS-Envasado manteca, línea Bolpack</t>
  </si>
  <si>
    <t>DISTRIBUCION PAITA</t>
  </si>
  <si>
    <t>Propios</t>
  </si>
  <si>
    <t>Estibador (IOLSA)</t>
  </si>
  <si>
    <t>Carlos Anselmo Alvarez</t>
  </si>
  <si>
    <t xml:space="preserve"> </t>
  </si>
  <si>
    <t>Ayudante de Máquina</t>
  </si>
  <si>
    <t>Esguince lateral tobillo derecho mientras se encontraba abasteciendo cajas a la maquina armadora de cajas, durante esta actividad pisa un palet vacio  (al palet le falta una tabla inferior al extremo). Cuando pisa cerca al filo del palet este se inclina haciendolo perder el equilibrio y tiene una caida de 10 cm a desnivel</t>
  </si>
  <si>
    <t>amputaciones</t>
  </si>
  <si>
    <t xml:space="preserve">Angel Yosimar Morales Sanchez </t>
  </si>
  <si>
    <t>Operario de producción.</t>
  </si>
  <si>
    <t>Contusión en muñeca de mano izquierdaal  tropezar el pie izquierdo con el borde de la ducha perdiendo el equilibrio y soportando todo su peso con la mano izquierda.</t>
  </si>
  <si>
    <t>BORDE DE DUCHA</t>
  </si>
  <si>
    <t>FRACTURA?</t>
  </si>
  <si>
    <t>ZONA BOQUILLAS</t>
  </si>
  <si>
    <t>Wilmer Azañero Cueva</t>
  </si>
  <si>
    <t>Quemadura y contusión ocular por fuga de producto slurry</t>
  </si>
  <si>
    <t>OPERADOR DE BOQUILLAS</t>
  </si>
  <si>
    <t>5 DÍAS</t>
  </si>
  <si>
    <t>Sigueñas Tequen Luisa Del Carmen</t>
  </si>
  <si>
    <t>Esguince en muñeca de mano derecha al resbalarse durante labores de limpieza y orden linea 4</t>
  </si>
  <si>
    <t xml:space="preserve">RESTOS DE GALLETA </t>
  </si>
  <si>
    <t>Ada Torres Carrasco</t>
  </si>
  <si>
    <t xml:space="preserve">Operador de áreas Anexas </t>
  </si>
  <si>
    <t>Traumatismo del plexo lumbosacro producta de explosión de horno</t>
  </si>
  <si>
    <t>Alan Pereira Lopes</t>
  </si>
  <si>
    <t>3.5 AÑOS</t>
  </si>
  <si>
    <t xml:space="preserve">Auxiliar logísitca </t>
  </si>
  <si>
    <t xml:space="preserve">Lesão em dedo mínimo pé esquerdo veio a passar com o pneu da empilhadeira sobre o seu pé esquerdo </t>
  </si>
  <si>
    <t>Walter Marrufo Suarez</t>
  </si>
  <si>
    <t>Contusión de rodilla izquierda al tener contacto con carro para trasladar extintores</t>
  </si>
  <si>
    <t>CARRITO EXTINTORES</t>
  </si>
  <si>
    <t>OPERADOR 2</t>
  </si>
  <si>
    <t>Avendaño Galindo Haydee</t>
  </si>
  <si>
    <t>1 AÑOS</t>
  </si>
  <si>
    <t>Contusión muñeca izquierda mientras retiraba producto atascado en la faja</t>
  </si>
  <si>
    <t>Inspección Rayos “x” - Línea 3</t>
  </si>
  <si>
    <t xml:space="preserve">operario producción </t>
  </si>
  <si>
    <t xml:space="preserve">Zoila Luz Chanchari Inuma                          </t>
  </si>
  <si>
    <t>SUPERVISORA</t>
  </si>
  <si>
    <t xml:space="preserve">Herida abierta en mano derecha a la altura de Dorso-Carpo cuando procede a limpiar la parte interna de la mezcladora un compañero gira el sinfín de la mezcladora desde otra posición sin percatarse que la persona tenía la mano dentro, lo cual le produce un aprisionamiento en la mano derecha y una herida abierta                        </t>
  </si>
  <si>
    <t>accidentes 
Peru SIN ITDC</t>
  </si>
  <si>
    <t>accidentes 
Peru CON ITDC</t>
  </si>
  <si>
    <t>Peru (sin ITDC)</t>
  </si>
  <si>
    <t>2020 CON itdc</t>
  </si>
  <si>
    <t>PERU CON ITDC</t>
  </si>
  <si>
    <t>OBJ CON ITDC</t>
  </si>
  <si>
    <t>2020 CON ITDC</t>
  </si>
  <si>
    <t>2019 CON ITDC</t>
  </si>
  <si>
    <t>ITDC</t>
  </si>
  <si>
    <t>TOTAL SIN ITDC</t>
  </si>
  <si>
    <t>Quemadura de 1° y 2° grado en muñeca y cuello durante el manipuleo del cilindro con restos de fosfamina para subirlo al camión se produce deflagración en el interior del cilindro provocando que la tapa salga despedida y se produzca un fogonazo que duro unos segundos</t>
  </si>
  <si>
    <t>FOSFAMINA</t>
  </si>
  <si>
    <t>TRANSVIDA</t>
  </si>
  <si>
    <t>3 AÑOS 3 MESES</t>
  </si>
  <si>
    <t>Erick Colca Asto</t>
  </si>
  <si>
    <t>CHOFER (TERCERO)</t>
  </si>
  <si>
    <t>Herida contuso cortante en cuero cabelludo al desvanecerse</t>
  </si>
  <si>
    <t>PROBLEMA DE SALUD</t>
  </si>
  <si>
    <t>Juan Agreda Pasos</t>
  </si>
  <si>
    <t>Auxiliar de Cargas (Estibador)</t>
  </si>
  <si>
    <t>Yahuarcani Zegarra Emir</t>
  </si>
  <si>
    <t>Operario de Limpieza (LIMTEK)</t>
  </si>
  <si>
    <t>LACERACION OJO</t>
  </si>
  <si>
    <t>Lavadero de Elaboración de galletas</t>
  </si>
  <si>
    <t xml:space="preserve">Laceración en córnea de ojo izquierdo realizando labores de preparación de solución de detergente en el coche de limpieza y mientras realizaba la dosificación del detergente M&amp;M 2000 este salpico en el ojo izquierda.
</t>
  </si>
  <si>
    <t>SOLUCION DETERGENTES</t>
  </si>
  <si>
    <t>Luis Alberto Oliva Manrique</t>
  </si>
  <si>
    <t>2do nivel – Edificio elaboración.</t>
  </si>
  <si>
    <t xml:space="preserve">Corrosión Corneo Conjutiva terminaba de bombear el prepagen del primer nivel al tanque de almacenamiento ubicado en el segundo nivel. Subió a revisar el nivel tanque y al abrir la tapa había un exceso de espuma, por lo cual, la brisa llevó el producto a su ojo izquierdo. </t>
  </si>
  <si>
    <t>SOLUCIÓN PREPAGEN</t>
  </si>
  <si>
    <t>CORROSION CORNEA</t>
  </si>
  <si>
    <t>Jhoans Gutierrez Taquio</t>
  </si>
  <si>
    <t>MECÁNICO</t>
  </si>
  <si>
    <t>CUERPO EXTRAÑO AL OJO</t>
  </si>
  <si>
    <t>Cuerpo extraño en retina a revisar el funcionamiento de la faja curva. Por lo que realiza una inspección visual de la parte inferior. En donde, se desprende escoria cayéndole en la vista, producto del contacto de la cadena con la guía.</t>
  </si>
  <si>
    <t>ZONA ROBOTS</t>
  </si>
  <si>
    <t>Reynaldo Valdivia Bernedo</t>
  </si>
  <si>
    <t>Vereda ubicada al costado de la nave antigua del CDA</t>
  </si>
  <si>
    <t>Ayudante B de almacén (CDA)</t>
  </si>
  <si>
    <t xml:space="preserve">Miguel Ramos Zavala </t>
  </si>
  <si>
    <t>25 AÑOS</t>
  </si>
  <si>
    <t xml:space="preserve">Área de bañados </t>
  </si>
  <si>
    <t>Quemadura de 2° grado en palma de la mano derecha a la hora de guardar el decapador, luego de usarlo para desatorar una tubería de cobertura, de manera casual toca la boca del calentador que se encontraba caliente y sufre una quemadura</t>
  </si>
  <si>
    <t>Mendez Saenz Manuel Antonio</t>
  </si>
  <si>
    <t>Esguince acromiom clavicular izquierdo se dispone a lavarse la manos en los servicios higiénicos sin embargo cuando se aproxima al caño se resbala y cae todo su peso en el hombro izquierdo</t>
  </si>
  <si>
    <t>SAN JUSTO; Zona de Robots encajonadores de jabones línea 1</t>
  </si>
  <si>
    <t>Jonathan Silva</t>
  </si>
  <si>
    <t>palletizador</t>
  </si>
  <si>
    <t xml:space="preserve">Herida cortante sobre arco superciliar  izquierdo observa una caja trabada en encintadora de línea 1. En dicho momento dice proceder a apretar el botón de seguridad del equipo y la parada de cinta, pero en lugar de ingresar por la puerta de acceso a encintadora accede parte de su cuerpo por agujero de ingreso de cajas en la reja. Al intentar retirar la caja se acciona el empujador de la encintadora y golpea sobre su ceja. </t>
  </si>
  <si>
    <t>Contusión rotuliana derecha al caer mientras se trasladaba por vereda nave antigua CDA</t>
  </si>
  <si>
    <t>DISTRIBUCION TEAL</t>
  </si>
  <si>
    <t>Golpe en uña y dedo durante cambio de formato de mesa</t>
  </si>
  <si>
    <t>Herida contusa en la frente durante cambio de maq coser</t>
  </si>
  <si>
    <t>Herida contusa en dedor por atrapamiento de faja de transp.packs y faja Rayos X</t>
  </si>
  <si>
    <t>Policontuso por caída de un cuerpo de andamio durante el desarmado</t>
  </si>
  <si>
    <t>Quemadura por salpicadura de Ketchup 80 C durante cambio de tern del piston</t>
  </si>
  <si>
    <t>Atricción de mano derecho en Embolsadora al intentar nivelar el saco y cerrarse la mordaza</t>
  </si>
  <si>
    <t>Caída al resbalarse por piso mojado; personal de LIMTEK no colocó señalética en oficina</t>
  </si>
  <si>
    <t xml:space="preserve">Ambar Torres Berrospi </t>
  </si>
  <si>
    <t>noche</t>
  </si>
  <si>
    <t xml:space="preserve">José Luis Albarracín Caceres </t>
  </si>
  <si>
    <t>Operario volante</t>
  </si>
  <si>
    <t>Cantalicio Carbajal Jean Pierre Junior</t>
  </si>
  <si>
    <t>3 días</t>
  </si>
  <si>
    <t>Carlos Yampufé Riva   (Obrero Contratado)  </t>
  </si>
  <si>
    <t>Operador de Máquina</t>
  </si>
  <si>
    <t>1 mes 20 días</t>
  </si>
  <si>
    <t>Heber Chira Huallpa  (Obrero Contratado)  </t>
  </si>
  <si>
    <t>01 mes y 25 días</t>
  </si>
  <si>
    <t>Rocio Chuy Cachique</t>
  </si>
  <si>
    <t>GESTOR RRLL</t>
  </si>
  <si>
    <t>REFRAGA</t>
  </si>
  <si>
    <t>Ricardo Agreda Linares</t>
  </si>
  <si>
    <t>Operario montajista</t>
  </si>
  <si>
    <t>KETCHUP</t>
  </si>
  <si>
    <t>Jorge Andres Tacul Hernandez</t>
  </si>
  <si>
    <t>Herida Cortante dedo Medio mano izquierda al intentar desatorar esclusa</t>
  </si>
  <si>
    <t>MORON - Sala de molienda de miga</t>
  </si>
  <si>
    <t>Reproceso de Miga</t>
  </si>
  <si>
    <t>limpiando el molino de miga cuando se le cae accidentalmente una llave que él tenía en la mano (que se utiliza para abrir dicho equipo) y esta acciona el botón de marcha del molino, este, al girar le aprisiona y golpea la mano  izquierda. No acciono parada emergencia</t>
  </si>
  <si>
    <t xml:space="preserve">Walter Mariscotti </t>
  </si>
  <si>
    <t>Operador de Envasado</t>
  </si>
  <si>
    <t>Herida en dedo índice mano izquierda (uña rota verticalmente) cuando el operador se encontraba destrabando el apilador de galletas, cuando se acciona el descarte del detector de metales y abre la compuerta de manera automática, justo tenía el dedo apoyado y se apretó el mismo con la compuerta</t>
  </si>
  <si>
    <t>contratado</t>
  </si>
  <si>
    <t>Policontusión por caída de escalera a 1.5 mt durante la colocación de Faja transmisión</t>
  </si>
  <si>
    <t xml:space="preserve">Afección respiratoria no identificada por inhalación de gases al ingresar a SSHH de damas que estaba desinfectada </t>
  </si>
  <si>
    <t xml:space="preserve">Contusión antebrazo derecho al bajar de un pallet tras retiro de bandeja </t>
  </si>
  <si>
    <t xml:space="preserve">Esguince tobillo y pie derecho al pisar mal el lindero de vereda </t>
  </si>
  <si>
    <t xml:space="preserve">Contusión rodilla derecha al tropezar con la esquina de una paleta cayéndose </t>
  </si>
  <si>
    <t xml:space="preserve">Contusión de 2ndo dedo de la mano derecha la extracción de tornillos de un eje de extrusor con comba </t>
  </si>
  <si>
    <t>SISTEMA RESPIRATORIO</t>
  </si>
  <si>
    <t>Isrrael Antonio Holgado Huaman</t>
  </si>
  <si>
    <t>8 DÍAS</t>
  </si>
  <si>
    <t>04 meses y 17 días</t>
  </si>
  <si>
    <t>Héctor Meneses Cuba  </t>
  </si>
  <si>
    <t>OPERARIO PRODUCCION (EX SENATINO)</t>
  </si>
  <si>
    <t>Lopez Hidalgo Nohelya Tatiana</t>
  </si>
  <si>
    <t>DESINFECTANTE</t>
  </si>
  <si>
    <t>INTOXICACIÓN</t>
  </si>
  <si>
    <t>Vargas Robles Rosa María</t>
  </si>
  <si>
    <t>SLEE LEVANO ANDY ENRIQUE</t>
  </si>
  <si>
    <t>VEREDA</t>
  </si>
  <si>
    <t>TRASLADANDOSE A PIE</t>
  </si>
  <si>
    <t>Cayo Ascencio, Susana</t>
  </si>
  <si>
    <t>Rodriguez Crespo Stevenson</t>
  </si>
  <si>
    <t>01 año y 09 meses</t>
  </si>
  <si>
    <t>GG</t>
  </si>
  <si>
    <t>Herida por contuso cortante en pierna derecha, Mientras se desplazaba realizando el movimiento de carro en cinta CV-039 en la parte superior del Silo Horizontal “A”,  , pisa la tapa metálica que cubre la entrada de granos del bajante de distribución, la misma se sale de lugar y hace resbalar al operador insertando el pie dentro del bajante,</t>
  </si>
  <si>
    <t>PLANTA PARQUE INDUSTRIAL - Recepción de granos</t>
  </si>
  <si>
    <t>Lázaro Melcho</t>
  </si>
  <si>
    <t xml:space="preserve">Herida en cuero cabelludo al intentar pasar una caja de colorante a zona de fraccionamiento de Salsas 1 por entre mesa y marco </t>
  </si>
  <si>
    <t xml:space="preserve">Atricción muñeca izquierda en la faja transportadora y polin posterior de la encintadora </t>
  </si>
  <si>
    <t xml:space="preserve">Contusión mano izquierda se encontraba limpiando las barandas de la escalera de elaboración, mientras realizaba dicha actividad pisa mal el escalón, resbalándose y colocando su mano izquierda como apoyo para no caer </t>
  </si>
  <si>
    <t>Aplicación de alcohol a los ojos de un colaborador al ingresar al Predio</t>
  </si>
  <si>
    <t xml:space="preserve">Contusión del brazo derecho y cima de la cabeza por caída del segundo peldaño de una escalera fija durante la limpieza de rutina </t>
  </si>
  <si>
    <t>LIMPIE</t>
  </si>
  <si>
    <t>ALCOHOL</t>
  </si>
  <si>
    <t>IRRITACION</t>
  </si>
  <si>
    <t>OBREGÓN BENDEZÚ, JESSY</t>
  </si>
  <si>
    <t xml:space="preserve">Operario de Envasado </t>
  </si>
  <si>
    <t>17 AÑOS</t>
  </si>
  <si>
    <t>DETERGENTES-LIMTEK</t>
  </si>
  <si>
    <t>George Agurto Noriega</t>
  </si>
  <si>
    <t>MACHADO</t>
  </si>
  <si>
    <t>Alexander Teixeira de Freitas</t>
  </si>
  <si>
    <t>OPERADOR II</t>
  </si>
  <si>
    <t>Jacqueline Castillo Luna</t>
  </si>
  <si>
    <t>VIGLANTE (TERCERO) / Ayudante de pesado – Salsas 3</t>
  </si>
  <si>
    <t>Luis Timo Cruzate</t>
  </si>
  <si>
    <t>Colaborador asistió en el cambio de ventilación de la cabecera de la línea 5 - Nidos, cuando se subió a una pila de tarimas que era para apoyo de la cabeza, al descender sufrió una torcedura en la rodilla izquierda.</t>
  </si>
  <si>
    <t>RODILLA</t>
  </si>
  <si>
    <t>Contusión en sacro al resbalarse en SSHH</t>
  </si>
  <si>
    <t xml:space="preserve">Traumatismo Encefalocraneano al resbalarse saliendo de la ducha </t>
  </si>
  <si>
    <t>DUCHA</t>
  </si>
  <si>
    <t>Quemadura de 2do grado en mano izquierda limpieza de los tableros eléctricos de fuerza del Diagrama “B”  con una brocha, la parte metálica de la misma en contacto con una línea de tensión y la estructura del tablero genera  el corto circuito eléctrico fase-tierra</t>
  </si>
  <si>
    <t>J&amp;W Soluciones Eléctricas</t>
  </si>
  <si>
    <t>ARCO ELECTRICO</t>
  </si>
  <si>
    <t>Amputación distal dedo medio al desmontar la tubería que conecta con la válvula rotativa sin parar el equipo y sin estar autorizado para realizar esta actividad</t>
  </si>
  <si>
    <t>José Miguel Mendoza</t>
  </si>
  <si>
    <t>Transportes Reyes</t>
  </si>
  <si>
    <t>VALVULAROTATIVA</t>
  </si>
  <si>
    <t>Área de adición de micro ingredientes</t>
  </si>
  <si>
    <t>Contratista. Abastecedor de micro ingredientes</t>
  </si>
  <si>
    <t>CORDOVA ESTRADA ROXANA</t>
  </si>
  <si>
    <t>Piralla Zela, Gerónimo Andrés</t>
  </si>
  <si>
    <t>Renan Saldaña Fuentes</t>
  </si>
  <si>
    <t>Técnico Electricista – J&amp;W Soluciones Eléctricas</t>
  </si>
  <si>
    <t>LIMPIEZA DE EQUIPOS</t>
  </si>
  <si>
    <t>LIMPIEZA INSTALACIONES</t>
  </si>
  <si>
    <t>DURANTE OPERACIÓN PRODUCTIVA</t>
  </si>
  <si>
    <t>Maq/Equipos</t>
  </si>
  <si>
    <t>Sust.Quim</t>
  </si>
  <si>
    <t>Fajas</t>
  </si>
  <si>
    <t>EE</t>
  </si>
  <si>
    <t>Escaleras</t>
  </si>
  <si>
    <t>Paletas</t>
  </si>
  <si>
    <t>2021 CON ITDC</t>
  </si>
  <si>
    <t>2021 CON itdc</t>
  </si>
  <si>
    <t xml:space="preserve">Atrapamiento de brazo izquierdo en eje de transmisión de Banco Cilindros </t>
  </si>
  <si>
    <t>EJE TRANSMISION</t>
  </si>
  <si>
    <t>LECITINA</t>
  </si>
  <si>
    <t>MORTAL</t>
  </si>
  <si>
    <t xml:space="preserve">Golpe en la parte posterior de la cabeza al caer mientras subia a la cabina del camión </t>
  </si>
  <si>
    <t xml:space="preserve">Esguince en tobillo izquierdo al resbalar en piso mismo nivel </t>
  </si>
  <si>
    <t xml:space="preserve">Esguince en tobillo izquierdo al descender del montacarga </t>
  </si>
  <si>
    <t>TANQUES</t>
  </si>
  <si>
    <t xml:space="preserve">Dos terceros con quemadura de 1er grado por salpicadura de Acido Sulfúrico </t>
  </si>
  <si>
    <t>Herida en segundo dedo de mano derecha por contacto con faja contigua en movimiento durante el mantenimiento</t>
  </si>
  <si>
    <t xml:space="preserve">Torcedura y esguince de mano derecha al perder el equilibrio al ser golpeado por puerta SSHH </t>
  </si>
  <si>
    <t xml:space="preserve">Ruiz Ijuma Douglas Jhomber </t>
  </si>
  <si>
    <t>Heber Chira Huallpa</t>
  </si>
  <si>
    <t>AYUDANTE MOLINO</t>
  </si>
  <si>
    <t>Alberto Antonio Manrique Masuda</t>
  </si>
  <si>
    <t xml:space="preserve">4 AÑOS 3 MESES </t>
  </si>
  <si>
    <t xml:space="preserve">Freddy Cruz </t>
  </si>
  <si>
    <t>KANAY SAC</t>
  </si>
  <si>
    <t>QEUMADURA</t>
  </si>
  <si>
    <t>ACIDO SULFURICO</t>
  </si>
  <si>
    <t>Edwin Yachachin</t>
  </si>
  <si>
    <t>1 AÑO 9 MESES</t>
  </si>
  <si>
    <t>JUAN GUILLERMO CALVO BERMUDEZ (LIMTEK)</t>
  </si>
  <si>
    <t>OPERARIO LIMPIEZA</t>
  </si>
  <si>
    <t>TRASLADANDOSE</t>
  </si>
  <si>
    <t>Abastecedor de Materiales</t>
  </si>
  <si>
    <t>Francisco Serpa Vega (RUC 1008276111)</t>
  </si>
  <si>
    <t>Fractura de la diáfisis del húmero realizando la limpieza de una mampara en la planta de Salsas 3, para ello utilizaba una escalera de tijera y al subir resbala desde el 3er peldaño cayendo sobre su brazo izquierdo.</t>
  </si>
  <si>
    <t>Ayudante de Carpinteria</t>
  </si>
  <si>
    <t>Traumatismo por aplastamiento de pulgar; Al momento de armar el segundo cuerpo, el trabajador Edwin Castillo pasó una diagonal para que sus compañeros la recibieran, sin embargo el elemento se resbaló y golpeó su índice derecho contra la roseta del andamio</t>
  </si>
  <si>
    <t>Castillo Velez, Edwin Jose</t>
  </si>
  <si>
    <t>LIMTEK-zona acopio</t>
  </si>
  <si>
    <t>EQUIV.PT</t>
  </si>
  <si>
    <t>Var (tons)</t>
  </si>
  <si>
    <t>DISTRIBUCION GLOBAL MANPOWER</t>
  </si>
  <si>
    <t xml:space="preserve">(*) En la planta G&amp;I se reportó 01 accidente el día 19/01/21, sin embargo el testimonio no coincide con lo revisado en las cámaras. Nos encontramos en procesos de investigación, ya que el trabajador se encuentra en DM hasta el 10/03. </t>
  </si>
  <si>
    <t>Bañados</t>
  </si>
  <si>
    <t>Almacén de insumos</t>
  </si>
  <si>
    <t>Área de carga de baterías</t>
  </si>
  <si>
    <t>Linea 2</t>
  </si>
  <si>
    <t>Kerem Gaspar Luna</t>
  </si>
  <si>
    <t>Henry Gonzales Berneo</t>
  </si>
  <si>
    <t>Faustino peña</t>
  </si>
  <si>
    <t>Bruno Elías Candella Cordova</t>
  </si>
  <si>
    <t>Wilfredo Poma</t>
  </si>
  <si>
    <t xml:space="preserve">Reponedor de materiales </t>
  </si>
  <si>
    <t>Controlador de producto terminado</t>
  </si>
  <si>
    <t>28 días</t>
  </si>
  <si>
    <t>Incidente con daño material</t>
  </si>
  <si>
    <t>Siendo las 02:49 pm la trabajadora Kerem Gaspar Luna, se encontraba alimentando galletas en el brazo alimentador de la línea de bañados - Chocoteck 02. Luego al momento de intentar acomodar la galleta con el equipo encendido uno de las espigas (dedos) rozó contra su dedo índice de la mano izquierda, generandole un corte.</t>
  </si>
  <si>
    <t xml:space="preserve">El Martes 19 de enero a las 03:30 am aproximadamente el colaborador Gonzales Berneo Henry se encontraba dirigiéndose con el apilador a la zona de carga de baterías,  al descender del vehículo pisa mal y siente un dolor intenso en el tobillo del pie derecho. </t>
  </si>
  <si>
    <t>Alrededor de las 05:05 am el colaborador FAUSTINO PEÑA se encontraba retirando la batería de la estación de carga para colocarlo en el equipo montacarga el cual estaba a su cargo, cuándo en ese instante ocurre un cortocircuito y se produce un fogonazo eléctrico debido a que un cable dañado hizo contacto con la estructura del montacarga.</t>
  </si>
  <si>
    <t>Siendo las 5pm aproximadamente el colaborador en mención se resbaló en el piso plomo de la línea 2, ubicado entre los brazos alimentadores y el envasado de minis, cuando se dirigía desde la zona de la mesa de acomodo hacia el brazo alimentador de la envasadora A7. Cuando se resbala cae su mano derecha y se genera un leve raspón en el pulgar,  es enviado al tópico en dónde le aplican una crema llamada "sulfallacina de plata" y le vendan la zona de la herida. El colaborador es reubicado en una zona de encajado en su retorno.</t>
  </si>
  <si>
    <t>Siendo las 16:20 pm el reponedor de Materiales Wilfredo Poma se encontraba retirando 1 pallet de manteca ubicado en el sexto nivel del Rack acumulativo de almacenamiento de Insumos, cuando realizaba el retiro del pallet eleva la carga chocando con el travesaño del rack ocasionando que las cajas caigan hasta el primer nivel.</t>
  </si>
  <si>
    <t>Pie</t>
  </si>
  <si>
    <t>Aún en revisión</t>
  </si>
  <si>
    <t>Espigas de zona de brazo alimentador</t>
  </si>
  <si>
    <t>Apilador eléctrico</t>
  </si>
  <si>
    <t>Abastecimiento de galletas</t>
  </si>
  <si>
    <t>Cambio de batería</t>
  </si>
  <si>
    <t>Traslado a pie</t>
  </si>
  <si>
    <t>Reponer insumos</t>
  </si>
  <si>
    <t>RASPÓN</t>
  </si>
  <si>
    <t xml:space="preserve">Trauma de ligamentos del pulgar su intento de cortar una cinta adhesiva presionándola con su pulgar </t>
  </si>
  <si>
    <t>Ruptura traumática de ligamento del dedo al golpearse contra la pared durante la limpieza de pallets con el escobillón  tipo erizo</t>
  </si>
  <si>
    <t>Atricción de tercer dedo mano izquierda con la mordaza de la embolsadora de sacos activada por pedal</t>
  </si>
  <si>
    <t xml:space="preserve">Herida cortante en pierna derecha con el estilete que topa su pierna derecha durante el desplazamiento de un saco </t>
  </si>
  <si>
    <t>CINTA ADHESIVA</t>
  </si>
  <si>
    <t>ESTILETE</t>
  </si>
  <si>
    <t>RUPTURA LIGAMENTO</t>
  </si>
  <si>
    <t>Juan Tipula Tipula</t>
  </si>
  <si>
    <t>Meléndez García Alejandro </t>
  </si>
  <si>
    <t>Jilmar Quispe Pinto</t>
  </si>
  <si>
    <t>Moises Cabal</t>
  </si>
  <si>
    <t>ABASTECEDOR</t>
  </si>
  <si>
    <t>1 SEMANA</t>
  </si>
  <si>
    <t>Esguince del tobillo izquierdo al momento de bajar escalera del enfriador linea 3</t>
  </si>
  <si>
    <t>FINO WARNES (PDF)</t>
  </si>
  <si>
    <t>SAO (PARQUE INDUSTRIAL)</t>
  </si>
  <si>
    <t>APT MOLINO SANTA ROSA</t>
  </si>
  <si>
    <t>ALEGRE  DAMIAN ALEJANDRO</t>
  </si>
  <si>
    <t>MIO ORDOÑEZ ARCADIO RAFAEL</t>
  </si>
  <si>
    <t>PALOMINO TARAZONA LILA IRIS</t>
  </si>
  <si>
    <t>GONZALES BERNEO HENRY CHRISTIAN</t>
  </si>
  <si>
    <t>RIMARACHIN MUÑOZ ELVER</t>
  </si>
  <si>
    <t>VPE 3116</t>
  </si>
  <si>
    <t>BOMBA</t>
  </si>
  <si>
    <t>FLORES CARRANZA EDWIN IGNACIO</t>
  </si>
  <si>
    <t>3 AÑOS Y 5 MESES</t>
  </si>
  <si>
    <t>Prensa Línea 29 (Unidad Pennout)</t>
  </si>
  <si>
    <t>FRACTUA</t>
  </si>
  <si>
    <t>ARO ACCESORIO</t>
  </si>
  <si>
    <t>GOMEZ ARELLANO JENRY YSAAC</t>
  </si>
  <si>
    <t>1 MES Y 25 DIAS</t>
  </si>
  <si>
    <t>BANDEJA</t>
  </si>
  <si>
    <t>Línea 01</t>
  </si>
  <si>
    <t>1er nivel – Edificio envasado.</t>
  </si>
  <si>
    <t>ANGULO SALAZAR GIANCARLO HIGINIO</t>
  </si>
  <si>
    <t xml:space="preserve">COSEDORA </t>
  </si>
  <si>
    <t>HERIA</t>
  </si>
  <si>
    <t>GARCIA ARANDA JOSE LUIS</t>
  </si>
  <si>
    <t>Edificio Embolsado - 8vo Piso</t>
  </si>
  <si>
    <t>TAPA DEL CABEZAL</t>
  </si>
  <si>
    <t>ESPINO GUERRERO GILBERT EDUARDO</t>
  </si>
  <si>
    <t xml:space="preserve">8 AÑOS </t>
  </si>
  <si>
    <t xml:space="preserve">Zona de Despacho de Harina a granel </t>
  </si>
  <si>
    <t>Etiquetadora – Línea ACMA</t>
  </si>
  <si>
    <t>BAUTISTA ALVAREZ ALEXANDER ALBERTO</t>
  </si>
  <si>
    <t>OPERADOR DE MAQUINA</t>
  </si>
  <si>
    <t xml:space="preserve">7 MESES y 23 DIAS </t>
  </si>
  <si>
    <t>ETIQUETADORA</t>
  </si>
  <si>
    <t xml:space="preserve">10 AÑOS </t>
  </si>
  <si>
    <t>OPERARIO FERRERO</t>
  </si>
  <si>
    <t>MILACHAY HURTADO CARLOS MICHEL</t>
  </si>
  <si>
    <t>ANDAMIO</t>
  </si>
  <si>
    <t>VILLASANTI  SERGIO DAVID</t>
  </si>
  <si>
    <t>OPERARIO TECNICO NIVEL 4</t>
  </si>
  <si>
    <t xml:space="preserve">11 AÑOS </t>
  </si>
  <si>
    <t>MANIJA - VALVULA</t>
  </si>
  <si>
    <t>PDF-BOLIVIA</t>
  </si>
  <si>
    <t>JULIO CESAR BARRERO SANTEYANA</t>
  </si>
  <si>
    <t>AMOLADOR</t>
  </si>
  <si>
    <t>CALAMINA</t>
  </si>
  <si>
    <t>Empresa: MMG S.A</t>
  </si>
  <si>
    <t>IMECO</t>
  </si>
  <si>
    <t>Expedição</t>
  </si>
  <si>
    <t>DA SILVA JUNIOR ARMANDO SALES</t>
  </si>
  <si>
    <t>AUXILIAR LOGISTICA</t>
  </si>
  <si>
    <t xml:space="preserve">5 MESES </t>
  </si>
  <si>
    <t xml:space="preserve">FILME STRETCH </t>
  </si>
  <si>
    <t>SIN DAÑO PERSONAL</t>
  </si>
  <si>
    <t>Desplome de producto (manteca) – Racks de almacenamiento</t>
  </si>
  <si>
    <t>Incicente de alto potencial</t>
  </si>
  <si>
    <t xml:space="preserve">Caída de dos cajas de lejía </t>
  </si>
  <si>
    <t>Planta de Ósmosis Inversa</t>
  </si>
  <si>
    <r>
      <t xml:space="preserve">Operador de </t>
    </r>
    <r>
      <rPr>
        <sz val="10"/>
        <color rgb="FF1F497D"/>
        <rFont val="Calibri"/>
        <family val="2"/>
        <scheme val="minor"/>
      </rPr>
      <t>Recepción de Granos</t>
    </r>
  </si>
  <si>
    <r>
      <t>Quemadura de segundo grado en región dorsal</t>
    </r>
    <r>
      <rPr>
        <sz val="10"/>
        <rFont val="Calibri"/>
        <family val="2"/>
        <scheme val="minor"/>
      </rPr>
      <t xml:space="preserve"> durante la descarga de lecitina en la zona de tanques de aceite </t>
    </r>
  </si>
  <si>
    <r>
      <t>Opera</t>
    </r>
    <r>
      <rPr>
        <sz val="10"/>
        <rFont val="Calibri"/>
        <family val="2"/>
        <scheme val="minor"/>
      </rPr>
      <t xml:space="preserve">dor 2 de Molino </t>
    </r>
  </si>
  <si>
    <r>
      <t>Operario de limpieza</t>
    </r>
    <r>
      <rPr>
        <sz val="10"/>
        <rFont val="Calibri"/>
        <family val="2"/>
        <scheme val="minor"/>
      </rPr>
      <t>/Limtek</t>
    </r>
  </si>
  <si>
    <t>Segundo nivel del Desodorizador #4</t>
  </si>
  <si>
    <t xml:space="preserve">Cortes de fluido eléctrico de los tableros en el Deo y la Subestación 3. </t>
  </si>
  <si>
    <t xml:space="preserve">Sufre una atricción en la yema del tercer dedo de su mano derecha durante el mantenimiento de la bomba de inyección de grasa en el taller </t>
  </si>
  <si>
    <t>Traumatismo por aplastamiento con Fractura de dedo en la mano al finalizar cambio de formato y al retirar el equipo de corte diagonal</t>
  </si>
  <si>
    <t xml:space="preserve">Contusión de 5to dedo de la mano izquierda al realizar el cambio de bandeja llena por vacía </t>
  </si>
  <si>
    <t>El colaborador se encontraba laborando en la línea manual cosiendo los sacos de 14 Kg repentinamente sus dedos ingresan al dispositivo de la cosedora y sufre contusión y lesión leve</t>
  </si>
  <si>
    <t xml:space="preserve">Concluida la carga del primer compartimento y procediendo a retirar la sonda de carga siente un olor a gas fosfina procediendo a parar todo el sistema de despacho y retirarse a una zona ventilada. Inflamación de vías respiratorias </t>
  </si>
  <si>
    <t xml:space="preserve">Cuando el colaborador interviene en la etiquetadora de la línea ACMA, para retirar restos de bobina que estaba ocasionando un atascamiento. Traumatismo en el dedo índice de la mano izquierda </t>
  </si>
  <si>
    <t xml:space="preserve">Contusión leve en espalda mientras descendia de andamio </t>
  </si>
  <si>
    <t>Contusión en zona de parpado izquierdo al realizar el cierre de la válvula de fondo del tanque ecualizador de efluente</t>
  </si>
  <si>
    <t xml:space="preserve">Policontuso (Golpes Múltiples) Herida en región tenar de la mano derecha al caer durante el cambio de calaminas del techo de post limpieza </t>
  </si>
  <si>
    <t xml:space="preserve">Posible fractura mano izquierda al caer tras tropezarse con la paleta que envolvía con stretch film </t>
  </si>
  <si>
    <t xml:space="preserve">Luego de destrabada la otra media tapa, se percata del corte en el nudillo del dedo medio de su mano derecha. </t>
  </si>
  <si>
    <t>INCIDENTES ALTO POTENCIAL Y DAÑO MATERIAL</t>
  </si>
  <si>
    <t>Ayudante de Almacen</t>
  </si>
  <si>
    <t>Fractura de tibia y peroné - pierna derecha</t>
  </si>
  <si>
    <t>Ceva Logística</t>
  </si>
  <si>
    <t>Vestuarios Supervisores Galletas</t>
  </si>
  <si>
    <t>VILCAPOMA PUMA GIANCARLO FREDDY</t>
  </si>
  <si>
    <t xml:space="preserve">MONITOR DE PRODUCCION </t>
  </si>
  <si>
    <t>Fractura del dedo anular del pie derecho</t>
  </si>
  <si>
    <t>Embolsadora 1</t>
  </si>
  <si>
    <t>MAGUIÑA TACUNAN MARTIN JESUS</t>
  </si>
  <si>
    <t>MAQUINA DE COSER</t>
  </si>
  <si>
    <t xml:space="preserve">ENVASADORA LÍNEA 28     </t>
  </si>
  <si>
    <t>PEÑA OSORIO CARLOS ALBERTO</t>
  </si>
  <si>
    <t>18 años y 11 meses</t>
  </si>
  <si>
    <t xml:space="preserve">MESAS TRANSPORTADORAS </t>
  </si>
  <si>
    <t>GONZALES CUESPAN MIGUELINA</t>
  </si>
  <si>
    <t>OPERADORA ENCAJADORA AUTOMÁTICA</t>
  </si>
  <si>
    <t xml:space="preserve">BALDES DE KETCHUP </t>
  </si>
  <si>
    <t>ALEX GAUTO TRINIDAD</t>
  </si>
  <si>
    <t>OPERARIO EVENTUAL</t>
  </si>
  <si>
    <t>El colaborador estaba realizando tareas de vaciado del remanente por cambio de producto de la línea R150 sufre una quemadura de grado A-B</t>
  </si>
  <si>
    <t>MANGUERA</t>
  </si>
  <si>
    <t xml:space="preserve">PLANTA GARIN (AREGNTINA) </t>
  </si>
  <si>
    <t xml:space="preserve">El colaborador sufre quemadura de 2do Grado con agua caliente en su brazo derecho durante revisión de filtro de válvula en las bombas de agua del caldero </t>
  </si>
  <si>
    <t>Área de Calderos</t>
  </si>
  <si>
    <t>JULIO COLORADO</t>
  </si>
  <si>
    <t>CLALDERISTA</t>
  </si>
  <si>
    <t>1AÑO</t>
  </si>
  <si>
    <t>FILTRO DE VALVULA</t>
  </si>
  <si>
    <t>CBBA (COCHABAMBA)</t>
  </si>
  <si>
    <t>FINO PDF</t>
  </si>
  <si>
    <t>ERWIN ARMEJO SANCHEZ</t>
  </si>
  <si>
    <t>AYUDANTE RECEPCION DE GRANO</t>
  </si>
  <si>
    <t xml:space="preserve">TUBO </t>
  </si>
  <si>
    <t>Almacenes</t>
  </si>
  <si>
    <t>SAO - BOLIVA</t>
  </si>
  <si>
    <t xml:space="preserve">Golpe a la nariz ajustando un perno </t>
  </si>
  <si>
    <t>ALMACEN INSUMOS-ENVASES</t>
  </si>
  <si>
    <t>Al Colaborador le cae una pieza metálica desde la paleta de un montacargas sobre su cabeza presenta una herida de 4 cm en región frontal en la faja</t>
  </si>
  <si>
    <t>Sufre quemadura de 2do. grado a la altura de la muñeca en su intento de retirar una bolsa de Ketchup por debajo de puerta enclavada que cayó fuera del balde.</t>
  </si>
  <si>
    <t>El colaborador resenta herida en pulpejo de segundo dedo de mano derecha -Traumatismo por aplastamiento en cosedora de sacos</t>
  </si>
  <si>
    <t>Planta Picarones</t>
  </si>
  <si>
    <t>Traumatismo superficial de la nariz</t>
  </si>
  <si>
    <t>REJILLA DE VENTILADOR</t>
  </si>
  <si>
    <t xml:space="preserve">2do nivel  Edificio envasado: </t>
  </si>
  <si>
    <t>RAMIREZ CASTILLO JOHN RUBEN</t>
  </si>
  <si>
    <t>OPERADOR DE ENVASADORA MASIPACK</t>
  </si>
  <si>
    <t>Herida del cuero cabelludo</t>
  </si>
  <si>
    <t>GABINETE DE EPP</t>
  </si>
  <si>
    <t>PARIONA PEREZ SAUL RUBEN</t>
  </si>
  <si>
    <t>OPERADOR MANUFACTURA SALSAS</t>
  </si>
  <si>
    <t>CONTUSION EN MANO DERECHA</t>
  </si>
  <si>
    <t>7 AÑOS Y MEDIO</t>
  </si>
  <si>
    <t>Escalera posterior – Edificio envasado</t>
  </si>
  <si>
    <t>BECERRA CARRANZA JHONNY PERCY</t>
  </si>
  <si>
    <t>Contusiones múltiples por caída</t>
  </si>
  <si>
    <t>Edificio Nueva descarga de harina a granel MCA (Piso 1)</t>
  </si>
  <si>
    <t>MEJIA HUACCHILLO RONALD JACK</t>
  </si>
  <si>
    <t>Traumatismo intracraneal (Golpe Leve en la Cabeza)</t>
  </si>
  <si>
    <t>OPERARIO DE CARPINTERÍA</t>
  </si>
  <si>
    <t>MARTILLO</t>
  </si>
  <si>
    <t>TIAGO ALBERIONE DOMINGUES DE PAULA</t>
  </si>
  <si>
    <t xml:space="preserve">LIMPEZA TÉCNICA </t>
  </si>
  <si>
    <t>Possível fratura nos quatro dedos da mão direita (aguardando avalição por ortopedista)</t>
  </si>
  <si>
    <t xml:space="preserve">TAPA DE AMASADORA </t>
  </si>
  <si>
    <t>PRESIÓN MANO</t>
  </si>
  <si>
    <t>Empresa G3</t>
  </si>
  <si>
    <t xml:space="preserve">PLANTA MACHADO </t>
  </si>
  <si>
    <t>ALMACENES</t>
  </si>
  <si>
    <t>ALAMCENES</t>
  </si>
  <si>
    <t>ENE</t>
  </si>
  <si>
    <t>FEB</t>
  </si>
  <si>
    <t>MAR</t>
  </si>
  <si>
    <t>ABR</t>
  </si>
  <si>
    <t>MAY</t>
  </si>
  <si>
    <t>JUN</t>
  </si>
  <si>
    <t>JUL</t>
  </si>
  <si>
    <t>AGO</t>
  </si>
  <si>
    <t>SET</t>
  </si>
  <si>
    <t>OCT</t>
  </si>
  <si>
    <t>NOV</t>
  </si>
  <si>
    <t>DIC</t>
  </si>
  <si>
    <t>IF 2020</t>
  </si>
  <si>
    <t>IS 2020</t>
  </si>
  <si>
    <t>IF 2021</t>
  </si>
  <si>
    <t>IS 2021</t>
  </si>
  <si>
    <t xml:space="preserve">IF OBJ </t>
  </si>
  <si>
    <t>IS OBJ</t>
  </si>
  <si>
    <t>MES</t>
  </si>
  <si>
    <t>INCIDENTES/DAÑO MATERIAL</t>
  </si>
  <si>
    <t>TOTAL ORGANIZACIÓN</t>
  </si>
  <si>
    <t>Est.Anual.</t>
  </si>
  <si>
    <t xml:space="preserve">5 AÑOS </t>
  </si>
  <si>
    <t>Dislocación hombro izquierdo</t>
  </si>
  <si>
    <t>FERNANDO VALIENTE</t>
  </si>
  <si>
    <t>EMPRESA M&amp;M</t>
  </si>
  <si>
    <t xml:space="preserve">MOLINO FAUCETT </t>
  </si>
  <si>
    <t>Edificio de Molienda AB – 1er piso</t>
  </si>
  <si>
    <t>BECERRA DIAZ MAXIMO</t>
  </si>
  <si>
    <t>1 AÑO Y MEDIO</t>
  </si>
  <si>
    <t>Herida cortante en dedos anular y medio de mano derecha.</t>
  </si>
  <si>
    <t xml:space="preserve">helicoidal </t>
  </si>
  <si>
    <t>VILCARROMERO JULCA CARLOS ALBERTO</t>
  </si>
  <si>
    <t>OPERADOR ENCAJADORA S2</t>
  </si>
  <si>
    <t xml:space="preserve">Quemadura 1 er. Grado en zona de espalda y hombro izquierdo </t>
  </si>
  <si>
    <t>TECHO DE SALSAS 1</t>
  </si>
  <si>
    <t>PLANTA MOLINOS</t>
  </si>
  <si>
    <t xml:space="preserve">WILMER DE LA CRUZ SANTAMARIA </t>
  </si>
  <si>
    <t>ESTIBADOR DE SACOS DE HARINA</t>
  </si>
  <si>
    <t>Herida Contuso cortante en zona parietal.</t>
  </si>
  <si>
    <t>SACOS DE HARINA</t>
  </si>
  <si>
    <t>EMPERSA NEXOS</t>
  </si>
  <si>
    <t>DIAZ  JESUS NAZARENO</t>
  </si>
  <si>
    <t>OPERARIO DE TORRE SPRAY</t>
  </si>
  <si>
    <t>Heridas cortantes en dedos índice y pulgar, mano derecha.</t>
  </si>
  <si>
    <t>TAPON</t>
  </si>
  <si>
    <t xml:space="preserve">CHILE </t>
  </si>
  <si>
    <t xml:space="preserve">PLANTA VITAPRO </t>
  </si>
  <si>
    <t>Corte de dedo índice de mano derecha</t>
  </si>
  <si>
    <t xml:space="preserve">EDUARDO FRIAS VELÁSQUEZ </t>
  </si>
  <si>
    <t>SUPERVISOR</t>
  </si>
  <si>
    <t>TAPA</t>
  </si>
  <si>
    <t>EDIFICIO DE LIMPIEZA A – 6TO PISO</t>
  </si>
  <si>
    <t>SAGASTEGUI VILCA JOSE EDUARDO</t>
  </si>
  <si>
    <t>COORDINADOR DE MOLINO</t>
  </si>
  <si>
    <t>Herida cortante mano derecha</t>
  </si>
  <si>
    <t xml:space="preserve">ROSCA MOJADORA B </t>
  </si>
  <si>
    <t>NUÑEZ  DIEGO ABEL</t>
  </si>
  <si>
    <t>OPERARIO TOCADOR</t>
  </si>
  <si>
    <t>Quemadura de 1°grado  superficial por agente químico en ambas mejillas y mentón. Se observa irritación ocular en ambos ojos y foto sensibilidad, no hay presencia de ulceraciones.</t>
  </si>
  <si>
    <t>VILLANUEVA ALAYO CARLOS WILLAN</t>
  </si>
  <si>
    <t>Laceración ocular en el ojo izquierdo.</t>
  </si>
  <si>
    <t xml:space="preserve">BOMBA NEUMÁTICA </t>
  </si>
  <si>
    <t xml:space="preserve">IRRITACIÓN EN EL ROSTRO </t>
  </si>
  <si>
    <t>ZONA ENFARDADO  1 ER PISO</t>
  </si>
  <si>
    <t>CONDORI FERNANDEZ NEVER</t>
  </si>
  <si>
    <t xml:space="preserve">El operador  rutinariamente,  abrió la puerta de la enfardadora para proceder con la limpieza usando  escobilla y aire comprimido. En ese momento  una particula de detergente  ingresa a su ojo derecho  ocasionándole irritación </t>
  </si>
  <si>
    <t xml:space="preserve">IRRITACIÓN EN EL OJO </t>
  </si>
  <si>
    <t>GLOBAL ALIMENTOS  - ÑAÑA</t>
  </si>
  <si>
    <t>ELME PALOMINO JUAN CARLOS</t>
  </si>
  <si>
    <t>OPERADOR DE EXTRUSION</t>
  </si>
  <si>
    <t>Herida cortante dedo medio de la mano izquierda.</t>
  </si>
  <si>
    <t xml:space="preserve">EXTRUSOR N°4. </t>
  </si>
  <si>
    <t>CHANAME LIMA MANUEL ALEXANDER</t>
  </si>
  <si>
    <t>PLANTA SALSAS 3</t>
  </si>
  <si>
    <t>BOLSA DE JABA</t>
  </si>
  <si>
    <t>Celulitis por mordedura de araña en dorso de mano izquierda</t>
  </si>
  <si>
    <t>MORDEDURA ARAÑA</t>
  </si>
  <si>
    <t>EDIFICIO DE ENVASADO MFA – 2DO PISO</t>
  </si>
  <si>
    <t>PEREZ AMBROSIO LEANDRO ESTEFANO</t>
  </si>
  <si>
    <t>Herida cortante en dedo índice de la mano derecha.</t>
  </si>
  <si>
    <t>MALLA</t>
  </si>
  <si>
    <t>GONZALEZ Y OLAVARRIA (SIGMA PLAGAS)</t>
  </si>
  <si>
    <t>DOROTEO RODRIGUEZ LIZ MELISSA</t>
  </si>
  <si>
    <t>Contusión en quinto dedo de la mano izquierda sin daño de uña</t>
  </si>
  <si>
    <t xml:space="preserve">TOLVA DE SÓLIDOS </t>
  </si>
  <si>
    <t>MILLAPEL ANDRADE JUAN BAUTISTA</t>
  </si>
  <si>
    <t>OPERARIO CARGA DE SILOS</t>
  </si>
  <si>
    <t>1 AÑO Y 1 MES</t>
  </si>
  <si>
    <t>Herida cortante de menos de 1 cm en el dorso de la mano izquierda.</t>
  </si>
  <si>
    <t>MAXI - SACOS</t>
  </si>
  <si>
    <t>QUEVEDO CONDOR LUIS ANGEL</t>
  </si>
  <si>
    <t>COMEDOR</t>
  </si>
  <si>
    <t>AYUDANTE DE COCINA</t>
  </si>
  <si>
    <t>MAÑANA</t>
  </si>
  <si>
    <t>ZONA DE PREPARACION</t>
  </si>
  <si>
    <t>CARMIN GOURMET S.A.C</t>
  </si>
  <si>
    <t>Corte En Palma De Mano Izquierda</t>
  </si>
  <si>
    <t>ZONA DE RECEPCION DE TRIGO</t>
  </si>
  <si>
    <t>1 AÑO Y 9 MESES</t>
  </si>
  <si>
    <t>Dermatitis de Contacto por irritantes</t>
  </si>
  <si>
    <t>FOSAS NASALES</t>
  </si>
  <si>
    <t>RAMIREZ JUAN CARLOS</t>
  </si>
  <si>
    <t>Quemadura 1er grado región dorsal mano derecha Opacidad conjuntival.</t>
  </si>
  <si>
    <t>GUARDAMOTOR DEL CV - 002</t>
  </si>
  <si>
    <t>DE LA CRUZ ROJAS,BLADIMIR MARCO</t>
  </si>
  <si>
    <t>ELEVADOR DE CARGA</t>
  </si>
  <si>
    <t>Contusión en la pierna izquierda</t>
  </si>
  <si>
    <t>PUERTA DEL ASCENSOR Y STOCKA</t>
  </si>
  <si>
    <t>Ricardo Corrales Valqui</t>
  </si>
  <si>
    <t xml:space="preserve">Siendo las 12:00 pm el operador Ricardo Corrales, se encontraba realizando la alimentación manual (lampeo) de crema de chocolate para la producción de la galleta casino. Durante dicha actividad de lampeo siente un tirón en el dedo pulgar de la mano izquierda, el cual le impedía flexionarlo y continuar sus actividades. </t>
  </si>
  <si>
    <t>ERGONÓMICO</t>
  </si>
  <si>
    <t>SINOVITIS Y TENSOSINOVITIS</t>
  </si>
  <si>
    <t>TANTARUNA VARGAS JONATHAN MARTIN</t>
  </si>
  <si>
    <t>Opeario de producción</t>
  </si>
  <si>
    <t>El trabajador se encontraba realizando labores de limpieza de túnel de enfriamiento de Bañadora Montanari, y al intentar desmontar el polín, este cae sobre la mano derecha ocasionándole un golpe y un leve sangrado, debido a la presión del golpe con la estructura del túnel.</t>
  </si>
  <si>
    <t>PGL17151</t>
  </si>
  <si>
    <t>Joel de la Cruz Oblitas</t>
  </si>
  <si>
    <t>Preparador de ingredientes</t>
  </si>
  <si>
    <t>El viernes 02 de Julio, siendo las 07:53 a.m., se realizaba el cambio de la faja sinfín de la línea 04. Durante esta actividad, el colaborador Joel de la Cruz se encontraba apoyando, en la instalación, uno de los polines y durante esta acción realiza una postura inadecuada, la cual le genera un dolor en la zona lumbar.</t>
  </si>
  <si>
    <t>PUYEN SOTERO MARTIN</t>
  </si>
  <si>
    <t>PROYECTO EXPROPIACION - PATIO GALLETERA</t>
  </si>
  <si>
    <t>OPERARIO CIVIL</t>
  </si>
  <si>
    <t>HOMBRO Y BRAZO</t>
  </si>
  <si>
    <t>Contusión Hombro - Brazo(Derecho)</t>
  </si>
  <si>
    <t xml:space="preserve">ECEL </t>
  </si>
  <si>
    <t>LÍNEA 03- MÁQUINA ENVASADORA C8</t>
  </si>
  <si>
    <t>BAÑADOS</t>
  </si>
  <si>
    <t>FAJA SINFÍN LÍNEA 04</t>
  </si>
  <si>
    <t>CARGA DE SILOS</t>
  </si>
  <si>
    <t>FRANCO DE ZAPATA MARILU</t>
  </si>
  <si>
    <t>ENFERMERA</t>
  </si>
  <si>
    <t>12 MESES</t>
  </si>
  <si>
    <t>RODILLA,COSTILLA,MANO Y TOBILLO</t>
  </si>
  <si>
    <t>ALERATA MEDICA</t>
  </si>
  <si>
    <t>POLIN</t>
  </si>
  <si>
    <t>UNIDAD DE RESPUESTA A EMERGENCIA</t>
  </si>
  <si>
    <t>NORIEGA GOMEZ EDUARDO JOSE</t>
  </si>
  <si>
    <t>INSPECTOR DE SEGURIDAD</t>
  </si>
  <si>
    <t>3 MESES Y 14 DIAS</t>
  </si>
  <si>
    <t xml:space="preserve">PEDAL DEL ENBRAIGUE </t>
  </si>
  <si>
    <t>ZONA DE LA TOLVA DE TRIGO</t>
  </si>
  <si>
    <t>ESGUINSE</t>
  </si>
  <si>
    <t>SALA DE MANDO - RECEPCION DE GRANOS (PLANTA PARQUE INDUSTRIAL )</t>
  </si>
  <si>
    <t>CORRALES VALQUI RICARDO MANUEL</t>
  </si>
  <si>
    <t>TAPIA VARGAS ANDRES AVELINO</t>
  </si>
  <si>
    <t>LINEA 4 DE GALLETAS</t>
  </si>
  <si>
    <t>MECANICO DE MANTENIMIENTO</t>
  </si>
  <si>
    <t>19 AÑOS Y 3 MESES</t>
  </si>
  <si>
    <t>CUCHILLA DE LA MAQUINA ROTATIVA</t>
  </si>
  <si>
    <t>5MESES</t>
  </si>
  <si>
    <t>PALOMINO ALFARO JORGE AVELINO</t>
  </si>
  <si>
    <t>LINEA 3 - DETECTOR DE METALES</t>
  </si>
  <si>
    <t>19 AÑOS Y 6 MESES</t>
  </si>
  <si>
    <t>POLIN DE TRANSPORTADOR</t>
  </si>
  <si>
    <t>CORTES</t>
  </si>
  <si>
    <t>VALLE ALAYO CARLA ESTEFANIA ATHENEA</t>
  </si>
  <si>
    <t>INGENIERO DE CALIDAD</t>
  </si>
  <si>
    <t>1 MES Y 5 DIAS</t>
  </si>
  <si>
    <t>LUMBAR</t>
  </si>
  <si>
    <t>PATIO</t>
  </si>
  <si>
    <t>NAVARRO FALEN CHRISTIAN JESUS</t>
  </si>
  <si>
    <t>ZONA DE SELECCIÓN DE PASAS</t>
  </si>
  <si>
    <t>LONA DE SELECCIÓN DE PASAS</t>
  </si>
  <si>
    <t>VELASCO PANIAGUA FRAHAN REINALDO</t>
  </si>
  <si>
    <t>PLANTA DON FELIPE - PREPARACION DE GRANO TECNAL</t>
  </si>
  <si>
    <t>EJECUTOR DE MANTENIMIENTO MECANICO</t>
  </si>
  <si>
    <t>RODILLO DE LAMINADOR</t>
  </si>
  <si>
    <t>TORREZ CONDORI ANTONIO</t>
  </si>
  <si>
    <t>ESTIBAJE</t>
  </si>
  <si>
    <t>26 AÑOS</t>
  </si>
  <si>
    <t xml:space="preserve">Aliado Laboral </t>
  </si>
  <si>
    <t>LUJAN MANRIQUE JOSE JHONNY</t>
  </si>
  <si>
    <t>6 MESE Y 11 DIAS</t>
  </si>
  <si>
    <t>ENVASADORA BOSCH</t>
  </si>
  <si>
    <t>VELASQUEZ CARRANZA LUCIO FLORENTINO</t>
  </si>
  <si>
    <t>OPERADOR LAVANDERIA</t>
  </si>
  <si>
    <t>PIN DE ENVASADORA 5A</t>
  </si>
  <si>
    <t>FINO WARNER (PDF)</t>
  </si>
  <si>
    <t xml:space="preserve">Contusión en la región lumbrosacra mientras inspeccionaba el producto recepcionado (pollos) en el interior de la unidad de transporte refrigerada ubicada en el patio de maniobras 1. Durante la ejecución de esta tarea, pisó en falso perdiendo el equilibrio ocasionado un golpe en la espalda. </t>
  </si>
  <si>
    <t xml:space="preserve">Licenciada de Enfermería de Mol.Callao sufre traumatismos superficiales múltiples, golpe la rodilla izquierda, la costilla del lado izquierdo, mano derecha y tobillo izquierdo mientras bajaba por escalera del comedor (DM: 3 días) </t>
  </si>
  <si>
    <t xml:space="preserve">Inspector de Seguridad de Copsa sufre Esguince de rodilla izquierda cuando al intentar bajar de la camioneta de seguridad queda atorado su pie izquierdo en el pedal del embrague </t>
  </si>
  <si>
    <t xml:space="preserve">Herida cortante en dedo pulgar mano derecha mientras ajustaba la cuchilla de la máquina rotativa en la línea 4 de galletas con el equipo detenido </t>
  </si>
  <si>
    <t xml:space="preserve">Herida dedo pulgar mano derecha al activarse el pistón de rechazo del equipo mientras retiraba el polín del transportador ubicado en el detector de metales, zona de envasado Línea 3 </t>
  </si>
  <si>
    <t xml:space="preserve">El colaborador apoya su mano en una baranda vertical cuando el operador de máquina reinicia el equipo, a continuación, la baranda se pliega y golpea su mano </t>
  </si>
  <si>
    <t xml:space="preserve">Fractura del 2do, 3er y 4to Metacarpo de la mano derecha por atrapamiento con polín que se encontraba debajo de la faja mientras realizaba la labor de limpieza de la lona de selección de pasas </t>
  </si>
  <si>
    <t>Contusión de la rodilla derecha mientras descendia por la escalera y pierde el equilibrio soportando su peso sobre la rodilla derecha</t>
  </si>
  <si>
    <t>MOLINO CALLAO - ESCALERA COMEDOR</t>
  </si>
  <si>
    <t xml:space="preserve">Contusión medio pie derecho por el pallet que el montacarguista estaba ingresando al camión. </t>
  </si>
  <si>
    <t xml:space="preserve">Herida contusa en dedo pulgar izquierdo al apoyarse en el protector de la transmisión con resguardo incompleto, se había retirado una ventana lateral para que pueda colocarse el rectificador de rodillos laminadores. </t>
  </si>
  <si>
    <t>RUIZ SULLON DEIVI</t>
  </si>
  <si>
    <t>JOSE AGRIAZOLA FERNANDEZ</t>
  </si>
  <si>
    <t>ENBOLSE 2do - NIVEL</t>
  </si>
  <si>
    <t>ALVARES VELEZ WILDER DAVID</t>
  </si>
  <si>
    <t>OPERARIO DE PRDUCCION</t>
  </si>
  <si>
    <t>BRAZO Y HOMBRO</t>
  </si>
  <si>
    <t>LLAVE DE LA MEZCLADORA DE VAPOR - AGUA</t>
  </si>
  <si>
    <t>DE LOS RIOS PERLECHE JUAN FRANCISCO </t>
  </si>
  <si>
    <t>INTRADEVCO S.A. </t>
  </si>
  <si>
    <t>TÉCNICO QUIMICO </t>
  </si>
  <si>
    <t>LABORATORIO DE PLANTA TUMI </t>
  </si>
  <si>
    <t>VASO</t>
  </si>
  <si>
    <t>MOTOR DE TRANSMISION DE PRENSA B - LINEA 5</t>
  </si>
  <si>
    <t>MONTES MARQUEZ RAUL JESUS</t>
  </si>
  <si>
    <t>COODINADOR DE MANTENIMIENTO</t>
  </si>
  <si>
    <t>POR DEFINIR</t>
  </si>
  <si>
    <t>FAJA Y POLEA DE MOTOR</t>
  </si>
  <si>
    <t>ZENTENO MOSTAJO JOSE LUIS</t>
  </si>
  <si>
    <t>PLAYA DE TANQUES STOCK DE MANTECA/MARGARINA DE PRODUCTO TERMINADO</t>
  </si>
  <si>
    <t>ETIQUETADOR LÍNEA MARGARINA</t>
  </si>
  <si>
    <t>O</t>
  </si>
  <si>
    <t>TANQUE 552 (TANQUE CON BLANKETING)</t>
  </si>
  <si>
    <t>PULMON</t>
  </si>
  <si>
    <t>TORRES MACANILLA SIMON </t>
  </si>
  <si>
    <t>ZONA DE MÁQUINAS </t>
  </si>
  <si>
    <t xml:space="preserve">1 MES Y 15 DIAS </t>
  </si>
  <si>
    <t xml:space="preserve">Realizaba la actividad de trasladar bobinas en la zona de máquinas del segundo nivel de empacado y al levantar una de estas, sintió un fuerte dolor en la espalda baja focalizándose en la cintura, esto por el esfuerzo de la tarea. </t>
  </si>
  <si>
    <t>ESPALDA</t>
  </si>
  <si>
    <t>BOBINAS</t>
  </si>
  <si>
    <t>POR CONFIRMAR </t>
  </si>
  <si>
    <t>CONSULTING ADVISERS S.A.C. </t>
  </si>
  <si>
    <t>ENCAJADO AUTOMATICO</t>
  </si>
  <si>
    <t>1.5 MESES</t>
  </si>
  <si>
    <t>MÁQUINA SOPLADORA SIKA # 2 </t>
  </si>
  <si>
    <t>EN HOSPITALIZACIÓN</t>
  </si>
  <si>
    <t>INTRADEVCO INDUSTRIAL S.A. </t>
  </si>
  <si>
    <t>LOPEZ ZEGARRA FRANCO</t>
  </si>
  <si>
    <t xml:space="preserve">GUTIERREZ REYES MIGUEL ANGEL </t>
  </si>
  <si>
    <t>ZONA DE PESADO  DE YEMA DE HUEVO</t>
  </si>
  <si>
    <t>INTRADEVCO S.A</t>
  </si>
  <si>
    <t xml:space="preserve">PLANTA CBBA </t>
  </si>
  <si>
    <t>RUIZ NAPUCHI JOSE PERCY </t>
  </si>
  <si>
    <t>ZONA DE MAQUINAS</t>
  </si>
  <si>
    <t>Fractura De Falange Distal De Dedo Pulgar De La Mano Derecha</t>
  </si>
  <si>
    <t>TORNAMESA DE LA AQUINA N°22</t>
  </si>
  <si>
    <r>
      <t>HUAYUA RAYMUNDO JOSE LUIS/ PALACIOS ENCALA CELIA INEA/ RAMOS CERRON JAVIER ALEXANDER/ COTRINA REQUEJO MARIA/ FRANCO CUMAPI MELODY/ GRANIZO VEGA JEANCARLOS ROMAN</t>
    </r>
    <r>
      <rPr>
        <sz val="11"/>
        <color rgb="FF000000"/>
        <rFont val="Calibri"/>
        <family val="2"/>
      </rPr>
      <t> </t>
    </r>
  </si>
  <si>
    <t>INTRADEVCO -DETERGENTE</t>
  </si>
  <si>
    <r>
      <t>27 AÑOS/51 AÑOS/33 AÑOS/32 AÑOS/29 AÑOS/31 AÑOS</t>
    </r>
    <r>
      <rPr>
        <sz val="11"/>
        <color rgb="FF000000"/>
        <rFont val="Calibri"/>
        <family val="2"/>
      </rPr>
      <t> </t>
    </r>
  </si>
  <si>
    <t>2 AÑOS/2 AÑOS/4 MESES/11 MESES/2 AÑOS/11 MESES </t>
  </si>
  <si>
    <t>ZONA DE PULIDORES</t>
  </si>
  <si>
    <t>SUPERVISOR/OPERARIO/OPERARIO/OPERARIO/OPERARIO/OPERARIO </t>
  </si>
  <si>
    <t xml:space="preserve">PRODUCTO MATA ORMIGA </t>
  </si>
  <si>
    <t>INTRADEVCO PLANTA PRINCIPAL - LURÍN</t>
  </si>
  <si>
    <t>LOPEZ CUADROS LINDA SHIRLEY</t>
  </si>
  <si>
    <t>OPERARIA DE PRODUCCIÓN </t>
  </si>
  <si>
    <t>MANIJA NEUMATICA DE LLENADO DE LIQUIDO</t>
  </si>
  <si>
    <t>CA OUTSOURCING</t>
  </si>
  <si>
    <t xml:space="preserve">El colaborador sufre una atricción de mano derecha y herida en 5to y 2do dedo sin daño de uña entre cadena y piñón al realizar el cambio de pin de arrastre de la envasadora 5A </t>
  </si>
  <si>
    <t xml:space="preserve">El colaborador sufre dolores abdominales no especificados y afecciones respiratorias no especificadas luego de ingresar a la planta al término de la desinsectación </t>
  </si>
  <si>
    <t xml:space="preserve">El colaborador sufre contusión de la región lumbosacra y de la pelvis al resbalarse en la rampa cuando giraba una paleta con la estoca manual </t>
  </si>
  <si>
    <t>EMBOLSE</t>
  </si>
  <si>
    <t>Aron Barrenechea Llacsa</t>
  </si>
  <si>
    <t>RAMPA</t>
  </si>
  <si>
    <t>EQUIPOO</t>
  </si>
  <si>
    <t>Quemadura de segundo grado en brazo y hombro izquierdomientras realizaba la operación de calentar el agua en la tina de descongelamiento de Yema de huevo</t>
  </si>
  <si>
    <t>Amputación falange distal dedo índice y pérdida de uña dedo medio (mano izquierda) luego de realizar la medición de las revoluciones del motor de transmisión de la prensa B de la línea 5 con ayuda de un tacómetro.</t>
  </si>
  <si>
    <t>Herida de dedos de la mano,sin daño de las uñas</t>
  </si>
  <si>
    <t xml:space="preserve">Intoxicación con gas Nitrógeno al encontrarse dentro del tanques de manteca/margarina </t>
  </si>
  <si>
    <t>Accidente Incapacitante (no afecta IF)</t>
  </si>
  <si>
    <t xml:space="preserve">Traumatismo en dedo meñique mano derecha al realizar regulación por cambio de formato en encajadora automática de graneles </t>
  </si>
  <si>
    <t>INTRADEVCO - CHORRILLOS</t>
  </si>
  <si>
    <t>FAJA #1</t>
  </si>
  <si>
    <t>BENAVENTE SURCA KAREN ALEXANDRA</t>
  </si>
  <si>
    <t>44 AÑOS</t>
  </si>
  <si>
    <t>3 AÑOS Y 4 MESES</t>
  </si>
  <si>
    <t>PROLABORA SOLUTIONS</t>
  </si>
  <si>
    <t>RUPTURA</t>
  </si>
  <si>
    <t xml:space="preserve">COLQUE APAZA LUIS FERNANDO </t>
  </si>
  <si>
    <t>PROMAX</t>
  </si>
  <si>
    <t>MENCE GARCÍA SAAVEDRA </t>
  </si>
  <si>
    <t>INTRADEVCO - LURÍN</t>
  </si>
  <si>
    <t>25  AÑOS</t>
  </si>
  <si>
    <t>BOTON DE COMPRESION</t>
  </si>
  <si>
    <t>ROJAS CCALLA ANTHONY</t>
  </si>
  <si>
    <t>PASILLO PRINCIPAL </t>
  </si>
  <si>
    <t>27 AÑOS</t>
  </si>
  <si>
    <t>AUXILIAR DE ALMACÉN </t>
  </si>
  <si>
    <t>CEVA LOGISTICS</t>
  </si>
  <si>
    <t>SENSOR DE RETROCESO DE  TRANSPALETA</t>
  </si>
  <si>
    <t>SANCHEZ MARTINEZ JULIO</t>
  </si>
  <si>
    <t>EMBOLSADORA 3</t>
  </si>
  <si>
    <t>38 AÑOS</t>
  </si>
  <si>
    <t>OPERADOR DE PLANTA</t>
  </si>
  <si>
    <t>36 MESES</t>
  </si>
  <si>
    <t>MORDAZA</t>
  </si>
  <si>
    <t>RESIDUOS NO APROVECHABLES</t>
  </si>
  <si>
    <t>HUAMAN LUNASCO ANDRES</t>
  </si>
  <si>
    <t>OPERARIO SEGREGADOR</t>
  </si>
  <si>
    <t>MASTIL Y CADENA DE MONTACARGA</t>
  </si>
  <si>
    <t>TRANSPORTES S&amp;R</t>
  </si>
  <si>
    <t>ALLCA VICTORIA KEHINA FLOR</t>
  </si>
  <si>
    <t>21 AÑOS</t>
  </si>
  <si>
    <t>AYUDANTE DE PESADO</t>
  </si>
  <si>
    <t>PISTOLA DE MEZCLADOR DE AGUA CALIENTE</t>
  </si>
  <si>
    <t>RETAMOZO CABEZAS CRHISTIAN</t>
  </si>
  <si>
    <t>ESTACIONAMIENTO – EDIFICIO MENSAJERÍA</t>
  </si>
  <si>
    <t>OPERADOR VOLANTE - JABONERÍA</t>
  </si>
  <si>
    <t>VEHICULO</t>
  </si>
  <si>
    <t>GLOBAL:ÑAÑA</t>
  </si>
  <si>
    <t>GLOBAL: CAJAMARQUILLA</t>
  </si>
  <si>
    <t>GLOBAL: TOTAL</t>
  </si>
  <si>
    <t>ROMERO TORRES JANO RUBEN</t>
  </si>
  <si>
    <t>LAVADO DE BANDEJAS</t>
  </si>
  <si>
    <t>TAPA DE EQUIPO DE LIMPIADOR DE BANDEJA</t>
  </si>
  <si>
    <t>VANEK  SERGIO SEBASTIAN</t>
  </si>
  <si>
    <t>PLANTA SAN JUSTO ARGENTINA</t>
  </si>
  <si>
    <t>36 AÑOS</t>
  </si>
  <si>
    <t>OPERADOR DE SECADORA DE JABÓN.</t>
  </si>
  <si>
    <t>Herida cortante en mano derecha.</t>
  </si>
  <si>
    <t>SECADORA</t>
  </si>
  <si>
    <t>PAISES</t>
  </si>
  <si>
    <t>INTRADEVCO DISTRIBUCION - LURIN</t>
  </si>
  <si>
    <t xml:space="preserve">El colaborador sufre fractura del 3 y 4 falange proximal de la mano derecha al ser aprisionado por las mordazas de la embolsadora sin activar los sensores </t>
  </si>
  <si>
    <t xml:space="preserve">El colaborador sufre fractura de la epífisis inferior del radio al ser golpeado por la camioneta de Sodexo luego de encender el vehículo sin haber estado en neutro </t>
  </si>
  <si>
    <t xml:space="preserve">El colaborador sufre traumatismo por aplastamiento del pulgar y otros dedos al momento de desenganchar la cadena de la parilla del montacarga de forma manual, el operador de montacargas manipula el mástil lateral y presiona el dedo entre la cadena y el mástil del personal de apoyo </t>
  </si>
  <si>
    <t xml:space="preserve">La colaboradora sufre quemadura de primer grado en el muslo derecho por contacto con chorro de agua caliente, al acercarse a realizar unas coordinaciones donde su compañera quien se preparaba para realizar la limpieza del tanque mixer y activa sin querer el gatillo de la pistola de la manguera del mezclador </t>
  </si>
  <si>
    <t xml:space="preserve">El colaborador sufre un golpe en el pulgar de la mano izquierda mientras limpiaba el equipo limpiador de bandejas. El colaborador apoya su mano en una bisagra horizontal y esta se mueve y hace que la tapa del equipo se precipite </t>
  </si>
  <si>
    <t xml:space="preserve">Un tercero sufre un trauma en pie derecho al ser atrapado la punta de su botín del pie derecho al retroceder un montacarga; no hubo fractura. </t>
  </si>
  <si>
    <t xml:space="preserve">Los colaboradores (6) sufren Intoxicación, durante la actividad de envasado de frascos del producto mata hormigas ocurrió un rebose de polvo en la máquina envasadora debido a que esta no contaba con el seguro de la tapa en la llenadora </t>
  </si>
  <si>
    <t xml:space="preserve">Herida en dedos de la mañana al ser presionado por tapa de maquina 22 mientras regulaba el tornamesa </t>
  </si>
  <si>
    <t xml:space="preserve">El trabajador sufre un golpe en el dedo índice de mano derecha al accionar con la mano izquierda la manija neumática de la llenadora de líquido en la línea manual # 2 de Aerosoles </t>
  </si>
  <si>
    <t>AREOSOLES LÍNEA MANUAL # 2 </t>
  </si>
  <si>
    <t xml:space="preserve">El colaborador sufre una ruptura de tendones extensores en el dedo meñique izquierdo al intentar jalar la faja que se había detenido por exceso de peso y al reactivarse atrapa el dedo entre la faja y el rodillo </t>
  </si>
  <si>
    <t>CEPILLOS - BLISTERA # 2 </t>
  </si>
  <si>
    <t xml:space="preserve">El colaborador sufre quemadura de 2° grado en mano derecha cuando compañera activa el botón sin percatarse que su compañera no había retirado la mano derecha de la máquina selladora ocasionando el atrapamiento y le genere quemaduras </t>
  </si>
  <si>
    <t xml:space="preserve">El colaborador sufre una fractura del II y III metatarso del pie izquierdo al ser aplastado por la traspaleta eléctrica que él mismo conducía </t>
  </si>
  <si>
    <t>MSR15481</t>
  </si>
  <si>
    <t>PCO15506</t>
  </si>
  <si>
    <t>DET15535</t>
  </si>
  <si>
    <t xml:space="preserve"> Emerito Pacaya Arirama / Fredy Alexander Cruz Piñin</t>
  </si>
  <si>
    <t>PCO15612</t>
  </si>
  <si>
    <t>MBR15660</t>
  </si>
  <si>
    <t>DIS15699</t>
  </si>
  <si>
    <t>SID15713</t>
  </si>
  <si>
    <t>PCO15995</t>
  </si>
  <si>
    <t>PGL16100</t>
  </si>
  <si>
    <t>DET16141</t>
  </si>
  <si>
    <t>José Antonio Roman Gutierrez</t>
  </si>
  <si>
    <t>DIS16218</t>
  </si>
  <si>
    <t>PCO16316</t>
  </si>
  <si>
    <t>DET16455</t>
  </si>
  <si>
    <t>PGL16497</t>
  </si>
  <si>
    <t>MCA16628</t>
  </si>
  <si>
    <t>MSR16631</t>
  </si>
  <si>
    <t>MSR16633</t>
  </si>
  <si>
    <t>MFA16658</t>
  </si>
  <si>
    <t>DET16719</t>
  </si>
  <si>
    <t>MFA16778</t>
  </si>
  <si>
    <t>DET16952</t>
  </si>
  <si>
    <t>MSR17048</t>
  </si>
  <si>
    <t>DE LA CRUZ ROJAS / BLADIMIR MARCO</t>
  </si>
  <si>
    <t>MCA17163</t>
  </si>
  <si>
    <t>PGL17180</t>
  </si>
  <si>
    <t>ADM17227</t>
  </si>
  <si>
    <t>DIS 17329</t>
  </si>
  <si>
    <t>PGL17340</t>
  </si>
  <si>
    <t>DIS17476</t>
  </si>
  <si>
    <t>SID17559</t>
  </si>
  <si>
    <t>PCO17855</t>
  </si>
  <si>
    <t>JOHNNY MOLLE TUEROS</t>
  </si>
  <si>
    <t>MBR17868</t>
  </si>
  <si>
    <t>MCA17543</t>
  </si>
  <si>
    <t>ALMACEN DE INSUMOS</t>
  </si>
  <si>
    <t>MSR17995</t>
  </si>
  <si>
    <t>ADM7193</t>
  </si>
  <si>
    <t>WILFOR LUGO BELTRÁN</t>
  </si>
  <si>
    <t>LÍNEA DE ENVASADORA 2</t>
  </si>
  <si>
    <t>AYUDANTE DE ´PLANTA</t>
  </si>
  <si>
    <t>2 SEMANAS</t>
  </si>
  <si>
    <t>Herida de la cabeza</t>
  </si>
  <si>
    <t>BORDE DE UNA CANALETA</t>
  </si>
  <si>
    <t xml:space="preserve">DÍAZ LEYVA KAREN KATITZA </t>
  </si>
  <si>
    <t>LÍNEA MANUAL # 7  </t>
  </si>
  <si>
    <t>39 AÑOS</t>
  </si>
  <si>
    <t>OPERARIO DE PRODUCCIÓN </t>
  </si>
  <si>
    <t>QUERATOCONJUNTIVITIS</t>
  </si>
  <si>
    <t>CARA</t>
  </si>
  <si>
    <t>ENVASE MASL SELLADO</t>
  </si>
  <si>
    <t>La colaboradora Karen Díaz se encontraba laborando en la línea manual # 7 de aerosoles,  realizando el llenado de líquido y gas en envases de manera simultánea; en un momento y sin percatarse, procedió a llenar de gas un envase con líquido que estaba mal sellado, ocasionando que por la presión, el líquido salga proyectado al exterior sobre su rostro y ojos.</t>
  </si>
  <si>
    <t>CARITA CHAMBILLA HEVER NIFEG</t>
  </si>
  <si>
    <t>Herida contuso cortante en dedo índice mano derecha</t>
  </si>
  <si>
    <t>PUERTA DE CARRETA DEL VEHÍCULO PALETIZADO.</t>
  </si>
  <si>
    <t>TRANSPORTE TACSA  </t>
  </si>
  <si>
    <t>CERAS Y BETUNES - MR2</t>
  </si>
  <si>
    <t>QUISPE MARCOS PEDRO ANGEL</t>
  </si>
  <si>
    <t>Trastorno del globo ocular</t>
  </si>
  <si>
    <t>ROTURA DE CODO DE TUBERIA</t>
  </si>
  <si>
    <t>Prolabora Solutions SAC</t>
  </si>
  <si>
    <t>AMARINGO PIÑA JARRINSON</t>
  </si>
  <si>
    <t>PESADO DE INSUMOS  </t>
  </si>
  <si>
    <t>CELULITIS</t>
  </si>
  <si>
    <t>se encontraba pesando el insumo MERGAL en un recipiente de plástico de 20 kg, de pronto al trasladarlo a su ubicación de almacenamiento, se le derrama en la pierna derecha.</t>
  </si>
  <si>
    <t>HOSPITALIZACION</t>
  </si>
  <si>
    <t>INSUMO MERGAL EN RECIPIENTE PLASTICO</t>
  </si>
  <si>
    <t>GARCIA MEDINA DAVID ISRAEL</t>
  </si>
  <si>
    <t>ESCALERA COLINDANTE AL SECADOR DE LA LÍNEA 01</t>
  </si>
  <si>
    <t>33 AÑOS</t>
  </si>
  <si>
    <t>1 AÑO Y 7 MESES</t>
  </si>
  <si>
    <t>08/11/20211</t>
  </si>
  <si>
    <t>Esguince en muñeca de la mano derecha.</t>
  </si>
  <si>
    <t>RODRIGUEZ ROMAN</t>
  </si>
  <si>
    <t>OPERADOR REFINERIA</t>
  </si>
  <si>
    <t>Quemadura 2do Grado Superficial</t>
  </si>
  <si>
    <t>CUELLO</t>
  </si>
  <si>
    <t>VALVULA DE SOPLADO CON VAPOR</t>
  </si>
  <si>
    <t>INTRADEVCO - LURIN</t>
  </si>
  <si>
    <t>PASILLO 34  </t>
  </si>
  <si>
    <t>FLORES MORALES JOSET FERNANDO</t>
  </si>
  <si>
    <t>AUXILIAR DE ALMACÉN</t>
  </si>
  <si>
    <t>Contusion en el pie derecho</t>
  </si>
  <si>
    <t>UÑAS DE PALETA</t>
  </si>
  <si>
    <t xml:space="preserve">DEL ÁGUILA PEREA ROSARIO </t>
  </si>
  <si>
    <t>LÍNEA DE FRASCOS</t>
  </si>
  <si>
    <t>Esguince de tobillo izquierdo</t>
  </si>
  <si>
    <t>PLATAFORMA DE MADERA</t>
  </si>
  <si>
    <t>SUPERVISOR DE SEGURIDAD DE CONTRATISTA MATMIN</t>
  </si>
  <si>
    <t>VILLARREAL SIGUA ROSARIO JULIA</t>
  </si>
  <si>
    <t>LÍNEA 28 – ZONA DE MEZCLADORA</t>
  </si>
  <si>
    <t>Herida en 5to dedo de la mano derecha</t>
  </si>
  <si>
    <t>PALETA DEL CENTRIFUGO</t>
  </si>
  <si>
    <t>CONTRATISTA MATMIN</t>
  </si>
  <si>
    <t xml:space="preserve">Herida en la cabeza, parte no especificada con trinche mientras se encontraba limpiando y despegando el fondo del silo de trigo acondicionado </t>
  </si>
  <si>
    <t>TRINCHE</t>
  </si>
  <si>
    <t>Flores Huanjares, Carlos</t>
  </si>
  <si>
    <t>AUXPAMA DE CORTE Y PINTADO</t>
  </si>
  <si>
    <t>AGAPITO CARRILLO QUEZADA</t>
  </si>
  <si>
    <t>Herida del párpado y de la región periocular</t>
  </si>
  <si>
    <t>PRESION DEL TANQUE</t>
  </si>
  <si>
    <t>CALLACNA MODENESI CRISTHIAN OMAR </t>
  </si>
  <si>
    <t>2DO PISO EDIFICIO DE PROCESOS </t>
  </si>
  <si>
    <t>37 AÑOS</t>
  </si>
  <si>
    <t>Herida De Dedos De La Mano, Sin Daño De Las Uñas </t>
  </si>
  <si>
    <t>COCHE DE DETERGENTE</t>
  </si>
  <si>
    <t>DIST LIMA</t>
  </si>
  <si>
    <t>DIST PROV</t>
  </si>
  <si>
    <t>TOTAL DISTRIBUCION</t>
  </si>
  <si>
    <t>IQ/TAR/PUC/HUA</t>
  </si>
  <si>
    <t>DET&amp;JAB</t>
  </si>
  <si>
    <t>MOL LIMA</t>
  </si>
  <si>
    <t>Z..RIESGO</t>
  </si>
  <si>
    <t>Z.CONTROL</t>
  </si>
  <si>
    <t>Z.SEGURIDAD</t>
  </si>
  <si>
    <t>Z.INDEPENDIENTE</t>
  </si>
  <si>
    <t>ENCUESTADOS</t>
  </si>
  <si>
    <t>64 (Zona de seguridad)</t>
  </si>
  <si>
    <t>1 mes en la empresa - midot mayor 1 año</t>
  </si>
  <si>
    <t>Falto - no realizo la evaluación</t>
  </si>
  <si>
    <t>Cesado</t>
  </si>
  <si>
    <t>75 (Zona de seguridad)</t>
  </si>
  <si>
    <t>60 (Zona de control)</t>
  </si>
  <si>
    <t>39(Zona de  control)</t>
  </si>
  <si>
    <t>70(Zona de seguridad)</t>
  </si>
  <si>
    <t>66(Zona de seguridad)</t>
  </si>
  <si>
    <t>59 (Zona de control)</t>
  </si>
  <si>
    <t>56 (Zona de control)</t>
  </si>
  <si>
    <t>Midot 2020 - ingreso 2021</t>
  </si>
  <si>
    <t>40 (Zona de control)</t>
  </si>
  <si>
    <t>70 (Zona de seguridad)</t>
  </si>
  <si>
    <t>32 (Zona de riesgo)</t>
  </si>
  <si>
    <t>82 (Zona independiente)</t>
  </si>
  <si>
    <t>88 (Zona independiente)</t>
  </si>
  <si>
    <t>53 (Zona de  control)</t>
  </si>
  <si>
    <t>acum 2022</t>
  </si>
  <si>
    <t>2022 CON ITDC</t>
  </si>
  <si>
    <t>2022 CON itdc</t>
  </si>
  <si>
    <t>IF 2022</t>
  </si>
  <si>
    <t>IS 2022</t>
  </si>
  <si>
    <t xml:space="preserve">Zona de abastecimiento de vitaminas </t>
  </si>
  <si>
    <t>VPE3631</t>
  </si>
  <si>
    <t>CRUZ ARIAS KEVIN ALEXANDER</t>
  </si>
  <si>
    <t>24 AÑOS</t>
  </si>
  <si>
    <t>ABASTECEDOR DE MATERIA PRIMA</t>
  </si>
  <si>
    <t>1 mes y 18 días</t>
  </si>
  <si>
    <t xml:space="preserve"> El colaborador sufre un corte en la ceja se encontraba realizando sus actividades, al momento de trasladar las bolsas de vitaminas del carrito al estante se agacho y piso las uñas de la rasqueta </t>
  </si>
  <si>
    <t xml:space="preserve">Uñas de la rasqueta </t>
  </si>
  <si>
    <t>Embolsado de Sub-Producto</t>
  </si>
  <si>
    <t>HORNA SANDOVAL JERSON JAFET</t>
  </si>
  <si>
    <t>0.5 meses</t>
  </si>
  <si>
    <t xml:space="preserve">El colaborador sufre una fractura de falange distal del dedo medio de la mano derecha, se encontraba en el 3er piso del sector de Embolsado de Sub-Producto realizando el embolsado de Acemite y de Afrecho. Durante el proceso de embolse y al momento de colocar el saco de afrecho y con las 2 manos activa los sensores del equipo </t>
  </si>
  <si>
    <t>MORDARZA</t>
  </si>
  <si>
    <t>FRACTURA DE FALINGE</t>
  </si>
  <si>
    <t>MFA18505</t>
  </si>
  <si>
    <t xml:space="preserve">INTRADEVCO LURIN </t>
  </si>
  <si>
    <t>LATAS</t>
  </si>
  <si>
    <t>ILU18492</t>
  </si>
  <si>
    <t>DE LA CRUZ HUAMÁN DAVID</t>
  </si>
  <si>
    <t>GRANDEZ CUMARI KENNEDY HORACIO</t>
  </si>
  <si>
    <t>ESPINOZA ARTEGA JINA</t>
  </si>
  <si>
    <t xml:space="preserve">INTRADEVCO DETERGENTE </t>
  </si>
  <si>
    <t>Lavavajillas</t>
  </si>
  <si>
    <t>0.06 MESES</t>
  </si>
  <si>
    <t>CA Outsourcing</t>
  </si>
  <si>
    <t>Consulting Advisers</t>
  </si>
  <si>
    <t xml:space="preserve">El colaborador David de la Cruz se encontraba laborando en la máquina cerradora y observa que una lata había salido doblada (no conforme) en la faja transportadora; en el momento de retirarla, el brazo giratorio de la máquina aprieta la lata y su mano queda atrapada entre la lata y la faja transportadora. </t>
  </si>
  <si>
    <t xml:space="preserve">El colaborador sufre una inflamación de las vías respiratorias por inhalación de gases, se encontraban realizando la formulación del producto pulidor en polvo en el mixer de pulidor bolsa del segundo piso de Batido del área de lavavajillas, uno de los trabajadores (Kennedy Grandez) confunde la formulación y añade dicloro cuando lo que correspondía era la fragancia limón. </t>
  </si>
  <si>
    <t xml:space="preserve">La colaboradora sufre un efecto tóxico de sustancia no especificada, realizaba envasado de pulidor de polvo cuando ocurrió una fuga por el desfogue superior de la tolva lo que ocasionó que el personal cercano se llene de producto siendo atendidos inmediatamente. </t>
  </si>
  <si>
    <t>Intoxicación</t>
  </si>
  <si>
    <t>LATA</t>
  </si>
  <si>
    <t xml:space="preserve">ILU18575 </t>
  </si>
  <si>
    <t xml:space="preserve">ILU18578 </t>
  </si>
  <si>
    <t>Jaime Mamani Bustencio</t>
  </si>
  <si>
    <t xml:space="preserve">El conductor  Jaime Mamani Bustencio, junto a su compañero de la misma empresa, abrieron la puerta lateral del camión que conducía por la presión de las cajas la puerta se abrió violentamente, su compañero se hizo a un lado pero la puerta cayo en la pierna provocándole, esta lesión </t>
  </si>
  <si>
    <t>Lesión</t>
  </si>
  <si>
    <t>Ronmani S.R.L</t>
  </si>
  <si>
    <t>Acondicionador Línea 7 Pelletizado</t>
  </si>
  <si>
    <t>GALLARDO LITARDO JOHN ALBERTO</t>
  </si>
  <si>
    <t>3 años 10 meses</t>
  </si>
  <si>
    <t xml:space="preserve">El colaborador sufre Contusión dedo mano pulgar mano derecha al finalizar la tarea John gira el eje del equipo para afinar detalles en el tramo final de acondicionador, pero se le cae espátula, herramienta que uso para la actividad, se agacha para recogerla sin retirar la mano derecha en su totalidad del sarcófago del acondicionador </t>
  </si>
  <si>
    <t>espátula</t>
  </si>
  <si>
    <t>Contusión</t>
  </si>
  <si>
    <t>LICENCIADAS ENFERMERIA</t>
  </si>
  <si>
    <t>OTROS (Fenix consultores/Lic.Enfermeria)</t>
  </si>
  <si>
    <t>REAL
2021</t>
  </si>
  <si>
    <t>RAYOS X - LINEA 02</t>
  </si>
  <si>
    <t>YULISSA BORJA AQUIJE</t>
  </si>
  <si>
    <t>OPERRAIO DE PRODUCCION</t>
  </si>
  <si>
    <t>MADRUGADA</t>
  </si>
  <si>
    <t>ZONA DE RAYOS X</t>
  </si>
  <si>
    <t xml:space="preserve">INTRADEVCO - PLANTA HIPOCLORITO  </t>
  </si>
  <si>
    <t>EXTERIOR DE ÁREA WC </t>
  </si>
  <si>
    <t>DELGADO TELLO LILIANA </t>
  </si>
  <si>
    <t>29 AÑOS</t>
  </si>
  <si>
    <t>OPERARIO   </t>
  </si>
  <si>
    <t>Queratitis - Ojo - Derecho</t>
  </si>
  <si>
    <t>FRASCOS SIN TAPA</t>
  </si>
  <si>
    <t>CA OUTSOURCING </t>
  </si>
  <si>
    <t>OSCAR YSLA CHAVEZ</t>
  </si>
  <si>
    <t>PATIO DE MANIOBRAS</t>
  </si>
  <si>
    <t>CONDUCTOR DE TRANSPORTES</t>
  </si>
  <si>
    <t>PUERTAS LATERALES</t>
  </si>
  <si>
    <t>IF SIN ITDC</t>
  </si>
  <si>
    <t>IS SIN ITDC</t>
  </si>
  <si>
    <t>HH SIN ITDC</t>
  </si>
  <si>
    <t>ELABORACION</t>
  </si>
  <si>
    <t>YARLEQUE SAAVEDRA HELARD EDUARDO</t>
  </si>
  <si>
    <t>OPERADOR DE ORNO</t>
  </si>
  <si>
    <t>CUCHILLA RETRACTIL</t>
  </si>
  <si>
    <t>Molino 3</t>
  </si>
  <si>
    <t>RODRIGUEZ CORPUS JUAN CARLOS</t>
  </si>
  <si>
    <t>28 AÑOS</t>
  </si>
  <si>
    <t>2 AAÑOS</t>
  </si>
  <si>
    <t>PLANCHA METALICA CALIENTE</t>
  </si>
  <si>
    <t>PEÑA RUJEL FAUSTINO ISABEL</t>
  </si>
  <si>
    <t>Paciente Refiere Haber Estado Realizando Rutina De Trabajo Levantando Objetos Pesados , Luego Del Cual Inicia Con Dolor En Zona Lumbar Tipo Hincada, Intensidad 8/10, Limitando Realizar El Esfuerzo Fisico Y Movimiento. Motivo Por El Cual Se Toma Decision De Traslado A Clinica Para Evaluacion Por Especialida.</t>
  </si>
  <si>
    <t>COLUMNA</t>
  </si>
  <si>
    <t>PESO</t>
  </si>
  <si>
    <t>DAÑO A LA SALUD</t>
  </si>
  <si>
    <t>DAÑO   A LA SULUD</t>
  </si>
  <si>
    <t xml:space="preserve">PERU </t>
  </si>
  <si>
    <t>PERU (SIN ITDC)</t>
  </si>
  <si>
    <t>PERÚ+PAISES</t>
  </si>
  <si>
    <t>ITDC+VITAPRO</t>
  </si>
  <si>
    <t>bv</t>
  </si>
  <si>
    <t>PAHUACHO SEDANO EDGAR BENJAMIN</t>
  </si>
  <si>
    <t>OPERARIO DE LIMPIEZA</t>
  </si>
  <si>
    <t xml:space="preserve">25 DIAS </t>
  </si>
  <si>
    <t>INTRADEVCO CHORRILLOS</t>
  </si>
  <si>
    <t>PASADIZO INTRALAB 1</t>
  </si>
  <si>
    <t>GARCIA CARBONELL PETER ALBERTO</t>
  </si>
  <si>
    <t>48 AÑOS</t>
  </si>
  <si>
    <t>ICH18851</t>
  </si>
  <si>
    <t>INTRADEVCO INDUSTRIAL</t>
  </si>
  <si>
    <t>AGUILERA FERNANDO</t>
  </si>
  <si>
    <t>50 AÑOS</t>
  </si>
  <si>
    <t>MANTENIMIENTO ELECTRICO   </t>
  </si>
  <si>
    <t>Contractura Muscular Muslo Derecho.</t>
  </si>
  <si>
    <t>pierna</t>
  </si>
  <si>
    <t>CONTRACTURA</t>
  </si>
  <si>
    <t xml:space="preserve">CHARCO DE AGUA </t>
  </si>
  <si>
    <t>APT MOLINO CALLAO</t>
  </si>
  <si>
    <t>LEON RAMIREZ ROBERTO</t>
  </si>
  <si>
    <t>51 AÑOS</t>
  </si>
  <si>
    <t>MANLIFT</t>
  </si>
  <si>
    <t>NHR ACUARIOS</t>
  </si>
  <si>
    <t>SALIDA DELTA 8</t>
  </si>
  <si>
    <t>ROLDAN ACOSTA FRANCK ORLANDO.</t>
  </si>
  <si>
    <t xml:space="preserve">3 años </t>
  </si>
  <si>
    <t>CORTE EN FRENTE LADO IZQUIERDO</t>
  </si>
  <si>
    <t>TRANSCORALV S.A.</t>
  </si>
  <si>
    <t>MANIVELA</t>
  </si>
  <si>
    <t>TIPISMANA FLOR JOEL </t>
  </si>
  <si>
    <t>OPERARIO   </t>
  </si>
  <si>
    <t>17 MESES</t>
  </si>
  <si>
    <t>ESGUINCE Y TORCEDURA DE RODILLA DERECHA </t>
  </si>
  <si>
    <t>ILU19013 </t>
  </si>
  <si>
    <t>CADENA DE MOTOR</t>
  </si>
  <si>
    <t>PASILLO 30 - CD2 </t>
  </si>
  <si>
    <t>IVONNE ESPINOZA SUAREZ </t>
  </si>
  <si>
    <t>35 AÑOS</t>
  </si>
  <si>
    <t>OPERARIO DE LIMPIEZA </t>
  </si>
  <si>
    <t>MAQUINA DE LIMPIEZA</t>
  </si>
  <si>
    <t>LYON SERVICIOS </t>
  </si>
  <si>
    <t>ITD19024</t>
  </si>
  <si>
    <t>LÍNEA DE HARINAS PARA COCINAR</t>
  </si>
  <si>
    <t>LEON VALLEJOS,LUIS ENRIQUE</t>
  </si>
  <si>
    <t>AYUDANTE DE PANTA</t>
  </si>
  <si>
    <t>MCA19035</t>
  </si>
  <si>
    <t>PEDESTAL</t>
  </si>
  <si>
    <t>LIMPIEZA DE FRASCOS </t>
  </si>
  <si>
    <t>VÁSQUEZ LOMAS WILMER JAVIER </t>
  </si>
  <si>
    <t>CONJUNTIVITIS - OJO IZQUIERDO </t>
  </si>
  <si>
    <t>ILU19000 </t>
  </si>
  <si>
    <t>ACIDO CLORHIIDRICO</t>
  </si>
  <si>
    <t>ÁREA DE INGRESO A PLANTEL</t>
  </si>
  <si>
    <t xml:space="preserve">PAVON THELMA CARINA </t>
  </si>
  <si>
    <t>VHO3728</t>
  </si>
  <si>
    <t>FRACTURA COMPLETA DE QUINTO METATARSO IZQUIERDO</t>
  </si>
  <si>
    <t>GRADAS DE ESCALERA</t>
  </si>
  <si>
    <t>L&amp;L CATERING SERVICES</t>
  </si>
  <si>
    <t>PUERTA LATERAL DE CAMION</t>
  </si>
  <si>
    <t>INDUAMERICA</t>
  </si>
  <si>
    <t>ESCATE MARTINEZ, JUVENAL JONATHAN</t>
  </si>
  <si>
    <t>SECTOR DE PLANSIFTERS</t>
  </si>
  <si>
    <t>32 AÑOS</t>
  </si>
  <si>
    <t>TRONCO</t>
  </si>
  <si>
    <t xml:space="preserve">NECIOSUP JACIENTO ROBERT </t>
  </si>
  <si>
    <t xml:space="preserve">HUANCAS SUYON HUGO </t>
  </si>
  <si>
    <t>ZONA DE CARGA DE AFRECHO - MFA</t>
  </si>
  <si>
    <t>AUXILIAR DE CARGA   </t>
  </si>
  <si>
    <t>14 DÍAS </t>
  </si>
  <si>
    <t>SACO DE AFRECHO</t>
  </si>
  <si>
    <t>LESION</t>
  </si>
  <si>
    <t>INNOVACIÓN Y OPERACIONES LOGISTICA S.A.</t>
  </si>
  <si>
    <t xml:space="preserve">PORTÓN DEL ALMACÉN ANEXO CDC </t>
  </si>
  <si>
    <t>BACA BARTUREN MANUEL</t>
  </si>
  <si>
    <t>46 AÑOS</t>
  </si>
  <si>
    <t>CONTROLADOR INSUMOS.</t>
  </si>
  <si>
    <t>Atricción de mano izquierda y herida en dedo medio sin daño de uña</t>
  </si>
  <si>
    <t>ASAS DE PORTON</t>
  </si>
  <si>
    <t>SALA DE ACEITE L 1</t>
  </si>
  <si>
    <t>TACUL HERNANDEZ JORGE ANDRES</t>
  </si>
  <si>
    <t>ACEITE Y ESPACIO TROPEZO CON TUBERIA</t>
  </si>
  <si>
    <t>PROCESO SUR</t>
  </si>
  <si>
    <t>Corte en codo de brazo derecho</t>
  </si>
  <si>
    <t>SECCIÓN DE DESCARGA DEL TANQUE DE ALMACENAMIENTO VERTICAL</t>
  </si>
  <si>
    <t xml:space="preserve">NACARINO GONZALES JAVIER RUBEN </t>
  </si>
  <si>
    <t>FABRICANTE</t>
  </si>
  <si>
    <t>VALCULA MANUAL TIPO MARIPOSA</t>
  </si>
  <si>
    <t xml:space="preserve">ROMERO CARLOS </t>
  </si>
  <si>
    <t xml:space="preserve">SALAS EDWIN </t>
  </si>
  <si>
    <t>SOLDADOR</t>
  </si>
  <si>
    <t>OMEVI</t>
  </si>
  <si>
    <t>J&amp;J</t>
  </si>
  <si>
    <t>EQUIPO DT</t>
  </si>
  <si>
    <t xml:space="preserve">RODRIGUEZ PONCE GIPSY LAIDY </t>
  </si>
  <si>
    <t>CONJUNTIVITIS</t>
  </si>
  <si>
    <t xml:space="preserve">CARTON LAMINADO </t>
  </si>
  <si>
    <t>CONSULTING ADVISERS S.A.C </t>
  </si>
  <si>
    <t>SALA DE BANCOS DE CILINDROS</t>
  </si>
  <si>
    <t>PANTA FARIAS JESUS FRANCISCO</t>
  </si>
  <si>
    <t>Herida de codo y brazo izquierdo</t>
  </si>
  <si>
    <t>Conjuntivitis - Ojo Izquierdo</t>
  </si>
  <si>
    <t>Fractura de Tibia y Perone</t>
  </si>
  <si>
    <t>Contusion en Tobillo Izquierdo</t>
  </si>
  <si>
    <t>ENCARGADO DE LA LIMPIA Y ACONDICIONAMIENTO</t>
  </si>
  <si>
    <t>VISOR DE VIDRIO,TAPA DEL BANCO DIF</t>
  </si>
  <si>
    <t>PAISES EXT.</t>
  </si>
  <si>
    <t>EXTRANJERSO</t>
  </si>
  <si>
    <t>EXTRANJEROS</t>
  </si>
  <si>
    <t>SALSA DE PESADO DE INSUMOS</t>
  </si>
  <si>
    <t>ÑOPO ZEÑA ISABEL MARINA</t>
  </si>
  <si>
    <t>PESADORA</t>
  </si>
  <si>
    <t>Corte de la mano izquierda</t>
  </si>
  <si>
    <t>CORDON QUE SUJETA FRASCO DE ALCOHOL ORIGINO LAS CUALES SE QUIEBRA LA MATRIZ</t>
  </si>
  <si>
    <t>LAVADO VARILLAS KEVIN.</t>
  </si>
  <si>
    <t>OPERARIO DE ENVASASO</t>
  </si>
  <si>
    <t>9 AÑOS</t>
  </si>
  <si>
    <t>Herida del antebrazo derecho</t>
  </si>
  <si>
    <t>ABRAZADERA METALICA DEL EXTINTOR.</t>
  </si>
  <si>
    <t>FORMULACIÓN</t>
  </si>
  <si>
    <t>LANDA ESPICHAN JESUS </t>
  </si>
  <si>
    <t>Fractura de Hueso de Metatarso</t>
  </si>
  <si>
    <t>PELDAÑOS DE ESCALERA</t>
  </si>
  <si>
    <t>MEZARES LIZANA YORK JAIRO</t>
  </si>
  <si>
    <t>MEDIA NOCHE</t>
  </si>
  <si>
    <t>12 DIAS</t>
  </si>
  <si>
    <t>Traumatismo por aplastamiento del dedo Índice de la mano derecha</t>
  </si>
  <si>
    <t>POLIN Y FAJA</t>
  </si>
  <si>
    <t>EL AGUSTINO</t>
  </si>
  <si>
    <t>PERDAVE OROSCO LUIS ADRIAN</t>
  </si>
  <si>
    <t>1 MES Y 2 DIAS</t>
  </si>
  <si>
    <t>CD3 - ADMINISTRACIÓN</t>
  </si>
  <si>
    <t>ALTELIZA S.A.C</t>
  </si>
  <si>
    <t xml:space="preserve">CAPUÑAY LIZANO MARIBEL ROXANA </t>
  </si>
  <si>
    <t xml:space="preserve">La trabajadora al terminar su refrigerio ingresa a los SSHH de damas para realizar la limpieza, al abrir la puerta del baño esta se desprende y le golpea la frente. Luego de la atención en tópico es trasladada a la clínica por su empleador. </t>
  </si>
  <si>
    <t>LÍNEA 4 - Aerosoles</t>
  </si>
  <si>
    <t>En el pasillo se encontraba un operario de limpieza (Ivonne Espinoza) detrás de su máquina limpiadora de pisos; quien no había señalizado el área. El operador de Trilateral al retroceder impacta la máquina de limpieza, la cual se desplaza golpeando al operario de limpieza.</t>
  </si>
  <si>
    <t>HUALLPATUERO MARTINEZ JANET</t>
  </si>
  <si>
    <t>DETERGENTES - Lavavajillas</t>
  </si>
  <si>
    <t>La trabajadora se encontraba en la línea 1 realizando la colocación de esponjas en los potes de crema lavavajilla, los ventiladores se encontraban apagados, al momento que sus compañeras encienden el ventilador por el incremento de temperatura en el área</t>
  </si>
  <si>
    <t>VENTILADOR</t>
  </si>
  <si>
    <t>Cuerpo extraño en cornia</t>
  </si>
  <si>
    <t xml:space="preserve">PRODUCIÓN </t>
  </si>
  <si>
    <t>CHAVEZ HARO GEORGE BRYAN</t>
  </si>
  <si>
    <t xml:space="preserve">SE enontraba limpiando las tapas de ceras para autos, luego su compañero Alan Gonzales le indica que valla al Molino y realice la mezcla blanca. El colaborador Chavez George haciendo uso de sus guantes al intentar cortar la cinta de embalaje con la cuchilla, </t>
  </si>
  <si>
    <t xml:space="preserve">CUCHILLA </t>
  </si>
  <si>
    <t>Prolabora Solutions</t>
  </si>
  <si>
    <t>DETERGNETES - Lavavajillas</t>
  </si>
  <si>
    <t>ADMNISTRACION</t>
  </si>
  <si>
    <t>PEREZ GUTIERREZ WILNAR</t>
  </si>
  <si>
    <t>SINTIENDO UN FUERTE MAREO ANTES DE DESCENDER
DE LAS ESCALERAS RAZON POR LA CUAL PIERDE EL CONTROL DE SU CUERPO Y TERMINA
CAYENDO A DESNIVEL DE RODILLAS Y MANOS, QUEDANDO AFECTADA LA MANO IZQUIERDA ,</t>
  </si>
  <si>
    <t>Tendinitis</t>
  </si>
  <si>
    <t>VPE3769</t>
  </si>
  <si>
    <t>MUÑOZ PINEDO MARIO</t>
  </si>
  <si>
    <t xml:space="preserve">Distribuidor de producto terminado, Planta extruido peces </t>
  </si>
  <si>
    <t>Contusión de la región lumbar</t>
  </si>
  <si>
    <t>VPE3770</t>
  </si>
  <si>
    <t>Quemadura de segundo y tercer grado en brazo derecho</t>
  </si>
  <si>
    <t>FLORES SILVA WULLY</t>
  </si>
  <si>
    <t>Post Acondicionador P8, Planta peletizado</t>
  </si>
  <si>
    <t>8 AÑOS y 4 MESES</t>
  </si>
  <si>
    <t>Prensa</t>
  </si>
  <si>
    <t>Accidente Incapacitante (no IF)</t>
  </si>
  <si>
    <t>TOTAL PAISES EXT</t>
  </si>
  <si>
    <t>Accid 2021</t>
  </si>
  <si>
    <t>OBJ ACCID</t>
  </si>
  <si>
    <t>CONTRATADO</t>
  </si>
  <si>
    <t>5AÑOS</t>
  </si>
  <si>
    <t>BRAZO DETER</t>
  </si>
  <si>
    <t>BRAZOBOLIVIA+Galletera pierna</t>
  </si>
  <si>
    <t>QUIAC FERNANDEZ YORDI YAIR</t>
  </si>
  <si>
    <t>OPERADOR DE PRODUCCION AA</t>
  </si>
  <si>
    <t xml:space="preserve"> 15 días </t>
  </si>
  <si>
    <t>Golpe contuso cortante mientras estaba apoyando en la limpieza de la faja en la linea de barras  al momento de colocar la tapa de dicha faja el operador  no se da cuenta de la guia de metal que existe entre la tapa y  la faja y al momento de presionar la tapa para el cierre de la misma se ocaciona un golpe en el dedo medio y anular ocacionandole un corte</t>
  </si>
  <si>
    <t>Paises</t>
  </si>
  <si>
    <t>Perú (sin ITDC)</t>
  </si>
  <si>
    <t>MB-CALLAO</t>
  </si>
  <si>
    <t>MB-LIMA</t>
  </si>
  <si>
    <t>RONDON REYNAGA ROXANA LOURDES</t>
  </si>
  <si>
    <t>23 días</t>
  </si>
  <si>
    <t>Contusión dos dedos mano derecha sin daño de las uñas</t>
  </si>
  <si>
    <t>CAMARA</t>
  </si>
  <si>
    <t>Almacén APUDEX</t>
  </si>
  <si>
    <t>Preparación de producto para despacho</t>
  </si>
  <si>
    <t>FRANKLIN SANTOS PEREZ</t>
  </si>
  <si>
    <t>OPERARIO DE ALMACÉN</t>
  </si>
  <si>
    <t>Sacro lumbalgia Contusión lumbar</t>
  </si>
  <si>
    <t>APUDEX</t>
  </si>
  <si>
    <t>Obr.Estab</t>
  </si>
  <si>
    <t>Obr.Cont</t>
  </si>
  <si>
    <t>La trabajadora se encontraba en la línea 2 de envasado de crema lavavajillas realizando la labor de colocar esponjas en los potes de lavavajillas y siente una molestia en el ojo izquierdo, avisa a su supervisor quien le da un primer auxilio y la traslada al tópico. Tuvo una primera atención en donde se le hizo el lavado ocular, a los 45 minutos se acerca nuevamente a tópico para una reevaluación y refiere continuar con la molestia, el médico solicita su traslado a la clínica.</t>
  </si>
  <si>
    <t>TAYPE CERRON TEOFILA RAFAELA</t>
  </si>
  <si>
    <t>Hipoclorito - Producción</t>
  </si>
  <si>
    <t>Huaman San Jorge Willy Robert</t>
  </si>
  <si>
    <t>El colaborador se encontraba trasladando el producto (Ácido limpiador sacasarro) desde la faja transportadora hacia la mesa de trabajo, cuando se percata de que los envases estaban saliendo mal tapados, da la voz de alerta al maquinista de la envasadora para que ajuste la regulación.</t>
  </si>
  <si>
    <t>ESPONJA</t>
  </si>
  <si>
    <t>PRINCIPAL - Materias Primas</t>
  </si>
  <si>
    <t>AGUIRRE PONCIANNO ALFREDO</t>
  </si>
  <si>
    <t>Operador de montacarga combustión</t>
  </si>
  <si>
    <t>El trabajador se encontraba abasteciendo de insumos a la Planta Inyección, para lo cual trasladaba con una transpaleta eléctrica una paleta con sacos de polietileno desde el Almacén N° 5 hacia dicha planta. Durante este trayecto, unas partículas de plástico o cuerpo extraño ingresaron a su ojo izquierdo.</t>
  </si>
  <si>
    <t>Cuerpo Extraño en Córnea</t>
  </si>
  <si>
    <t>MINAYA ESPEJO JORGE LUIS</t>
  </si>
  <si>
    <t>El colaborador se encontraba realizando el encajado del producto (Ácido limpiador sacasarro de 3 600 ml) con todos sus EPPs. Durante esta actividad, el colaborador no se percata que algunos de los frascos tenían fugas, lo que que generó un pequeño charco en la mesa de trabajo, que provocó que la base de los frascos se impregnase con el producto.</t>
  </si>
  <si>
    <t xml:space="preserve">FRASCOS </t>
  </si>
  <si>
    <t>DETERGENTES - Producción</t>
  </si>
  <si>
    <t>GASPAR SANTIAGO ROBERTO</t>
  </si>
  <si>
    <t>El trabajador escucha la alarma del tablero de control de ventilación forzada, se comunica con el electricista de Planta Hipoclorito y luego con el electricista de planta principal (el día anterior se avisó que no se programaría electricista en planta detergentes). Ambos electricistas se encontraban ocupados en ese momento y no pudieron atenderlo.</t>
  </si>
  <si>
    <t>1 MESES</t>
  </si>
  <si>
    <t>PAREDES SALATAYA HUGO</t>
  </si>
  <si>
    <t>El trabajador se encontraba en el área de empacado, en la boletería cuando fue alcanzado por el operador de transpaleta Walter Sanchez, quien intentó frenar, pero el piso estaba resbaloso (húmedo), lo que ocasionó que se deslice cerca a la baranda de protección frente a la envolvedora de pallets sufriendo un golpe (aplastamiento) de la pierna derecha con el equipo. Fue derivado al tópico para su atención y posterior traslado a la clínica.</t>
  </si>
  <si>
    <t>Tablero</t>
  </si>
  <si>
    <t>192 MESES</t>
  </si>
  <si>
    <t>Piso resbaloso</t>
  </si>
  <si>
    <t>0.5 MESES</t>
  </si>
  <si>
    <t>7 meses y 21 días</t>
  </si>
  <si>
    <t>Operario de ensacado</t>
  </si>
  <si>
    <t>El colaborador sufre un traumatismos superficiales múltiples de la muñeca y la mano, se encontraba colocando las tapas del transportador helicoidal TT-01-06, en el 1er nivel de la planta de maíz, haciendo uso de una escalera tipo tijera, generando que el operario sufra una caída de una altura aproximada de 80cm, golpeándose la muñeca y la mano</t>
  </si>
  <si>
    <t>Escalera tipo tijera</t>
  </si>
  <si>
    <t xml:space="preserve">TRAUMATISMOS </t>
  </si>
  <si>
    <t>MANPOWER PROFESSIONAL SERVICES SA</t>
  </si>
  <si>
    <t>ESCOBAR CRISOSTOMO WILLIAM</t>
  </si>
  <si>
    <t>DISTRIBUCION - CD AREQUIPA</t>
  </si>
  <si>
    <t>el trabajador Eduardo Ticona estibador de la empresa IOLSA, se encontraba realizando la descarga de producto siendo encargado del enfardado con Strech Film de la paleta armada (con baldes de aceite), cerca a finalizar la descarga de la unidad, el trabajador se resbala golpeando su pierna izquierda con la estructura de la carretilla hidráulica produciendo un hematoma.  Se da aviso al jefe de turno y se traslada al centro médico más cercano.</t>
  </si>
  <si>
    <t>EDUARDO TICONA RAMOS</t>
  </si>
  <si>
    <t xml:space="preserve">ESTIBADOR </t>
  </si>
  <si>
    <t xml:space="preserve">El colaborador sufre una fractura dedo de los dedos de la mano (Derecha) al momento de subir a la movilidad de traslado coloco su mano en la puerta del copiloto y un compañero de trabajo que había subido primero en los asientos delanteros cerró la puerta impactando la estructura con su mano </t>
  </si>
  <si>
    <t>LASER ARTURO VILLAR ACOSTA</t>
  </si>
  <si>
    <t xml:space="preserve">3 MESES </t>
  </si>
  <si>
    <t>ENVASADO INSTANTÁNEOS LÍNEA P1</t>
  </si>
  <si>
    <t xml:space="preserve">El colaborador sufre una Herida en el antebrazo izquierdo, mostraba al encargado de línea Wilmer Uriarte el cuarto escalón de la escalera metálica que se había desoldado del lado derecho, en el momento que hacía fuerza sobre el mismo para evidenciar la soldadura rota, el escalón cede y su brazo izquierdo roza el filo de la soldadura de la estructura, generándole un corte en su antebrazo izquierdo. </t>
  </si>
  <si>
    <t>OPERADOR DE MÁQUINA ENVASADORA</t>
  </si>
  <si>
    <t>URIARTE ESPINOZA JOSE ALBERTO</t>
  </si>
  <si>
    <t xml:space="preserve"> ESCALERA METÁLICA</t>
  </si>
  <si>
    <t xml:space="preserve"> El colaborador sufre una Conjuntivitis ojo izquierdo fractura, se encontraba lavando material de vidrio utilizado en el análisis de grasa, el mismo que para su limpieza requiere de hidróxido de sodio al 45% de concentración más 50 ml de agua destilada en ese momento se produce la salpicadura de la sustancia química al ojo izquierdo provocando una sensación de irritación </t>
  </si>
  <si>
    <t>LABORATORIO DE CALIDAD</t>
  </si>
  <si>
    <t>MATERIAL DE VIDRIO</t>
  </si>
  <si>
    <t xml:space="preserve">Conjuntivitis </t>
  </si>
  <si>
    <t xml:space="preserve">ÁLAVA BAQUERIZO JIMENA </t>
  </si>
  <si>
    <t xml:space="preserve">ACOSTA LINO OMAR EFRAIN </t>
  </si>
  <si>
    <t xml:space="preserve">El colaborador sufre Cervicalgia, se desplazaba por una escalera fija que se encuentra entre tuberías de silos diarios, se golpea la cabeza contra una tubería metálica que está ubicada en la parte superior de la escalera (usaba casco en el momento del impacto). Omar Acosta indica que no se percató de dicha tubería debido a que el área carece de iluminación. </t>
  </si>
  <si>
    <t>TUBERÍAS DE SILOS DIARIOS</t>
  </si>
  <si>
    <t xml:space="preserve">El colaborador había terminado de realizar las pruebas luego del cambio de cuchilla de la máquina etiquetadora Triner, y se dispuso a comunicar al personal de la línea para el arranque de dicha máquina. En ese momento, observa que el tambor de la etiquetadora presentaba suciedad adherida a la superficie y coge un trapo para realizar la limpieza mientras esperaba a los maquinistas manteniendo la etiquetadora encendida. </t>
  </si>
  <si>
    <t>121 MESES</t>
  </si>
  <si>
    <t>PRINCIPAL - Producción</t>
  </si>
  <si>
    <t>LA ROSA LESCANO GERALD GIL</t>
  </si>
  <si>
    <t>SUPERVISOR LINEA ETIQUETADO</t>
  </si>
  <si>
    <t xml:space="preserve">CUCHILLA DE LA MÁQUINA ETIQUETADORA </t>
  </si>
  <si>
    <t>LOYZA HIDALGO ANTONIO</t>
  </si>
  <si>
    <t>El trabajador se encontraba trasladando coches y el borde inferior alcanzó su tobillo izquierdo ocasionándole dolor y dificultad para caminar. Fue derivado al tópico para su atención. Luego de un reposo fue reevaluado y se determinó que sea trasladado a la clínica.</t>
  </si>
  <si>
    <t>COCHES</t>
  </si>
  <si>
    <t>CASTILLO FELIPA JESSICA MAGALLY</t>
  </si>
  <si>
    <t>INSPECTOR DE CONTROL DE CALIDAD</t>
  </si>
  <si>
    <t>Siendo aproximadamente las 19:05 h, la colaboradora Jessica Castillo se dirigía al laboratorio de control físico-químico para iniciar sus labores en el área, al momento de ingresar se resbala y cae al piso golpeándose el lado izquierdo del cuerpo.</t>
  </si>
  <si>
    <t>78 MESES</t>
  </si>
  <si>
    <t>PISO RESBALOSO</t>
  </si>
  <si>
    <t>Siendo aproximadamente las 14:30 h, el colaborador Alejandro Loza se encontraba en su puesto de trabajo en la termoformadora #1, recientemente había realizado un cambio de bobina para termoformar tapas plásticas, en un determinado momento el folio perdió la horizontalidad en uno sus lados (formándose una curvatura)</t>
  </si>
  <si>
    <t>LOZA TRELLES ALEJANDRO</t>
  </si>
  <si>
    <t>ENCARGADO DE PLASTICOS</t>
  </si>
  <si>
    <t>La colaboradora se encontraba colocando manualmente las tapas plásticas en los envases de aerosoles cuando la parte inferior de uno de los envases (fondo) impacta en su mano derecha; dicha sección se había desprendido de un envase por una doble carga de propelente (GLP) y salió proyectada desde la máquina llenadora hacia la ubicación de la trabajadora.</t>
  </si>
  <si>
    <t>CURI CASTRILLON HAYDA NATALY</t>
  </si>
  <si>
    <t>ENVASES</t>
  </si>
  <si>
    <t>a julio</t>
  </si>
  <si>
    <t>29-43</t>
  </si>
  <si>
    <t>0.9-2.1</t>
  </si>
  <si>
    <t>CORPORATIVO</t>
  </si>
  <si>
    <t>ESTIM ANUAL</t>
  </si>
  <si>
    <t>3'300</t>
  </si>
  <si>
    <t>PROPIO</t>
  </si>
  <si>
    <t>TERCEROS</t>
  </si>
  <si>
    <t>DISTUBICÓN</t>
  </si>
  <si>
    <t>proy</t>
  </si>
  <si>
    <t>ITDC - CHORRILLOS</t>
  </si>
  <si>
    <t xml:space="preserve">El colaborador sufre una herida en muñeca y mano, se encontraba en la línea de envasado volpak 260 junto a un compañero del área, ambos se encontraban regulando la máquina debido a un cambio de formato, en un determinado momento el colaborador intenta retirar una acumulación de doypacks en la parte final de la línea, en ese instante sufre un aplastamiento entre la guía móvil y un perno de la máquina. </t>
  </si>
  <si>
    <t xml:space="preserve">El colaborador sufre una quemadura de segundo grado en la mano izquierda, se encontraba realizando actividades de reproceso en la plataforma de mezclado (segundo nivel) y su encargado le solicita abastecer de agua caliente al tanque pulmón de la línea 1. Este utiliza un balde de plástico para llenarlo con agua caliente, luego se dirige al tanque y sube a una escalera para llegar a la altura necesaria </t>
  </si>
  <si>
    <t xml:space="preserve">El colaborador sufre una contusión superficial en el pie derecho, realizaba el segundo cambio de bobina 640 en la máquina SAGBIL-38 colocándola sobre su rodilla para instalarla en la sujeción lateral, esta resbala de sus manos y cae sobre su pie derecho </t>
  </si>
  <si>
    <t>CESAR AUGUSTO CUBA</t>
  </si>
  <si>
    <t>RUBEN ANTONIO TOLEDO</t>
  </si>
  <si>
    <t>PEDRO JOSE ILLATOPA</t>
  </si>
  <si>
    <t>Maquinista de envasado</t>
  </si>
  <si>
    <t>Maquinista 2</t>
  </si>
  <si>
    <t>GOLIPE</t>
  </si>
  <si>
    <t xml:space="preserve">El colaborador sufre extrañas molestias en los ojos producto del contacto con el material, se encontraba realizando la preparación de pre-capa en la Planta Descerado. Durante la actividad de adicionar la ayuda filtrante “Filtralite” al tanque pre-capa </t>
  </si>
  <si>
    <t>AYUDA FILTRANTE</t>
  </si>
  <si>
    <t>5 AÑOS Y 8 MESES</t>
  </si>
  <si>
    <t>Jorge Manuel Quispe Espinoza</t>
  </si>
  <si>
    <t>Operador de Descerado</t>
  </si>
  <si>
    <t xml:space="preserve">El colaborador sufre quemadura de primer grado, al realizar la verificación de la limpieza de la tolva de producto terminado de la línea 10 mediante el uso del luminómetro. Al llegar a la zona observa que el acople de la tolva estaba sobre un pallet al nivel del piso con un saco de protección entre acople de tolva y pallet, además de estar forrado con strech film </t>
  </si>
  <si>
    <t>El colaborador sufre una pérdida de tejido en falange distal dedo medio mano izquierda, se encontraba trasladando de forma manual un transportador, el cual al ser movido de posición cae atrapándole el dedo medio de la mano izquierda</t>
  </si>
  <si>
    <t>COCHABAMBA-ENVASADO MARGARINAS</t>
  </si>
  <si>
    <t>Edita Cotrina Olivera</t>
  </si>
  <si>
    <t xml:space="preserve">Técnico de Aseguramiento de Calidad </t>
  </si>
  <si>
    <t>Envasado de la Línea 10 de planta Peletizado</t>
  </si>
  <si>
    <t xml:space="preserve">peróxido al 0.2 % V/V </t>
  </si>
  <si>
    <t>2 años y 3 meses</t>
  </si>
  <si>
    <t>PERDIDA DE TEJIDO FALANGE</t>
  </si>
  <si>
    <t xml:space="preserve">Sandro Bustamante </t>
  </si>
  <si>
    <t>Operador de línea de envasado</t>
  </si>
  <si>
    <t>Producción - Ceras y betunes</t>
  </si>
  <si>
    <t>Siendo aproximadamente las 14:30 h, el colaborador Cesar Cuba se encontraba en la línea de envasado volpak 260 junto a un compañero del área, ambos se encontraban regulando la máquina debido a un cambio de formato, en un determinado momento el colaborador intenta retirar una acumulación de doypacks en la parte final de la línea, en ese instante sufre un aplastamiento entre la guía móvil y un perno de la máquina.</t>
  </si>
  <si>
    <t>El trabajador se encontraba realizando actividades en la plataforma de mezclado (segundo nivel) y su encargado le solicita abastecer de agua caliente a la tolva de la línea 1. Este utiliza un balde de plástico para llenarlo con agua caliente, luego se dirige a la tolva y sube a una escalera para llegar a la altura necesaria. Al echar el agua sufre una salpicadura. Reporta a su encargado y es dirigido al tópico</t>
  </si>
  <si>
    <t xml:space="preserve">El trabajador realizaba el segundo cambio de bobina 640 en la máquina SAGBIL-38 colocándola sobre su rodilla para instalarla en la sujeción lateral, esta resbala de sus manos y cae sobre su pie derecho.   </t>
  </si>
  <si>
    <t>CUBA ESPINOZA CESAR AUGUSTO</t>
  </si>
  <si>
    <t>TOLEDO PAIVA RUBEN ANTONIO</t>
  </si>
  <si>
    <t>ILLATOPA SILVA PEDRO JOSE</t>
  </si>
  <si>
    <t xml:space="preserve">Detergentes - Producción </t>
  </si>
  <si>
    <t>Muñeca/Mano</t>
  </si>
  <si>
    <t>Quemadura 2do grado</t>
  </si>
  <si>
    <t xml:space="preserve">4 MESES </t>
  </si>
  <si>
    <t>Traumatismo de Pie y Tobillo golpeado por equipo logistico</t>
  </si>
  <si>
    <t>Fractura dedo índice mano derecha atrapamiento en valvula mariposa</t>
  </si>
  <si>
    <t>FRACTURA PELVIS</t>
  </si>
  <si>
    <t xml:space="preserve">HH PROYECTADAS
</t>
  </si>
  <si>
    <t>Embolsado de Productos</t>
  </si>
  <si>
    <t>CORDOVA HUAYA ROY MIQUEY</t>
  </si>
  <si>
    <t xml:space="preserve">El colaborador sufre contractura muscular en región lumbar, se encontraba trasladando envases de subproducto hacia el 2do. piso del edificio de Embolsado </t>
  </si>
  <si>
    <t>Contractura Muscular</t>
  </si>
  <si>
    <t>ITD20828</t>
  </si>
  <si>
    <t>El colaborador se encontraba realizando la molienda de mangos de cepillo en el molino de primera inyección, cuando observa que algunos mangos de cepillo habían caído y uno de ellos se encontraba atascado entre el eje del motor y la faja de transmisión.</t>
  </si>
  <si>
    <t>El colaborador se encontraba realizando el encajado de botellas en la máquina Sika N° 2, cuando su compañera (encargada de máquina) le solicita que realice la limpieza del filtro de la máquina.</t>
  </si>
  <si>
    <t>Producción - Soplado</t>
  </si>
  <si>
    <t>Producción - Inyección</t>
  </si>
  <si>
    <t>ARBILDO CRISPIN  JASON SLATER</t>
  </si>
  <si>
    <t xml:space="preserve">CANDIA GOMEZ BRAYAN </t>
  </si>
  <si>
    <t xml:space="preserve">Fractura </t>
  </si>
  <si>
    <t xml:space="preserve">Traumatismo del ojo </t>
  </si>
  <si>
    <t xml:space="preserve">ITD20827 </t>
  </si>
  <si>
    <t>MB-PAITA</t>
  </si>
  <si>
    <t>Herida en el dedo índice de la mano derecha con pérdidas de partes blandas al contacto con la cadena de arrastre y la guía en la envolvedora Flow pack M3 de la línea de caramelo duro al intentar retirar el caramelo acumulado habiendo retirado la mica protectora</t>
  </si>
  <si>
    <t>CEA</t>
  </si>
  <si>
    <t>LURIN 2</t>
  </si>
  <si>
    <t>SALMOFOOD</t>
  </si>
  <si>
    <t xml:space="preserve">Ulcera corneal en ojo derecho por cuerpo extraño durante la limpieza de las estructuras de los tanques de agua haciendo uso de unas lijas </t>
  </si>
  <si>
    <t xml:space="preserve">Herida por contusión de pierna izquierda al caerle una madera de una parihuela mientras retiraba la primera de una columna de cinco apiladas  </t>
  </si>
  <si>
    <t xml:space="preserve">Cuerpo extraño ocular (partículas de harina) mientras revisaba una falla mecánica en la parte inferior del Plansifter.  </t>
  </si>
  <si>
    <t xml:space="preserve">Contusión del cuarto dedo de la mano izquierda con bandejas mientras realizaba labores de apilamiento de bandejas con galletas glacitas </t>
  </si>
  <si>
    <t xml:space="preserve">Quemadura de 1er y 2do grado en muslo al contacto con desangrasante contenido en un atomizador mal cerrado que cae al piso y genera la salpicadura </t>
  </si>
  <si>
    <t>Corte en los dedos pulgar, índice y anular de la mano derecha por contacto con la cuchilla de corte de mangas de la máquina Sika N° 1 al perder el equilibrio luego de tomar los datos de las resistencias</t>
  </si>
  <si>
    <t>Fractura de dedo índice mientras ordenaba cilindros de insumos de manera manual sobre unas paletas</t>
  </si>
  <si>
    <t>INCIDENTE</t>
  </si>
  <si>
    <t xml:space="preserve">Herida del parpado izquierdo y en la región periocular y Herida de la nariz al caerle la criba del molino mientras intentaba abrir la compuerta del molino 2 de la línea 4  </t>
  </si>
  <si>
    <t>Contusión por atricción de tobillo al contacto con montacarga al perder el control del equipo y pasar por el pie izquierdo mientras bromeaba con el compañero</t>
  </si>
  <si>
    <t>Grúa hace contacto con estructura superior del portón doblando el riel de éste sin provocar daños personales ni a la grúa horquilla luego de descargar un maxisaco al sector de etiqueta trasladándose marcha atrás</t>
  </si>
  <si>
    <t>JOSE MANUEL PILOZO AROCA</t>
  </si>
  <si>
    <t>Operador de Molino</t>
  </si>
  <si>
    <t>Domiciano Portilla Flores</t>
  </si>
  <si>
    <t xml:space="preserve">Maquinista </t>
  </si>
  <si>
    <t>20 años 3 meses</t>
  </si>
  <si>
    <t>Luis Gordillo Alvarado</t>
  </si>
  <si>
    <t>2 años en el puesto (3 años y 2 meses en Alicorp)</t>
  </si>
  <si>
    <t>Abastecedor Cámara Fría</t>
  </si>
  <si>
    <t>Maicon Huayco Garcia</t>
  </si>
  <si>
    <t>CD EL ALTO</t>
  </si>
  <si>
    <t>CAE</t>
  </si>
  <si>
    <t>Estibador (tercero)</t>
  </si>
  <si>
    <t>Breme Jimenez Garsez</t>
  </si>
  <si>
    <t xml:space="preserve">Operario de Centro Experimental </t>
  </si>
  <si>
    <t>4 años y 9 meses</t>
  </si>
  <si>
    <t>APT SIDSUR</t>
  </si>
  <si>
    <t>21 años y 8 meses</t>
  </si>
  <si>
    <t>Maquinista Envasadora</t>
  </si>
  <si>
    <t>Alfredo Aguedo Castro</t>
  </si>
  <si>
    <t>DIONICIO RODRIGUEZ RONALD OLMEDO</t>
  </si>
  <si>
    <t>Elmo Rafael Mamani Luque</t>
  </si>
  <si>
    <t>3 meses 22 días</t>
  </si>
  <si>
    <t>Técnico electricista</t>
  </si>
  <si>
    <t>Reyes Asencio, Hernán</t>
  </si>
  <si>
    <t>OPERADOR DE PRODUCCIÓN</t>
  </si>
  <si>
    <t>19 años 11 meses</t>
  </si>
  <si>
    <t>PEÑAFIEL PEREZ MAICOL RONAL MARTIN</t>
  </si>
  <si>
    <t xml:space="preserve">ALMACÉN PACTO ANDINO </t>
  </si>
  <si>
    <t xml:space="preserve">2 AÑOS 6 MESES </t>
  </si>
  <si>
    <t>OPERADOR DE MONTACARGA ELECTRICO</t>
  </si>
  <si>
    <t>Arturo Orihuela Arias</t>
  </si>
  <si>
    <t>El colaborador sufre una contusión en dedo meñique mano derecha al golpearse contra la estructura metálica divisoria del ambiente mientras trasladaba el coche con baldes de vinagre</t>
  </si>
  <si>
    <t>GOICOCHEA GUTIERREZ ALFFI GABRIEL</t>
  </si>
  <si>
    <t>Electricista</t>
  </si>
  <si>
    <t>Desgarro de meniscos en rodillas mientras se trasladaba (bajaba) del piso 5 del edifico Pre Limpia hacia la sala de control, se resbala un peldaño antes de llegar a la plataforma del piso 3, producto de este desliz termina posado de rodillas en el descanso de dicho piso.</t>
  </si>
  <si>
    <t xml:space="preserve">Desgarro de meniscos en rodillas durante el desatoro de pallet vacío en el transfer del Robot D línea 8  </t>
  </si>
  <si>
    <t xml:space="preserve">Contusión de codo del brazo izquierdo durante la revisión del sistema de ladeo ubicado en la faja transportadora en chocotec 2.  </t>
  </si>
  <si>
    <t>Herida en dedo pulgar derecho al reponer la llave en el estante de herramientas</t>
  </si>
  <si>
    <t>Corte en el antebrazo de mnao izquierda al resbalar y tener contacto con el perfil de la puesrta de la cabina del inodoro.</t>
  </si>
  <si>
    <t>SSHH GALLETERIA</t>
  </si>
  <si>
    <t>VESTUARIOS COPSA</t>
  </si>
  <si>
    <t xml:space="preserve">Esguince y torcedura del tobillo derecho al bajar del asiento de concreto al que subió para alcanzar la parte superior del casillero. </t>
  </si>
  <si>
    <t>Conjuntivitis aguda por salpicadura de slop al salirse la manguera  durante la purga de la línea .</t>
  </si>
  <si>
    <t>Golpe en la cabeza por contacto con puerta de batidora #4 al desplazarse y pasar por debajo (</t>
  </si>
  <si>
    <t>ITDC-VENTANILLA</t>
  </si>
  <si>
    <t>Atricción en el brazo derecho al contacto con cabina de elevador que cae durante el desatoro de la misma</t>
  </si>
  <si>
    <t xml:space="preserve">Traumatismo 1er dedo mano izquierda al intentar destrabar la bolsa en el interior de la máquina embolsadora ingresando el brazo por debajo de la guarda. </t>
  </si>
  <si>
    <t>ITDC-DETERGENTES</t>
  </si>
  <si>
    <t>LURIN 4</t>
  </si>
  <si>
    <t>Luego de 1 hr de arranque  de la planta de Sulfonación #2 se desprende la sección inferior del pulverizador de Diesel  provocando que el combustible se derrame en el piso producto del bombeo y el fuego se extienda sobre éste.</t>
  </si>
  <si>
    <t xml:space="preserve">ITDC-SULFONACION </t>
  </si>
  <si>
    <t>Expulsión de tapa de cilindro con restos de fosfamina debido a la alta concentración de gas en el interior</t>
  </si>
  <si>
    <t>Volcadura de montacarga por desplazamiento de la unidad de transporte durante la descarga de producto.</t>
  </si>
  <si>
    <t>ITDC-CHORRILLOS</t>
  </si>
  <si>
    <t>Caída de cabina de elevador de carga #1 mientras descendía del 3er al 1er.</t>
  </si>
  <si>
    <t>Derrame de Oleum (Acido Sulfúrico fumante) y generación de SO3 durante el transvase del óleum desde tanque recolector.</t>
  </si>
  <si>
    <t>YOSSIMAR RAMOS REYES</t>
  </si>
  <si>
    <t>OPERADOR SISTEMA DE PALETIZADO</t>
  </si>
  <si>
    <t>PARDO YESQUEN PEDRO</t>
  </si>
  <si>
    <t>Rosario Urbina Pacheco</t>
  </si>
  <si>
    <t>Operador manufactura Salsas</t>
  </si>
  <si>
    <t>Jorge Avelino Palomino Alfaro</t>
  </si>
  <si>
    <t>Mecánico de mantenimiento</t>
  </si>
  <si>
    <t xml:space="preserve">20 años y 10 meses </t>
  </si>
  <si>
    <t>Zelada Guerrero, Edward Esteban</t>
  </si>
  <si>
    <t>Esguince y torcedura de muñeca mano izquierda al bajar las escaleras para retornar a su puesto de trabajo sin hacer uso de las barandas,</t>
  </si>
  <si>
    <t>5 MESES 22 DÍAS</t>
  </si>
  <si>
    <t xml:space="preserve">Traumatismo superficiales múltiples de la muñeca y mano al resbalar mientras ingresaba por la aduana 1 por un charco de agua originado por riego de una planta. </t>
  </si>
  <si>
    <t>ZILA ANAIZ MESTANZA VICITACION</t>
  </si>
  <si>
    <t>VIG CDA (SIDSUR + MOL. AREQUIPA)</t>
  </si>
  <si>
    <t>CONSULTING</t>
  </si>
  <si>
    <t xml:space="preserve">Quemadura de segundo grado realizando la labor de sellado de bolsones al colocar su mano izquierda en la parte posterior de la barra </t>
  </si>
  <si>
    <t>TOLEDO PARIONA, JOSE LUIS</t>
  </si>
  <si>
    <t>Quemadura química de 1er. grado en el cuello por salpicadura mientras realizaba el bombeo de bidón de ácido acético concentrado</t>
  </si>
  <si>
    <t xml:space="preserve">Traumatismo superficial del pie y tobillo izquierdo mientras operaba el apilador eléctrico. El personal colocó el pie contra la pared debido a que no respondía el equipo mientras realizaba la maniobra de retroceso. Sin embargo, el equipo se acciona y presiona levemente su pie. </t>
  </si>
  <si>
    <t xml:space="preserve">Contusión en la rodilla izquierda a causa de caída en el área de alimentación – línea 3. </t>
  </si>
  <si>
    <t xml:space="preserve">Traumatismo por aplastamiento del dedo medio y anular de la mano izquierda mientras accionaba la puerta 10 en el almacén A en labores de  limpieza del muelle de carga. </t>
  </si>
  <si>
    <t>Conjuntivitis y quemadura química a causa de liberación de producto en aerosol directamente al rostro de la trabajadora por una caída accidental de cajas que aperturaron las válvulas del producto</t>
  </si>
  <si>
    <t>ITDC-LUIRN 2</t>
  </si>
  <si>
    <t>Herida en el dedo medio causada por un corte con la cuchilla de la maquina etiquetadora Trine – Línea IMSB 3 mientras el trabajado tocaba la superficie del cilindro para comprobar si tenía goma por debajo de la guarda</t>
  </si>
  <si>
    <t>AEROSOLES</t>
  </si>
  <si>
    <t>LEJIAS</t>
  </si>
  <si>
    <t>ITDC-LUIRN 4</t>
  </si>
  <si>
    <t>CD1</t>
  </si>
  <si>
    <t xml:space="preserve">Amputación traumática distal cuarto dedo de la mano derecha mientras procedía a levantar una estructura metálica (Zetas) de 100kg aprox, en forma manual, sin ayuda del OPERARIO Y EL RIGGER , con el motivo de escoger el material que la grúa izará, producto al movimiento provoco una desestabilización del afectado al momento cargar la Z. Y al tratar de mantener el control aplasto su dedo anular de la mano derecha entre los traslapes estructurales causándole una mutilación parcial. </t>
  </si>
  <si>
    <t>Liberación de vapor y producto del extrusor L3 mientras realizaban el ajuste de un tornillo. Posterior a ello se apertura el barril N°5 del extrusor y la tuerca salió proyectada de manera inesperada debido a la presión interna, impactando en un trabajador presente</t>
  </si>
  <si>
    <t xml:space="preserve">Diego Luque Cuba </t>
  </si>
  <si>
    <t>Izuiza Sinarahua, Geiser</t>
  </si>
  <si>
    <t>Claudia Priscila Ruiz Pinedo</t>
  </si>
  <si>
    <t>7 meses y 20 días</t>
  </si>
  <si>
    <t>C.A. Outsourcing SAC</t>
  </si>
  <si>
    <t>Alexis Coronado Guzmán</t>
  </si>
  <si>
    <t>7 meses y 8 días</t>
  </si>
  <si>
    <t>Vasquez Carranza Almicar Carey</t>
  </si>
  <si>
    <t>Un año</t>
  </si>
  <si>
    <t>montajista</t>
  </si>
  <si>
    <t>T &amp; D SOLUCIONES METALICAS SAC</t>
  </si>
  <si>
    <t>Juan Pablo Bahamonde</t>
  </si>
  <si>
    <t>MAsTERBREAD</t>
  </si>
  <si>
    <t xml:space="preserve">sufre una herida de dedo meñique de la mano derecha con daño en la uña (5to dedo mano derecha) mientras se encontraba realizando inspección manual de packs en la zona de rayos X de la línea 02 </t>
  </si>
  <si>
    <t>El colaborador sufre herida de corte en el dedo (5to dedo mano izquierda), se encontraba realizando la actividad de apertura de sacos (saco de avena) para su fraccionamiento, al cortar los sacos con cuchilla retráctil</t>
  </si>
  <si>
    <t>DESENGRASANTE</t>
  </si>
  <si>
    <t>BATIDORA</t>
  </si>
  <si>
    <t xml:space="preserve">El colaborador sufre una quemadura de primer grado en mano izquierda (dedo índice, medio y anular) tras calentar la masa de una polea a instalar en motor que estaba siendo intervenido en ese momento, retira un pedazo de plancha metálica (que hacía de contención de calor en la masa que se estaba dilatando) con guantes y trapo. </t>
  </si>
  <si>
    <t xml:space="preserve">El colaborador sufre una Herida en 5to. dedo de la mano izquierda mientras realizaba el embolsado de harina; durante el proceso de embolse se atasca un saco en la cocedora al intentar agarrar el saco para evitar el avance, su mano se golpea con un pedestal dentado de la línea. </t>
  </si>
  <si>
    <t xml:space="preserve">El colaborador presenta Contusión de Tórax mientras retiraba los bastidores del equipo para la limpieza de plansifters durante la parada de las operaciones </t>
  </si>
  <si>
    <t>MANIPULACIÓN MATERIAL</t>
  </si>
  <si>
    <t>El colaborador sufre la amputación de la yema del dedo, cuando procedía a la apertura de las puertas laterales para dar inicio al proceso de descarga quedando atrapado sus dedo entre las puertas corredizas</t>
  </si>
  <si>
    <t>El colaborador sufre una contusión en la pierna derecha mientras se encontraba acomodando las paletas con su compañero para proceder con la limpieza, una de ellas se resbala de las manos y cae sobre su pierna derecha.</t>
  </si>
  <si>
    <t xml:space="preserve">Pasadizo Línea De Producción De Subproducto: El colaborador sufre una fractura del Pie y Tobillo derecho, cumpliendo su labor como guía del Manlift al ubicarse en un punto ciego del equipo que estaba señalizado y sin que el operador logre visualizarlo cogiéndole el pie del vigia con la llanta derecha del equipo y aplastandoselo.  </t>
  </si>
  <si>
    <t xml:space="preserve">El colaborador sufre lesión en el dedo índice derecho, al inicio al proceso de descarga, al abrir la puerta lateral izquierda ejerciendo fuerza sobre la puerta ya que esta se encontraba trabada, y esta cede y se cierra bruscamente atrapando el dedo índice derecho entre la puerta y manija. </t>
  </si>
  <si>
    <t xml:space="preserve">El colaborador sufre Lesión en el Hombro, durante el manipuleo de un saco de afrecho de 40 kl. Intento sujetarlo correctamente sin embargo el peso lo domino cayéndole encima del hombro izquierdo </t>
  </si>
  <si>
    <t>Contusión en el dedo medio de la mano derecha, durante el manipuleo de paletas para proceder con la limpieza.</t>
  </si>
  <si>
    <t>APILADOR</t>
  </si>
  <si>
    <t>PUERTA ALMACEN</t>
  </si>
  <si>
    <t>QUERATITIS OJO</t>
  </si>
  <si>
    <t>ULCERA OJO</t>
  </si>
  <si>
    <t>CUERPO EXTRAÑO OCULAR</t>
  </si>
  <si>
    <t>QUEMATRAS</t>
  </si>
  <si>
    <t>CILINDROS</t>
  </si>
  <si>
    <t>2023 CON ITDC</t>
  </si>
  <si>
    <t>2023 CON itdc</t>
  </si>
  <si>
    <t>IF 2023</t>
  </si>
  <si>
    <t>IS 2023</t>
  </si>
  <si>
    <t>AZOTEA</t>
  </si>
  <si>
    <t>PANIFICACIÓN</t>
  </si>
  <si>
    <t>PARQUE INDUSTRIAL</t>
  </si>
  <si>
    <t>PLANTA DON FELIPE</t>
  </si>
  <si>
    <t xml:space="preserve">Esquince y torcedura de tobillo izquierdo a causa de caída mientras descendía de la escalera vertical ubicada en el 9 piso (azotea) del edificio del Molino Callao. El trabajador realizaba labores de mantenimiento del sistema de alimentación de agua del acondicionado de trigo. </t>
  </si>
  <si>
    <t xml:space="preserve">Contusión del hombro y del brazo izquierdo producto del golpe sufrido por la caída del trabajador que resbala descendiendo por las escaleras del 6 piso del edificio del Molino Callao. Debido a las condiciones ambientales en el momento del accidente, la zona se encontraba humedecida. </t>
  </si>
  <si>
    <t xml:space="preserve">Policontusión en la cabeza y zona cervical debido al golpe causado por la caída de la puerta enrollable del almacén de preformas de SMI. El trabajador colocó una varilla para sostener la puerta enrollable y poder trasladar una stocka con baldes y tapas, no obstante la varilla cede y deja caer el peso de la puerta sobre la cabeza del trabajador. </t>
  </si>
  <si>
    <t xml:space="preserve">Quemadura en dorso de mano derecha a causa de roce con la mordaza caliente de sellado de la máquina llenadora de potes – etapa de sellado. </t>
  </si>
  <si>
    <t xml:space="preserve">Quemadura del hombro y miembro superior a causa de contacto con la bandeja caliente del horno mientras la trabajadora se encontraba retirando 02 kekes recién horneados en la zona de horneado y cocción. </t>
  </si>
  <si>
    <t xml:space="preserve">Inflamación de la córnea a causa de proyección de partículas de galleta que se liberaron mientras realizaban el desatoro de la línea. Cabe resaltar que la trabajadora reportó el evento al día siguiente. </t>
  </si>
  <si>
    <t xml:space="preserve">Queratoconjuntivitis a causa de derrame de ácido sulfónico sobre la cabeza y rostro mientras intentaba elevar el balde hacia el mezanine de fabricación. </t>
  </si>
  <si>
    <t xml:space="preserve">Contusión en pie y tobillo derecho a causa de caída de la compuerta que golpea al trabajador contratista mientras realizaba la descarga de camión con grano de soya en Volcadora ubicada en la Fosa de descarga N°3 del área de Recepción de granos.  </t>
  </si>
  <si>
    <t xml:space="preserve">El trabajador se encontraba sobre la plataforma móvil en el sector de canopy que estaba próxima ala grúa horquilla que trasladaba carga. El movimiento de la grúa hace que la escoba que se encontraba cerca de la base de la plataforma se mueva y desestabilice la misma, haciéndola caer hacia el lado izquierdo y quedando apoyada sobre otra plataforma. El trabajador no cae al suelo pero sufre una contusión costal. </t>
  </si>
  <si>
    <t xml:space="preserve">Hemorragia subconjuntival en el ojo causada por la proyección de una tapa metálica del ducto de salida de aire del DTDC que logra impactar en la parte lateral del casco y lentes de seguridad. El trabajador (operador de Solvente Crown) estaba asegurando dicha tapa, cuando pierde el control de la misma y causa el impacto. </t>
  </si>
  <si>
    <t xml:space="preserve">Luxación de hombro derecho a causa de realizar un movimiento brusco mientras trasladaba sacos de calcio en el área de tolva de Microingredientes – Planta 1. El trabajador al notar que un saco se trabó realiza una maniobra brusca que le causa dolor en el hombro, pese a ello, continua realizando el traslado de sacos de calcio hasta que dicho dolor se intensifica. </t>
  </si>
  <si>
    <t xml:space="preserve">Contusión en el dedo pulgar derecho a causa de impacto con la pared. El trabajador se encontraba ejerciendo fuerza para arrancar strech film en los baldes anidados y producto de la inercia del movimiento su dedo golpea la pared contigua. Cabe resaltar que el reporte lo realiza en el trascurso del día. </t>
  </si>
  <si>
    <t xml:space="preserve">Herida en dedo de la mano causada por corte con superficies punzocortantes expuestas al intentar retirar una lata de aerosol atorada. </t>
  </si>
  <si>
    <t xml:space="preserve">SURICHAQUI CUMAPA MIGUEL ANGEL </t>
  </si>
  <si>
    <t>ESCALERA VERTICAL</t>
  </si>
  <si>
    <t>Gustavo Adolfo Ortuño Toledo</t>
  </si>
  <si>
    <t>Estibador</t>
  </si>
  <si>
    <t>NAIT</t>
  </si>
  <si>
    <t>COMPUERTA TRASERA DE CAMIÓN</t>
  </si>
  <si>
    <t>ESCALERA DE ACCESO AL EDIFICIO DE LIMPIEZA - 6 PISO</t>
  </si>
  <si>
    <t>Fernando Pérez Díaz</t>
  </si>
  <si>
    <t>BARBARAN CHIPANA JOSE ALEJANDRO</t>
  </si>
  <si>
    <t>15 AÑOS Y 3 MESES</t>
  </si>
  <si>
    <t>HEMORRAGIA</t>
  </si>
  <si>
    <t>INFLAMACIÓN</t>
  </si>
  <si>
    <t>SACOS DE CALCIO</t>
  </si>
  <si>
    <t>TAPA METÁLICA</t>
  </si>
  <si>
    <t>SUPERFICIE PUNZOCORTANTE</t>
  </si>
  <si>
    <t>ACIDO SULFONICO</t>
  </si>
  <si>
    <t>PARED</t>
  </si>
  <si>
    <t>PARTÍCULAS DE GALLETA</t>
  </si>
  <si>
    <t>SUPERFICIE CALIENTE</t>
  </si>
  <si>
    <t>LIMPIATODO</t>
  </si>
  <si>
    <t xml:space="preserve">Herida en dedo de la mano sin daño en las uña a causa de un corte generado por el borde de los listones de la paleta mientras el trabajador se encontraba apilándola. Cabe resaltar que dicho corte apertura una herida que ya tenía y que no había sido reportada. </t>
  </si>
  <si>
    <t>Jose Zapata Huertas</t>
  </si>
  <si>
    <t>Jorge León Rodrigo</t>
  </si>
  <si>
    <t>2 AÑOS Y 3 MESES</t>
  </si>
  <si>
    <t>Jesús Velasquez Torres</t>
  </si>
  <si>
    <t>Greici Saravia Loja</t>
  </si>
  <si>
    <t>16  días</t>
  </si>
  <si>
    <t>Jessica Collahua Sanchez</t>
  </si>
  <si>
    <t>ASISTENTE DE DESARROLLO DE PRODUCTO</t>
  </si>
  <si>
    <t>AUXILIAR DE PRODUCCIÓN</t>
  </si>
  <si>
    <t>REYES MORAN FRANCISCO SEGUNDO</t>
  </si>
  <si>
    <t>OPERADOR SOLVENTE CROWN</t>
  </si>
  <si>
    <t>MAMANI PONCE ANTONIO</t>
  </si>
  <si>
    <t>Abigail Hurtado Chura</t>
  </si>
  <si>
    <t>1 MES Y 11 DÍAS</t>
  </si>
  <si>
    <t>Víctor Miranda Triviño</t>
  </si>
  <si>
    <t>REAL
2022</t>
  </si>
  <si>
    <t>Dias Perd</t>
  </si>
  <si>
    <t>ACUMULADO 2022</t>
  </si>
  <si>
    <t>Almacen Insumos&amp;Envases-TEAL</t>
  </si>
  <si>
    <t>Almacen Insumos&amp;Envases-MB</t>
  </si>
  <si>
    <t>Accid 2022</t>
  </si>
  <si>
    <t>OPERARIO DE PRODUCCIÓN (contratado)</t>
  </si>
  <si>
    <t xml:space="preserve">Desgarro muscular en la pierna izquierda a causa de caída en la escalera de emergencia del edificio despacho a Granel. </t>
  </si>
  <si>
    <t>ESCALERA DE EMERGENCIA</t>
  </si>
  <si>
    <t>Esguince del ligamento entre el hueso grande y ganchoso de la mano derecha, producto de una caída que sufre el trabajador al descender las escaleras en el área del Desodorizador 4 - primer piso, cuando se retiraba luego de atender trabajos de emergencia por contaminación de ácidos grasos de palma con agua.</t>
  </si>
  <si>
    <t xml:space="preserve">Traumatismo en la pierna derecha a causa de caída de pallet mientras se encontraba trasladando dicho objeto dentro de un furgón. </t>
  </si>
  <si>
    <t>Traumatismo en la pierna derecha a causa de golpe con el borde de la plataforma mientras transitaba desde el magazine.</t>
  </si>
  <si>
    <t>PROLABORA</t>
  </si>
  <si>
    <t>Contusión causada por caída mientras se realizaban labores de limpieza en la zona externa del Silo 4, en presencia de agua y harina en el suelo.</t>
  </si>
  <si>
    <t>DERRAME DE AGUA Y HARINA EN EL SUELO</t>
  </si>
  <si>
    <t>TEAL LIMA</t>
  </si>
  <si>
    <t xml:space="preserve">Traumatismo superficial de la mano derecha causado por contacto con los rodillos de la máquina abastonadora mientras realizaba la descarga de la masa de caramelo. Cabe resaltar que el sentido de giro de dichos rodillos hace que cualquier objeto sea expulsado. </t>
  </si>
  <si>
    <t>RODILLOS DE MAQUINA ABASTONADORA</t>
  </si>
  <si>
    <t xml:space="preserve">Dolor en la región lumbar provocado por estiramiento realizado por el trabajador mientras intentaba posicionar una caja de 17 kg. en el rack. </t>
  </si>
  <si>
    <t xml:space="preserve">Traumatismo superficial en la pierna izquierda provocado por una caída mientras intentaba accionar la parada de emergencia de la batidora de la línea 03. El trabajador se percata del derrame de producto de la batidora hacia el piso, causando que pierda la estabilidad en el traslado, se resbale e impacte con la escalera próxima. </t>
  </si>
  <si>
    <t>DERRAME DE PRODUCTO EN EL SUELO</t>
  </si>
  <si>
    <t>Herida del parpado y de la región periocular de ojo izquierdo por impacto con el brazo retráctil del escurridor de piso, que se encontraba atorado. El trabajador intentó liberarlo ejerciendo fuerza y provocó que este retorne hacia el y lo impacte.</t>
  </si>
  <si>
    <t>NICOVITA</t>
  </si>
  <si>
    <t xml:space="preserve">Fractura de escafoides de la mano izquierda producida por el impacto de un saco de producto a gran velocidad hacia el pecho del trabajador. Dicho contacto hizo que el trabajador pierda el equilibrio y cayera hacia atrás, apoyando sus manos instintivamente contra el suelo. </t>
  </si>
  <si>
    <t>ESCURRIDOR DE PISO</t>
  </si>
  <si>
    <t>SACO DE PRODUCTO</t>
  </si>
  <si>
    <t>CD LATAM</t>
  </si>
  <si>
    <t xml:space="preserve">Contusiones superficiales múltiples producidas por caída y posterior golpe con la baranda de una escalera mientras trasladaba un contenedor plástico de residuos. </t>
  </si>
  <si>
    <t xml:space="preserve">Quemadura en ambas piernas causada por contacto con la descarga de vapor a nivel del del piso mientras inspeccionaba el proceso de inyección de vapor en la planta Tecnal durante la desolventización. </t>
  </si>
  <si>
    <t xml:space="preserve">Atrapamiento del dedo pulgar derecho mientras retiraba los tacos/calzas de las llantas de un transportador móvil de sacos de harina. </t>
  </si>
  <si>
    <t>RUEDA</t>
  </si>
  <si>
    <t>PLANTA DETERGENTES</t>
  </si>
  <si>
    <t>Herida en la rodilla derecha a causa de caída por tropiezo mientras transitaba sobre las rejillas que cubren una canaleta en el pasillo hacia el área de procesos lavavajillas.</t>
  </si>
  <si>
    <t>REJILLAS DE CANALETAS</t>
  </si>
  <si>
    <t xml:space="preserve">Descarga eléctrica producida por contacto con el soporte del molino de martillo ubicado en la zona de premezcla industrial del 2 nivel del edificio de envasado. </t>
  </si>
  <si>
    <t xml:space="preserve">Traumatismo superficial del dedo pulgar de la mano derecha causado por aprisionamiento del tope lateral movible de la mesa fría de la línea de caramelo blando – frunakids, mientras realizaba la descarga de la masa de fruna hacia las jabas vacías. </t>
  </si>
  <si>
    <t>BERRU SANDOVAL IVAN</t>
  </si>
  <si>
    <t>ROMERO BALBIN LUIS DANIEL</t>
  </si>
  <si>
    <t>13 DIAS</t>
  </si>
  <si>
    <t>MALASQUEZ NOLASCO ALEXANDRO GUSSEPY</t>
  </si>
  <si>
    <t>TORRES CHAVEZ GREISS JESSABELLA</t>
  </si>
  <si>
    <t>COMEDOR GALLETERA</t>
  </si>
  <si>
    <t xml:space="preserve">Ruptura de ligamentos a nivel tobillo y pie a causa de caída desde una silla del comedor mientras se disponía a almorzar, debido a que la pata delantera se dobló. Cabe resaltar que la trabajadora almorzó y se fue a laborar, y posterior a ello se acercó al tópico. </t>
  </si>
  <si>
    <t>Accidente incapacitante (NO AFECTA IF)</t>
  </si>
  <si>
    <t>ALMORZANDO</t>
  </si>
  <si>
    <t>EJECUTIVO DE COMPRAS ESTRATEGICAS</t>
  </si>
  <si>
    <t>RUPTURA DE LIGAMENTO</t>
  </si>
  <si>
    <t>CASTILLO HUERTAS RITA</t>
  </si>
  <si>
    <t>5 MESES 10 DIAS</t>
  </si>
  <si>
    <t>CURO CASTAÑEDA JORGE LUIS</t>
  </si>
  <si>
    <t>GARCIA LA ROSA LUIS RICARDO</t>
  </si>
  <si>
    <t>MUÑOZ ROJAS GERARDO</t>
  </si>
  <si>
    <t>MENDEZ NAVARRO ROY ELOY</t>
  </si>
  <si>
    <t>ORTIZ JAVIER</t>
  </si>
  <si>
    <t>OPERADOR SOLVENTE TECNAL</t>
  </si>
  <si>
    <t>ANAYA ESTEBAN LUIS</t>
  </si>
  <si>
    <t>BURGOS VILLAFANA YOEL FRANCIS</t>
  </si>
  <si>
    <t>VILLAR OBLITAS JESUS</t>
  </si>
  <si>
    <t>AGUIRRE LOPEZ LUIS ALBERTO</t>
  </si>
  <si>
    <t>10 AÑOS Y 4 MESES</t>
  </si>
  <si>
    <t>AMADO PEREZ MARIA DEL CARMEN</t>
  </si>
  <si>
    <t>CHOQUEHUANCA CARI HERMELINDA</t>
  </si>
  <si>
    <t>EMPLEADOS+PRACTICANTES +EMPLEADOS SUBSIDIARIAS (229)</t>
  </si>
  <si>
    <t>VELAZCO JARA KEVIN GABRIEL (contratado)</t>
  </si>
  <si>
    <t>SOLDADOR (contratado)</t>
  </si>
  <si>
    <t>14-12 al año paises</t>
  </si>
  <si>
    <t>METAS 2023</t>
  </si>
  <si>
    <t>2.3 - 1.7</t>
  </si>
  <si>
    <t>6.3 - 0.0</t>
  </si>
  <si>
    <t>95 - 0</t>
  </si>
  <si>
    <t>2.5 - 2.1</t>
  </si>
  <si>
    <t>DISTRIBUCIÓN ITDC</t>
  </si>
  <si>
    <t>DISTRIBUCION ITDC</t>
  </si>
  <si>
    <t>Almacen Insumos&amp;Envases-ITDC</t>
  </si>
  <si>
    <t>PROYECTOS ITDC</t>
  </si>
  <si>
    <t>ALMACEN INS&amp;ENV ITDC</t>
  </si>
  <si>
    <t>INTRADEVCO PLANTA</t>
  </si>
  <si>
    <t>TOTAL ITDC</t>
  </si>
  <si>
    <t>ALMACEN INS&amp;ENV</t>
  </si>
  <si>
    <t>SUB TOTAL (SIN ITDC)</t>
  </si>
  <si>
    <t>TOTAL PERÚ</t>
  </si>
  <si>
    <t>OPERARIO DE PRODUCCIÓN (CONTRATADO)</t>
  </si>
  <si>
    <t>EMBOLSADOR (CONTRATADO)</t>
  </si>
  <si>
    <t>LATAM</t>
  </si>
  <si>
    <t>Total Ecuador</t>
  </si>
  <si>
    <t>OPERARIO DE PRODUCCION (CONTRATADO)</t>
  </si>
  <si>
    <t>Cuenta de Parte Cuerpo</t>
  </si>
  <si>
    <t>Casimiro Villacres Taiwan</t>
  </si>
  <si>
    <t>La trabajadora luego de marcar asistencia en planta detergentes, subió a la movilidad para dirigirse a su lugar de trabajo en planta principal y al bajar de la movilidad sufrió una caída que le ocsionó un esguince y tuvo que ser trasladada a la clínica.</t>
  </si>
  <si>
    <t>COMBI</t>
  </si>
  <si>
    <t>TIPO DE CONTACTO</t>
  </si>
  <si>
    <t>CAIDA A UN NIVEL BAJO</t>
  </si>
  <si>
    <t>CONTACTO CON</t>
  </si>
  <si>
    <t>GOLPEADO POR</t>
  </si>
  <si>
    <t>GOLPEADO CONTRA</t>
  </si>
  <si>
    <t>CAIDA A UN MISMO NIVEL</t>
  </si>
  <si>
    <t>ENERGIA ELECTRICA</t>
  </si>
  <si>
    <t>ATRAPADO POR</t>
  </si>
  <si>
    <t>DAÑO</t>
  </si>
  <si>
    <t>Cuenta de TIPO DE CONTACTO</t>
  </si>
  <si>
    <t>Cuenta de DAÑO</t>
  </si>
  <si>
    <t>Cuenta de FUENTE PELIGRO</t>
  </si>
  <si>
    <t>Cuenta de COD</t>
  </si>
  <si>
    <t>OPERARIO DE PRODUCCIÓN (contratada)</t>
  </si>
  <si>
    <t>OPERARIO DE PRODUCCION (PROLABORA)</t>
  </si>
  <si>
    <t>OBRERO (IOLSA)</t>
  </si>
  <si>
    <t>OPERARIO DE LIMPIEZA (TERCERO)</t>
  </si>
  <si>
    <t>Mecánico de mantenimiento (CONTRATADO 6 MESES)</t>
  </si>
  <si>
    <t>EMPLEADO: Asistente de planeamiento industrial</t>
  </si>
  <si>
    <t>Empleados</t>
  </si>
  <si>
    <t>PROYECTOS LATAM</t>
  </si>
  <si>
    <t>Caidas</t>
  </si>
  <si>
    <t>Contratados</t>
  </si>
  <si>
    <t>DESARROLLO</t>
  </si>
  <si>
    <t>DIAGRAMA "C"</t>
  </si>
  <si>
    <t>Contusión en el segundo dedo de la mano izquierda provocada por golpe con la guarda de seguridad de la parte frontal de la encajadora línea 7, mientras se encontraba cerrando la tapa junto con otros 02 trabajadores.</t>
  </si>
  <si>
    <t>Contusión en el codo izquierdo causada por un golpe con una bandeja con granel que sostenía otro trabajador. Ambos se encontraban alimentando galleta a granel hacia el magazín de la envasadora A9.</t>
  </si>
  <si>
    <t xml:space="preserve">Contusión en el dedo índice de la mano derecha provocada el contacto con la tapa del banco de cilindros RED2-C2. El trabajador escuchó la alarma del Molino, y procedió a cerrar la tapa del equipo que operaba sin percatarse de que su dedo se encontraba en el trayecto de cierre. </t>
  </si>
  <si>
    <t>GUARDA DE SEGURIDAD</t>
  </si>
  <si>
    <t>TAPA DE BANCO DE CILINDROS</t>
  </si>
  <si>
    <t>CEA UCSUR</t>
  </si>
  <si>
    <t>Traumatismo superficial de la cabeza causada por impacto con la puerta de la gaveta superior del laboratorio que se encontraba descuadrada por la falta de un tornillo en la bisagra.</t>
  </si>
  <si>
    <t>PUERTA DE GAVETA</t>
  </si>
  <si>
    <t>Torsión del tobillo derecho provocada mientras se desplazaba retirándose de su jornada en Casino CEA. El reporte lo realiza desde su domicilio, al sentir dolor.</t>
  </si>
  <si>
    <t>TOBILLO</t>
  </si>
  <si>
    <t>Caída de andamio de 2 cuerpos con garruchas mientras se trasladaba dentro del almacén, para ser empleado en el desmontaje de luminarias. No se reportaron daños.</t>
  </si>
  <si>
    <t>ITDC - LURIN 1</t>
  </si>
  <si>
    <t xml:space="preserve">Esguince de tobillo izquierdo provocada debido a que el trabajador se encontraba corriendo por el sendero peatonal, retornando de los servicios higiénicos a su puesto de trabajo, haciendo que su tobillo se doble. </t>
  </si>
  <si>
    <t xml:space="preserve">Liberación de energía residual (vapor y producto), que entra en contacto con el brazo derecho del trabajador quien se encontraba realizando labores de limpieza en la punta del extrusor 3, mientras el personal de mantenimiento intervenía el equipo por una parada inesperada. </t>
  </si>
  <si>
    <t xml:space="preserve">Pérdida de falange distal superior del dedo medio de la mano derecha mientras se encontraba realizando el alineamiento de cadenas en la zona de descarga de la línea 3. El trabajador retira la guarda de seguridad sin realizar el bloqueo. </t>
  </si>
  <si>
    <t>CADENA + GUARDA DE SEGURIDAD</t>
  </si>
  <si>
    <t xml:space="preserve">Hematoma y herida en el dedo medio de mano izquierda provocadas por el atrapamiento entre el borde del horno y un tronco de leña, mientras se encontraba colocando los troncos al interior del horno. </t>
  </si>
  <si>
    <t>TRONCO DE LEÑA</t>
  </si>
  <si>
    <t>PASO PEATONAL</t>
  </si>
  <si>
    <t>CERDEÑA ORTIZ JEAN FRANCO ANTONIO</t>
  </si>
  <si>
    <t>OPERARIO DE PRODUCCION (CONTRATADO POR 2.5 MESES)</t>
  </si>
  <si>
    <t>OVIEDO HIDALGO EDGARD ANTHONY</t>
  </si>
  <si>
    <t>CARRASCO AVILES WILLY DAVID</t>
  </si>
  <si>
    <t>AGURTO SALAZAR CAMILA FABIOLA</t>
  </si>
  <si>
    <t>PRACTICANTE DE INVESTIGACION</t>
  </si>
  <si>
    <t>HERNANDEZ NAIMAN DANIEL ALEJANDRO</t>
  </si>
  <si>
    <t>CUIZA CHAVARRIA YORDY</t>
  </si>
  <si>
    <t>AYUDANTE DE HORNO (CONTRATO POR CAMPAÑA)</t>
  </si>
  <si>
    <t>36 DÍAS</t>
  </si>
  <si>
    <t>2 MESES Y 6 DIAS</t>
  </si>
  <si>
    <t>LAYME MACHACA MAXIMO RENE</t>
  </si>
  <si>
    <t>OYARZUN ANDRADE VICTOR HUGO</t>
  </si>
  <si>
    <t>ASISTENTE DE EXTRUSORISTA</t>
  </si>
  <si>
    <t>PAREDES CARRERA OMAR</t>
  </si>
  <si>
    <t>AUXILIAR DE ALMACÉN (TERCERO)</t>
  </si>
  <si>
    <t>113 - 97</t>
  </si>
  <si>
    <t>103 - 88</t>
  </si>
  <si>
    <t>4.2 - 2.1</t>
  </si>
  <si>
    <t>64 - 32</t>
  </si>
  <si>
    <t>69 - 50</t>
  </si>
  <si>
    <t xml:space="preserve">AMPUTACIÓN </t>
  </si>
  <si>
    <t>BICIS 2</t>
  </si>
  <si>
    <t>ECUADOR+BCIS</t>
  </si>
  <si>
    <t>3.0 - 1.3</t>
  </si>
  <si>
    <t>46 - 20</t>
  </si>
  <si>
    <t>Galletera</t>
  </si>
  <si>
    <t>MODALIDAD</t>
  </si>
  <si>
    <t>3.4 - 3.2</t>
  </si>
  <si>
    <t>SOLO ALICORP</t>
  </si>
  <si>
    <t>Alicorp: 112, Teal: 149, Global 20, Vitapro: 32, ITDC: 24, TEAL: 230 a partir de Junio</t>
  </si>
  <si>
    <t>teal</t>
  </si>
  <si>
    <t>rsto</t>
  </si>
  <si>
    <t>total año</t>
  </si>
  <si>
    <t>TALLER MANTENIMIENTO</t>
  </si>
  <si>
    <t>ANDERSON SACHA QUISPE</t>
  </si>
  <si>
    <t>Mecánico de Mantenimiento</t>
  </si>
  <si>
    <t>3 AÑOS Y 11 MESES</t>
  </si>
  <si>
    <t>Herida de la cabeza, el colaborador se encontraba realizando labores de mantenimiento en el taller en un rollo de banco de cilindros</t>
  </si>
  <si>
    <t>2 AÑOS Y 6 MESES</t>
  </si>
  <si>
    <t xml:space="preserve">Queratoconjuntivitis, el colaborador se encontraba recibiendo productos rechazados de un cliente, había 05 paletas </t>
  </si>
  <si>
    <t>Contusión mano y espalda por caída al mismo nivel, causada por un derrame de aceite vegetal causado por la fuga de una manguera, resbala golpeándose la espalda y codo</t>
  </si>
  <si>
    <t>PLANTA COCHABAMABA</t>
  </si>
  <si>
    <t>VESTUARIO DE COPSA</t>
  </si>
  <si>
    <t>LÍNEA 3</t>
  </si>
  <si>
    <t>ENVASADO AUTOMATICO</t>
  </si>
  <si>
    <t xml:space="preserve">Esguince y torcedura del tobillo izquierdo, producida al bajar de las escaleras del vestuario </t>
  </si>
  <si>
    <t>Traumatismo por aplastamiento del antebrazo, causada por colocar el saco para descargar el afrecho remanente de la balanza, se activa la mordaza de sujeción de sacos cuando aún se encontraba manipulando el saco, quedando atrapado su antebrazo derecho con la faja de agarre</t>
  </si>
  <si>
    <t xml:space="preserve">Corrosión de la córnea y saco conjuntival, causada por frascos vacíos de tintas de tintas y solventes generando que le salpicara unas gotas de residuo de tinta hacia su ojo izquierdo </t>
  </si>
  <si>
    <t xml:space="preserve">Herida en dedo anular de mano izquierda, mientras retiraba un saco de la línea envasadora automática N°01 que venía mal cosido </t>
  </si>
  <si>
    <t xml:space="preserve">CARLOS CARDENAS </t>
  </si>
  <si>
    <t xml:space="preserve">OPERADOR DE ENFARDADO </t>
  </si>
  <si>
    <t>PRODUCTO</t>
  </si>
  <si>
    <t>SACO AFRECHO</t>
  </si>
  <si>
    <t>FRASCO TINTA</t>
  </si>
  <si>
    <t>ACEITE</t>
  </si>
  <si>
    <t>CONTUSIONES</t>
  </si>
  <si>
    <t>ECUADORN (INCLUYE BICIS 2)</t>
  </si>
  <si>
    <t>ECUADOR (INCLUYE BICIS 2)</t>
  </si>
  <si>
    <t>105 - 91</t>
  </si>
  <si>
    <t>3.6 - 3.4</t>
  </si>
  <si>
    <t>IF OBJ MIN</t>
  </si>
  <si>
    <t>IF OBJ MAX</t>
  </si>
  <si>
    <t>IS OBJ MIN</t>
  </si>
  <si>
    <t>OBJ CON ITDC MIN</t>
  </si>
  <si>
    <t>2 meses 8 días</t>
  </si>
  <si>
    <t>Operador de Campac</t>
  </si>
  <si>
    <t xml:space="preserve">Embolsador </t>
  </si>
  <si>
    <t>103-96</t>
  </si>
  <si>
    <t>3125-2680</t>
  </si>
  <si>
    <t>90-84 Al año Perú</t>
  </si>
  <si>
    <t>CD HUACHIPA (SIN itdc)</t>
  </si>
  <si>
    <t>Accidente incapacitante (NO AFECTA IF); lesión pre existente</t>
  </si>
  <si>
    <t>Accidente incapacitante (NO AFECTA IF); investigación no corrobora lo indicado por trabajador</t>
  </si>
  <si>
    <t>3.4</t>
  </si>
  <si>
    <t xml:space="preserve">Esguince de tobillo izquierdo, el colaborador procedió a revisar una falla del helicoidal del Silo 131, debido a que se había trabado (no giraba), entonces se procedió a revisar y al momento de bajar el colaborador pisa en el tubo de la bomba soplante donde se resbalo hacia el suelo a una altura de 30 cm, al momento de caer se dobló el pie y se apoyó en su compañero para no caer totalmente al suelo </t>
  </si>
  <si>
    <t>6 AÑOS Y 3 MESES</t>
  </si>
  <si>
    <t xml:space="preserve">TECNICO DE AUTOMATICIÓN </t>
  </si>
  <si>
    <t>JUAN JUAREZ</t>
  </si>
  <si>
    <t>TUBO DE BOMBA</t>
  </si>
  <si>
    <t>FERNANDEZ BORJA YESSY JUDHY</t>
  </si>
  <si>
    <t>AUXILIAR DE ALMACEN</t>
  </si>
  <si>
    <t xml:space="preserve">Traumatismo del tendón del manguito rotatorio del hombro, la colaboradora se encontraba retornando a planta posterior a una cita médica, mientras se estaba trasladando por la senda peatonal pisa un leve desnivel, lo cual genera que pierda el equilibrio y cae sobre su brazo izquierdo. Generándole un raspón en el brazo y contusión en el hombro </t>
  </si>
  <si>
    <t>HAYDE AVENDAÑO</t>
  </si>
  <si>
    <t>EMBOLSADO DE PRODUCTOS</t>
  </si>
  <si>
    <t>WALTER RICHARDE</t>
  </si>
  <si>
    <t>Contusión de dedo medio de la mano derecha, el colaborador levanta una tapa de rebose con la mano izquierda mientras que la mano derecha la ubica en la estructura de la rosca para proceder a retirar el producto, cuando suelta la tapa y ésta le cae en la mano derecha ocasionando un corte en el dedo medio y contusión alrededor del corte de la mano derecha</t>
  </si>
  <si>
    <t>ROSCA</t>
  </si>
  <si>
    <t>Esguince de Tobillo derecho, la colaboradora se encontraba trasladándose del piso 8 al piso 7, pierde el equilibrio y tropieza cayéndose en los últimos escalenos de la escalera. La operaria da aviso a la supervisora de grupo quien auxilia y se comunica con el tópico. Luego es trasladad a la clínica internacional</t>
  </si>
  <si>
    <t>EDIFICIO MIRAFLORES</t>
  </si>
  <si>
    <t>ESCALERA PISO 7 AL 8</t>
  </si>
  <si>
    <t>MARIA KARINA TORRES ANAYA</t>
  </si>
  <si>
    <t>ITDC-CD2</t>
  </si>
  <si>
    <t>Contusión de dedos del pie sin daño de uñas, la colaboradora, acarreaba mercadería desde la zona de producción hacia los canales de planta interna en CD2 operando una transpaleta doble. La colaboradora, para poder retroceder y dejar la mercadería en canal se posiciona en la plataforma de trabajo del transpaleta con el pie izquierdo cerca al borde al borde del equipo y el otro sobre la plataforma. En el momento que gira, el pie izquierdo resbala del equipo y queda atrapado entre la base del equipo y el piso.</t>
  </si>
  <si>
    <t>SOLO HASTA MAYO 2023</t>
  </si>
  <si>
    <t>DATO DE SAUL</t>
  </si>
  <si>
    <t>LOGISTICA DE INSUMOS Y MATERIALES SOCIEDAD ANONIMA CERRADA – LINSUMAT</t>
  </si>
  <si>
    <t>a Jun 2023</t>
  </si>
  <si>
    <t>Corte en el dedo pulgar de la mano izquierda, el colaborador se encontraba cortando tubérculos, y es cuando sufre el corte en el dedo pulgar de la mano izquierda, ocasionándole un sangrado de regular cantidad.</t>
  </si>
  <si>
    <t xml:space="preserve">Traumatismo superficial de la muñeca y mano izquierda el colaborador mientras se disponía a realizar la actividad de cosido de saco de papel se percata que su compañero que se encontraba junto a él tenía dificultades para colocar el saco en el bocasaco de la embolsadora </t>
  </si>
  <si>
    <t xml:space="preserve">Fractura de la mano izquierda, el colaborador mientras habilitaba la herramienta, el operario coloca un clavo en la boquilla sin percatarse de que la pistola tenía el fulminante puesto. Al ejercer presión con su mano sobre la boquilla y apretar el gatillo, el clavo se incrustó en su mano izquierda. </t>
  </si>
  <si>
    <t xml:space="preserve">Esguinces y torceduras de las articulaciones del hombro derecho, se asignó a dos trabajadores que vayan al pasillo 10 para realizar el retiro de las cajas de la ubicación. El procedimiento que se indicó es utilizar una canastilla con arnés con el cual el Sr. Julio Navarro subió al nivel 5 para comenzar a realizar la actividad. Mientras la ejecutaba el trabajador sintió dolor en el hombro derecho </t>
  </si>
  <si>
    <t xml:space="preserve">Atricción dedo meñique mano derecha, el colaborador se encontraba realizando corrección de peso de cajas rechazadas por balanza en línea. Una caja ingresó desalineada y quedó retenida en las guías. Introdujo la mano por debajo del protector hasta la base de la caja para corregir la posición, ingresando su dedo meñique derecho entre la faja y el polín de paso </t>
  </si>
  <si>
    <t>Esguince por torcedura de tobillo, el colaborador resbala y cae sentada al estar caminando sobre el piso mojado luego de trapear el sector del comedor</t>
  </si>
  <si>
    <t>Trauma superficial región lumbo sacra y rodilla derecha, hematoma a nivel de ojo izquierdo, el colaborador se encontraba en el nivel +10.5 realizando actividades preliminares en las vigas colaborantes que se encontraban acopiadas en el piso antes de realizar el montaje de estas.
En ese momento resbala perdiendo el equilibrio e impacta frontalmente con las vigas. Efecto de este golpe cae hacia atrás y al querer ponerse de pie, pisa la eslinga de su arnés provocándole caída al mismo nivel y múltiples golpes en el cuerpo</t>
  </si>
  <si>
    <t>El trabajador se encontraba realizando la tarea del descenso de la pieza por medio de un tecle con el objetivo de trasladarlo al taller de mantenimiento, la actividad se realizó entre 5 técnicos y la aprobación del jefe de mantenimiento</t>
  </si>
  <si>
    <t>LORENA ESTEFANY MAMANI GONZALES</t>
  </si>
  <si>
    <t>Cushman &amp; Wakefield S.A</t>
  </si>
  <si>
    <t>Catering y Servicios Alimenticios Florimar SAC</t>
  </si>
  <si>
    <t xml:space="preserve">  EMBOLSADO DE FOODSERVICE</t>
  </si>
  <si>
    <t xml:space="preserve">GUILLERMO HERMOSA CARDENAS </t>
  </si>
  <si>
    <t>SACO</t>
  </si>
  <si>
    <t>PROYECTOS SALSAS 4</t>
  </si>
  <si>
    <t>JOSE BUSTAMANTE</t>
  </si>
  <si>
    <t>DAGOSI</t>
  </si>
  <si>
    <t>FACTURA</t>
  </si>
  <si>
    <t>JULIO NAVARRO</t>
  </si>
  <si>
    <t>1AÑO Y 2MESES</t>
  </si>
  <si>
    <t>CAJAS</t>
  </si>
  <si>
    <t>ESGUINCES</t>
  </si>
  <si>
    <t>JAVIER REYES MARIN</t>
  </si>
  <si>
    <t xml:space="preserve">ATRICCIÓN </t>
  </si>
  <si>
    <t>EDIFICIO MANUFACTURA – PROYECTO BICIS 2</t>
  </si>
  <si>
    <t>MORENO HERNANDEZ MARIO RENE</t>
  </si>
  <si>
    <t>OPERADOR DE CALDERAS</t>
  </si>
  <si>
    <t xml:space="preserve">ESCALERA NIVEL 3 </t>
  </si>
  <si>
    <t>RAMON WILFRIDO CUERO NAZARENO</t>
  </si>
  <si>
    <t>ARMADOR DE ESTRUCTURAS</t>
  </si>
  <si>
    <t xml:space="preserve">Contratista SEDEMI </t>
  </si>
  <si>
    <t>VIGAS</t>
  </si>
  <si>
    <t>TRUMA</t>
  </si>
  <si>
    <t>TERESA ESQUIVEL</t>
  </si>
  <si>
    <t>CATERING EL BUEN GUSTO</t>
  </si>
  <si>
    <t>ALMACENES INSUMOS&amp;ENVASES</t>
  </si>
  <si>
    <t>CD RANSA</t>
  </si>
  <si>
    <t>LATAM 400</t>
  </si>
  <si>
    <t>OBRERO CLJ</t>
  </si>
  <si>
    <t>BSF - Almacén Ceva – nave D13</t>
  </si>
  <si>
    <t>BSF-NAVE B19</t>
  </si>
  <si>
    <t>MIRAFLORES-SSHH Lado B – Piso 10</t>
  </si>
  <si>
    <t>CBBA-PATIO DE MANIOBRAS PT - AREA DE CARGUIO CAMIONES</t>
  </si>
  <si>
    <t>SALSAS 1-1er NIVEL - MANUFACTURA GENESIS MEZANINE</t>
  </si>
  <si>
    <t>CBBA-PLANTA BAJA REFINERÍA</t>
  </si>
  <si>
    <t>CBBA-Patio de maniobras APT</t>
  </si>
  <si>
    <t>PARQUE INDUSTRIALCALLE PRINCIPAL DE PLANTA – SILO “A”</t>
  </si>
  <si>
    <t>PARQUE INDUSTRIAL-EXTRACCIÓN CROWN – EQUIPO “DT”</t>
  </si>
  <si>
    <t xml:space="preserve">ÑAÑA-EXTRUSOR 4 LÍNEA EXPANSIÓN DIRECTA </t>
  </si>
  <si>
    <t>HUAHCIPA-COMEDOR</t>
  </si>
  <si>
    <t>ÑAÑA-TOLVA DE LA LINEA DE INDIRECTOS</t>
  </si>
  <si>
    <t xml:space="preserve">ÑAÑA-Faja de línea de barras </t>
  </si>
  <si>
    <t>CALLAO-Cámara de fermentación Fortuna</t>
  </si>
  <si>
    <t>CAJAMARQUILLA-Planta de maíz 1er nivel</t>
  </si>
  <si>
    <t>GALLETAS-LÍNEA 2 - ZONA DE ENVASADO</t>
  </si>
  <si>
    <t>SAN JUSTO-Playa de tanque</t>
  </si>
  <si>
    <t>DES.TECNOLOGICO</t>
  </si>
  <si>
    <t>acum 2023</t>
  </si>
  <si>
    <t>CBBA-RECURSOS HUMANOS</t>
  </si>
  <si>
    <t>CD LATAM 400-PASILLO 10</t>
  </si>
  <si>
    <t>DISTRIBUCIÓN LIMA</t>
  </si>
  <si>
    <t>CD HUACHIPA - MUELLE DE DESCARGA</t>
  </si>
  <si>
    <t>VENTANILLA-ALMACEN EEII</t>
  </si>
  <si>
    <t>SEGURIDAD INDUSTRIAL - MOLINO CALLAO</t>
  </si>
  <si>
    <t>LURIN 4 - DETERGENTES</t>
  </si>
  <si>
    <t xml:space="preserve">Herida de dedo de la mano, sin daño de la uña, el colaborador se encontraba culminado la limpieza del sistema de aspiración de polvos. </t>
  </si>
  <si>
    <t>Queratoconjuntivitis, Ojo Izquierdo, el colaborador se encontraba en el área de lavado de instantáneos, realizando labores de trasvase de detergente neutro M&amp;M 2000 hacia un vaso plástico; y en ese momento salpica una gota de detergente en su vista izquierda, ocasionándole enrojecimiento y ardor en la zona afectada</t>
  </si>
  <si>
    <t xml:space="preserve">Corte en dedo anular de mano derecha, el colaborador se encontraba realizando limpieza en la tolva live in de la prensa 6, al momento de retirar el producto manualmente desde de la tolva esta choca con una arista del eje rotativo el cual le genero el corte en el dedo anular derecho. </t>
  </si>
  <si>
    <t xml:space="preserve">Cuerpo extraño en saco conjuntival, queratoconjuntivitis, el colaborador se encontraba realizando la tarea ayudar a su compañero Lucio Rodriguez de recibir los cajones del Plansifter de Plástico del Sangatti a diferente nivel, en una de esas actividades repetitivas el colaborador siente que el ojo izquierdo le molestaba. </t>
  </si>
  <si>
    <t xml:space="preserve">Contusión en tabique, el colaborador se encontraba colocando la bocamaza de la porta bobina de forma manual con ayuda de una llave Allen, cuando se encontraba aplicando fuerza dicha la llave sale proyectada con dirección a su rostro, impactando contra su nariz </t>
  </si>
  <si>
    <t xml:space="preserve">Fractura y lesiones en tendón del dedo pulgar derecho, el colaborador se encontraba realizando la tarea de limpieza de superficies de paredes, pisos y recoger harina de los pisos para la cual estaba contratada; mientras ejecutaba su actividad observó una fuga de harina en el equipo disgregador del diagrama “A”, se acercó sin autorización al equipo para retirar el producto y cerrar la tapa haciendo contacto con el equipo en movimiento. </t>
  </si>
  <si>
    <t xml:space="preserve">Traumatismo superficial en pierna derecha no especificado, el colaborador se trasladaba peatonalmente, desde el encajado automático hacia el área de encajado manual de Casino Torre, cuando el montacargas del almacén de cajas sobrepasó las cortinas que limitan al almacén con el área, impactando el pallet de cajas vacías contra el hombro y pierna derecha del colaborador. </t>
  </si>
  <si>
    <t xml:space="preserve">Fractura de falange distal dedo medio mano izquierda, el colaborador se encontraba realizando la actividad del embolsado de subproducto (afrecho), cuando al colocar el saco para descargar el afrecho de la balanza, procede a activar los sensores para el cierre de la mordaza de sujeción de sacos, en ese instante se percata que el lado izquierdo del saco no queda bien posicionado y trata de acomodarlo. </t>
  </si>
  <si>
    <t xml:space="preserve">Herida de segundo dedo de la mano derecha, sin daño de uña, el colaborador se encontraba en el área de lavado de bandejas, realizando labores de limpieza del imán que previamente fue desmontado de la batidora de masas #1, dejó la tapa del imán abierta en posición vertical </t>
  </si>
  <si>
    <t>Herida del dedo de la mano derecha, sin daño de uña, el colaborador se encontraba en el proceso de estibado de sacos de harina en unidad furgón para cliente. Al momento de dejar uno de los sacos acerca su mano hacia la pared del camión y de manera rápida la eleva pasando todo el borde de su dedo contra uno de los bordes de la unidad, lo que le genera un corte en la parte lateral del dedo</t>
  </si>
  <si>
    <t xml:space="preserve">OPERADOR DE BOQUILLAS </t>
  </si>
  <si>
    <t>Orlando Manuel Ramos Marquina</t>
  </si>
  <si>
    <t xml:space="preserve">Elmer Juarez </t>
  </si>
  <si>
    <t xml:space="preserve">ANGEL QUICAÑA HUALLPA </t>
  </si>
  <si>
    <t xml:space="preserve">OPERARIO </t>
  </si>
  <si>
    <t>Alexander Neciosupe</t>
  </si>
  <si>
    <t>Operario (Proveedor Corporación Heredia)</t>
  </si>
  <si>
    <t>CORPORACION HEREDIA</t>
  </si>
  <si>
    <t>Perez Diaz, Hugo Ernesto</t>
  </si>
  <si>
    <t>Eder Zúñiga Camayo</t>
  </si>
  <si>
    <t>Mezclador Instantáneos</t>
  </si>
  <si>
    <t>Guiliano Guillermo Sandoval Lancha</t>
  </si>
  <si>
    <t>Personal de carga IOLSA</t>
  </si>
  <si>
    <t>3 años y 6 meses</t>
  </si>
  <si>
    <t xml:space="preserve">4 meses y 20 días </t>
  </si>
  <si>
    <t xml:space="preserve">Jose Castillo (27 años) </t>
  </si>
  <si>
    <t>Luis Ricardo Garcia La Rosa</t>
  </si>
  <si>
    <t>Operador masero</t>
  </si>
  <si>
    <t>QUEROCONJUNTIVIS</t>
  </si>
  <si>
    <t>HARINA</t>
  </si>
  <si>
    <t>LLAVE</t>
  </si>
  <si>
    <t>EQUIPO EN MOVIMIENTO</t>
  </si>
  <si>
    <t>MORDAZA EMBOLSADORA</t>
  </si>
  <si>
    <t>IMAN</t>
  </si>
  <si>
    <t>PARED LATERAL DEL CAMION</t>
  </si>
  <si>
    <t>Groverly Castro Rivera</t>
  </si>
  <si>
    <t>ADUANA GALLETERIA</t>
  </si>
  <si>
    <t xml:space="preserve">Operario de producción </t>
  </si>
  <si>
    <t>Transitar la zona aduanera del 2do piso en la planta de galletería.</t>
  </si>
  <si>
    <t>Accidente incapacitante (No afecta IF). Médico no le otorgó DM</t>
  </si>
  <si>
    <t>DATO PEDRO</t>
  </si>
  <si>
    <t>DATO GIAN FRANCO</t>
  </si>
  <si>
    <t>ESPICHAN GODOY DIUWER ALEX</t>
  </si>
  <si>
    <t>Primer piso del diagrama A</t>
  </si>
  <si>
    <t xml:space="preserve">Afectación del 2do al 5to dedo de la mano derecha, el diagrama A se encontraba en proceso de vaciado de línea por el término de molienda de sémola, durante la verificación del correcto vaciado del producto el colaborador abre la tapa para una inspección visual, lamentablemente introduce la mano y es atrapada en el banco. </t>
  </si>
  <si>
    <t xml:space="preserve">Producción Línea </t>
  </si>
  <si>
    <t>CALERO JULCA MILDRE ESTEFANI</t>
  </si>
  <si>
    <t xml:space="preserve">Esguince y torcedura de muñeca, el colaborador se encontraba alimentando la línea 1, se dirige a botar una bolsa que contenía residuos plásticos cuando tropieza con una platina de recubrimiento de la junta de dilatación cayendo sobre su muñeca izquierda, ocasionándole un esguince y torcedura de muñeca </t>
  </si>
  <si>
    <t>Platina</t>
  </si>
  <si>
    <t xml:space="preserve">Contusión de dedo índice de la mano izquierda con daño de la uña, el colaborador mientras iniciaba la actividad de cosido de sacos de harina sin aditivo, observa que el hilo estaba enredado en la aguja de la máquina. El colaborador prende la máquina para que la aguja se ponga en posición y poder retirar el hilo sin percatarse que su dedo de su mano izquierda se encontraba sobre el empeine de la misma máquina. Es en este momento siente el golpe sobre el dedo </t>
  </si>
  <si>
    <t>PALOMO DIONICIO HILDEBRAND</t>
  </si>
  <si>
    <t>Tercer piso del Embolsado de harina</t>
  </si>
  <si>
    <t xml:space="preserve">Traumatismo en la cabeza zona occipital, el colaborador recoge packs que habían caído de la faja transportadora y al levantarse se golpea la cabeza con el soporte de los conectores de aire </t>
  </si>
  <si>
    <t>Producción Línea 2- PACK A2</t>
  </si>
  <si>
    <t>SAAVEDRA RAMIREZ HUBER JHONNY</t>
  </si>
  <si>
    <t>SACOS DE ARINA</t>
  </si>
  <si>
    <t>SOPORTE  DE CONECTORES DE AIRE</t>
  </si>
  <si>
    <t>CD-DETERGENTES</t>
  </si>
  <si>
    <t xml:space="preserve">Atrapamiento del 2do al 5to dedo de la mano derecha (En Evaluación) el colaborador se encontraba controlando el producto que ingresa al horno, al quedarse sin producto se dirige hacia el punto de acumulación de fibra para ayudar a Leonardo Muñoz a retirar la fibra acumulada y se aproxima para retirar los retazos, es en ese momento donde sufre el atrapamiento </t>
  </si>
  <si>
    <t>Herida por atricción, el colaborador se encontraba imprimiendo pentalaminado de pasta dental, cuando se percata de que uno de los bordes presentaba manchas de tinta, por lo que procede a detener la máquina para identificar el punto que originaba las manchas.</t>
  </si>
  <si>
    <t xml:space="preserve">Lesión pulgar mano derecha, el colaborador se dirige a realizar el cambio de batería de su equipo transpaleta eléctrica, posiciona las manos en el borde de la batería y la jala para desplazarla hasta su posición final, sin embargo el seguro que traba la batería, que inicialmente estaba colocada en posición vertical (posición de apertura), </t>
  </si>
  <si>
    <t>PLANTA FEM</t>
  </si>
  <si>
    <t>Por confirmar</t>
  </si>
  <si>
    <t>RODILLOS DE MAQUINA</t>
  </si>
  <si>
    <t>PLANTA PRINCIPAL LURIN 2</t>
  </si>
  <si>
    <t>GUERRA ISHUIZA EDINSON</t>
  </si>
  <si>
    <t>IMPRESOR</t>
  </si>
  <si>
    <t>RODILLO DE IMPRESORA</t>
  </si>
  <si>
    <t>HERIDA POR ATRICCIÓN</t>
  </si>
  <si>
    <t>DIAZ ALARCON DANIEL ANGEL</t>
  </si>
  <si>
    <t>BATERIA DESCARGADA</t>
  </si>
  <si>
    <t xml:space="preserve">LESIÓN EN EL PULGAR </t>
  </si>
  <si>
    <t xml:space="preserve">ECUADOR </t>
  </si>
  <si>
    <t>DON FELIPE</t>
  </si>
  <si>
    <t xml:space="preserve">Herida corto contundente en cigomático izquierdo, Los trabajadores de la subcontratista GEOFORCE, Junior Galarza y Jimmy Soriano, se encontraban en un elevador de personas instalando elemento metálico en la cubierta auxiliar del proyecto Almacén de Soya. </t>
  </si>
  <si>
    <t xml:space="preserve">Fractura expuesta del 1er dedo de mano izquierda, trauma de mano izquierda y ruptura de tendón dedo índice, el colaborador realizaba la limpieza del sistema de válvulas de descarga de la torre 6, aproximando una manguera de aire comprimido a las ventanillas de limpieza de estas válvulas </t>
  </si>
  <si>
    <t>JUNIOR ALFREDO GALARZA CHENCHE</t>
  </si>
  <si>
    <t>JESIEL ABEDNEGO MAMANI MAFA</t>
  </si>
  <si>
    <t xml:space="preserve">DENIS ELIER LEÓN INTI </t>
  </si>
  <si>
    <t>AYUDANTE DE SILOS</t>
  </si>
  <si>
    <t>9AÑOS</t>
  </si>
  <si>
    <t>6DIAZ</t>
  </si>
  <si>
    <t>CUERDA Y VARILLA</t>
  </si>
  <si>
    <t>GRAVES</t>
  </si>
  <si>
    <t>APT CALLAO MANLIFT+BOLIVIA PIERNA+ITDC ARCO ELEC+CAIDA ELEVADOR-BRAZO+ITDC/FEM +MFA</t>
  </si>
  <si>
    <t>INBALNOR-BICIS 2</t>
  </si>
  <si>
    <t>CEVA</t>
  </si>
  <si>
    <t>Contratista RIPCONCIV – Subcontratista GEOFORCE - Soldador</t>
  </si>
  <si>
    <t>&gt;3 años</t>
  </si>
  <si>
    <t>&lt;=3 meses</t>
  </si>
  <si>
    <t>&lt;=1 año</t>
  </si>
  <si>
    <t>&lt;=3 años</t>
  </si>
  <si>
    <t>Amputaciones</t>
  </si>
  <si>
    <t>Quemaduras Sup.Caliente</t>
  </si>
  <si>
    <t>Queratoconjuntivitis</t>
  </si>
  <si>
    <t>A Agosto</t>
  </si>
  <si>
    <t>Golpe Caidas mismo nivel</t>
  </si>
  <si>
    <t>Golpe Caídas nivel bajo</t>
  </si>
  <si>
    <t>Contacto Energia Elétrica</t>
  </si>
  <si>
    <t>Contacto Sust.Químicas</t>
  </si>
  <si>
    <t>Otros (Golpes, Atricciones, Sobreesfuerzo etc)</t>
  </si>
  <si>
    <t>colocar este dato en el mes</t>
  </si>
  <si>
    <t>Correr una columna</t>
  </si>
  <si>
    <t>aumentar una celda</t>
  </si>
  <si>
    <t>Ver colores vs metas</t>
  </si>
  <si>
    <t>NO TOCAR ; CALCULADO POR DIFERENCIA DEL TOTAL ITDC</t>
  </si>
  <si>
    <t>NO TOCAR; CALCULADO POR DIFERENCIA DEL TOTAL ECUADOR</t>
  </si>
  <si>
    <t>ACTUALIZAR MANUALMENTE ACCID Y DM</t>
  </si>
  <si>
    <t>ACTUALIZAR MANUALMENTE HH, ACCID Y DM</t>
  </si>
  <si>
    <t>&lt;--------------------------Ver colores vs las metas---------------------&gt;</t>
  </si>
  <si>
    <t>AGREGAR UNA COLUMNA AL RANGO 2023 DEL GRAFICO</t>
  </si>
  <si>
    <t>AGREGAR UNA COLUMNA AL RANDO DE GRAFICOS</t>
  </si>
  <si>
    <t xml:space="preserve">CARLOS ALCANTARA LABRIN </t>
  </si>
  <si>
    <t>AYUDANTE DE PLATAN</t>
  </si>
  <si>
    <t>Fractura de otro dedo de la mano, el colaborador sufre un tirón en el dedo índice de la mano izquierda lamentablemente su dedo quedo atrapado entre la polea y la faja, de inmediato logra retirar la mano presentando un corte</t>
  </si>
  <si>
    <t>Inflamación de la córnea en ojo izquierdo, el colaborador se encontraba añadiendo ingredientes líquidos en la tolva respectiva para la preparación de un batch en manufactura salsas. Al momento de terminar de agregar éstos, le salpica una gota de la mezcla cerca del ojo izquierdo</t>
  </si>
  <si>
    <t xml:space="preserve">Fractura del maléolo interno, el colaborador se encontraba abriendo las cortinas de su unidad paletizada con placa C8I747 para descargar mercadería desde Lima, una de las cortinas que jalaba el conductor se traba y la faja se rompe ocasionando que el conductor pierda el equilibrio y se caiga; sufriendo una lesión en el tobillo </t>
  </si>
  <si>
    <t xml:space="preserve">Traumatismo intracraneal producto de sincope, el colaborador se encontraba manejando su equipo ERE asignado hacia la zona de estacionamiento cuando se desvanece (Sincope) y su cuerpo termino desplomándose contra el suelo impactando la cabeza contra el piso </t>
  </si>
  <si>
    <t xml:space="preserve">Herida en el dedo pulgar - mano izquierda, el colaborador se encontraba la envasadora primaria D3; es cuando se golpea la mano izquierda con la estructura del magazine afectando el dedo pulgar izquierdo </t>
  </si>
  <si>
    <t xml:space="preserve">Pérdida de falange distal del dedo pulgar izquierdo, el colaborador procedía a retirar el portamolde la línea 3, como parte de las actividades de limpieza y mantenimiento. El accidentado coloca un tubo metálico como accesorio que complementa la prensa (actividad rutinaria identificada en el IPERC) y lo sostiene con su mano izquierda para guiarlo </t>
  </si>
  <si>
    <t xml:space="preserve">Esguince y torcedura de tobillo izquierdo, el colaborador ingresa a las instalaciones y se dirige a los vestuarios del área de plásticos (ubicado en un 2do piso) para colocarse su uniforme de trabajo e iniciar sus labores. Al subir por la escalera, el colaborador se dobla el tobillo izquierdo en uno de los escalones </t>
  </si>
  <si>
    <t>Herida en el dedo índice - mano izquierda, mientras el trabajador realizaba el corte de un seguro la guarda plástica de la hoja cortante cede, haciendo que la hoja pase de largo generando un corte en la misma mano en la cual el trabajador sostenía la herramienta, producto de esto el trabajador resulto con un corte en el dedo índice y pulgar de la mano izquierda</t>
  </si>
  <si>
    <t>Salmofood</t>
  </si>
  <si>
    <t xml:space="preserve">VITAPRO CHILE </t>
  </si>
  <si>
    <t>PLANTA FIDEERIA</t>
  </si>
  <si>
    <t>PLASTICOS</t>
  </si>
  <si>
    <t xml:space="preserve">GALLETERA </t>
  </si>
  <si>
    <t>Producción Línea 4</t>
  </si>
  <si>
    <t>LATAM 600</t>
  </si>
  <si>
    <t>CD AREQUIPA</t>
  </si>
  <si>
    <t>CORTEZ VASQUEZ YORDI ANTHONY</t>
  </si>
  <si>
    <t>PESADOR INGREDIENTES SALSAS</t>
  </si>
  <si>
    <t xml:space="preserve">TOLVA </t>
  </si>
  <si>
    <t>INFLAMACIÓN DE LA CORNEA</t>
  </si>
  <si>
    <t>Fredy Jesus Velazco Carpio</t>
  </si>
  <si>
    <t xml:space="preserve">1 AÑO Y 8 MESES </t>
  </si>
  <si>
    <t>CORTINA</t>
  </si>
  <si>
    <t>TRANSPORTES BARRIONUEVO</t>
  </si>
  <si>
    <t xml:space="preserve">AYUDNATE DE ALMACEN </t>
  </si>
  <si>
    <t xml:space="preserve">Equipo ERE </t>
  </si>
  <si>
    <t xml:space="preserve">TRAUMATISMO INTRACRANEAL </t>
  </si>
  <si>
    <t>CORONADO PORRAS CRISTIAN</t>
  </si>
  <si>
    <t>ALIMENTADOR</t>
  </si>
  <si>
    <t>ENVASADORA D3</t>
  </si>
  <si>
    <t xml:space="preserve">HERIDA EN EL DEDO PULGAR </t>
  </si>
  <si>
    <t>EMPRESA PROLABORA</t>
  </si>
  <si>
    <t>LAYME IDME JUAN GERARDO</t>
  </si>
  <si>
    <t xml:space="preserve">PÉRDIDA DE FALANGE DISTAL DEL DEDO PULGAR </t>
  </si>
  <si>
    <t>PRENSA HIDRÁULICA</t>
  </si>
  <si>
    <t>PEREA RUIZ GEORGE LUIS</t>
  </si>
  <si>
    <t>OPERARIO DE LINEA</t>
  </si>
  <si>
    <t xml:space="preserve">11 AÑOS Y 3 MESES </t>
  </si>
  <si>
    <t xml:space="preserve">ESCALERAS </t>
  </si>
  <si>
    <t xml:space="preserve">ESGUINCE Y TORCEDURA DE TOBILLO </t>
  </si>
  <si>
    <t>Nelson Sánchez</t>
  </si>
  <si>
    <t xml:space="preserve">HERIDA EN EL DEDO INDICE </t>
  </si>
  <si>
    <t>GUARDA DE PLASTICO</t>
  </si>
  <si>
    <t>Quemadura de segundo grado en dorso de 1er, 2do y 3er dedo de mano. El colaborador (personal Consulting) detecta que la lámina termoencogible se había roto, por lo que detiene el equipo y se agacha para unir la lámina; en esa posición, levanta la mano izquierda, abre la puerta lateral del horno e introduce la mano para jalar la lámina por dentro, en ese momento su mano roza con la cuchilla de corte que se encuentra a alta temperatura</t>
  </si>
  <si>
    <t>INTRALAB</t>
  </si>
  <si>
    <t xml:space="preserve">LÁMINA TERMOENCOGIBLE </t>
  </si>
  <si>
    <t>CIERRE 2022</t>
  </si>
  <si>
    <t>Obj.2023</t>
  </si>
  <si>
    <t>DAVID FERNANDEZ FERNANDEZ</t>
  </si>
  <si>
    <t xml:space="preserve">8 MEESES </t>
  </si>
  <si>
    <t xml:space="preserve">ADMINISTRACIÓN </t>
  </si>
  <si>
    <t>Cardio Movil</t>
  </si>
  <si>
    <t xml:space="preserve">Esguince de mano derecha, el colaborador se encontraba en la posición de apilado sentado en una silla sobre una plataforma. En un momento se levanta para acomodar la galleta en línea y al momento de sentarse, la silla se inclina hacia atrás </t>
  </si>
  <si>
    <t xml:space="preserve">Quemadura del ojo, se había programado la práctica de lucha contra incendios en zonas aledañas al almacén CDC (predio central), los colaboradores en mención asumen la posición de pitoneros direccionando el agua de la red contra incendios hacia las áreas </t>
  </si>
  <si>
    <t xml:space="preserve">Herida de otras partes de la muñeca y de la mano izquierda, el colaborador se encontraba realizando la limpieza de superficies en la zona de externa de microingredientes. En la zona hay topes metálicos que separan las paletas de la pared, es ahí donde el trabajador golpea el tope metálico con la escoba, la cual se encontraba sin el mango superior y se realiza un corte en la palma de la mano izquierda entre el dedo anular y dedo medio de aproximadamente 1.5 </t>
  </si>
  <si>
    <t xml:space="preserve">Dermatitis alérgica de contacto, el colaborador se dirige a la sala de batería a realizar el cambio de batería de su equipo Apilador. 
Al hacer el cambio, le salpica al brazo un polvillo de color blanco ubicado encima de la batería cargada; generándole picazón en los brazos. </t>
  </si>
  <si>
    <t xml:space="preserve">Corrosión de la córnea y saco conjuntival, el colaborador se encontraba estibando y haciendo el paletizado manual, al acomodar los sacos de 13.5 kg dando palmadas, le salpico polvo de detergente al ojo izquierdo, se lavó la vista con agua, dio aviso al operador y enseguida es derivado al tópico para su evaluación.  </t>
  </si>
  <si>
    <t xml:space="preserve">El colaborador Junior Rojas durante sus funciones de picking manifiesta que al agacharse e intentar cargar una caja de aceite siente un dolor en la espalda y no pudo enderezarse de inmediato; por lo que se procedió a solicitar una ambulancia que lo trasladó a la clínica San Pablo. Actualmente se encuentra internado para su recuperación </t>
  </si>
  <si>
    <t xml:space="preserve"> Herida del antebrazo parte no identificada, la colaboradora se encontraba moviendo la olla de refresco caliente, en dirección al piso, momento en el cual, a centímetros de la ubicación final, esta se le resbala y cae. Producto de ello el agua cliente salpica sobre la colaboradora, afectando gran parte de su brazo derecho </t>
  </si>
  <si>
    <t xml:space="preserve">Amputación parcial de dedo anular derecho, Los trabajadores de la contratista LLANURDIBON, Carlos Zavala y Roger Ramírez se encontraban realizando actividades de obra civil, haciendo cortes y preparación de madera para armar encofrado para las bases del desairado que se va a instalar en el área de ampliación de la zona de calderos. </t>
  </si>
  <si>
    <t>Envasado Línea 1</t>
  </si>
  <si>
    <t xml:space="preserve">16 DIAS </t>
  </si>
  <si>
    <t>ESGUINCE DE MANO DERECHA</t>
  </si>
  <si>
    <t>CRUZ QUEA MICHAEL ANTHONNY</t>
  </si>
  <si>
    <t xml:space="preserve">ESGUINCE </t>
  </si>
  <si>
    <t>WILMER URIARTE / OSCAR YATACO</t>
  </si>
  <si>
    <t>AREAS VERDES DEL CDC</t>
  </si>
  <si>
    <t>16 AÑOS Y 7 MESES</t>
  </si>
  <si>
    <t>OPERADOR DE MÁQUINA / PESADO DE INGREDIENTES</t>
  </si>
  <si>
    <t>QUEMADURA DEL OJO</t>
  </si>
  <si>
    <t>MICROINGREDIENTES MCA</t>
  </si>
  <si>
    <t>ROLANDO ALEXANDER COHELO ROMAYNA</t>
  </si>
  <si>
    <t>7AÑOS</t>
  </si>
  <si>
    <t>TOPE METALICO</t>
  </si>
  <si>
    <t>HERIDA EN LA MUÑECA Y MANO</t>
  </si>
  <si>
    <t xml:space="preserve">Herida en el dedo índice de la mano izquierda, el colaborador realizó el retiro un saco con defectos que había identificado previamente, sosteniéndolo desde la parte superior del saco circunstancias en las tiene un contacto con la tenaza del volteador de sacos, la parte afectada resultó el dedo índice de la mano izquierda donde sufre una lesión de aproximadamente 3 cm cerca a los nudillos </t>
  </si>
  <si>
    <t>PROODUCCIÓN</t>
  </si>
  <si>
    <t>JIMMY CHAVES VARGAS</t>
  </si>
  <si>
    <t>OPERADOR DE ENVASADOS</t>
  </si>
  <si>
    <t>HERIDA EN EL DEDO ÍNDICE DE LA MANO IZQUIERDA</t>
  </si>
  <si>
    <t>ACUÑA MESIAS SIMON MANUELITO</t>
  </si>
  <si>
    <t>APT - FIDEERIA</t>
  </si>
  <si>
    <t>BATERIA</t>
  </si>
  <si>
    <t>DERMATITIS ALÉRGICA DE CONTACTO</t>
  </si>
  <si>
    <t>DETERGENTES CALLAO</t>
  </si>
  <si>
    <t>YATACO CORTEZ JOSE GABRIEL</t>
  </si>
  <si>
    <t>CORROSIÓN DE LA CÓRNEA Y SACO CONJUNTIVAL.</t>
  </si>
  <si>
    <t>CORROSIÓN DE LA CÓRNEA</t>
  </si>
  <si>
    <t xml:space="preserve">ECUADOR INBALNOR </t>
  </si>
  <si>
    <t>ÁREA DE CALDEROS</t>
  </si>
  <si>
    <t xml:space="preserve">CARLOS ALBERTO ZAVALA AMEN </t>
  </si>
  <si>
    <t>ALBAÑIL</t>
  </si>
  <si>
    <t xml:space="preserve">19 DIAS </t>
  </si>
  <si>
    <t>MADERA</t>
  </si>
  <si>
    <t xml:space="preserve">AMPUTACIÓN PARCIAL DE DEDO ANULAR DERECHO </t>
  </si>
  <si>
    <t>ROJAS BARCO JUNIOR FERNANDO</t>
  </si>
  <si>
    <t xml:space="preserve">2 AÑOS Y 4 MESES </t>
  </si>
  <si>
    <t>OPERADOR DE PICKING</t>
  </si>
  <si>
    <t>CAIA DE ACEITE</t>
  </si>
  <si>
    <t xml:space="preserve">DISCOPATÍA L4-L5 Y PINZAMIENTO POSTERIOR DE L5-S1 </t>
  </si>
  <si>
    <t>DISCOPATÍA</t>
  </si>
  <si>
    <t xml:space="preserve">INTRADEVCO CHORRILLOS </t>
  </si>
  <si>
    <t>COMEDOR PRINCIPAL</t>
  </si>
  <si>
    <t>QUISPE DIAZ ROSA</t>
  </si>
  <si>
    <t xml:space="preserve">AYUDANTE DE COCINA </t>
  </si>
  <si>
    <t>AÑOS</t>
  </si>
  <si>
    <t>OLLA</t>
  </si>
  <si>
    <t xml:space="preserve">HERIDA DEL ANTEBRAZO PARTE NO IDENTIFICADA </t>
  </si>
  <si>
    <t xml:space="preserve">No afecta al indicador </t>
  </si>
  <si>
    <t xml:space="preserve">DETERGENTES </t>
  </si>
  <si>
    <t>LLANURDIBON</t>
  </si>
  <si>
    <t>MOLINO FAC</t>
  </si>
  <si>
    <t xml:space="preserve">Ry O </t>
  </si>
  <si>
    <t>A OCTUBRE 2023 - PERU</t>
  </si>
  <si>
    <t>Herida del 2do dedo de la mano derecha, La colaboradora procede a dirigirse a los SSHH después de limpiar las oficinas. Al ingresar e iniciar la limpieza de las partes altas de las puertas de los inodoros, por frotación con paño microfibra, es cuando ella se rasga los guantes y sus dedos al sobar el marco de varilla con el paño de limpieza</t>
  </si>
  <si>
    <t xml:space="preserve">Herida en canilla, el colaborador se procede a realizar el pintado de la torre de enfriamiento de la operación In House de soplado PET. Es en el momento de pintar la parte superior de la torre que se apoya en el borde de la cubierta de seguridad de una de las bombas de recirculación y ésta se voltea ocasionándole un golpe en la canilla de la pierna derecha.                 </t>
  </si>
  <si>
    <t>Lumbago no especificado, el colaborador se encontraba manejando su equipo ERD asignado para trasladar una paleta. Durante el retroceso el equipo sufrió un atasco con un pedazo de madera el cual desequilibró la máquina provocando que el trabajador cayera del equipo y tenga como consecuencia la lesión descrita</t>
  </si>
  <si>
    <t xml:space="preserve">Esguince torcedura de tobillo derecho, el colaborador se encontraba trasladando silica (sacos de 25 kg) pisa el filo del último peldaño con la mitad del pie (pisa en falso), ocasionando una torcedura en el tobillo del pie derecho, cayendo de costado al piso (en la zona de descanso entre el 4to y 3er piso), sintiendo dolor en todo el pie </t>
  </si>
  <si>
    <t>Esguince y torcedura de tobillo, la colaboradora se encontraba cerrando una de las hojas del portón de acceso vehicular, cuando al retroceder el pie izquierdo, este ingresa en un orificio presente en la vereda, perdiendo el equilibrio y doblándose el tobillo</t>
  </si>
  <si>
    <t>Herida en la nariz, el trabajador se encontraba de apoyo desocupando materiales del almacén de mantenimiento, al manipular unas cajas del anaquel del área, no se percató que el rollo de empaquetadura se encontraba en la parte superior y este con el movimiento cayó impactando la nariz</t>
  </si>
  <si>
    <t>Fabricación Intralab</t>
  </si>
  <si>
    <t xml:space="preserve">SSHH Caballeros </t>
  </si>
  <si>
    <t xml:space="preserve">OPERARIO DE LIMPIEZA </t>
  </si>
  <si>
    <t>4 AÑOS Y MEDIO</t>
  </si>
  <si>
    <t>San Miguel Industrias PET</t>
  </si>
  <si>
    <t xml:space="preserve">BOMBAS </t>
  </si>
  <si>
    <t>OPERADOR TÉCNICO DE LÍNEA DE SOPLADO SMI</t>
  </si>
  <si>
    <t>CHRISTOPHER PEREZ CABELLO</t>
  </si>
  <si>
    <t>1 AÑO Y 3 MESES</t>
  </si>
  <si>
    <t xml:space="preserve">SANTISTEBAN MUGUERZA CESAR DANIEL </t>
  </si>
  <si>
    <t xml:space="preserve">8 MESES </t>
  </si>
  <si>
    <t xml:space="preserve">PROLABORA SOLUTIONS S.A.C </t>
  </si>
  <si>
    <t>DESTILERIA</t>
  </si>
  <si>
    <t>MAY LISBETH PANDURO PACHECO</t>
  </si>
  <si>
    <t>J &amp; V RESGUARDO (LIDERMAN)</t>
  </si>
  <si>
    <t>3 AÑOS Y 10 MESES</t>
  </si>
  <si>
    <t>AGENTE DE SEGURIDAD</t>
  </si>
  <si>
    <t xml:space="preserve">PEREA RUIZ GEORGE LUIS </t>
  </si>
  <si>
    <t>ROLLO DE EMPAQUETADURA</t>
  </si>
  <si>
    <t>ÁREA DE CALDERAS</t>
  </si>
  <si>
    <t>5 AÑO Y 5 MESES</t>
  </si>
  <si>
    <t xml:space="preserve">Quemadura leve de primer grado, el colaborador se dirigió a revisar el nivel de búnker en el tanque diario para verificar si necesitaba recargar combustible antes del cierre de turno. Al momento de abrir la compuerta del tanque para hacer la revisión manual, se levantó una burbuja de gas caliente la cual se elevó y le ocasionó quemaduras en la cara y ambos brazos </t>
  </si>
  <si>
    <t xml:space="preserve">COMPUERTA DEL TANQUE </t>
  </si>
  <si>
    <t>AYALA CASTILLO ROGER OMAR</t>
  </si>
  <si>
    <t>PROYECTADO 2023
(Cero accidentes en Dic)</t>
  </si>
  <si>
    <t>&lt;-Registrar el Acum HH de ITDC según correo</t>
  </si>
  <si>
    <t>A DICIEMBRE 2023</t>
  </si>
  <si>
    <t>Correr una FILA</t>
  </si>
  <si>
    <t>Correr una COLUMNA</t>
  </si>
  <si>
    <t>A DICIEMBRE 2022</t>
  </si>
  <si>
    <t xml:space="preserve"> 14.640 </t>
  </si>
  <si>
    <t xml:space="preserve"> 108.192 </t>
  </si>
  <si>
    <t xml:space="preserve"> 20.616 </t>
  </si>
  <si>
    <t xml:space="preserve"> 19.387 </t>
  </si>
  <si>
    <t xml:space="preserve"> 44.725 </t>
  </si>
  <si>
    <t>182.464,34</t>
  </si>
  <si>
    <t xml:space="preserve">Fractura de dedo de la mano, el colaborador se encontraba realizando la actividad de izaje de rollo que estaba ubicado en caballete para realizar su respectivo mecanizado en la máquina rayadora. Para ello coloca los accesorios y procede a presionar el mando de subida del tecle eléctrico. De forma súbita, el tecle se detiene lo cual ocasiona que el rollo se ladee en dirección al hombro derecho del trabajador </t>
  </si>
  <si>
    <t>Herida expuesta en dedo medio mano derecha, el colaborador se encontraba cortando (a nivel de piso) con tijera hojalatera las calaminas desmontadas del techo. En una calamina quedó un tramo pequeño por cortar, en lugar de seguir cortando con la tijera, el trabajador usa ambas manos para intentar cortarla y es donde se genera la herida en el dedo medio de la mano derecha</t>
  </si>
  <si>
    <t>BUILMEP SAC</t>
  </si>
  <si>
    <t>J G Electric Metal EIRL</t>
  </si>
  <si>
    <t xml:space="preserve">Cuerpo extraño ocular, el colaborador se encontraba cortando (a nivel de piso) con tijera hojalatera las calaminas desmontadas del techo. En una calamina quedó un tramo pequeño por cortar, en lugar de seguir cortando con la tijera, el trabajador usa ambas manos para intentar cortarla y es donde se genera la herida en el dedo medio de la mano derecha. </t>
  </si>
  <si>
    <t>Traumatismo del ojo derecho y de la órbita, El   colaborador estuvo realizando el levantamiento del cable con la ayuda de una pata de cabra para que este se cortado. Cuando la pata de cabra se desganchó del cable, terminó golpeando el rostro del Trabajador a la altura del ojo derecho, generándole un corte</t>
  </si>
  <si>
    <t xml:space="preserve">Traumatismo por aplastamiento del pulgar y otros dedos, la colaboradora refiere que estando en su puesto de trabajo, en sus actividades rutinarias, al momento de cerrar la puerta del almacén de materiales que se encontraba limpiando, queda su mano atrapada en la misma, ocasionándole contusión en dedo medio de la mano izquierda. La operaria notifica media hora después del evento sucedido. Se dirige al tópico para su evaluación y luego de ser revisada es trasladada a la Clínica san Gabriel para su atención médica. </t>
  </si>
  <si>
    <t>Contusión de otras partes y de las no especificadas del pie, el colaborador realizaba el apilado de paletas durante el proceso de limpieza con el colaborador Agüero, al voltear la paleta esta se le resbala de las manos y en consecuencia la esquina del pallet cae sobre el empeine del colaborador</t>
  </si>
  <si>
    <t xml:space="preserve">Herida en la rodilla, el colaborador se encontraba realizando sus actividades en la zona de Empacado – Mezzanine, observa que las bolsas de detergente empiezan acumularse sobre la faja transportadora, por lo que el colaborador procede a apagar la máquina desde el botón de emergencia. En el transcurso del camino, se impacta la rodilla izquierda contra la esquina de la guarda de seguridad de la faja transportadora lo que genera una herida en la zona mencionada. </t>
  </si>
  <si>
    <t xml:space="preserve">MOLINO CALLAO </t>
  </si>
  <si>
    <t xml:space="preserve">MECANICO E MANTIENIMIENTO </t>
  </si>
  <si>
    <t>MINGUILLO AGURTO JOSE LUIS</t>
  </si>
  <si>
    <t xml:space="preserve">SOSA ZAPATA CESAR IVAN </t>
  </si>
  <si>
    <t>MAQUINA RAYADORA</t>
  </si>
  <si>
    <t>OPERARIO MECANICO</t>
  </si>
  <si>
    <t>APT-PROYECTOS</t>
  </si>
  <si>
    <t>MANUEL YAMUNAQUE MOSCOL</t>
  </si>
  <si>
    <t>AYUDANTE DE PRODUCCIÓN</t>
  </si>
  <si>
    <t xml:space="preserve">MANGA DE EQUIPO CERNEDOR </t>
  </si>
  <si>
    <t>MOLINO TRUJILLOA</t>
  </si>
  <si>
    <t>BLANCO ESPÍNOLA MANUEL MOISES</t>
  </si>
  <si>
    <t>OPERARIO ELECTRICISTA</t>
  </si>
  <si>
    <t xml:space="preserve">CABLES </t>
  </si>
  <si>
    <t xml:space="preserve">AREAS COMUNES -COPSA </t>
  </si>
  <si>
    <t xml:space="preserve">SILVA PEÑA LORENA </t>
  </si>
  <si>
    <t xml:space="preserve">1 MES Y 19 DIAS </t>
  </si>
  <si>
    <t>ZONA DE LIMPIEZA DE PALETAS</t>
  </si>
  <si>
    <t>MOLINO CALLAO - APT</t>
  </si>
  <si>
    <t>DOMYNICK HERRERA ATOCHE</t>
  </si>
  <si>
    <t xml:space="preserve">ALTA TECNOLOGÍA EN LIMPIEZA S.A.C. </t>
  </si>
  <si>
    <t xml:space="preserve">INTRADEVCO - LURIN </t>
  </si>
  <si>
    <t>CARLOS VELASQUEZ</t>
  </si>
  <si>
    <t xml:space="preserve">Falta 1 Dist-no afecta el indicador </t>
  </si>
  <si>
    <t>Falta 1 registrar seguridad industrial joel B</t>
  </si>
  <si>
    <t>falt 1 Dis-registrado</t>
  </si>
  <si>
    <t xml:space="preserve">BOLIVIA </t>
  </si>
  <si>
    <t>COCHABAMBA-Almacén de insumos</t>
  </si>
  <si>
    <t>El colaborador se encontraba en el 3er nivel de un andamio tipo Layer, sosteniendo una cuerda para descender la estructura del rack. En paralelo, una segunda cuerda amarrada a la estructura pasaba sobre el andamio y era sostenida por una persona a nivel del piso. Finalizando la operación, esta segunda cuerda generó fuerza sobre el andamio, causando la caída del mismo y la persona que se encontraba anclada al andamio.</t>
  </si>
  <si>
    <t>LUIS MIGUEL GUZMAN</t>
  </si>
  <si>
    <t>COMEL</t>
  </si>
  <si>
    <t>Los Jefes de DC</t>
  </si>
  <si>
    <t>Guillermo sidsur</t>
  </si>
  <si>
    <t>Nuevo SCAST 2.0</t>
  </si>
  <si>
    <t xml:space="preserve">Enviado por vigilancia 5 </t>
  </si>
  <si>
    <t>Equipo de Gloria Maza</t>
  </si>
  <si>
    <t>Total de horas Alicorp</t>
  </si>
  <si>
    <t>HORAS TRABAJADAS PERSONAL ALICORP 2023</t>
  </si>
  <si>
    <t>Fuente</t>
  </si>
  <si>
    <t>SAP</t>
  </si>
  <si>
    <t>Personal Obrero + Empleado+ Formación Laboral</t>
  </si>
  <si>
    <t>DETERGENTES RIMAC</t>
  </si>
  <si>
    <t>suma</t>
  </si>
  <si>
    <t>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</si>
</sst>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_-* #,##0.00_-;\-* #,##0.00_-;_-* &quot;-&quot;??_-;_-@_-"/>
    <numFmt numFmtId="165" formatCode="_(* #,##0.00_);_(* \(#,##0.00\);_(* &quot;-&quot;??_);_(@_)"/>
    <numFmt numFmtId="166" formatCode="??0"/>
    <numFmt numFmtId="167" formatCode="?0"/>
    <numFmt numFmtId="168" formatCode="??0.00"/>
    <numFmt numFmtId="169" formatCode="?0.00"/>
    <numFmt numFmtId="170" formatCode="0.0"/>
    <numFmt numFmtId="171" formatCode="#,##0.0"/>
    <numFmt numFmtId="172" formatCode="_(* #,##0_);_(* \(#,##0\);_(* &quot;-&quot;??_);_(@_)"/>
    <numFmt numFmtId="173" formatCode="_(* #,##0.0_);_(* \(#,##0.0\);_(* &quot;-&quot;??_);_(@_)"/>
    <numFmt numFmtId="174" formatCode="_-* #,##0_-;\-* #,##0_-;_-* &quot;-&quot;??_-;_-@_-"/>
    <numFmt numFmtId="175" formatCode="????0;;"/>
    <numFmt numFmtId="176" formatCode="_ [$€-2]\ * #,##0.00_ ;_ [$€-2]\ * \-#,##0.00_ ;_ [$€-2]\ * &quot;-&quot;??_ "/>
    <numFmt numFmtId="177" formatCode="[$-280A]General"/>
  </numFmts>
  <fonts count="26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color theme="1"/>
      <name val="Calibri"/>
      <family val="2"/>
      <scheme val="minor"/>
    </font>
    <font>
      <sz val="11"/>
      <name val="Calibri"/>
      <family val="2"/>
    </font>
    <font>
      <sz val="11"/>
      <name val="Calibri"/>
      <family val="2"/>
    </font>
    <font>
      <sz val="11"/>
      <color theme="1"/>
      <name val="Calibri"/>
      <family val="2"/>
      <scheme val="minor"/>
    </font>
    <font>
      <sz val="1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indexed="8"/>
      <name val="Arial"/>
      <family val="2"/>
    </font>
    <font>
      <sz val="10"/>
      <name val="Arial"/>
      <family val="2"/>
    </font>
    <font>
      <b/>
      <sz val="18"/>
      <color indexed="10"/>
      <name val="Arial"/>
      <family val="2"/>
    </font>
    <font>
      <b/>
      <sz val="8"/>
      <color indexed="10"/>
      <name val="Arial"/>
      <family val="2"/>
    </font>
    <font>
      <b/>
      <sz val="10"/>
      <color indexed="10"/>
      <name val="Arial"/>
      <family val="2"/>
    </font>
    <font>
      <sz val="8"/>
      <name val="Arial"/>
      <family val="2"/>
    </font>
    <font>
      <sz val="10"/>
      <name val="Arial"/>
      <family val="2"/>
    </font>
    <font>
      <sz val="8"/>
      <name val="Arial"/>
      <family val="2"/>
    </font>
    <font>
      <b/>
      <sz val="8"/>
      <name val="Arial"/>
      <family val="2"/>
    </font>
    <font>
      <b/>
      <sz val="10"/>
      <color indexed="9"/>
      <name val="Arial"/>
      <family val="2"/>
    </font>
    <font>
      <sz val="10"/>
      <color indexed="8"/>
      <name val="Arial"/>
      <family val="2"/>
    </font>
    <font>
      <sz val="10"/>
      <color indexed="8"/>
      <name val="Arial"/>
      <family val="2"/>
    </font>
    <font>
      <b/>
      <sz val="10"/>
      <name val="Arial"/>
      <family val="2"/>
    </font>
    <font>
      <b/>
      <sz val="8"/>
      <color indexed="9"/>
      <name val="Arial"/>
      <family val="2"/>
    </font>
    <font>
      <b/>
      <sz val="12"/>
      <name val="Arial"/>
      <family val="2"/>
    </font>
    <font>
      <b/>
      <sz val="8"/>
      <name val="Arial"/>
      <family val="2"/>
    </font>
    <font>
      <sz val="14.9"/>
      <name val="Arial"/>
      <family val="2"/>
    </font>
    <font>
      <b/>
      <sz val="16"/>
      <name val="Arial"/>
      <family val="2"/>
    </font>
    <font>
      <sz val="7"/>
      <name val="Arial"/>
      <family val="2"/>
    </font>
    <font>
      <sz val="8"/>
      <name val="Comic Sans MS"/>
      <family val="4"/>
    </font>
    <font>
      <b/>
      <sz val="8"/>
      <name val="Comic Sans MS"/>
      <family val="4"/>
    </font>
    <font>
      <b/>
      <sz val="10"/>
      <color indexed="8"/>
      <name val="Arial"/>
      <family val="2"/>
    </font>
    <font>
      <b/>
      <sz val="12"/>
      <color indexed="9"/>
      <name val="Arial"/>
      <family val="2"/>
    </font>
    <font>
      <b/>
      <sz val="7"/>
      <color indexed="9"/>
      <name val="Arial"/>
      <family val="2"/>
    </font>
    <font>
      <sz val="8"/>
      <color indexed="8"/>
      <name val="Arial"/>
      <family val="2"/>
    </font>
    <font>
      <b/>
      <sz val="8"/>
      <color indexed="8"/>
      <name val="Arial"/>
      <family val="2"/>
    </font>
    <font>
      <sz val="7"/>
      <name val="Arial"/>
      <family val="2"/>
    </font>
    <font>
      <sz val="10"/>
      <color indexed="10"/>
      <name val="Arial"/>
      <family val="2"/>
    </font>
    <font>
      <sz val="8"/>
      <color indexed="8"/>
      <name val="Comic Sans MS"/>
      <family val="4"/>
    </font>
    <font>
      <sz val="6"/>
      <name val="Arial"/>
      <family val="2"/>
    </font>
    <font>
      <sz val="7"/>
      <name val="Comic Sans MS"/>
      <family val="4"/>
    </font>
    <font>
      <sz val="9"/>
      <name val="Comic Sans MS"/>
      <family val="4"/>
    </font>
    <font>
      <b/>
      <sz val="9"/>
      <name val="Comic Sans MS"/>
      <family val="4"/>
    </font>
    <font>
      <b/>
      <sz val="9"/>
      <color indexed="8"/>
      <name val="Comic Sans MS"/>
      <family val="4"/>
    </font>
    <font>
      <b/>
      <sz val="9"/>
      <color indexed="9"/>
      <name val="Comic Sans MS"/>
      <family val="4"/>
    </font>
    <font>
      <sz val="10"/>
      <name val="Comic Sans MS"/>
      <family val="4"/>
    </font>
    <font>
      <sz val="10"/>
      <color indexed="8"/>
      <name val="Comic Sans MS"/>
      <family val="4"/>
    </font>
    <font>
      <b/>
      <sz val="10"/>
      <color indexed="10"/>
      <name val="Comic Sans MS"/>
      <family val="4"/>
    </font>
    <font>
      <b/>
      <sz val="6"/>
      <color indexed="9"/>
      <name val="Arial"/>
      <family val="2"/>
    </font>
    <font>
      <sz val="8"/>
      <color indexed="8"/>
      <name val="Arial"/>
      <family val="2"/>
    </font>
    <font>
      <sz val="8"/>
      <color indexed="10"/>
      <name val="Arial"/>
      <family val="2"/>
    </font>
    <font>
      <sz val="10"/>
      <color indexed="10"/>
      <name val="Arial"/>
      <family val="2"/>
    </font>
    <font>
      <sz val="10"/>
      <color indexed="9"/>
      <name val="Arial"/>
      <family val="2"/>
    </font>
    <font>
      <sz val="10"/>
      <color indexed="9"/>
      <name val="Arial"/>
      <family val="2"/>
    </font>
    <font>
      <sz val="10"/>
      <color indexed="10"/>
      <name val="Comic Sans MS"/>
      <family val="4"/>
    </font>
    <font>
      <b/>
      <sz val="9"/>
      <name val="Arial"/>
      <family val="2"/>
    </font>
    <font>
      <sz val="8"/>
      <color indexed="9"/>
      <name val="Arial"/>
      <family val="2"/>
    </font>
    <font>
      <b/>
      <sz val="10"/>
      <color indexed="9"/>
      <name val="Arial"/>
      <family val="2"/>
    </font>
    <font>
      <sz val="11"/>
      <name val="Arial"/>
      <family val="2"/>
    </font>
    <font>
      <sz val="12"/>
      <name val="Arial"/>
      <family val="2"/>
    </font>
    <font>
      <b/>
      <sz val="11"/>
      <name val="Arial"/>
      <family val="2"/>
    </font>
    <font>
      <sz val="11"/>
      <color indexed="8"/>
      <name val="Arial"/>
      <family val="2"/>
    </font>
    <font>
      <b/>
      <sz val="11"/>
      <color indexed="9"/>
      <name val="Arial"/>
      <family val="2"/>
    </font>
    <font>
      <b/>
      <sz val="10"/>
      <color indexed="9"/>
      <name val="Arial"/>
      <family val="2"/>
    </font>
    <font>
      <b/>
      <sz val="11"/>
      <color indexed="9"/>
      <name val="Arial"/>
      <family val="2"/>
    </font>
    <font>
      <b/>
      <sz val="12"/>
      <color indexed="9"/>
      <name val="Arial"/>
      <family val="2"/>
    </font>
    <font>
      <sz val="9"/>
      <name val="Arial"/>
      <family val="2"/>
    </font>
    <font>
      <sz val="8"/>
      <name val="Arial"/>
      <family val="2"/>
    </font>
    <font>
      <sz val="8"/>
      <name val="Tahoma"/>
      <family val="2"/>
    </font>
    <font>
      <sz val="10"/>
      <color rgb="FFFF0000"/>
      <name val="Arial"/>
      <family val="2"/>
    </font>
    <font>
      <sz val="10"/>
      <color theme="3" tint="-0.249977111117893"/>
      <name val="Arial"/>
      <family val="2"/>
    </font>
    <font>
      <sz val="10"/>
      <color theme="1"/>
      <name val="Arial"/>
      <family val="2"/>
    </font>
    <font>
      <sz val="10"/>
      <name val="Arial"/>
      <family val="2"/>
    </font>
    <font>
      <b/>
      <sz val="18"/>
      <color theme="3"/>
      <name val="Cambria"/>
      <family val="2"/>
      <scheme val="major"/>
    </font>
    <font>
      <sz val="10"/>
      <color theme="0"/>
      <name val="Arial"/>
      <family val="2"/>
    </font>
    <font>
      <b/>
      <sz val="10"/>
      <color rgb="FFFA7D00"/>
      <name val="Arial"/>
      <family val="2"/>
    </font>
    <font>
      <b/>
      <sz val="10"/>
      <color theme="0"/>
      <name val="Arial"/>
      <family val="2"/>
    </font>
    <font>
      <sz val="10"/>
      <color rgb="FFFA7D00"/>
      <name val="Arial"/>
      <family val="2"/>
    </font>
    <font>
      <b/>
      <sz val="11"/>
      <color theme="3"/>
      <name val="Arial"/>
      <family val="2"/>
    </font>
    <font>
      <sz val="10"/>
      <color rgb="FF3F3F76"/>
      <name val="Arial"/>
      <family val="2"/>
    </font>
    <font>
      <sz val="10"/>
      <color rgb="FF9C0006"/>
      <name val="Arial"/>
      <family val="2"/>
    </font>
    <font>
      <b/>
      <sz val="10"/>
      <color rgb="FF3F3F3F"/>
      <name val="Arial"/>
      <family val="2"/>
    </font>
    <font>
      <i/>
      <sz val="10"/>
      <color rgb="FF7F7F7F"/>
      <name val="Arial"/>
      <family val="2"/>
    </font>
    <font>
      <b/>
      <sz val="15"/>
      <color theme="3"/>
      <name val="Arial"/>
      <family val="2"/>
    </font>
    <font>
      <b/>
      <sz val="13"/>
      <color theme="3"/>
      <name val="Arial"/>
      <family val="2"/>
    </font>
    <font>
      <sz val="8"/>
      <color theme="1"/>
      <name val="Arial"/>
      <family val="2"/>
    </font>
    <font>
      <b/>
      <sz val="8"/>
      <color theme="0"/>
      <name val="Arial"/>
      <family val="2"/>
    </font>
    <font>
      <b/>
      <sz val="8"/>
      <color rgb="FFFF0000"/>
      <name val="Arial"/>
      <family val="2"/>
    </font>
    <font>
      <b/>
      <sz val="12"/>
      <color theme="1"/>
      <name val="Arial"/>
      <family val="2"/>
    </font>
    <font>
      <b/>
      <sz val="11"/>
      <color theme="0"/>
      <name val="Arial"/>
      <family val="2"/>
    </font>
    <font>
      <sz val="11"/>
      <color theme="0"/>
      <name val="Arial"/>
      <family val="2"/>
    </font>
    <font>
      <b/>
      <sz val="10"/>
      <color theme="1"/>
      <name val="Arial"/>
      <family val="2"/>
    </font>
    <font>
      <b/>
      <sz val="12"/>
      <color theme="0"/>
      <name val="Arial"/>
      <family val="2"/>
    </font>
    <font>
      <b/>
      <sz val="10"/>
      <color rgb="FFFF0000"/>
      <name val="Arial"/>
      <family val="2"/>
    </font>
    <font>
      <b/>
      <sz val="9"/>
      <color rgb="FFFF0000"/>
      <name val="Arial"/>
      <family val="2"/>
    </font>
    <font>
      <b/>
      <sz val="9"/>
      <color rgb="FF000000"/>
      <name val="Arial"/>
      <family val="2"/>
    </font>
    <font>
      <sz val="9"/>
      <color rgb="FF000000"/>
      <name val="Calibri"/>
      <family val="2"/>
    </font>
    <font>
      <sz val="9"/>
      <color rgb="FF000000"/>
      <name val="Arial"/>
      <family val="2"/>
    </font>
    <font>
      <sz val="10"/>
      <name val="Arial"/>
      <family val="2"/>
    </font>
    <font>
      <sz val="10"/>
      <name val="Century Gothic"/>
      <family val="2"/>
    </font>
    <font>
      <b/>
      <sz val="14"/>
      <name val="Arial"/>
      <family val="2"/>
    </font>
    <font>
      <b/>
      <sz val="11"/>
      <color theme="1"/>
      <name val="Calibri"/>
      <family val="2"/>
      <scheme val="minor"/>
    </font>
    <font>
      <b/>
      <sz val="11"/>
      <color theme="0"/>
      <name val="Calibri"/>
      <family val="2"/>
      <scheme val="minor"/>
    </font>
    <font>
      <sz val="11"/>
      <name val="Calibri"/>
      <family val="2"/>
    </font>
    <font>
      <sz val="10"/>
      <color rgb="FF000000"/>
      <name val="Arial"/>
      <family val="2"/>
    </font>
    <font>
      <sz val="9"/>
      <color theme="1"/>
      <name val="Calibri"/>
      <family val="2"/>
      <scheme val="minor"/>
    </font>
    <font>
      <sz val="12"/>
      <color theme="1"/>
      <name val="Arial"/>
      <family val="2"/>
    </font>
    <font>
      <sz val="12"/>
      <color theme="1"/>
      <name val="Calibri"/>
      <family val="2"/>
      <scheme val="minor"/>
    </font>
    <font>
      <b/>
      <sz val="20"/>
      <color theme="1"/>
      <name val="Calibri"/>
      <family val="2"/>
      <scheme val="minor"/>
    </font>
    <font>
      <sz val="10"/>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sz val="11"/>
      <name val="Calibri"/>
      <family val="2"/>
      <scheme val="minor"/>
    </font>
    <font>
      <sz val="8"/>
      <color rgb="FFFF0000"/>
      <name val="Arial"/>
      <family val="2"/>
    </font>
    <font>
      <b/>
      <sz val="14"/>
      <color theme="1"/>
      <name val="Calibri"/>
      <family val="2"/>
      <scheme val="minor"/>
    </font>
    <font>
      <sz val="8"/>
      <color theme="1"/>
      <name val="Calibri"/>
      <family val="2"/>
      <scheme val="minor"/>
    </font>
    <font>
      <u/>
      <sz val="10"/>
      <color indexed="12"/>
      <name val="Arial"/>
      <family val="2"/>
    </font>
    <font>
      <sz val="8"/>
      <name val="Calibri"/>
      <family val="2"/>
      <scheme val="minor"/>
    </font>
    <font>
      <sz val="8"/>
      <name val="Cambria"/>
      <family val="1"/>
      <scheme val="major"/>
    </font>
    <font>
      <b/>
      <sz val="10"/>
      <color theme="1"/>
      <name val="Arial"/>
      <family val="2"/>
    </font>
    <font>
      <sz val="10"/>
      <name val="Arial"/>
      <family val="2"/>
    </font>
    <font>
      <sz val="11"/>
      <color rgb="FF000000"/>
      <name val="Calibri"/>
      <family val="2"/>
    </font>
    <font>
      <sz val="11"/>
      <color rgb="FFFF0000"/>
      <name val="Calibri"/>
      <family val="2"/>
    </font>
    <font>
      <b/>
      <sz val="11"/>
      <color rgb="FF000000"/>
      <name val="Calibri"/>
      <family val="2"/>
    </font>
    <font>
      <b/>
      <sz val="10"/>
      <color rgb="FF000000"/>
      <name val="Calibri"/>
      <family val="2"/>
    </font>
    <font>
      <sz val="10"/>
      <color rgb="FF000000"/>
      <name val="Calibri"/>
      <family val="2"/>
    </font>
    <font>
      <sz val="7"/>
      <color rgb="FFFF0000"/>
      <name val="Arial"/>
      <family val="2"/>
    </font>
    <font>
      <sz val="8"/>
      <name val="Arial Narrow"/>
      <family val="2"/>
    </font>
    <font>
      <sz val="10"/>
      <color rgb="FFFF0000"/>
      <name val="Century Gothic"/>
      <family val="2"/>
    </font>
    <font>
      <sz val="12"/>
      <color indexed="8"/>
      <name val="Arial Narrow"/>
      <family val="2"/>
    </font>
    <font>
      <b/>
      <sz val="12"/>
      <color indexed="8"/>
      <name val="Arial Narrow"/>
      <family val="2"/>
    </font>
    <font>
      <sz val="10"/>
      <name val="Arial"/>
      <family val="2"/>
    </font>
    <font>
      <sz val="11"/>
      <color rgb="FF9C6500"/>
      <name val="Calibri"/>
      <family val="2"/>
      <scheme val="minor"/>
    </font>
    <font>
      <sz val="11"/>
      <name val="Arial Narrow"/>
      <family val="2"/>
    </font>
    <font>
      <u/>
      <sz val="11"/>
      <color theme="10"/>
      <name val="Calibri"/>
      <family val="2"/>
      <scheme val="minor"/>
    </font>
    <font>
      <sz val="14"/>
      <name val="Arial"/>
      <family val="2"/>
    </font>
    <font>
      <sz val="8"/>
      <color theme="1"/>
      <name val="Arial Narrow"/>
      <family val="2"/>
    </font>
    <font>
      <b/>
      <sz val="10"/>
      <color rgb="FF000000"/>
      <name val="Arial Narrow"/>
      <family val="2"/>
    </font>
    <font>
      <b/>
      <sz val="8"/>
      <color theme="1"/>
      <name val="Arial Narrow"/>
      <family val="2"/>
    </font>
    <font>
      <b/>
      <sz val="8"/>
      <color theme="0"/>
      <name val="Arial Narrow"/>
      <family val="2"/>
    </font>
    <font>
      <b/>
      <sz val="14"/>
      <color theme="1"/>
      <name val="Times New Roman"/>
      <family val="1"/>
    </font>
    <font>
      <b/>
      <sz val="12"/>
      <color rgb="FF000000"/>
      <name val="Arial Narrow"/>
      <family val="2"/>
    </font>
    <font>
      <sz val="10"/>
      <name val="Arial"/>
      <family val="2"/>
    </font>
    <font>
      <sz val="10"/>
      <name val="Times New Roman"/>
      <family val="1"/>
    </font>
    <font>
      <sz val="10"/>
      <name val="Gadugi"/>
      <family val="2"/>
    </font>
    <font>
      <b/>
      <sz val="9"/>
      <color theme="0"/>
      <name val="Calibri"/>
      <family val="2"/>
      <scheme val="minor"/>
    </font>
    <font>
      <b/>
      <sz val="9"/>
      <color theme="1"/>
      <name val="Calibri"/>
      <family val="2"/>
      <scheme val="minor"/>
    </font>
    <font>
      <sz val="10"/>
      <color theme="1"/>
      <name val="Calibri"/>
      <family val="2"/>
      <scheme val="minor"/>
    </font>
    <font>
      <sz val="9"/>
      <color indexed="81"/>
      <name val="Tahoma"/>
      <family val="2"/>
    </font>
    <font>
      <b/>
      <sz val="9"/>
      <color indexed="81"/>
      <name val="Tahoma"/>
      <family val="2"/>
    </font>
    <font>
      <sz val="10"/>
      <color rgb="FF000000"/>
      <name val="Century Gothic"/>
      <family val="2"/>
    </font>
    <font>
      <b/>
      <sz val="10"/>
      <color rgb="FF000000"/>
      <name val="Arial"/>
      <family val="2"/>
    </font>
    <font>
      <sz val="10"/>
      <color rgb="FF0070C0"/>
      <name val="Arial"/>
      <family val="2"/>
    </font>
    <font>
      <b/>
      <sz val="10"/>
      <name val="Tahoma"/>
      <family val="2"/>
    </font>
    <font>
      <sz val="10"/>
      <color rgb="FF00B050"/>
      <name val="Arial"/>
      <family val="2"/>
    </font>
    <font>
      <b/>
      <sz val="6"/>
      <name val="Tahoma"/>
      <family val="2"/>
    </font>
    <font>
      <b/>
      <sz val="9"/>
      <name val="Calibri"/>
      <family val="2"/>
      <scheme val="minor"/>
    </font>
    <font>
      <b/>
      <sz val="12"/>
      <color rgb="FF000000"/>
      <name val="Calibri"/>
      <family val="2"/>
      <scheme val="minor"/>
    </font>
    <font>
      <b/>
      <sz val="10"/>
      <color rgb="FF000000"/>
      <name val="Calibri"/>
      <family val="2"/>
      <scheme val="minor"/>
    </font>
    <font>
      <sz val="10"/>
      <color rgb="FF000000"/>
      <name val="Calibri"/>
      <family val="2"/>
      <scheme val="minor"/>
    </font>
    <font>
      <b/>
      <sz val="10"/>
      <color theme="1"/>
      <name val="Calibri"/>
      <family val="2"/>
      <scheme val="minor"/>
    </font>
    <font>
      <sz val="10"/>
      <color theme="3" tint="0.39997558519241921"/>
      <name val="Arial"/>
      <family val="2"/>
    </font>
    <font>
      <sz val="11"/>
      <color rgb="FF365F91"/>
      <name val="Calibri"/>
      <family val="2"/>
    </font>
    <font>
      <sz val="10"/>
      <color rgb="FF00B050"/>
      <name val="Calibri"/>
      <family val="2"/>
      <scheme val="minor"/>
    </font>
    <font>
      <sz val="10"/>
      <color rgb="FF0070C0"/>
      <name val="Calibri"/>
      <family val="2"/>
      <scheme val="minor"/>
    </font>
    <font>
      <sz val="10"/>
      <color rgb="FF44546A"/>
      <name val="Calibri"/>
      <family val="2"/>
      <scheme val="minor"/>
    </font>
    <font>
      <sz val="10"/>
      <color rgb="FF1F497D"/>
      <name val="Calibri"/>
      <family val="2"/>
      <scheme val="minor"/>
    </font>
    <font>
      <sz val="10"/>
      <color rgb="FF002060"/>
      <name val="Calibri"/>
      <family val="2"/>
      <scheme val="minor"/>
    </font>
    <font>
      <sz val="10"/>
      <color rgb="FF1F3864"/>
      <name val="Calibri"/>
      <family val="2"/>
      <scheme val="minor"/>
    </font>
    <font>
      <sz val="10"/>
      <color rgb="FF203864"/>
      <name val="Calibri"/>
      <family val="2"/>
      <scheme val="minor"/>
    </font>
    <font>
      <sz val="10"/>
      <color rgb="FF333333"/>
      <name val="Calibri"/>
      <family val="2"/>
      <scheme val="minor"/>
    </font>
    <font>
      <b/>
      <sz val="10"/>
      <name val="Calibri"/>
      <family val="2"/>
      <scheme val="minor"/>
    </font>
    <font>
      <b/>
      <sz val="10"/>
      <color theme="0"/>
      <name val="Calibri"/>
      <family val="2"/>
      <scheme val="minor"/>
    </font>
    <font>
      <b/>
      <sz val="8"/>
      <color rgb="FF0070C0"/>
      <name val="Arial"/>
      <family val="2"/>
    </font>
    <font>
      <b/>
      <sz val="8"/>
      <color theme="1"/>
      <name val="Arial"/>
      <family val="2"/>
    </font>
    <font>
      <b/>
      <sz val="8"/>
      <color theme="4" tint="-0.499984740745262"/>
      <name val="Arial"/>
      <family val="2"/>
    </font>
    <font>
      <b/>
      <sz val="8"/>
      <color theme="0"/>
      <name val="Calibri"/>
      <family val="2"/>
      <scheme val="minor"/>
    </font>
    <font>
      <b/>
      <sz val="11"/>
      <color theme="1"/>
      <name val="Arial"/>
      <family val="2"/>
    </font>
    <font>
      <sz val="10"/>
      <color rgb="FFFF0000"/>
      <name val="Calibri"/>
      <family val="2"/>
      <scheme val="minor"/>
    </font>
    <font>
      <sz val="10"/>
      <color rgb="FF002060"/>
      <name val="Arial"/>
      <family val="2"/>
    </font>
    <font>
      <sz val="8"/>
      <color rgb="FF000000"/>
      <name val="Arial"/>
      <family val="2"/>
    </font>
    <font>
      <sz val="8"/>
      <name val="Arial"/>
      <family val="2"/>
    </font>
    <font>
      <sz val="11"/>
      <color rgb="FF000000"/>
      <name val="Arial"/>
      <family val="2"/>
    </font>
    <font>
      <sz val="12"/>
      <name val="Calibri"/>
      <family val="2"/>
    </font>
    <font>
      <b/>
      <sz val="12"/>
      <color rgb="FF000000"/>
      <name val="Times New Roman"/>
      <family val="1"/>
    </font>
    <font>
      <sz val="11"/>
      <color rgb="FF201F1E"/>
      <name val="Calibri"/>
      <family val="2"/>
    </font>
    <font>
      <sz val="10"/>
      <name val="Calibri"/>
      <family val="2"/>
    </font>
    <font>
      <sz val="9"/>
      <color theme="4" tint="-0.249977111117893"/>
      <name val="Arial Narrow"/>
      <family val="2"/>
    </font>
    <font>
      <sz val="11"/>
      <color theme="1"/>
      <name val="Calibri"/>
      <family val="2"/>
      <scheme val="minor"/>
    </font>
    <font>
      <sz val="11"/>
      <color indexed="8"/>
      <name val="Calibri"/>
      <family val="2"/>
    </font>
    <font>
      <sz val="10"/>
      <name val="Segoe UI"/>
      <family val="2"/>
    </font>
    <font>
      <sz val="10"/>
      <color rgb="FF222222"/>
      <name val="Segoe UI"/>
      <family val="2"/>
    </font>
    <font>
      <b/>
      <sz val="11"/>
      <color rgb="FFFF0000"/>
      <name val="Arial"/>
      <family val="2"/>
    </font>
    <font>
      <sz val="18"/>
      <color theme="3"/>
      <name val="Cambria"/>
      <family val="2"/>
      <scheme val="major"/>
    </font>
    <font>
      <b/>
      <sz val="10"/>
      <name val="Aptos"/>
      <family val="2"/>
    </font>
    <font>
      <sz val="10"/>
      <name val="Aptos"/>
      <family val="2"/>
    </font>
    <font>
      <b/>
      <sz val="8"/>
      <name val="Aptos"/>
      <family val="2"/>
    </font>
    <font>
      <b/>
      <sz val="8"/>
      <color theme="0"/>
      <name val="Aptos"/>
      <family val="2"/>
    </font>
    <font>
      <sz val="8"/>
      <color theme="1"/>
      <name val="Aptos"/>
      <family val="2"/>
    </font>
    <font>
      <sz val="7"/>
      <color theme="1"/>
      <name val="Aptos"/>
      <family val="2"/>
    </font>
    <font>
      <sz val="6"/>
      <color theme="1"/>
      <name val="Aptos"/>
      <family val="2"/>
    </font>
    <font>
      <sz val="6"/>
      <name val="Aptos"/>
      <family val="2"/>
    </font>
    <font>
      <sz val="7"/>
      <name val="Aptos"/>
      <family val="2"/>
    </font>
    <font>
      <b/>
      <sz val="8"/>
      <color indexed="8"/>
      <name val="Aptos"/>
      <family val="2"/>
    </font>
    <font>
      <b/>
      <sz val="8"/>
      <color rgb="FFFF0000"/>
      <name val="Aptos"/>
      <family val="2"/>
    </font>
    <font>
      <sz val="8"/>
      <name val="Aptos"/>
      <family val="2"/>
    </font>
    <font>
      <b/>
      <sz val="10"/>
      <color rgb="FFFF0000"/>
      <name val="Aptos"/>
      <family val="2"/>
    </font>
    <font>
      <sz val="10"/>
      <color indexed="8"/>
      <name val="Aptos"/>
      <family val="2"/>
    </font>
    <font>
      <sz val="10"/>
      <color theme="1"/>
      <name val="Aptos"/>
      <family val="2"/>
    </font>
    <font>
      <sz val="9"/>
      <name val="Aptos"/>
      <family val="2"/>
    </font>
    <font>
      <b/>
      <sz val="10"/>
      <color theme="1"/>
      <name val="Aptos"/>
      <family val="2"/>
    </font>
    <font>
      <sz val="8"/>
      <color theme="0"/>
      <name val="Arial"/>
      <family val="2"/>
    </font>
    <font>
      <sz val="8"/>
      <name val="Calibri "/>
    </font>
    <font>
      <sz val="9"/>
      <color theme="1"/>
      <name val="Arial Narrow"/>
      <family val="2"/>
    </font>
    <font>
      <b/>
      <sz val="11"/>
      <color theme="1"/>
      <name val="Calibri"/>
      <family val="2"/>
    </font>
    <font>
      <sz val="10"/>
      <color theme="1"/>
      <name val="Calibri"/>
      <family val="2"/>
    </font>
    <font>
      <sz val="11"/>
      <color theme="1"/>
      <name val="Calibri"/>
      <family val="2"/>
    </font>
    <font>
      <b/>
      <sz val="10"/>
      <color rgb="FFFF0000"/>
      <name val="Aptos"/>
      <family val="2"/>
    </font>
    <font>
      <sz val="10"/>
      <name val="Aptos"/>
      <family val="2"/>
    </font>
    <font>
      <b/>
      <sz val="7"/>
      <color theme="0"/>
      <name val="Calibri"/>
      <family val="2"/>
      <scheme val="minor"/>
    </font>
    <font>
      <sz val="7"/>
      <color theme="1"/>
      <name val="Arial"/>
      <family val="2"/>
    </font>
    <font>
      <b/>
      <sz val="7"/>
      <color theme="1"/>
      <name val="Calibri"/>
      <family val="2"/>
      <scheme val="minor"/>
    </font>
    <font>
      <sz val="10"/>
      <name val="Aptos"/>
      <family val="2"/>
    </font>
    <font>
      <b/>
      <sz val="10"/>
      <color rgb="FFFF0000"/>
      <name val="Aptos"/>
      <family val="2"/>
    </font>
    <font>
      <b/>
      <sz val="10"/>
      <name val="Aptos"/>
      <family val="2"/>
    </font>
    <font>
      <sz val="10"/>
      <name val="Aptos"/>
      <family val="2"/>
    </font>
    <font>
      <sz val="9"/>
      <color rgb="FF000000"/>
      <name val="Arial Nova"/>
      <family val="2"/>
    </font>
    <font>
      <sz val="9"/>
      <name val="Tahoma"/>
      <family val="2"/>
    </font>
  </fonts>
  <fills count="101">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10"/>
        <bgColor indexed="64"/>
      </patternFill>
    </fill>
    <fill>
      <patternFill patternType="solid">
        <fgColor indexed="43"/>
        <bgColor indexed="64"/>
      </patternFill>
    </fill>
    <fill>
      <patternFill patternType="solid">
        <fgColor indexed="55"/>
        <bgColor indexed="64"/>
      </patternFill>
    </fill>
    <fill>
      <patternFill patternType="solid">
        <fgColor indexed="13"/>
        <bgColor indexed="64"/>
      </patternFill>
    </fill>
    <fill>
      <patternFill patternType="solid">
        <fgColor indexed="11"/>
        <bgColor indexed="64"/>
      </patternFill>
    </fill>
    <fill>
      <patternFill patternType="solid">
        <fgColor indexed="48"/>
        <bgColor indexed="64"/>
      </patternFill>
    </fill>
    <fill>
      <patternFill patternType="solid">
        <fgColor indexed="23"/>
        <bgColor indexed="64"/>
      </patternFill>
    </fill>
    <fill>
      <patternFill patternType="solid">
        <fgColor indexed="17"/>
        <bgColor indexed="64"/>
      </patternFill>
    </fill>
    <fill>
      <patternFill patternType="solid">
        <fgColor indexed="57"/>
        <bgColor indexed="64"/>
      </patternFill>
    </fill>
    <fill>
      <patternFill patternType="solid">
        <fgColor indexed="12"/>
        <bgColor indexed="64"/>
      </patternFill>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0"/>
        <bgColor indexed="64"/>
      </patternFill>
    </fill>
    <fill>
      <patternFill patternType="solid">
        <fgColor rgb="FFFFFF00"/>
        <bgColor rgb="FF000000"/>
      </patternFill>
    </fill>
    <fill>
      <patternFill patternType="solid">
        <fgColor rgb="FF538DD5"/>
        <bgColor indexed="64"/>
      </patternFill>
    </fill>
    <fill>
      <patternFill patternType="solid">
        <fgColor indexed="22"/>
        <bgColor indexed="64"/>
      </patternFill>
    </fill>
    <fill>
      <patternFill patternType="solid">
        <fgColor rgb="FF00B050"/>
        <bgColor indexed="64"/>
      </patternFill>
    </fill>
    <fill>
      <patternFill patternType="solid">
        <fgColor rgb="FFFFFF00"/>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2" tint="-0.249977111117893"/>
        <bgColor indexed="64"/>
      </patternFill>
    </fill>
    <fill>
      <patternFill patternType="solid">
        <fgColor theme="2"/>
        <bgColor indexed="64"/>
      </patternFill>
    </fill>
    <fill>
      <patternFill patternType="solid">
        <fgColor theme="3" tint="-0.249977111117893"/>
        <bgColor indexed="64"/>
      </patternFill>
    </fill>
    <fill>
      <patternFill patternType="solid">
        <fgColor theme="0" tint="-0.3499862666707357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rgb="FF00FF99"/>
        <bgColor indexed="64"/>
      </patternFill>
    </fill>
    <fill>
      <patternFill patternType="solid">
        <fgColor theme="4" tint="0.79998168889431442"/>
        <bgColor theme="4" tint="0.79998168889431442"/>
      </patternFill>
    </fill>
    <fill>
      <patternFill patternType="solid">
        <fgColor theme="6" tint="0.79998168889431442"/>
        <bgColor indexed="64"/>
      </patternFill>
    </fill>
    <fill>
      <patternFill patternType="solid">
        <fgColor rgb="FFFFEB9C"/>
      </patternFill>
    </fill>
    <fill>
      <patternFill patternType="solid">
        <fgColor rgb="FFD8E4BC"/>
        <bgColor indexed="64"/>
      </patternFill>
    </fill>
    <fill>
      <patternFill patternType="solid">
        <fgColor rgb="FF92D050"/>
        <bgColor indexed="64"/>
      </patternFill>
    </fill>
    <fill>
      <patternFill patternType="solid">
        <fgColor rgb="FFFFFFCC"/>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rgb="FFFFFFFF"/>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5" tint="0.59999389629810485"/>
        <bgColor indexed="64"/>
      </patternFill>
    </fill>
    <fill>
      <patternFill patternType="solid">
        <fgColor rgb="FFFFF5EB"/>
        <bgColor indexed="64"/>
      </patternFill>
    </fill>
    <fill>
      <patternFill patternType="solid">
        <fgColor rgb="FFE8F5F8"/>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FFF1E7"/>
        <bgColor indexed="64"/>
      </patternFill>
    </fill>
    <fill>
      <patternFill patternType="solid">
        <fgColor rgb="FFEDF7F9"/>
        <bgColor indexed="64"/>
      </patternFill>
    </fill>
    <fill>
      <patternFill patternType="solid">
        <fgColor rgb="FFF6FBFC"/>
        <bgColor indexed="64"/>
      </patternFill>
    </fill>
    <fill>
      <patternFill patternType="solid">
        <fgColor rgb="FFFFFF99"/>
        <bgColor indexed="64"/>
      </patternFill>
    </fill>
    <fill>
      <patternFill patternType="solid">
        <fgColor theme="7" tint="0.39997558519241921"/>
        <bgColor indexed="64"/>
      </patternFill>
    </fill>
  </fills>
  <borders count="100">
    <border>
      <left/>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style="medium">
        <color indexed="64"/>
      </right>
      <top/>
      <bottom/>
      <diagonal/>
    </border>
    <border>
      <left/>
      <right style="medium">
        <color indexed="64"/>
      </right>
      <top style="thin">
        <color indexed="64"/>
      </top>
      <bottom/>
      <diagonal/>
    </border>
    <border>
      <left/>
      <right style="medium">
        <color indexed="64"/>
      </right>
      <top/>
      <bottom/>
      <diagonal/>
    </border>
    <border>
      <left style="medium">
        <color indexed="64"/>
      </left>
      <right style="medium">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indexed="64"/>
      </right>
      <top style="thin">
        <color indexed="64"/>
      </top>
      <bottom style="medium">
        <color indexed="64"/>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right/>
      <top/>
      <bottom style="thin">
        <color theme="4" tint="0.39997558519241921"/>
      </bottom>
      <diagonal/>
    </border>
    <border>
      <left/>
      <right/>
      <top style="thin">
        <color theme="4"/>
      </top>
      <bottom style="double">
        <color theme="4"/>
      </bottom>
      <diagonal/>
    </border>
    <border>
      <left style="thin">
        <color indexed="64"/>
      </left>
      <right style="medium">
        <color indexed="64"/>
      </right>
      <top/>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right/>
      <top/>
      <bottom style="double">
        <color indexed="64"/>
      </bottom>
      <diagonal/>
    </border>
    <border>
      <left style="thin">
        <color rgb="FF000000"/>
      </left>
      <right style="thin">
        <color rgb="FF000000"/>
      </right>
      <top/>
      <bottom style="thin">
        <color rgb="FF000000"/>
      </bottom>
      <diagonal/>
    </border>
    <border>
      <left/>
      <right style="medium">
        <color rgb="FF000000"/>
      </right>
      <top/>
      <bottom/>
      <diagonal/>
    </border>
    <border>
      <left/>
      <right style="medium">
        <color rgb="FF000000"/>
      </right>
      <top/>
      <bottom style="medium">
        <color rgb="FF000000"/>
      </bottom>
      <diagonal/>
    </border>
    <border>
      <left style="medium">
        <color indexed="64"/>
      </left>
      <right/>
      <top style="medium">
        <color indexed="64"/>
      </top>
      <bottom style="thin">
        <color indexed="64"/>
      </bottom>
      <diagonal/>
    </border>
  </borders>
  <cellStyleXfs count="2868">
    <xf numFmtId="0" fontId="0" fillId="0" borderId="0"/>
    <xf numFmtId="165" fontId="38" fillId="0" borderId="0" applyFont="0" applyFill="0" applyBorder="0" applyAlignment="0" applyProtection="0"/>
    <xf numFmtId="0" fontId="38" fillId="0" borderId="0"/>
    <xf numFmtId="0" fontId="98" fillId="22" borderId="0" applyNumberFormat="0" applyBorder="0" applyAlignment="0" applyProtection="0"/>
    <xf numFmtId="0" fontId="98" fillId="26" borderId="0" applyNumberFormat="0" applyBorder="0" applyAlignment="0" applyProtection="0"/>
    <xf numFmtId="0" fontId="98" fillId="30" borderId="0" applyNumberFormat="0" applyBorder="0" applyAlignment="0" applyProtection="0"/>
    <xf numFmtId="0" fontId="98" fillId="34" borderId="0" applyNumberFormat="0" applyBorder="0" applyAlignment="0" applyProtection="0"/>
    <xf numFmtId="0" fontId="98" fillId="38" borderId="0" applyNumberFormat="0" applyBorder="0" applyAlignment="0" applyProtection="0"/>
    <xf numFmtId="0" fontId="98" fillId="42" borderId="0" applyNumberFormat="0" applyBorder="0" applyAlignment="0" applyProtection="0"/>
    <xf numFmtId="0" fontId="98" fillId="23" borderId="0" applyNumberFormat="0" applyBorder="0" applyAlignment="0" applyProtection="0"/>
    <xf numFmtId="0" fontId="98" fillId="27" borderId="0" applyNumberFormat="0" applyBorder="0" applyAlignment="0" applyProtection="0"/>
    <xf numFmtId="0" fontId="98" fillId="31" borderId="0" applyNumberFormat="0" applyBorder="0" applyAlignment="0" applyProtection="0"/>
    <xf numFmtId="0" fontId="98" fillId="35" borderId="0" applyNumberFormat="0" applyBorder="0" applyAlignment="0" applyProtection="0"/>
    <xf numFmtId="0" fontId="98" fillId="39" borderId="0" applyNumberFormat="0" applyBorder="0" applyAlignment="0" applyProtection="0"/>
    <xf numFmtId="0" fontId="98" fillId="43" borderId="0" applyNumberFormat="0" applyBorder="0" applyAlignment="0" applyProtection="0"/>
    <xf numFmtId="0" fontId="101" fillId="24" borderId="0" applyNumberFormat="0" applyBorder="0" applyAlignment="0" applyProtection="0"/>
    <xf numFmtId="0" fontId="101" fillId="28" borderId="0" applyNumberFormat="0" applyBorder="0" applyAlignment="0" applyProtection="0"/>
    <xf numFmtId="0" fontId="101" fillId="32" borderId="0" applyNumberFormat="0" applyBorder="0" applyAlignment="0" applyProtection="0"/>
    <xf numFmtId="0" fontId="101" fillId="36" borderId="0" applyNumberFormat="0" applyBorder="0" applyAlignment="0" applyProtection="0"/>
    <xf numFmtId="0" fontId="101" fillId="40" borderId="0" applyNumberFormat="0" applyBorder="0" applyAlignment="0" applyProtection="0"/>
    <xf numFmtId="0" fontId="101" fillId="44" borderId="0" applyNumberFormat="0" applyBorder="0" applyAlignment="0" applyProtection="0"/>
    <xf numFmtId="0" fontId="102" fillId="18" borderId="75" applyNumberFormat="0" applyAlignment="0" applyProtection="0"/>
    <xf numFmtId="0" fontId="103" fillId="19" borderId="78" applyNumberFormat="0" applyAlignment="0" applyProtection="0"/>
    <xf numFmtId="0" fontId="104" fillId="0" borderId="77" applyNumberFormat="0" applyFill="0" applyAlignment="0" applyProtection="0"/>
    <xf numFmtId="0" fontId="105" fillId="0" borderId="0" applyNumberFormat="0" applyFill="0" applyBorder="0" applyAlignment="0" applyProtection="0"/>
    <xf numFmtId="0" fontId="101" fillId="21" borderId="0" applyNumberFormat="0" applyBorder="0" applyAlignment="0" applyProtection="0"/>
    <xf numFmtId="0" fontId="101" fillId="25" borderId="0" applyNumberFormat="0" applyBorder="0" applyAlignment="0" applyProtection="0"/>
    <xf numFmtId="0" fontId="101" fillId="29" borderId="0" applyNumberFormat="0" applyBorder="0" applyAlignment="0" applyProtection="0"/>
    <xf numFmtId="0" fontId="101" fillId="33" borderId="0" applyNumberFormat="0" applyBorder="0" applyAlignment="0" applyProtection="0"/>
    <xf numFmtId="0" fontId="101" fillId="37" borderId="0" applyNumberFormat="0" applyBorder="0" applyAlignment="0" applyProtection="0"/>
    <xf numFmtId="0" fontId="101" fillId="41" borderId="0" applyNumberFormat="0" applyBorder="0" applyAlignment="0" applyProtection="0"/>
    <xf numFmtId="0" fontId="106" fillId="17" borderId="75" applyNumberFormat="0" applyAlignment="0" applyProtection="0"/>
    <xf numFmtId="0" fontId="107" fillId="16" borderId="0" applyNumberFormat="0" applyBorder="0" applyAlignment="0" applyProtection="0"/>
    <xf numFmtId="0" fontId="99" fillId="20" borderId="79" applyNumberFormat="0" applyFont="0" applyAlignment="0" applyProtection="0"/>
    <xf numFmtId="0" fontId="108" fillId="18" borderId="76" applyNumberFormat="0" applyAlignment="0" applyProtection="0"/>
    <xf numFmtId="0" fontId="96" fillId="0" borderId="0" applyNumberFormat="0" applyFill="0" applyBorder="0" applyAlignment="0" applyProtection="0"/>
    <xf numFmtId="0" fontId="109" fillId="0" borderId="0" applyNumberFormat="0" applyFill="0" applyBorder="0" applyAlignment="0" applyProtection="0"/>
    <xf numFmtId="0" fontId="100" fillId="0" borderId="0" applyNumberFormat="0" applyFill="0" applyBorder="0" applyAlignment="0" applyProtection="0"/>
    <xf numFmtId="0" fontId="110" fillId="0" borderId="72" applyNumberFormat="0" applyFill="0" applyAlignment="0" applyProtection="0"/>
    <xf numFmtId="0" fontId="111" fillId="0" borderId="73" applyNumberFormat="0" applyFill="0" applyAlignment="0" applyProtection="0"/>
    <xf numFmtId="0" fontId="105" fillId="0" borderId="74" applyNumberFormat="0" applyFill="0" applyAlignment="0" applyProtection="0"/>
    <xf numFmtId="0" fontId="38" fillId="0" borderId="0"/>
    <xf numFmtId="9" fontId="125" fillId="0" borderId="0" applyFont="0" applyFill="0" applyBorder="0" applyAlignment="0" applyProtection="0"/>
    <xf numFmtId="0" fontId="35" fillId="0" borderId="0"/>
    <xf numFmtId="43" fontId="35" fillId="0" borderId="0" applyFont="0" applyFill="0" applyBorder="0" applyAlignment="0" applyProtection="0"/>
    <xf numFmtId="9" fontId="35" fillId="0" borderId="0" applyFont="0" applyFill="0" applyBorder="0" applyAlignment="0" applyProtection="0"/>
    <xf numFmtId="0" fontId="42" fillId="0" borderId="0"/>
    <xf numFmtId="0" fontId="34" fillId="22" borderId="0" applyNumberFormat="0" applyBorder="0" applyAlignment="0" applyProtection="0"/>
    <xf numFmtId="0" fontId="34" fillId="62" borderId="0" applyNumberFormat="0" applyBorder="0" applyAlignment="0" applyProtection="0"/>
    <xf numFmtId="0" fontId="34" fillId="26" borderId="0" applyNumberFormat="0" applyBorder="0" applyAlignment="0" applyProtection="0"/>
    <xf numFmtId="0" fontId="34" fillId="63" borderId="0" applyNumberFormat="0" applyBorder="0" applyAlignment="0" applyProtection="0"/>
    <xf numFmtId="0" fontId="34" fillId="30" borderId="0" applyNumberFormat="0" applyBorder="0" applyAlignment="0" applyProtection="0"/>
    <xf numFmtId="0" fontId="34" fillId="64" borderId="0" applyNumberFormat="0" applyBorder="0" applyAlignment="0" applyProtection="0"/>
    <xf numFmtId="0" fontId="34" fillId="34" borderId="0" applyNumberFormat="0" applyBorder="0" applyAlignment="0" applyProtection="0"/>
    <xf numFmtId="0" fontId="34" fillId="65" borderId="0" applyNumberFormat="0" applyBorder="0" applyAlignment="0" applyProtection="0"/>
    <xf numFmtId="0" fontId="34" fillId="38" borderId="0" applyNumberFormat="0" applyBorder="0" applyAlignment="0" applyProtection="0"/>
    <xf numFmtId="0" fontId="34" fillId="38"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23" borderId="0" applyNumberFormat="0" applyBorder="0" applyAlignment="0" applyProtection="0"/>
    <xf numFmtId="0" fontId="34" fillId="23" borderId="0" applyNumberFormat="0" applyBorder="0" applyAlignment="0" applyProtection="0"/>
    <xf numFmtId="0" fontId="34" fillId="27" borderId="0" applyNumberFormat="0" applyBorder="0" applyAlignment="0" applyProtection="0"/>
    <xf numFmtId="0" fontId="34" fillId="27" borderId="0" applyNumberFormat="0" applyBorder="0" applyAlignment="0" applyProtection="0"/>
    <xf numFmtId="0" fontId="34" fillId="31" borderId="0" applyNumberFormat="0" applyBorder="0" applyAlignment="0" applyProtection="0"/>
    <xf numFmtId="0" fontId="34" fillId="66"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137" fillId="24" borderId="0" applyNumberFormat="0" applyBorder="0" applyAlignment="0" applyProtection="0"/>
    <xf numFmtId="0" fontId="137" fillId="24" borderId="0" applyNumberFormat="0" applyBorder="0" applyAlignment="0" applyProtection="0"/>
    <xf numFmtId="0" fontId="137" fillId="28" borderId="0" applyNumberFormat="0" applyBorder="0" applyAlignment="0" applyProtection="0"/>
    <xf numFmtId="0" fontId="137" fillId="28" borderId="0" applyNumberFormat="0" applyBorder="0" applyAlignment="0" applyProtection="0"/>
    <xf numFmtId="0" fontId="137" fillId="32" borderId="0" applyNumberFormat="0" applyBorder="0" applyAlignment="0" applyProtection="0"/>
    <xf numFmtId="0" fontId="137" fillId="66" borderId="0" applyNumberFormat="0" applyBorder="0" applyAlignment="0" applyProtection="0"/>
    <xf numFmtId="0" fontId="137" fillId="36" borderId="0" applyNumberFormat="0" applyBorder="0" applyAlignment="0" applyProtection="0"/>
    <xf numFmtId="0" fontId="137" fillId="67" borderId="0" applyNumberFormat="0" applyBorder="0" applyAlignment="0" applyProtection="0"/>
    <xf numFmtId="0" fontId="137" fillId="40" borderId="0" applyNumberFormat="0" applyBorder="0" applyAlignment="0" applyProtection="0"/>
    <xf numFmtId="0" fontId="137" fillId="40" borderId="0" applyNumberFormat="0" applyBorder="0" applyAlignment="0" applyProtection="0"/>
    <xf numFmtId="0" fontId="137" fillId="44" borderId="0" applyNumberFormat="0" applyBorder="0" applyAlignment="0" applyProtection="0"/>
    <xf numFmtId="0" fontId="137" fillId="68" borderId="0" applyNumberFormat="0" applyBorder="0" applyAlignment="0" applyProtection="0"/>
    <xf numFmtId="0" fontId="138" fillId="15" borderId="0" applyNumberFormat="0" applyBorder="0" applyAlignment="0" applyProtection="0"/>
    <xf numFmtId="0" fontId="138" fillId="15" borderId="0" applyNumberFormat="0" applyBorder="0" applyAlignment="0" applyProtection="0"/>
    <xf numFmtId="0" fontId="139" fillId="18" borderId="75" applyNumberFormat="0" applyAlignment="0" applyProtection="0"/>
    <xf numFmtId="0" fontId="139" fillId="18" borderId="75" applyNumberFormat="0" applyAlignment="0" applyProtection="0"/>
    <xf numFmtId="0" fontId="129" fillId="19" borderId="78" applyNumberFormat="0" applyAlignment="0" applyProtection="0"/>
    <xf numFmtId="0" fontId="129" fillId="19" borderId="78" applyNumberFormat="0" applyAlignment="0" applyProtection="0"/>
    <xf numFmtId="0" fontId="140" fillId="0" borderId="77" applyNumberFormat="0" applyFill="0" applyAlignment="0" applyProtection="0"/>
    <xf numFmtId="0" fontId="140" fillId="0" borderId="77" applyNumberFormat="0" applyFill="0" applyAlignment="0" applyProtection="0"/>
    <xf numFmtId="0" fontId="141" fillId="0" borderId="0" applyNumberFormat="0" applyFill="0" applyBorder="0" applyAlignment="0" applyProtection="0"/>
    <xf numFmtId="0" fontId="141" fillId="0" borderId="0" applyNumberFormat="0" applyFill="0" applyBorder="0" applyAlignment="0" applyProtection="0"/>
    <xf numFmtId="0" fontId="137" fillId="21" borderId="0" applyNumberFormat="0" applyBorder="0" applyAlignment="0" applyProtection="0"/>
    <xf numFmtId="0" fontId="137" fillId="21" borderId="0" applyNumberFormat="0" applyBorder="0" applyAlignment="0" applyProtection="0"/>
    <xf numFmtId="0" fontId="137" fillId="25" borderId="0" applyNumberFormat="0" applyBorder="0" applyAlignment="0" applyProtection="0"/>
    <xf numFmtId="0" fontId="137" fillId="25" borderId="0" applyNumberFormat="0" applyBorder="0" applyAlignment="0" applyProtection="0"/>
    <xf numFmtId="0" fontId="137" fillId="29" borderId="0" applyNumberFormat="0" applyBorder="0" applyAlignment="0" applyProtection="0"/>
    <xf numFmtId="0" fontId="137" fillId="29" borderId="0" applyNumberFormat="0" applyBorder="0" applyAlignment="0" applyProtection="0"/>
    <xf numFmtId="0" fontId="137" fillId="33" borderId="0" applyNumberFormat="0" applyBorder="0" applyAlignment="0" applyProtection="0"/>
    <xf numFmtId="0" fontId="137" fillId="33" borderId="0" applyNumberFormat="0" applyBorder="0" applyAlignment="0" applyProtection="0"/>
    <xf numFmtId="0" fontId="137" fillId="37" borderId="0" applyNumberFormat="0" applyBorder="0" applyAlignment="0" applyProtection="0"/>
    <xf numFmtId="0" fontId="137" fillId="37" borderId="0" applyNumberFormat="0" applyBorder="0" applyAlignment="0" applyProtection="0"/>
    <xf numFmtId="0" fontId="137" fillId="41" borderId="0" applyNumberFormat="0" applyBorder="0" applyAlignment="0" applyProtection="0"/>
    <xf numFmtId="0" fontId="137" fillId="41" borderId="0" applyNumberFormat="0" applyBorder="0" applyAlignment="0" applyProtection="0"/>
    <xf numFmtId="0" fontId="142" fillId="17" borderId="75" applyNumberFormat="0" applyAlignment="0" applyProtection="0"/>
    <xf numFmtId="0" fontId="142" fillId="17" borderId="75" applyNumberFormat="0" applyAlignment="0" applyProtection="0"/>
    <xf numFmtId="0" fontId="143" fillId="16" borderId="0" applyNumberFormat="0" applyBorder="0" applyAlignment="0" applyProtection="0"/>
    <xf numFmtId="0" fontId="143" fillId="16" borderId="0" applyNumberFormat="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38" fillId="0" borderId="0"/>
    <xf numFmtId="0" fontId="42" fillId="0" borderId="0"/>
    <xf numFmtId="0" fontId="42" fillId="0" borderId="0"/>
    <xf numFmtId="0" fontId="42" fillId="0" borderId="0"/>
    <xf numFmtId="0" fontId="34" fillId="0" borderId="0"/>
    <xf numFmtId="0" fontId="34" fillId="20" borderId="79" applyNumberFormat="0" applyFont="0" applyAlignment="0" applyProtection="0"/>
    <xf numFmtId="0" fontId="38" fillId="20" borderId="79" applyNumberFormat="0" applyFont="0" applyAlignment="0" applyProtection="0"/>
    <xf numFmtId="0" fontId="144" fillId="18" borderId="76" applyNumberFormat="0" applyAlignment="0" applyProtection="0"/>
    <xf numFmtId="0" fontId="144" fillId="18" borderId="76" applyNumberFormat="0" applyAlignment="0" applyProtection="0"/>
    <xf numFmtId="0" fontId="145" fillId="0" borderId="0" applyNumberFormat="0" applyFill="0" applyBorder="0" applyAlignment="0" applyProtection="0"/>
    <xf numFmtId="0" fontId="145" fillId="0" borderId="0" applyNumberFormat="0" applyFill="0" applyBorder="0" applyAlignment="0" applyProtection="0"/>
    <xf numFmtId="0" fontId="146" fillId="0" borderId="0" applyNumberFormat="0" applyFill="0" applyBorder="0" applyAlignment="0" applyProtection="0"/>
    <xf numFmtId="0" fontId="146" fillId="0" borderId="0" applyNumberFormat="0" applyFill="0" applyBorder="0" applyAlignment="0" applyProtection="0"/>
    <xf numFmtId="0" fontId="147" fillId="0" borderId="72" applyNumberFormat="0" applyFill="0" applyAlignment="0" applyProtection="0"/>
    <xf numFmtId="0" fontId="147" fillId="0" borderId="72" applyNumberFormat="0" applyFill="0" applyAlignment="0" applyProtection="0"/>
    <xf numFmtId="0" fontId="148" fillId="0" borderId="73" applyNumberFormat="0" applyFill="0" applyAlignment="0" applyProtection="0"/>
    <xf numFmtId="0" fontId="148" fillId="0" borderId="73" applyNumberFormat="0" applyFill="0" applyAlignment="0" applyProtection="0"/>
    <xf numFmtId="0" fontId="141" fillId="0" borderId="74" applyNumberFormat="0" applyFill="0" applyAlignment="0" applyProtection="0"/>
    <xf numFmtId="0" fontId="141" fillId="0" borderId="74" applyNumberFormat="0" applyFill="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53" fillId="0" borderId="0" applyNumberFormat="0" applyFill="0" applyBorder="0" applyAlignment="0" applyProtection="0">
      <alignment vertical="top"/>
      <protection locked="0"/>
    </xf>
    <xf numFmtId="165" fontId="38" fillId="0" borderId="0" applyFont="0" applyFill="0" applyBorder="0" applyAlignment="0" applyProtection="0"/>
    <xf numFmtId="0" fontId="38" fillId="0" borderId="0"/>
    <xf numFmtId="0" fontId="42" fillId="0" borderId="0"/>
    <xf numFmtId="0" fontId="33" fillId="0" borderId="0"/>
    <xf numFmtId="9" fontId="33" fillId="0" borderId="0" applyFont="0" applyFill="0" applyBorder="0" applyAlignment="0" applyProtection="0"/>
    <xf numFmtId="0" fontId="138" fillId="15" borderId="0" applyNumberFormat="0" applyBorder="0" applyAlignment="0" applyProtection="0"/>
    <xf numFmtId="0" fontId="38" fillId="0" borderId="0"/>
    <xf numFmtId="0" fontId="38" fillId="0" borderId="0"/>
    <xf numFmtId="176" fontId="157" fillId="0" borderId="0" applyFont="0" applyFill="0" applyBorder="0" applyAlignment="0" applyProtection="0"/>
    <xf numFmtId="0" fontId="32" fillId="0" borderId="0"/>
    <xf numFmtId="0" fontId="169" fillId="72" borderId="0" applyNumberFormat="0" applyBorder="0" applyAlignment="0" applyProtection="0"/>
    <xf numFmtId="0" fontId="128" fillId="0" borderId="89" applyNumberFormat="0" applyFill="0" applyAlignment="0" applyProtection="0"/>
    <xf numFmtId="0" fontId="31" fillId="62" borderId="0" applyNumberFormat="0" applyBorder="0" applyAlignment="0" applyProtection="0"/>
    <xf numFmtId="0" fontId="31" fillId="22" borderId="0" applyNumberFormat="0" applyBorder="0" applyAlignment="0" applyProtection="0"/>
    <xf numFmtId="0" fontId="31" fillId="62" borderId="0" applyNumberFormat="0" applyBorder="0" applyAlignment="0" applyProtection="0"/>
    <xf numFmtId="0" fontId="31" fillId="62" borderId="0" applyNumberFormat="0" applyBorder="0" applyAlignment="0" applyProtection="0"/>
    <xf numFmtId="0" fontId="31" fillId="63" borderId="0" applyNumberFormat="0" applyBorder="0" applyAlignment="0" applyProtection="0"/>
    <xf numFmtId="0" fontId="31" fillId="26" borderId="0" applyNumberFormat="0" applyBorder="0" applyAlignment="0" applyProtection="0"/>
    <xf numFmtId="0" fontId="31" fillId="63" borderId="0" applyNumberFormat="0" applyBorder="0" applyAlignment="0" applyProtection="0"/>
    <xf numFmtId="0" fontId="31" fillId="63" borderId="0" applyNumberFormat="0" applyBorder="0" applyAlignment="0" applyProtection="0"/>
    <xf numFmtId="0" fontId="31" fillId="64" borderId="0" applyNumberFormat="0" applyBorder="0" applyAlignment="0" applyProtection="0"/>
    <xf numFmtId="0" fontId="31" fillId="30" borderId="0" applyNumberFormat="0" applyBorder="0" applyAlignment="0" applyProtection="0"/>
    <xf numFmtId="0" fontId="31" fillId="64" borderId="0" applyNumberFormat="0" applyBorder="0" applyAlignment="0" applyProtection="0"/>
    <xf numFmtId="0" fontId="31" fillId="64" borderId="0" applyNumberFormat="0" applyBorder="0" applyAlignment="0" applyProtection="0"/>
    <xf numFmtId="0" fontId="31" fillId="65" borderId="0" applyNumberFormat="0" applyBorder="0" applyAlignment="0" applyProtection="0"/>
    <xf numFmtId="0" fontId="31" fillId="34" borderId="0" applyNumberFormat="0" applyBorder="0" applyAlignment="0" applyProtection="0"/>
    <xf numFmtId="0" fontId="31" fillId="65" borderId="0" applyNumberFormat="0" applyBorder="0" applyAlignment="0" applyProtection="0"/>
    <xf numFmtId="0" fontId="31" fillId="65"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38"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42"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66" borderId="0" applyNumberFormat="0" applyBorder="0" applyAlignment="0" applyProtection="0"/>
    <xf numFmtId="0" fontId="31" fillId="31" borderId="0" applyNumberFormat="0" applyBorder="0" applyAlignment="0" applyProtection="0"/>
    <xf numFmtId="0" fontId="31" fillId="66" borderId="0" applyNumberFormat="0" applyBorder="0" applyAlignment="0" applyProtection="0"/>
    <xf numFmtId="0" fontId="31" fillId="66"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39"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137" fillId="24" borderId="0" applyNumberFormat="0" applyBorder="0" applyAlignment="0" applyProtection="0"/>
    <xf numFmtId="0" fontId="137" fillId="28" borderId="0" applyNumberFormat="0" applyBorder="0" applyAlignment="0" applyProtection="0"/>
    <xf numFmtId="0" fontId="137" fillId="66" borderId="0" applyNumberFormat="0" applyBorder="0" applyAlignment="0" applyProtection="0"/>
    <xf numFmtId="0" fontId="137" fillId="67" borderId="0" applyNumberFormat="0" applyBorder="0" applyAlignment="0" applyProtection="0"/>
    <xf numFmtId="0" fontId="137" fillId="40" borderId="0" applyNumberFormat="0" applyBorder="0" applyAlignment="0" applyProtection="0"/>
    <xf numFmtId="0" fontId="137" fillId="68" borderId="0" applyNumberFormat="0" applyBorder="0" applyAlignment="0" applyProtection="0"/>
    <xf numFmtId="0" fontId="138" fillId="15" borderId="0" applyNumberFormat="0" applyBorder="0" applyAlignment="0" applyProtection="0"/>
    <xf numFmtId="0" fontId="139" fillId="18" borderId="75" applyNumberFormat="0" applyAlignment="0" applyProtection="0"/>
    <xf numFmtId="0" fontId="129" fillId="19" borderId="78" applyNumberFormat="0" applyAlignment="0" applyProtection="0"/>
    <xf numFmtId="0" fontId="140" fillId="0" borderId="77" applyNumberFormat="0" applyFill="0" applyAlignment="0" applyProtection="0"/>
    <xf numFmtId="0" fontId="141" fillId="0" borderId="0" applyNumberFormat="0" applyFill="0" applyBorder="0" applyAlignment="0" applyProtection="0"/>
    <xf numFmtId="0" fontId="137" fillId="21" borderId="0" applyNumberFormat="0" applyBorder="0" applyAlignment="0" applyProtection="0"/>
    <xf numFmtId="0" fontId="137" fillId="25" borderId="0" applyNumberFormat="0" applyBorder="0" applyAlignment="0" applyProtection="0"/>
    <xf numFmtId="0" fontId="137" fillId="29" borderId="0" applyNumberFormat="0" applyBorder="0" applyAlignment="0" applyProtection="0"/>
    <xf numFmtId="0" fontId="137" fillId="33" borderId="0" applyNumberFormat="0" applyBorder="0" applyAlignment="0" applyProtection="0"/>
    <xf numFmtId="0" fontId="137" fillId="37" borderId="0" applyNumberFormat="0" applyBorder="0" applyAlignment="0" applyProtection="0"/>
    <xf numFmtId="0" fontId="137" fillId="41" borderId="0" applyNumberFormat="0" applyBorder="0" applyAlignment="0" applyProtection="0"/>
    <xf numFmtId="0" fontId="142" fillId="17" borderId="75" applyNumberFormat="0" applyAlignment="0" applyProtection="0"/>
    <xf numFmtId="0" fontId="171" fillId="0" borderId="0" applyNumberFormat="0" applyFill="0" applyBorder="0" applyAlignment="0" applyProtection="0"/>
    <xf numFmtId="0" fontId="153" fillId="0" borderId="0" applyNumberFormat="0" applyFill="0" applyBorder="0" applyAlignment="0" applyProtection="0">
      <alignment vertical="top"/>
      <protection locked="0"/>
    </xf>
    <xf numFmtId="0" fontId="143" fillId="16" borderId="0" applyNumberFormat="0" applyBorder="0" applyAlignment="0" applyProtection="0"/>
    <xf numFmtId="165" fontId="168" fillId="0" borderId="0" applyFont="0" applyFill="0" applyBorder="0" applyAlignment="0" applyProtection="0"/>
    <xf numFmtId="43" fontId="38" fillId="0" borderId="0" applyFont="0" applyFill="0" applyBorder="0" applyAlignment="0" applyProtection="0"/>
    <xf numFmtId="165" fontId="38" fillId="0" borderId="0" applyFont="0" applyFill="0" applyBorder="0" applyAlignment="0" applyProtection="0"/>
    <xf numFmtId="165" fontId="38" fillId="0" borderId="0" applyFont="0" applyFill="0" applyBorder="0" applyAlignment="0" applyProtection="0"/>
    <xf numFmtId="0" fontId="31" fillId="0" borderId="0"/>
    <xf numFmtId="0" fontId="38" fillId="0" borderId="0"/>
    <xf numFmtId="0" fontId="31" fillId="0" borderId="0"/>
    <xf numFmtId="0" fontId="31" fillId="20" borderId="79" applyNumberFormat="0" applyFont="0" applyAlignment="0" applyProtection="0"/>
    <xf numFmtId="0" fontId="38" fillId="20" borderId="79" applyNumberFormat="0" applyFont="0" applyAlignment="0" applyProtection="0"/>
    <xf numFmtId="0" fontId="144" fillId="18" borderId="76" applyNumberFormat="0" applyAlignment="0" applyProtection="0"/>
    <xf numFmtId="0" fontId="145" fillId="0" borderId="0" applyNumberFormat="0" applyFill="0" applyBorder="0" applyAlignment="0" applyProtection="0"/>
    <xf numFmtId="0" fontId="146" fillId="0" borderId="0" applyNumberFormat="0" applyFill="0" applyBorder="0" applyAlignment="0" applyProtection="0"/>
    <xf numFmtId="0" fontId="147" fillId="0" borderId="72" applyNumberFormat="0" applyFill="0" applyAlignment="0" applyProtection="0"/>
    <xf numFmtId="0" fontId="148" fillId="0" borderId="73" applyNumberFormat="0" applyFill="0" applyAlignment="0" applyProtection="0"/>
    <xf numFmtId="0" fontId="141" fillId="0" borderId="74" applyNumberFormat="0" applyFill="0" applyAlignment="0" applyProtection="0"/>
    <xf numFmtId="0" fontId="100" fillId="0" borderId="0" applyNumberFormat="0" applyFill="0" applyBorder="0" applyAlignment="0" applyProtection="0"/>
    <xf numFmtId="177" fontId="158" fillId="0" borderId="0" applyBorder="0" applyProtection="0"/>
    <xf numFmtId="0" fontId="30" fillId="0" borderId="0"/>
    <xf numFmtId="0" fontId="28" fillId="0" borderId="0"/>
    <xf numFmtId="0" fontId="28" fillId="22" borderId="0" applyNumberFormat="0" applyBorder="0" applyAlignment="0" applyProtection="0"/>
    <xf numFmtId="0" fontId="28" fillId="26" borderId="0" applyNumberFormat="0" applyBorder="0" applyAlignment="0" applyProtection="0"/>
    <xf numFmtId="0" fontId="28" fillId="30" borderId="0" applyNumberFormat="0" applyBorder="0" applyAlignment="0" applyProtection="0"/>
    <xf numFmtId="0" fontId="28" fillId="34" borderId="0" applyNumberFormat="0" applyBorder="0" applyAlignment="0" applyProtection="0"/>
    <xf numFmtId="0" fontId="28" fillId="38" borderId="0" applyNumberFormat="0" applyBorder="0" applyAlignment="0" applyProtection="0"/>
    <xf numFmtId="0" fontId="28" fillId="42" borderId="0" applyNumberFormat="0" applyBorder="0" applyAlignment="0" applyProtection="0"/>
    <xf numFmtId="0" fontId="28" fillId="23" borderId="0" applyNumberFormat="0" applyBorder="0" applyAlignment="0" applyProtection="0"/>
    <xf numFmtId="0" fontId="28" fillId="27" borderId="0" applyNumberFormat="0" applyBorder="0" applyAlignment="0" applyProtection="0"/>
    <xf numFmtId="0" fontId="28" fillId="31" borderId="0" applyNumberFormat="0" applyBorder="0" applyAlignment="0" applyProtection="0"/>
    <xf numFmtId="0" fontId="28" fillId="35" borderId="0" applyNumberFormat="0" applyBorder="0" applyAlignment="0" applyProtection="0"/>
    <xf numFmtId="0" fontId="28" fillId="39" borderId="0" applyNumberFormat="0" applyBorder="0" applyAlignment="0" applyProtection="0"/>
    <xf numFmtId="0" fontId="28" fillId="43" borderId="0" applyNumberFormat="0" applyBorder="0" applyAlignment="0" applyProtection="0"/>
    <xf numFmtId="0" fontId="28" fillId="0" borderId="0"/>
    <xf numFmtId="0" fontId="28" fillId="20" borderId="79" applyNumberFormat="0" applyFont="0" applyAlignment="0" applyProtection="0"/>
    <xf numFmtId="9" fontId="28" fillId="0" borderId="0" applyFon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38" fillId="15" borderId="0" applyNumberFormat="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27" fillId="22" borderId="0" applyNumberFormat="0" applyBorder="0" applyAlignment="0" applyProtection="0"/>
    <xf numFmtId="0" fontId="27" fillId="62" borderId="0" applyNumberFormat="0" applyBorder="0" applyAlignment="0" applyProtection="0"/>
    <xf numFmtId="0" fontId="27" fillId="26" borderId="0" applyNumberFormat="0" applyBorder="0" applyAlignment="0" applyProtection="0"/>
    <xf numFmtId="0" fontId="27" fillId="63" borderId="0" applyNumberFormat="0" applyBorder="0" applyAlignment="0" applyProtection="0"/>
    <xf numFmtId="0" fontId="27" fillId="30" borderId="0" applyNumberFormat="0" applyBorder="0" applyAlignment="0" applyProtection="0"/>
    <xf numFmtId="0" fontId="27" fillId="64" borderId="0" applyNumberFormat="0" applyBorder="0" applyAlignment="0" applyProtection="0"/>
    <xf numFmtId="0" fontId="27" fillId="34" borderId="0" applyNumberFormat="0" applyBorder="0" applyAlignment="0" applyProtection="0"/>
    <xf numFmtId="0" fontId="27" fillId="65"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7" borderId="0" applyNumberFormat="0" applyBorder="0" applyAlignment="0" applyProtection="0"/>
    <xf numFmtId="0" fontId="27" fillId="27" borderId="0" applyNumberFormat="0" applyBorder="0" applyAlignment="0" applyProtection="0"/>
    <xf numFmtId="0" fontId="27" fillId="31" borderId="0" applyNumberFormat="0" applyBorder="0" applyAlignment="0" applyProtection="0"/>
    <xf numFmtId="0" fontId="27" fillId="66" borderId="0" applyNumberFormat="0" applyBorder="0" applyAlignment="0" applyProtection="0"/>
    <xf numFmtId="0" fontId="27" fillId="35" borderId="0" applyNumberFormat="0" applyBorder="0" applyAlignment="0" applyProtection="0"/>
    <xf numFmtId="0" fontId="27" fillId="35"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164" fontId="38" fillId="0" borderId="0" applyFont="0" applyFill="0" applyBorder="0" applyAlignment="0" applyProtection="0"/>
    <xf numFmtId="0" fontId="25" fillId="0" borderId="0"/>
    <xf numFmtId="0" fontId="24" fillId="22"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4"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38"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42"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39"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43"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28"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36" borderId="0" applyNumberFormat="0" applyBorder="0" applyAlignment="0" applyProtection="0"/>
    <xf numFmtId="0" fontId="24" fillId="40" borderId="0" applyNumberFormat="0" applyBorder="0" applyAlignment="0" applyProtection="0"/>
    <xf numFmtId="0" fontId="24" fillId="40" borderId="0" applyNumberFormat="0" applyBorder="0" applyAlignment="0" applyProtection="0"/>
    <xf numFmtId="0" fontId="24" fillId="40" borderId="0" applyNumberFormat="0" applyBorder="0" applyAlignment="0" applyProtection="0"/>
    <xf numFmtId="0" fontId="24" fillId="40" borderId="0" applyNumberFormat="0" applyBorder="0" applyAlignment="0" applyProtection="0"/>
    <xf numFmtId="0" fontId="24" fillId="40" borderId="0" applyNumberFormat="0" applyBorder="0" applyAlignment="0" applyProtection="0"/>
    <xf numFmtId="0" fontId="24" fillId="40"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0" fontId="24" fillId="44" borderId="0" applyNumberFormat="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8" fillId="0" borderId="0"/>
    <xf numFmtId="0" fontId="24" fillId="0" borderId="0"/>
    <xf numFmtId="0" fontId="24" fillId="0" borderId="0"/>
    <xf numFmtId="0" fontId="179" fillId="0" borderId="0"/>
    <xf numFmtId="0" fontId="24" fillId="20" borderId="79" applyNumberFormat="0" applyFont="0" applyAlignment="0" applyProtection="0"/>
    <xf numFmtId="0" fontId="24" fillId="20" borderId="79" applyNumberFormat="0" applyFont="0" applyAlignment="0" applyProtection="0"/>
    <xf numFmtId="0" fontId="24" fillId="20" borderId="79" applyNumberFormat="0" applyFont="0" applyAlignment="0" applyProtection="0"/>
    <xf numFmtId="0" fontId="24" fillId="20" borderId="79" applyNumberFormat="0" applyFont="0" applyAlignment="0" applyProtection="0"/>
    <xf numFmtId="0" fontId="24" fillId="20" borderId="79" applyNumberFormat="0" applyFont="0" applyAlignment="0" applyProtection="0"/>
    <xf numFmtId="0" fontId="24" fillId="20" borderId="79" applyNumberFormat="0" applyFont="0" applyAlignment="0" applyProtection="0"/>
    <xf numFmtId="0" fontId="24" fillId="20" borderId="79" applyNumberFormat="0" applyFont="0" applyAlignment="0" applyProtection="0"/>
    <xf numFmtId="0" fontId="24" fillId="20" borderId="79" applyNumberFormat="0" applyFont="0" applyAlignment="0" applyProtection="0"/>
    <xf numFmtId="0" fontId="24" fillId="20" borderId="79" applyNumberFormat="0" applyFont="0" applyAlignment="0" applyProtection="0"/>
    <xf numFmtId="0" fontId="24" fillId="20" borderId="79" applyNumberFormat="0" applyFont="0" applyAlignment="0" applyProtection="0"/>
    <xf numFmtId="0" fontId="23" fillId="0" borderId="0"/>
    <xf numFmtId="0" fontId="22" fillId="0" borderId="0"/>
    <xf numFmtId="0" fontId="138" fillId="15" borderId="0" applyNumberFormat="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8" fillId="0" borderId="0"/>
    <xf numFmtId="0" fontId="38" fillId="0" borderId="0"/>
    <xf numFmtId="0" fontId="38" fillId="0" borderId="0"/>
    <xf numFmtId="0" fontId="38" fillId="0" borderId="0"/>
    <xf numFmtId="0" fontId="3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8" fillId="0" borderId="0"/>
    <xf numFmtId="0" fontId="38" fillId="0" borderId="0"/>
    <xf numFmtId="0" fontId="3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8" fillId="0" borderId="0"/>
    <xf numFmtId="0" fontId="38" fillId="0" borderId="0"/>
    <xf numFmtId="0" fontId="38" fillId="0" borderId="0"/>
    <xf numFmtId="0" fontId="38" fillId="0" borderId="0"/>
    <xf numFmtId="0" fontId="38"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165" fontId="38"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5"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5"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5" fontId="21"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164" fontId="38" fillId="0" borderId="0" applyFont="0" applyFill="0" applyBorder="0" applyAlignment="0" applyProtection="0"/>
    <xf numFmtId="165" fontId="38" fillId="0" borderId="0" applyFont="0" applyFill="0" applyBorder="0" applyAlignment="0" applyProtection="0"/>
    <xf numFmtId="0" fontId="20" fillId="0" borderId="0"/>
    <xf numFmtId="0" fontId="19" fillId="0" borderId="0"/>
    <xf numFmtId="0" fontId="147" fillId="0" borderId="72" applyNumberFormat="0" applyFill="0" applyAlignment="0" applyProtection="0"/>
    <xf numFmtId="0" fontId="18" fillId="0" borderId="0"/>
    <xf numFmtId="0" fontId="17" fillId="0" borderId="0"/>
    <xf numFmtId="0" fontId="36" fillId="22" borderId="0" applyNumberFormat="0" applyBorder="0" applyAlignment="0" applyProtection="0"/>
    <xf numFmtId="0" fontId="36" fillId="26" borderId="0" applyNumberFormat="0" applyBorder="0" applyAlignment="0" applyProtection="0"/>
    <xf numFmtId="0" fontId="36" fillId="30" borderId="0" applyNumberFormat="0" applyBorder="0" applyAlignment="0" applyProtection="0"/>
    <xf numFmtId="0" fontId="36" fillId="34" borderId="0" applyNumberFormat="0" applyBorder="0" applyAlignment="0" applyProtection="0"/>
    <xf numFmtId="0" fontId="36" fillId="38" borderId="0" applyNumberFormat="0" applyBorder="0" applyAlignment="0" applyProtection="0"/>
    <xf numFmtId="0" fontId="36" fillId="42" borderId="0" applyNumberFormat="0" applyBorder="0" applyAlignment="0" applyProtection="0"/>
    <xf numFmtId="0" fontId="36" fillId="23" borderId="0" applyNumberFormat="0" applyBorder="0" applyAlignment="0" applyProtection="0"/>
    <xf numFmtId="0" fontId="36" fillId="27" borderId="0" applyNumberFormat="0" applyBorder="0" applyAlignment="0" applyProtection="0"/>
    <xf numFmtId="0" fontId="36" fillId="31" borderId="0" applyNumberFormat="0" applyBorder="0" applyAlignment="0" applyProtection="0"/>
    <xf numFmtId="0" fontId="36" fillId="35" borderId="0" applyNumberFormat="0" applyBorder="0" applyAlignment="0" applyProtection="0"/>
    <xf numFmtId="0" fontId="36" fillId="39" borderId="0" applyNumberFormat="0" applyBorder="0" applyAlignment="0" applyProtection="0"/>
    <xf numFmtId="0" fontId="36" fillId="43" borderId="0" applyNumberFormat="0" applyBorder="0" applyAlignment="0" applyProtection="0"/>
    <xf numFmtId="9" fontId="38" fillId="0" borderId="0" applyFont="0" applyFill="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0" fontId="16" fillId="22" borderId="0" applyNumberFormat="0" applyBorder="0" applyAlignment="0" applyProtection="0"/>
    <xf numFmtId="0" fontId="16" fillId="62" borderId="0" applyNumberFormat="0" applyBorder="0" applyAlignment="0" applyProtection="0"/>
    <xf numFmtId="0" fontId="16" fillId="26" borderId="0" applyNumberFormat="0" applyBorder="0" applyAlignment="0" applyProtection="0"/>
    <xf numFmtId="0" fontId="16" fillId="63" borderId="0" applyNumberFormat="0" applyBorder="0" applyAlignment="0" applyProtection="0"/>
    <xf numFmtId="0" fontId="16" fillId="30" borderId="0" applyNumberFormat="0" applyBorder="0" applyAlignment="0" applyProtection="0"/>
    <xf numFmtId="0" fontId="16" fillId="64" borderId="0" applyNumberFormat="0" applyBorder="0" applyAlignment="0" applyProtection="0"/>
    <xf numFmtId="0" fontId="16" fillId="34" borderId="0" applyNumberFormat="0" applyBorder="0" applyAlignment="0" applyProtection="0"/>
    <xf numFmtId="0" fontId="16" fillId="65"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31" borderId="0" applyNumberFormat="0" applyBorder="0" applyAlignment="0" applyProtection="0"/>
    <xf numFmtId="0" fontId="16" fillId="66"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0" borderId="0"/>
    <xf numFmtId="0" fontId="16" fillId="20" borderId="79" applyNumberFormat="0" applyFont="0" applyAlignment="0" applyProtection="0"/>
    <xf numFmtId="0" fontId="36" fillId="43" borderId="0" applyNumberFormat="0" applyBorder="0" applyAlignment="0" applyProtection="0"/>
    <xf numFmtId="0" fontId="36" fillId="39" borderId="0" applyNumberFormat="0" applyBorder="0" applyAlignment="0" applyProtection="0"/>
    <xf numFmtId="0" fontId="36" fillId="31" borderId="0" applyNumberFormat="0" applyBorder="0" applyAlignment="0" applyProtection="0"/>
    <xf numFmtId="0" fontId="36" fillId="27" borderId="0" applyNumberFormat="0" applyBorder="0" applyAlignment="0" applyProtection="0"/>
    <xf numFmtId="43" fontId="16" fillId="0" borderId="0" applyFont="0" applyFill="0" applyBorder="0" applyAlignment="0" applyProtection="0"/>
    <xf numFmtId="0" fontId="16" fillId="0" borderId="0"/>
    <xf numFmtId="9" fontId="16" fillId="0" borderId="0" applyFont="0" applyFill="0" applyBorder="0" applyAlignment="0" applyProtection="0"/>
    <xf numFmtId="176" fontId="38" fillId="0" borderId="0" applyFont="0" applyFill="0" applyBorder="0" applyAlignment="0" applyProtection="0"/>
    <xf numFmtId="0" fontId="36" fillId="34" borderId="0" applyNumberFormat="0" applyBorder="0" applyAlignment="0" applyProtection="0"/>
    <xf numFmtId="0" fontId="16" fillId="62" borderId="0" applyNumberFormat="0" applyBorder="0" applyAlignment="0" applyProtection="0"/>
    <xf numFmtId="0" fontId="16" fillId="22" borderId="0" applyNumberFormat="0" applyBorder="0" applyAlignment="0" applyProtection="0"/>
    <xf numFmtId="0" fontId="16" fillId="62"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16" fillId="26" borderId="0" applyNumberFormat="0" applyBorder="0" applyAlignment="0" applyProtection="0"/>
    <xf numFmtId="0" fontId="16" fillId="63" borderId="0" applyNumberFormat="0" applyBorder="0" applyAlignment="0" applyProtection="0"/>
    <xf numFmtId="0" fontId="16" fillId="63" borderId="0" applyNumberFormat="0" applyBorder="0" applyAlignment="0" applyProtection="0"/>
    <xf numFmtId="0" fontId="16" fillId="64" borderId="0" applyNumberFormat="0" applyBorder="0" applyAlignment="0" applyProtection="0"/>
    <xf numFmtId="0" fontId="16" fillId="30" borderId="0" applyNumberFormat="0" applyBorder="0" applyAlignment="0" applyProtection="0"/>
    <xf numFmtId="0" fontId="16" fillId="64" borderId="0" applyNumberFormat="0" applyBorder="0" applyAlignment="0" applyProtection="0"/>
    <xf numFmtId="0" fontId="16" fillId="64" borderId="0" applyNumberFormat="0" applyBorder="0" applyAlignment="0" applyProtection="0"/>
    <xf numFmtId="0" fontId="16" fillId="65" borderId="0" applyNumberFormat="0" applyBorder="0" applyAlignment="0" applyProtection="0"/>
    <xf numFmtId="0" fontId="16" fillId="34" borderId="0" applyNumberFormat="0" applyBorder="0" applyAlignment="0" applyProtection="0"/>
    <xf numFmtId="0" fontId="16" fillId="65" borderId="0" applyNumberFormat="0" applyBorder="0" applyAlignment="0" applyProtection="0"/>
    <xf numFmtId="0" fontId="16" fillId="65"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66" borderId="0" applyNumberFormat="0" applyBorder="0" applyAlignment="0" applyProtection="0"/>
    <xf numFmtId="0" fontId="16" fillId="31" borderId="0" applyNumberFormat="0" applyBorder="0" applyAlignment="0" applyProtection="0"/>
    <xf numFmtId="0" fontId="16" fillId="66" borderId="0" applyNumberFormat="0" applyBorder="0" applyAlignment="0" applyProtection="0"/>
    <xf numFmtId="0" fontId="16" fillId="66"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165" fontId="38" fillId="0" borderId="0" applyFont="0" applyFill="0" applyBorder="0" applyAlignment="0" applyProtection="0"/>
    <xf numFmtId="0" fontId="16" fillId="0" borderId="0"/>
    <xf numFmtId="0" fontId="16" fillId="0" borderId="0"/>
    <xf numFmtId="0" fontId="16" fillId="20" borderId="79" applyNumberFormat="0" applyFont="0" applyAlignment="0" applyProtection="0"/>
    <xf numFmtId="0" fontId="36" fillId="35" borderId="0" applyNumberFormat="0" applyBorder="0" applyAlignment="0" applyProtection="0"/>
    <xf numFmtId="0" fontId="36" fillId="23" borderId="0" applyNumberFormat="0" applyBorder="0" applyAlignment="0" applyProtection="0"/>
    <xf numFmtId="0" fontId="16" fillId="0" borderId="0"/>
    <xf numFmtId="0" fontId="16" fillId="22" borderId="0" applyNumberFormat="0" applyBorder="0" applyAlignment="0" applyProtection="0"/>
    <xf numFmtId="0" fontId="16" fillId="26" borderId="0" applyNumberFormat="0" applyBorder="0" applyAlignment="0" applyProtection="0"/>
    <xf numFmtId="0" fontId="16" fillId="30" borderId="0" applyNumberFormat="0" applyBorder="0" applyAlignment="0" applyProtection="0"/>
    <xf numFmtId="0" fontId="16" fillId="34" borderId="0" applyNumberFormat="0" applyBorder="0" applyAlignment="0" applyProtection="0"/>
    <xf numFmtId="0" fontId="16" fillId="38" borderId="0" applyNumberFormat="0" applyBorder="0" applyAlignment="0" applyProtection="0"/>
    <xf numFmtId="0" fontId="16" fillId="42" borderId="0" applyNumberFormat="0" applyBorder="0" applyAlignment="0" applyProtection="0"/>
    <xf numFmtId="0" fontId="16" fillId="23" borderId="0" applyNumberFormat="0" applyBorder="0" applyAlignment="0" applyProtection="0"/>
    <xf numFmtId="0" fontId="16" fillId="27" borderId="0" applyNumberFormat="0" applyBorder="0" applyAlignment="0" applyProtection="0"/>
    <xf numFmtId="0" fontId="16" fillId="31" borderId="0" applyNumberFormat="0" applyBorder="0" applyAlignment="0" applyProtection="0"/>
    <xf numFmtId="0" fontId="16" fillId="35" borderId="0" applyNumberFormat="0" applyBorder="0" applyAlignment="0" applyProtection="0"/>
    <xf numFmtId="0" fontId="16" fillId="39" borderId="0" applyNumberFormat="0" applyBorder="0" applyAlignment="0" applyProtection="0"/>
    <xf numFmtId="0" fontId="16" fillId="43" borderId="0" applyNumberFormat="0" applyBorder="0" applyAlignment="0" applyProtection="0"/>
    <xf numFmtId="0" fontId="16" fillId="0" borderId="0"/>
    <xf numFmtId="0" fontId="16" fillId="20" borderId="79" applyNumberFormat="0" applyFont="0" applyAlignment="0" applyProtection="0"/>
    <xf numFmtId="9" fontId="16" fillId="0" borderId="0" applyFont="0" applyFill="0" applyBorder="0" applyAlignment="0" applyProtection="0"/>
    <xf numFmtId="0" fontId="36" fillId="42" borderId="0" applyNumberFormat="0" applyBorder="0" applyAlignment="0" applyProtection="0"/>
    <xf numFmtId="0" fontId="36" fillId="38" borderId="0" applyNumberFormat="0" applyBorder="0" applyAlignment="0" applyProtection="0"/>
    <xf numFmtId="0" fontId="36" fillId="30" borderId="0" applyNumberFormat="0" applyBorder="0" applyAlignment="0" applyProtection="0"/>
    <xf numFmtId="0" fontId="16" fillId="22" borderId="0" applyNumberFormat="0" applyBorder="0" applyAlignment="0" applyProtection="0"/>
    <xf numFmtId="0" fontId="16" fillId="22"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30" borderId="0" applyNumberFormat="0" applyBorder="0" applyAlignment="0" applyProtection="0"/>
    <xf numFmtId="0" fontId="16" fillId="30"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23" borderId="0" applyNumberFormat="0" applyBorder="0" applyAlignment="0" applyProtection="0"/>
    <xf numFmtId="0" fontId="16" fillId="23"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31" borderId="0" applyNumberFormat="0" applyBorder="0" applyAlignment="0" applyProtection="0"/>
    <xf numFmtId="0" fontId="16" fillId="31"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2"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8" fillId="0" borderId="0"/>
    <xf numFmtId="0" fontId="16" fillId="20" borderId="79" applyNumberFormat="0" applyFont="0" applyAlignment="0" applyProtection="0"/>
    <xf numFmtId="0" fontId="16" fillId="20" borderId="79" applyNumberFormat="0" applyFont="0" applyAlignment="0" applyProtection="0"/>
    <xf numFmtId="0" fontId="16" fillId="20" borderId="79" applyNumberFormat="0" applyFont="0" applyAlignment="0" applyProtection="0"/>
    <xf numFmtId="0" fontId="16" fillId="20" borderId="79" applyNumberFormat="0" applyFont="0" applyAlignment="0" applyProtection="0"/>
    <xf numFmtId="0" fontId="16" fillId="20" borderId="79" applyNumberFormat="0" applyFont="0" applyAlignment="0" applyProtection="0"/>
    <xf numFmtId="0" fontId="16" fillId="20" borderId="79" applyNumberFormat="0" applyFont="0" applyAlignment="0" applyProtection="0"/>
    <xf numFmtId="0" fontId="16" fillId="20" borderId="79" applyNumberFormat="0" applyFont="0" applyAlignment="0" applyProtection="0"/>
    <xf numFmtId="0" fontId="16" fillId="20" borderId="79" applyNumberFormat="0" applyFont="0" applyAlignment="0" applyProtection="0"/>
    <xf numFmtId="0" fontId="16" fillId="20" borderId="79" applyNumberFormat="0" applyFont="0" applyAlignment="0" applyProtection="0"/>
    <xf numFmtId="0" fontId="16" fillId="20" borderId="79" applyNumberFormat="0" applyFont="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0" fontId="36" fillId="26" borderId="0" applyNumberFormat="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5"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5" fontId="16" fillId="0" borderId="0" applyFont="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65" fontId="16" fillId="0" borderId="0" applyFont="0" applyFill="0" applyBorder="0" applyAlignment="0" applyProtection="0"/>
    <xf numFmtId="0" fontId="36" fillId="22" borderId="0" applyNumberFormat="0" applyBorder="0" applyAlignment="0" applyProtection="0"/>
    <xf numFmtId="0" fontId="16" fillId="0" borderId="0"/>
    <xf numFmtId="0" fontId="16" fillId="0" borderId="0"/>
    <xf numFmtId="0" fontId="16" fillId="0" borderId="0"/>
    <xf numFmtId="0" fontId="15" fillId="22" borderId="0" applyNumberFormat="0" applyBorder="0" applyAlignment="0" applyProtection="0"/>
    <xf numFmtId="0" fontId="15" fillId="22"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62" borderId="0" applyNumberFormat="0" applyBorder="0" applyAlignment="0" applyProtection="0"/>
    <xf numFmtId="0" fontId="15" fillId="22"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15" fillId="26" borderId="0" applyNumberFormat="0" applyBorder="0" applyAlignment="0" applyProtection="0"/>
    <xf numFmtId="0" fontId="15" fillId="30" borderId="0" applyNumberFormat="0" applyBorder="0" applyAlignment="0" applyProtection="0"/>
    <xf numFmtId="0" fontId="15" fillId="30"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15" fillId="30" borderId="0" applyNumberFormat="0" applyBorder="0" applyAlignment="0" applyProtection="0"/>
    <xf numFmtId="0" fontId="15" fillId="34" borderId="0" applyNumberFormat="0" applyBorder="0" applyAlignment="0" applyProtection="0"/>
    <xf numFmtId="0" fontId="15" fillId="34"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65" borderId="0" applyNumberFormat="0" applyBorder="0" applyAlignment="0" applyProtection="0"/>
    <xf numFmtId="0" fontId="15" fillId="34"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38"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42"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15" fillId="31"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66" borderId="0" applyNumberFormat="0" applyBorder="0" applyAlignment="0" applyProtection="0"/>
    <xf numFmtId="0" fontId="15" fillId="31"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5"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39"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2"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36"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0"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3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0" borderId="0"/>
    <xf numFmtId="0" fontId="14" fillId="0" borderId="0"/>
    <xf numFmtId="0" fontId="14" fillId="0" borderId="0"/>
    <xf numFmtId="164" fontId="38" fillId="0" borderId="0" applyFont="0" applyFill="0" applyBorder="0" applyAlignment="0" applyProtection="0"/>
    <xf numFmtId="0" fontId="14" fillId="0" borderId="0"/>
    <xf numFmtId="0" fontId="14" fillId="0" borderId="0"/>
    <xf numFmtId="0" fontId="13" fillId="0" borderId="0"/>
    <xf numFmtId="0" fontId="13" fillId="0" borderId="0"/>
    <xf numFmtId="164" fontId="38" fillId="0" borderId="0" applyFont="0" applyFill="0" applyBorder="0" applyAlignment="0" applyProtection="0"/>
    <xf numFmtId="164" fontId="38" fillId="0" borderId="0" applyFont="0" applyFill="0" applyBorder="0" applyAlignment="0" applyProtection="0"/>
    <xf numFmtId="9" fontId="13" fillId="0" borderId="0" applyFont="0" applyFill="0" applyBorder="0" applyAlignment="0" applyProtection="0"/>
    <xf numFmtId="0" fontId="13" fillId="0" borderId="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38" fillId="0" borderId="0"/>
    <xf numFmtId="9" fontId="38" fillId="0" borderId="0" applyFont="0" applyFill="0" applyBorder="0" applyAlignment="0" applyProtection="0"/>
    <xf numFmtId="14" fontId="38" fillId="0" borderId="0" applyNumberFormat="0" applyFont="0" applyFill="0" applyBorder="0" applyAlignment="0" applyProtection="0">
      <alignment vertical="center"/>
    </xf>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4" fontId="38" fillId="0" borderId="0" applyNumberFormat="0" applyFont="0" applyFill="0" applyBorder="0" applyAlignment="0" applyProtection="0">
      <alignment vertical="center"/>
    </xf>
    <xf numFmtId="0" fontId="11" fillId="0" borderId="0"/>
    <xf numFmtId="0" fontId="11" fillId="0" borderId="0"/>
    <xf numFmtId="164" fontId="38" fillId="0" borderId="0" applyFont="0" applyFill="0" applyBorder="0" applyAlignment="0" applyProtection="0"/>
    <xf numFmtId="0" fontId="217" fillId="84" borderId="30" applyNumberFormat="0" applyProtection="0">
      <alignment horizontal="left"/>
    </xf>
    <xf numFmtId="0" fontId="8" fillId="0" borderId="0"/>
    <xf numFmtId="0" fontId="8" fillId="0" borderId="0"/>
    <xf numFmtId="164" fontId="38" fillId="0" borderId="0" applyFont="0" applyFill="0" applyBorder="0" applyAlignment="0" applyProtection="0"/>
    <xf numFmtId="0" fontId="225" fillId="0" borderId="0"/>
    <xf numFmtId="0" fontId="6" fillId="0" borderId="0"/>
    <xf numFmtId="0" fontId="5" fillId="0" borderId="0"/>
    <xf numFmtId="0" fontId="5" fillId="0" borderId="0"/>
    <xf numFmtId="164" fontId="38" fillId="0" borderId="0" applyFont="0" applyFill="0" applyBorder="0" applyAlignment="0" applyProtection="0"/>
    <xf numFmtId="0" fontId="38" fillId="0" borderId="0"/>
    <xf numFmtId="0" fontId="226" fillId="0" borderId="0"/>
    <xf numFmtId="164" fontId="5" fillId="0" borderId="0" applyFont="0" applyFill="0" applyBorder="0" applyAlignment="0" applyProtection="0"/>
    <xf numFmtId="0" fontId="4" fillId="0" borderId="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8" borderId="0" applyNumberFormat="0" applyBorder="0" applyAlignment="0" applyProtection="0"/>
    <xf numFmtId="0" fontId="4" fillId="42"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39" borderId="0" applyNumberFormat="0" applyBorder="0" applyAlignment="0" applyProtection="0"/>
    <xf numFmtId="0" fontId="4" fillId="35" borderId="0" applyNumberFormat="0" applyBorder="0" applyAlignment="0" applyProtection="0"/>
    <xf numFmtId="0" fontId="4" fillId="31" borderId="0" applyNumberFormat="0" applyBorder="0" applyAlignment="0" applyProtection="0"/>
    <xf numFmtId="0" fontId="4" fillId="27" borderId="0" applyNumberFormat="0" applyBorder="0" applyAlignment="0" applyProtection="0"/>
    <xf numFmtId="0" fontId="4" fillId="0" borderId="0"/>
    <xf numFmtId="0" fontId="4" fillId="20" borderId="79" applyNumberFormat="0" applyFont="0" applyAlignment="0" applyProtection="0"/>
    <xf numFmtId="9" fontId="4" fillId="0" borderId="0" applyFont="0" applyFill="0" applyBorder="0" applyAlignment="0" applyProtection="0"/>
    <xf numFmtId="0" fontId="4" fillId="23" borderId="0" applyNumberFormat="0" applyBorder="0" applyAlignment="0" applyProtection="0"/>
    <xf numFmtId="0" fontId="4" fillId="42" borderId="0" applyNumberFormat="0" applyBorder="0" applyAlignment="0" applyProtection="0"/>
    <xf numFmtId="0" fontId="4" fillId="38" borderId="0" applyNumberFormat="0" applyBorder="0" applyAlignment="0" applyProtection="0"/>
    <xf numFmtId="0" fontId="4" fillId="34" borderId="0" applyNumberFormat="0" applyBorder="0" applyAlignment="0" applyProtection="0"/>
    <xf numFmtId="0" fontId="4" fillId="30" borderId="0" applyNumberFormat="0" applyBorder="0" applyAlignment="0" applyProtection="0"/>
    <xf numFmtId="0" fontId="4" fillId="26" borderId="0" applyNumberFormat="0" applyBorder="0" applyAlignment="0" applyProtection="0"/>
    <xf numFmtId="0" fontId="4" fillId="22" borderId="0" applyNumberFormat="0" applyBorder="0" applyAlignment="0" applyProtection="0"/>
    <xf numFmtId="164" fontId="38" fillId="0" borderId="0" applyFont="0" applyFill="0" applyBorder="0" applyAlignment="0" applyProtection="0"/>
    <xf numFmtId="0" fontId="4" fillId="0" borderId="0"/>
    <xf numFmtId="0" fontId="138" fillId="15" borderId="0" applyNumberFormat="0" applyBorder="0" applyAlignment="0" applyProtection="0"/>
    <xf numFmtId="0" fontId="36" fillId="22" borderId="0" applyNumberFormat="0" applyBorder="0" applyAlignment="0" applyProtection="0"/>
    <xf numFmtId="0" fontId="36" fillId="26" borderId="0" applyNumberFormat="0" applyBorder="0" applyAlignment="0" applyProtection="0"/>
    <xf numFmtId="0" fontId="36" fillId="30" borderId="0" applyNumberFormat="0" applyBorder="0" applyAlignment="0" applyProtection="0"/>
    <xf numFmtId="0" fontId="36" fillId="34" borderId="0" applyNumberFormat="0" applyBorder="0" applyAlignment="0" applyProtection="0"/>
    <xf numFmtId="0" fontId="36" fillId="38" borderId="0" applyNumberFormat="0" applyBorder="0" applyAlignment="0" applyProtection="0"/>
    <xf numFmtId="0" fontId="36" fillId="42" borderId="0" applyNumberFormat="0" applyBorder="0" applyAlignment="0" applyProtection="0"/>
    <xf numFmtId="0" fontId="36" fillId="23" borderId="0" applyNumberFormat="0" applyBorder="0" applyAlignment="0" applyProtection="0"/>
    <xf numFmtId="0" fontId="36" fillId="27" borderId="0" applyNumberFormat="0" applyBorder="0" applyAlignment="0" applyProtection="0"/>
    <xf numFmtId="0" fontId="36" fillId="31" borderId="0" applyNumberFormat="0" applyBorder="0" applyAlignment="0" applyProtection="0"/>
    <xf numFmtId="0" fontId="36" fillId="35" borderId="0" applyNumberFormat="0" applyBorder="0" applyAlignment="0" applyProtection="0"/>
    <xf numFmtId="0" fontId="36" fillId="39" borderId="0" applyNumberFormat="0" applyBorder="0" applyAlignment="0" applyProtection="0"/>
    <xf numFmtId="0" fontId="36" fillId="43" borderId="0" applyNumberFormat="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62" borderId="0" applyNumberFormat="0" applyBorder="0" applyAlignment="0" applyProtection="0"/>
    <xf numFmtId="0" fontId="3" fillId="26" borderId="0" applyNumberFormat="0" applyBorder="0" applyAlignment="0" applyProtection="0"/>
    <xf numFmtId="0" fontId="3" fillId="63" borderId="0" applyNumberFormat="0" applyBorder="0" applyAlignment="0" applyProtection="0"/>
    <xf numFmtId="0" fontId="3" fillId="30" borderId="0" applyNumberFormat="0" applyBorder="0" applyAlignment="0" applyProtection="0"/>
    <xf numFmtId="0" fontId="3" fillId="64" borderId="0" applyNumberFormat="0" applyBorder="0" applyAlignment="0" applyProtection="0"/>
    <xf numFmtId="0" fontId="3" fillId="34" borderId="0" applyNumberFormat="0" applyBorder="0" applyAlignment="0" applyProtection="0"/>
    <xf numFmtId="0" fontId="3" fillId="65"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42" borderId="0" applyNumberFormat="0" applyBorder="0" applyAlignment="0" applyProtection="0"/>
    <xf numFmtId="0" fontId="3"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66"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0" borderId="0"/>
    <xf numFmtId="0" fontId="3" fillId="20" borderId="79" applyNumberFormat="0" applyFont="0" applyAlignment="0" applyProtection="0"/>
    <xf numFmtId="164" fontId="38" fillId="0" borderId="0" applyFont="0" applyFill="0" applyBorder="0" applyAlignment="0" applyProtection="0"/>
    <xf numFmtId="0" fontId="3" fillId="0" borderId="0"/>
    <xf numFmtId="9" fontId="3" fillId="0" borderId="0" applyFont="0" applyFill="0" applyBorder="0" applyAlignment="0" applyProtection="0"/>
    <xf numFmtId="0" fontId="3" fillId="62" borderId="0" applyNumberFormat="0" applyBorder="0" applyAlignment="0" applyProtection="0"/>
    <xf numFmtId="0" fontId="3" fillId="22" borderId="0" applyNumberFormat="0" applyBorder="0" applyAlignment="0" applyProtection="0"/>
    <xf numFmtId="0" fontId="3" fillId="62"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3" fillId="26"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4" borderId="0" applyNumberFormat="0" applyBorder="0" applyAlignment="0" applyProtection="0"/>
    <xf numFmtId="0" fontId="3" fillId="3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5" borderId="0" applyNumberFormat="0" applyBorder="0" applyAlignment="0" applyProtection="0"/>
    <xf numFmtId="0" fontId="3" fillId="34"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42" borderId="0" applyNumberFormat="0" applyBorder="0" applyAlignment="0" applyProtection="0"/>
    <xf numFmtId="0" fontId="3" fillId="42" borderId="0" applyNumberFormat="0" applyBorder="0" applyAlignment="0" applyProtection="0"/>
    <xf numFmtId="0" fontId="3"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66" borderId="0" applyNumberFormat="0" applyBorder="0" applyAlignment="0" applyProtection="0"/>
    <xf numFmtId="0" fontId="3" fillId="31" borderId="0" applyNumberFormat="0" applyBorder="0" applyAlignment="0" applyProtection="0"/>
    <xf numFmtId="0" fontId="3" fillId="66" borderId="0" applyNumberFormat="0" applyBorder="0" applyAlignment="0" applyProtection="0"/>
    <xf numFmtId="0" fontId="3" fillId="66"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0" borderId="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3" fillId="0" borderId="0"/>
    <xf numFmtId="0" fontId="3" fillId="0" borderId="0"/>
    <xf numFmtId="0" fontId="3" fillId="20" borderId="79" applyNumberFormat="0" applyFont="0" applyAlignment="0" applyProtection="0"/>
    <xf numFmtId="0" fontId="3" fillId="0" borderId="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3" fillId="38" borderId="0" applyNumberFormat="0" applyBorder="0" applyAlignment="0" applyProtection="0"/>
    <xf numFmtId="0" fontId="3" fillId="42"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0" borderId="0"/>
    <xf numFmtId="0" fontId="3" fillId="20" borderId="79" applyNumberFormat="0" applyFont="0" applyAlignment="0" applyProtection="0"/>
    <xf numFmtId="9" fontId="3" fillId="0" borderId="0" applyFont="0" applyFill="0" applyBorder="0" applyAlignment="0" applyProtection="0"/>
    <xf numFmtId="0" fontId="138" fillId="15" borderId="0" applyNumberFormat="0" applyBorder="0" applyAlignment="0" applyProtection="0"/>
    <xf numFmtId="164" fontId="38" fillId="0" borderId="0" applyFont="0" applyFill="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42" borderId="0" applyNumberFormat="0" applyBorder="0" applyAlignment="0" applyProtection="0"/>
    <xf numFmtId="0" fontId="3"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22" borderId="0" applyNumberFormat="0" applyBorder="0" applyAlignment="0" applyProtection="0"/>
    <xf numFmtId="0" fontId="3" fillId="62" borderId="0" applyNumberFormat="0" applyBorder="0" applyAlignment="0" applyProtection="0"/>
    <xf numFmtId="0" fontId="3" fillId="26" borderId="0" applyNumberFormat="0" applyBorder="0" applyAlignment="0" applyProtection="0"/>
    <xf numFmtId="0" fontId="3" fillId="63" borderId="0" applyNumberFormat="0" applyBorder="0" applyAlignment="0" applyProtection="0"/>
    <xf numFmtId="0" fontId="3" fillId="30" borderId="0" applyNumberFormat="0" applyBorder="0" applyAlignment="0" applyProtection="0"/>
    <xf numFmtId="0" fontId="3" fillId="64" borderId="0" applyNumberFormat="0" applyBorder="0" applyAlignment="0" applyProtection="0"/>
    <xf numFmtId="0" fontId="3" fillId="34" borderId="0" applyNumberFormat="0" applyBorder="0" applyAlignment="0" applyProtection="0"/>
    <xf numFmtId="0" fontId="3" fillId="65"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42" borderId="0" applyNumberFormat="0" applyBorder="0" applyAlignment="0" applyProtection="0"/>
    <xf numFmtId="0" fontId="3"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66"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0" borderId="0"/>
    <xf numFmtId="0" fontId="3" fillId="20" borderId="79" applyNumberFormat="0" applyFont="0" applyAlignment="0" applyProtection="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62" borderId="0" applyNumberFormat="0" applyBorder="0" applyAlignment="0" applyProtection="0"/>
    <xf numFmtId="0" fontId="3" fillId="22" borderId="0" applyNumberFormat="0" applyBorder="0" applyAlignment="0" applyProtection="0"/>
    <xf numFmtId="0" fontId="3" fillId="62"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3" fillId="26"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4" borderId="0" applyNumberFormat="0" applyBorder="0" applyAlignment="0" applyProtection="0"/>
    <xf numFmtId="0" fontId="3" fillId="3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5" borderId="0" applyNumberFormat="0" applyBorder="0" applyAlignment="0" applyProtection="0"/>
    <xf numFmtId="0" fontId="3" fillId="34" borderId="0" applyNumberFormat="0" applyBorder="0" applyAlignment="0" applyProtection="0"/>
    <xf numFmtId="0" fontId="3" fillId="65" borderId="0" applyNumberFormat="0" applyBorder="0" applyAlignment="0" applyProtection="0"/>
    <xf numFmtId="0" fontId="3" fillId="65"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42" borderId="0" applyNumberFormat="0" applyBorder="0" applyAlignment="0" applyProtection="0"/>
    <xf numFmtId="0" fontId="3" fillId="42" borderId="0" applyNumberFormat="0" applyBorder="0" applyAlignment="0" applyProtection="0"/>
    <xf numFmtId="0" fontId="3"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66" borderId="0" applyNumberFormat="0" applyBorder="0" applyAlignment="0" applyProtection="0"/>
    <xf numFmtId="0" fontId="3" fillId="31" borderId="0" applyNumberFormat="0" applyBorder="0" applyAlignment="0" applyProtection="0"/>
    <xf numFmtId="0" fontId="3" fillId="66" borderId="0" applyNumberFormat="0" applyBorder="0" applyAlignment="0" applyProtection="0"/>
    <xf numFmtId="0" fontId="3" fillId="66"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164" fontId="38" fillId="0" borderId="0" applyFont="0" applyFill="0" applyBorder="0" applyAlignment="0" applyProtection="0"/>
    <xf numFmtId="0" fontId="3" fillId="0" borderId="0"/>
    <xf numFmtId="0" fontId="3" fillId="0" borderId="0"/>
    <xf numFmtId="0" fontId="3" fillId="20" borderId="79" applyNumberFormat="0" applyFont="0" applyAlignment="0" applyProtection="0"/>
    <xf numFmtId="0" fontId="3" fillId="0" borderId="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3" fillId="38" borderId="0" applyNumberFormat="0" applyBorder="0" applyAlignment="0" applyProtection="0"/>
    <xf numFmtId="0" fontId="3" fillId="42"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0" borderId="0"/>
    <xf numFmtId="0" fontId="3" fillId="20" borderId="79" applyNumberFormat="0" applyFont="0" applyAlignment="0" applyProtection="0"/>
    <xf numFmtId="9" fontId="3" fillId="0" borderId="0" applyFont="0" applyFill="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42" borderId="0" applyNumberFormat="0" applyBorder="0" applyAlignment="0" applyProtection="0"/>
    <xf numFmtId="0" fontId="3" fillId="42"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20" borderId="79"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4" fontId="38" fillId="0" borderId="0" applyFont="0" applyFill="0" applyBorder="0" applyAlignment="0" applyProtection="0"/>
    <xf numFmtId="0" fontId="3" fillId="0" borderId="0"/>
    <xf numFmtId="0" fontId="3" fillId="0" borderId="0"/>
    <xf numFmtId="0" fontId="3" fillId="0" borderId="0"/>
    <xf numFmtId="0" fontId="3" fillId="0" borderId="0"/>
    <xf numFmtId="164" fontId="38" fillId="0" borderId="0" applyFont="0" applyFill="0" applyBorder="0" applyAlignment="0" applyProtection="0"/>
    <xf numFmtId="164" fontId="38" fillId="0" borderId="0" applyFont="0" applyFill="0" applyBorder="0" applyAlignment="0" applyProtection="0"/>
    <xf numFmtId="9" fontId="3" fillId="0" borderId="0" applyFont="0" applyFill="0" applyBorder="0" applyAlignment="0" applyProtection="0"/>
    <xf numFmtId="0" fontId="3" fillId="0" borderId="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3" fillId="0" borderId="0"/>
    <xf numFmtId="0" fontId="3" fillId="0" borderId="0"/>
    <xf numFmtId="164" fontId="38" fillId="0" borderId="0" applyFont="0" applyFill="0" applyBorder="0" applyAlignment="0" applyProtection="0"/>
    <xf numFmtId="0" fontId="3" fillId="0" borderId="0"/>
    <xf numFmtId="0" fontId="3" fillId="0" borderId="0"/>
    <xf numFmtId="164" fontId="38" fillId="0" borderId="0" applyFont="0" applyFill="0" applyBorder="0" applyAlignment="0" applyProtection="0"/>
    <xf numFmtId="0" fontId="3" fillId="0" borderId="0"/>
    <xf numFmtId="0" fontId="3" fillId="0" borderId="0"/>
    <xf numFmtId="0" fontId="3" fillId="0" borderId="0"/>
    <xf numFmtId="0" fontId="3" fillId="0" borderId="0"/>
    <xf numFmtId="164" fontId="38" fillId="0" borderId="0" applyFont="0" applyFill="0" applyBorder="0" applyAlignment="0" applyProtection="0"/>
    <xf numFmtId="164" fontId="3" fillId="0" borderId="0" applyFont="0" applyFill="0" applyBorder="0" applyAlignment="0" applyProtection="0"/>
    <xf numFmtId="0" fontId="3" fillId="0" borderId="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3" fillId="38" borderId="0" applyNumberFormat="0" applyBorder="0" applyAlignment="0" applyProtection="0"/>
    <xf numFmtId="0" fontId="3" fillId="42"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39" borderId="0" applyNumberFormat="0" applyBorder="0" applyAlignment="0" applyProtection="0"/>
    <xf numFmtId="0" fontId="3" fillId="35" borderId="0" applyNumberFormat="0" applyBorder="0" applyAlignment="0" applyProtection="0"/>
    <xf numFmtId="0" fontId="3" fillId="31" borderId="0" applyNumberFormat="0" applyBorder="0" applyAlignment="0" applyProtection="0"/>
    <xf numFmtId="0" fontId="3" fillId="27" borderId="0" applyNumberFormat="0" applyBorder="0" applyAlignment="0" applyProtection="0"/>
    <xf numFmtId="0" fontId="3" fillId="0" borderId="0"/>
    <xf numFmtId="0" fontId="3" fillId="20" borderId="79" applyNumberFormat="0" applyFont="0" applyAlignment="0" applyProtection="0"/>
    <xf numFmtId="9" fontId="3" fillId="0" borderId="0" applyFont="0" applyFill="0" applyBorder="0" applyAlignment="0" applyProtection="0"/>
    <xf numFmtId="0" fontId="3" fillId="23" borderId="0" applyNumberFormat="0" applyBorder="0" applyAlignment="0" applyProtection="0"/>
    <xf numFmtId="0" fontId="3" fillId="42" borderId="0" applyNumberFormat="0" applyBorder="0" applyAlignment="0" applyProtection="0"/>
    <xf numFmtId="0" fontId="3" fillId="38" borderId="0" applyNumberFormat="0" applyBorder="0" applyAlignment="0" applyProtection="0"/>
    <xf numFmtId="0" fontId="3" fillId="34" borderId="0" applyNumberFormat="0" applyBorder="0" applyAlignment="0" applyProtection="0"/>
    <xf numFmtId="0" fontId="3" fillId="30" borderId="0" applyNumberFormat="0" applyBorder="0" applyAlignment="0" applyProtection="0"/>
    <xf numFmtId="0" fontId="3" fillId="26" borderId="0" applyNumberFormat="0" applyBorder="0" applyAlignment="0" applyProtection="0"/>
    <xf numFmtId="0" fontId="3" fillId="22" borderId="0" applyNumberFormat="0" applyBorder="0" applyAlignment="0" applyProtection="0"/>
    <xf numFmtId="164" fontId="38" fillId="0" borderId="0" applyFont="0" applyFill="0" applyBorder="0" applyAlignment="0" applyProtection="0"/>
    <xf numFmtId="0" fontId="3" fillId="0" borderId="0"/>
    <xf numFmtId="0" fontId="138" fillId="15" borderId="0" applyNumberFormat="0" applyBorder="0" applyAlignment="0" applyProtection="0"/>
    <xf numFmtId="0" fontId="138" fillId="15" borderId="0" applyNumberFormat="0" applyBorder="0" applyAlignment="0" applyProtection="0"/>
    <xf numFmtId="0" fontId="138" fillId="15" borderId="0" applyNumberFormat="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62" borderId="0" applyNumberFormat="0" applyBorder="0" applyAlignment="0" applyProtection="0"/>
    <xf numFmtId="0" fontId="2" fillId="26" borderId="0" applyNumberFormat="0" applyBorder="0" applyAlignment="0" applyProtection="0"/>
    <xf numFmtId="0" fontId="2" fillId="63" borderId="0" applyNumberFormat="0" applyBorder="0" applyAlignment="0" applyProtection="0"/>
    <xf numFmtId="0" fontId="2" fillId="30" borderId="0" applyNumberFormat="0" applyBorder="0" applyAlignment="0" applyProtection="0"/>
    <xf numFmtId="0" fontId="2" fillId="64" borderId="0" applyNumberFormat="0" applyBorder="0" applyAlignment="0" applyProtection="0"/>
    <xf numFmtId="0" fontId="2" fillId="34" borderId="0" applyNumberFormat="0" applyBorder="0" applyAlignment="0" applyProtection="0"/>
    <xf numFmtId="0" fontId="2" fillId="65"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66"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0" borderId="0"/>
    <xf numFmtId="0" fontId="2" fillId="20" borderId="79" applyNumberFormat="0" applyFont="0" applyAlignment="0" applyProtection="0"/>
    <xf numFmtId="0" fontId="2" fillId="0" borderId="0"/>
    <xf numFmtId="9" fontId="2" fillId="0" borderId="0" applyFont="0" applyFill="0" applyBorder="0" applyAlignment="0" applyProtection="0"/>
    <xf numFmtId="0" fontId="2" fillId="62" borderId="0" applyNumberFormat="0" applyBorder="0" applyAlignment="0" applyProtection="0"/>
    <xf numFmtId="0" fontId="2" fillId="22"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2" fillId="2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3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3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66" borderId="0" applyNumberFormat="0" applyBorder="0" applyAlignment="0" applyProtection="0"/>
    <xf numFmtId="0" fontId="2" fillId="3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0" borderId="0"/>
    <xf numFmtId="0" fontId="2" fillId="0" borderId="0"/>
    <xf numFmtId="0" fontId="2" fillId="20" borderId="79" applyNumberFormat="0" applyFont="0" applyAlignment="0" applyProtection="0"/>
    <xf numFmtId="0" fontId="2" fillId="0" borderId="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0" borderId="0"/>
    <xf numFmtId="0" fontId="2" fillId="20" borderId="79" applyNumberFormat="0" applyFont="0" applyAlignment="0" applyProtection="0"/>
    <xf numFmtId="9" fontId="2" fillId="0" borderId="0" applyFont="0" applyFill="0" applyBorder="0" applyAlignment="0" applyProtection="0"/>
    <xf numFmtId="0" fontId="138" fillId="15" borderId="0" applyNumberFormat="0" applyBorder="0" applyAlignment="0" applyProtection="0"/>
    <xf numFmtId="164" fontId="38" fillId="0" borderId="0" applyFont="0" applyFill="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62" borderId="0" applyNumberFormat="0" applyBorder="0" applyAlignment="0" applyProtection="0"/>
    <xf numFmtId="0" fontId="2" fillId="26" borderId="0" applyNumberFormat="0" applyBorder="0" applyAlignment="0" applyProtection="0"/>
    <xf numFmtId="0" fontId="2" fillId="63" borderId="0" applyNumberFormat="0" applyBorder="0" applyAlignment="0" applyProtection="0"/>
    <xf numFmtId="0" fontId="2" fillId="30" borderId="0" applyNumberFormat="0" applyBorder="0" applyAlignment="0" applyProtection="0"/>
    <xf numFmtId="0" fontId="2" fillId="64" borderId="0" applyNumberFormat="0" applyBorder="0" applyAlignment="0" applyProtection="0"/>
    <xf numFmtId="0" fontId="2" fillId="34" borderId="0" applyNumberFormat="0" applyBorder="0" applyAlignment="0" applyProtection="0"/>
    <xf numFmtId="0" fontId="2" fillId="65"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66"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0" borderId="0"/>
    <xf numFmtId="0" fontId="2" fillId="20" borderId="79" applyNumberFormat="0" applyFont="0" applyAlignment="0" applyProtection="0"/>
    <xf numFmtId="43" fontId="2" fillId="0" borderId="0" applyFont="0" applyFill="0" applyBorder="0" applyAlignment="0" applyProtection="0"/>
    <xf numFmtId="0" fontId="2" fillId="0" borderId="0"/>
    <xf numFmtId="9" fontId="2" fillId="0" borderId="0" applyFont="0" applyFill="0" applyBorder="0" applyAlignment="0" applyProtection="0"/>
    <xf numFmtId="0" fontId="2" fillId="62" borderId="0" applyNumberFormat="0" applyBorder="0" applyAlignment="0" applyProtection="0"/>
    <xf numFmtId="0" fontId="2" fillId="22"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2" fillId="2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3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3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66" borderId="0" applyNumberFormat="0" applyBorder="0" applyAlignment="0" applyProtection="0"/>
    <xf numFmtId="0" fontId="2" fillId="3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0" borderId="0"/>
    <xf numFmtId="0" fontId="2" fillId="0" borderId="0"/>
    <xf numFmtId="0" fontId="2" fillId="20" borderId="79" applyNumberFormat="0" applyFont="0" applyAlignment="0" applyProtection="0"/>
    <xf numFmtId="0" fontId="2" fillId="0" borderId="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0" borderId="0"/>
    <xf numFmtId="0" fontId="2" fillId="20" borderId="79" applyNumberFormat="0" applyFont="0" applyAlignment="0" applyProtection="0"/>
    <xf numFmtId="9" fontId="2" fillId="0" borderId="0" applyFont="0" applyFill="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164" fontId="38" fillId="0" borderId="0" applyFont="0" applyFill="0" applyBorder="0" applyAlignment="0" applyProtection="0"/>
    <xf numFmtId="0" fontId="2" fillId="0" borderId="0"/>
    <xf numFmtId="0" fontId="2" fillId="0" borderId="0"/>
    <xf numFmtId="0" fontId="2" fillId="0" borderId="0"/>
    <xf numFmtId="0" fontId="2" fillId="0" borderId="0"/>
    <xf numFmtId="164" fontId="38" fillId="0" borderId="0" applyFont="0" applyFill="0" applyBorder="0" applyAlignment="0" applyProtection="0"/>
    <xf numFmtId="164" fontId="38" fillId="0" borderId="0" applyFont="0" applyFill="0" applyBorder="0" applyAlignment="0" applyProtection="0"/>
    <xf numFmtId="9" fontId="2" fillId="0" borderId="0" applyFont="0" applyFill="0" applyBorder="0" applyAlignment="0" applyProtection="0"/>
    <xf numFmtId="0" fontId="2" fillId="0" borderId="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2" fillId="0" borderId="0"/>
    <xf numFmtId="0" fontId="2" fillId="0" borderId="0"/>
    <xf numFmtId="164" fontId="38" fillId="0" borderId="0" applyFont="0" applyFill="0" applyBorder="0" applyAlignment="0" applyProtection="0"/>
    <xf numFmtId="0" fontId="2" fillId="0" borderId="0"/>
    <xf numFmtId="0" fontId="2" fillId="0" borderId="0"/>
    <xf numFmtId="164" fontId="38" fillId="0" borderId="0" applyFont="0" applyFill="0" applyBorder="0" applyAlignment="0" applyProtection="0"/>
    <xf numFmtId="0" fontId="2" fillId="0" borderId="0"/>
    <xf numFmtId="0" fontId="2" fillId="0" borderId="0"/>
    <xf numFmtId="0" fontId="2" fillId="0" borderId="0"/>
    <xf numFmtId="0" fontId="2" fillId="0" borderId="0"/>
    <xf numFmtId="164" fontId="38" fillId="0" borderId="0" applyFont="0" applyFill="0" applyBorder="0" applyAlignment="0" applyProtection="0"/>
    <xf numFmtId="164" fontId="2" fillId="0" borderId="0" applyFont="0" applyFill="0" applyBorder="0" applyAlignment="0" applyProtection="0"/>
    <xf numFmtId="0" fontId="2" fillId="0" borderId="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39" borderId="0" applyNumberFormat="0" applyBorder="0" applyAlignment="0" applyProtection="0"/>
    <xf numFmtId="0" fontId="2" fillId="35" borderId="0" applyNumberFormat="0" applyBorder="0" applyAlignment="0" applyProtection="0"/>
    <xf numFmtId="0" fontId="2" fillId="31" borderId="0" applyNumberFormat="0" applyBorder="0" applyAlignment="0" applyProtection="0"/>
    <xf numFmtId="0" fontId="2" fillId="27" borderId="0" applyNumberFormat="0" applyBorder="0" applyAlignment="0" applyProtection="0"/>
    <xf numFmtId="0" fontId="2" fillId="0" borderId="0"/>
    <xf numFmtId="0" fontId="2" fillId="20" borderId="79" applyNumberFormat="0" applyFont="0" applyAlignment="0" applyProtection="0"/>
    <xf numFmtId="9" fontId="2" fillId="0" borderId="0" applyFont="0" applyFill="0" applyBorder="0" applyAlignment="0" applyProtection="0"/>
    <xf numFmtId="0" fontId="2" fillId="23" borderId="0" applyNumberFormat="0" applyBorder="0" applyAlignment="0" applyProtection="0"/>
    <xf numFmtId="0" fontId="2" fillId="42" borderId="0" applyNumberFormat="0" applyBorder="0" applyAlignment="0" applyProtection="0"/>
    <xf numFmtId="0" fontId="2" fillId="38" borderId="0" applyNumberFormat="0" applyBorder="0" applyAlignment="0" applyProtection="0"/>
    <xf numFmtId="0" fontId="2" fillId="34" borderId="0" applyNumberFormat="0" applyBorder="0" applyAlignment="0" applyProtection="0"/>
    <xf numFmtId="0" fontId="2" fillId="30" borderId="0" applyNumberFormat="0" applyBorder="0" applyAlignment="0" applyProtection="0"/>
    <xf numFmtId="0" fontId="2" fillId="26" borderId="0" applyNumberFormat="0" applyBorder="0" applyAlignment="0" applyProtection="0"/>
    <xf numFmtId="0" fontId="2" fillId="22" borderId="0" applyNumberFormat="0" applyBorder="0" applyAlignment="0" applyProtection="0"/>
    <xf numFmtId="164" fontId="38" fillId="0" borderId="0" applyFont="0" applyFill="0" applyBorder="0" applyAlignment="0" applyProtection="0"/>
    <xf numFmtId="0" fontId="2" fillId="0" borderId="0"/>
    <xf numFmtId="0" fontId="138" fillId="15" borderId="0" applyNumberFormat="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62" borderId="0" applyNumberFormat="0" applyBorder="0" applyAlignment="0" applyProtection="0"/>
    <xf numFmtId="0" fontId="2" fillId="26" borderId="0" applyNumberFormat="0" applyBorder="0" applyAlignment="0" applyProtection="0"/>
    <xf numFmtId="0" fontId="2" fillId="63" borderId="0" applyNumberFormat="0" applyBorder="0" applyAlignment="0" applyProtection="0"/>
    <xf numFmtId="0" fontId="2" fillId="30" borderId="0" applyNumberFormat="0" applyBorder="0" applyAlignment="0" applyProtection="0"/>
    <xf numFmtId="0" fontId="2" fillId="64" borderId="0" applyNumberFormat="0" applyBorder="0" applyAlignment="0" applyProtection="0"/>
    <xf numFmtId="0" fontId="2" fillId="34" borderId="0" applyNumberFormat="0" applyBorder="0" applyAlignment="0" applyProtection="0"/>
    <xf numFmtId="0" fontId="2" fillId="65"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66"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0" borderId="0"/>
    <xf numFmtId="0" fontId="2" fillId="20" borderId="79" applyNumberFormat="0" applyFont="0" applyAlignment="0" applyProtection="0"/>
    <xf numFmtId="164" fontId="38" fillId="0" borderId="0" applyFont="0" applyFill="0" applyBorder="0" applyAlignment="0" applyProtection="0"/>
    <xf numFmtId="0" fontId="2" fillId="0" borderId="0"/>
    <xf numFmtId="9" fontId="2" fillId="0" borderId="0" applyFont="0" applyFill="0" applyBorder="0" applyAlignment="0" applyProtection="0"/>
    <xf numFmtId="0" fontId="2" fillId="62" borderId="0" applyNumberFormat="0" applyBorder="0" applyAlignment="0" applyProtection="0"/>
    <xf numFmtId="0" fontId="2" fillId="22"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2" fillId="2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3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3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66" borderId="0" applyNumberFormat="0" applyBorder="0" applyAlignment="0" applyProtection="0"/>
    <xf numFmtId="0" fontId="2" fillId="3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0" borderId="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2" fillId="0" borderId="0"/>
    <xf numFmtId="0" fontId="2" fillId="0" borderId="0"/>
    <xf numFmtId="0" fontId="2" fillId="20" borderId="79" applyNumberFormat="0" applyFont="0" applyAlignment="0" applyProtection="0"/>
    <xf numFmtId="0" fontId="2" fillId="0" borderId="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0" borderId="0"/>
    <xf numFmtId="0" fontId="2" fillId="20" borderId="79" applyNumberFormat="0" applyFont="0" applyAlignment="0" applyProtection="0"/>
    <xf numFmtId="9" fontId="2" fillId="0" borderId="0" applyFont="0" applyFill="0" applyBorder="0" applyAlignment="0" applyProtection="0"/>
    <xf numFmtId="0" fontId="138" fillId="15" borderId="0" applyNumberFormat="0" applyBorder="0" applyAlignment="0" applyProtection="0"/>
    <xf numFmtId="164" fontId="38" fillId="0" borderId="0" applyFont="0" applyFill="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22" borderId="0" applyNumberFormat="0" applyBorder="0" applyAlignment="0" applyProtection="0"/>
    <xf numFmtId="0" fontId="2" fillId="62" borderId="0" applyNumberFormat="0" applyBorder="0" applyAlignment="0" applyProtection="0"/>
    <xf numFmtId="0" fontId="2" fillId="26" borderId="0" applyNumberFormat="0" applyBorder="0" applyAlignment="0" applyProtection="0"/>
    <xf numFmtId="0" fontId="2" fillId="63" borderId="0" applyNumberFormat="0" applyBorder="0" applyAlignment="0" applyProtection="0"/>
    <xf numFmtId="0" fontId="2" fillId="30" borderId="0" applyNumberFormat="0" applyBorder="0" applyAlignment="0" applyProtection="0"/>
    <xf numFmtId="0" fontId="2" fillId="64" borderId="0" applyNumberFormat="0" applyBorder="0" applyAlignment="0" applyProtection="0"/>
    <xf numFmtId="0" fontId="2" fillId="34" borderId="0" applyNumberFormat="0" applyBorder="0" applyAlignment="0" applyProtection="0"/>
    <xf numFmtId="0" fontId="2" fillId="65"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66"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0" borderId="0"/>
    <xf numFmtId="0" fontId="2" fillId="20" borderId="79" applyNumberFormat="0" applyFont="0" applyAlignment="0" applyProtection="0"/>
    <xf numFmtId="43" fontId="2" fillId="0" borderId="0" applyFont="0" applyFill="0" applyBorder="0" applyAlignment="0" applyProtection="0"/>
    <xf numFmtId="0" fontId="2" fillId="0" borderId="0"/>
    <xf numFmtId="9" fontId="2" fillId="0" borderId="0" applyFont="0" applyFill="0" applyBorder="0" applyAlignment="0" applyProtection="0"/>
    <xf numFmtId="0" fontId="2" fillId="62" borderId="0" applyNumberFormat="0" applyBorder="0" applyAlignment="0" applyProtection="0"/>
    <xf numFmtId="0" fontId="2" fillId="22" borderId="0" applyNumberFormat="0" applyBorder="0" applyAlignment="0" applyProtection="0"/>
    <xf numFmtId="0" fontId="2" fillId="62"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2" fillId="26" borderId="0" applyNumberFormat="0" applyBorder="0" applyAlignment="0" applyProtection="0"/>
    <xf numFmtId="0" fontId="2" fillId="63"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2" fillId="3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34"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66" borderId="0" applyNumberFormat="0" applyBorder="0" applyAlignment="0" applyProtection="0"/>
    <xf numFmtId="0" fontId="2" fillId="31" borderId="0" applyNumberFormat="0" applyBorder="0" applyAlignment="0" applyProtection="0"/>
    <xf numFmtId="0" fontId="2" fillId="66" borderId="0" applyNumberFormat="0" applyBorder="0" applyAlignment="0" applyProtection="0"/>
    <xf numFmtId="0" fontId="2" fillId="66"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164" fontId="38" fillId="0" borderId="0" applyFont="0" applyFill="0" applyBorder="0" applyAlignment="0" applyProtection="0"/>
    <xf numFmtId="0" fontId="2" fillId="0" borderId="0"/>
    <xf numFmtId="0" fontId="2" fillId="0" borderId="0"/>
    <xf numFmtId="0" fontId="2" fillId="20" borderId="79" applyNumberFormat="0" applyFont="0" applyAlignment="0" applyProtection="0"/>
    <xf numFmtId="0" fontId="2" fillId="0" borderId="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0" borderId="0"/>
    <xf numFmtId="0" fontId="2" fillId="20" borderId="79" applyNumberFormat="0" applyFont="0" applyAlignment="0" applyProtection="0"/>
    <xf numFmtId="9" fontId="2" fillId="0" borderId="0" applyFont="0" applyFill="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4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20" borderId="79"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164" fontId="38" fillId="0" borderId="0" applyFont="0" applyFill="0" applyBorder="0" applyAlignment="0" applyProtection="0"/>
    <xf numFmtId="0" fontId="2" fillId="0" borderId="0"/>
    <xf numFmtId="0" fontId="2" fillId="0" borderId="0"/>
    <xf numFmtId="0" fontId="2" fillId="0" borderId="0"/>
    <xf numFmtId="0" fontId="2" fillId="0" borderId="0"/>
    <xf numFmtId="164" fontId="38" fillId="0" borderId="0" applyFont="0" applyFill="0" applyBorder="0" applyAlignment="0" applyProtection="0"/>
    <xf numFmtId="164" fontId="38" fillId="0" borderId="0" applyFont="0" applyFill="0" applyBorder="0" applyAlignment="0" applyProtection="0"/>
    <xf numFmtId="9" fontId="2" fillId="0" borderId="0" applyFont="0" applyFill="0" applyBorder="0" applyAlignment="0" applyProtection="0"/>
    <xf numFmtId="0" fontId="2" fillId="0" borderId="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2" fillId="0" borderId="0"/>
    <xf numFmtId="0" fontId="2" fillId="0" borderId="0"/>
    <xf numFmtId="164" fontId="38" fillId="0" borderId="0" applyFont="0" applyFill="0" applyBorder="0" applyAlignment="0" applyProtection="0"/>
    <xf numFmtId="0" fontId="2" fillId="0" borderId="0"/>
    <xf numFmtId="0" fontId="2" fillId="0" borderId="0"/>
    <xf numFmtId="164" fontId="38" fillId="0" borderId="0" applyFont="0" applyFill="0" applyBorder="0" applyAlignment="0" applyProtection="0"/>
    <xf numFmtId="0" fontId="2" fillId="0" borderId="0"/>
    <xf numFmtId="0" fontId="2" fillId="0" borderId="0"/>
    <xf numFmtId="0" fontId="2" fillId="0" borderId="0"/>
    <xf numFmtId="0" fontId="2" fillId="0" borderId="0"/>
    <xf numFmtId="164" fontId="38" fillId="0" borderId="0" applyFont="0" applyFill="0" applyBorder="0" applyAlignment="0" applyProtection="0"/>
    <xf numFmtId="164" fontId="2" fillId="0" borderId="0" applyFont="0" applyFill="0" applyBorder="0" applyAlignment="0" applyProtection="0"/>
    <xf numFmtId="0" fontId="2" fillId="0" borderId="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8" borderId="0" applyNumberFormat="0" applyBorder="0" applyAlignment="0" applyProtection="0"/>
    <xf numFmtId="0" fontId="2" fillId="42"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9" borderId="0" applyNumberFormat="0" applyBorder="0" applyAlignment="0" applyProtection="0"/>
    <xf numFmtId="0" fontId="2" fillId="43" borderId="0" applyNumberFormat="0" applyBorder="0" applyAlignment="0" applyProtection="0"/>
    <xf numFmtId="0" fontId="2" fillId="43" borderId="0" applyNumberFormat="0" applyBorder="0" applyAlignment="0" applyProtection="0"/>
    <xf numFmtId="0" fontId="2" fillId="39" borderId="0" applyNumberFormat="0" applyBorder="0" applyAlignment="0" applyProtection="0"/>
    <xf numFmtId="0" fontId="2" fillId="35" borderId="0" applyNumberFormat="0" applyBorder="0" applyAlignment="0" applyProtection="0"/>
    <xf numFmtId="0" fontId="2" fillId="31" borderId="0" applyNumberFormat="0" applyBorder="0" applyAlignment="0" applyProtection="0"/>
    <xf numFmtId="0" fontId="2" fillId="27" borderId="0" applyNumberFormat="0" applyBorder="0" applyAlignment="0" applyProtection="0"/>
    <xf numFmtId="0" fontId="2" fillId="0" borderId="0"/>
    <xf numFmtId="0" fontId="2" fillId="20" borderId="79" applyNumberFormat="0" applyFont="0" applyAlignment="0" applyProtection="0"/>
    <xf numFmtId="9" fontId="2" fillId="0" borderId="0" applyFont="0" applyFill="0" applyBorder="0" applyAlignment="0" applyProtection="0"/>
    <xf numFmtId="0" fontId="2" fillId="23" borderId="0" applyNumberFormat="0" applyBorder="0" applyAlignment="0" applyProtection="0"/>
    <xf numFmtId="0" fontId="2" fillId="42" borderId="0" applyNumberFormat="0" applyBorder="0" applyAlignment="0" applyProtection="0"/>
    <xf numFmtId="0" fontId="2" fillId="38" borderId="0" applyNumberFormat="0" applyBorder="0" applyAlignment="0" applyProtection="0"/>
    <xf numFmtId="0" fontId="2" fillId="34" borderId="0" applyNumberFormat="0" applyBorder="0" applyAlignment="0" applyProtection="0"/>
    <xf numFmtId="0" fontId="2" fillId="30" borderId="0" applyNumberFormat="0" applyBorder="0" applyAlignment="0" applyProtection="0"/>
    <xf numFmtId="0" fontId="2" fillId="26" borderId="0" applyNumberFormat="0" applyBorder="0" applyAlignment="0" applyProtection="0"/>
    <xf numFmtId="0" fontId="2" fillId="22" borderId="0" applyNumberFormat="0" applyBorder="0" applyAlignment="0" applyProtection="0"/>
    <xf numFmtId="164" fontId="38" fillId="0" borderId="0" applyFont="0" applyFill="0" applyBorder="0" applyAlignment="0" applyProtection="0"/>
    <xf numFmtId="0" fontId="2" fillId="0" borderId="0"/>
    <xf numFmtId="0" fontId="138" fillId="15" borderId="0" applyNumberFormat="0" applyBorder="0" applyAlignment="0" applyProtection="0"/>
    <xf numFmtId="0" fontId="138" fillId="15" borderId="0" applyNumberFormat="0" applyBorder="0" applyAlignment="0" applyProtection="0"/>
    <xf numFmtId="0" fontId="138" fillId="15" borderId="0" applyNumberFormat="0" applyBorder="0" applyAlignment="0" applyProtection="0"/>
    <xf numFmtId="0" fontId="1" fillId="0" borderId="0"/>
    <xf numFmtId="0" fontId="1" fillId="0" borderId="0"/>
    <xf numFmtId="164" fontId="38" fillId="0" borderId="0" applyFont="0" applyFill="0" applyBorder="0" applyAlignment="0" applyProtection="0"/>
    <xf numFmtId="164" fontId="38" fillId="0" borderId="0" applyFont="0" applyFill="0" applyBorder="0" applyAlignment="0" applyProtection="0"/>
    <xf numFmtId="9"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4" fontId="38" fillId="0" borderId="0" applyNumberFormat="0" applyFont="0" applyFill="0" applyBorder="0" applyAlignment="0" applyProtection="0">
      <alignment vertical="center"/>
    </xf>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230" fillId="0" borderId="0" applyNumberFormat="0" applyFill="0" applyBorder="0" applyAlignment="0" applyProtection="0"/>
    <xf numFmtId="0" fontId="147" fillId="0" borderId="72" applyNumberFormat="0" applyFill="0" applyAlignment="0" applyProtection="0"/>
    <xf numFmtId="14" fontId="38" fillId="0" borderId="0" applyNumberFormat="0" applyFont="0" applyFill="0" applyBorder="0" applyAlignment="0" applyProtection="0">
      <alignment vertical="center"/>
    </xf>
    <xf numFmtId="0" fontId="138" fillId="15" borderId="0" applyNumberFormat="0" applyBorder="0" applyAlignment="0" applyProtection="0"/>
    <xf numFmtId="0" fontId="1" fillId="20" borderId="79" applyNumberFormat="0" applyFont="0" applyAlignment="0" applyProtection="0"/>
    <xf numFmtId="0" fontId="1" fillId="0" borderId="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164" fontId="38" fillId="0" borderId="0" applyFont="0" applyFill="0" applyBorder="0" applyAlignment="0" applyProtection="0"/>
    <xf numFmtId="164" fontId="1"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1" fillId="0" borderId="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0" fontId="1" fillId="0" borderId="0"/>
  </cellStyleXfs>
  <cellXfs count="3381">
    <xf numFmtId="0" fontId="0" fillId="0" borderId="0" xfId="0"/>
    <xf numFmtId="0" fontId="39" fillId="0" borderId="0" xfId="0" applyFont="1" applyAlignment="1">
      <alignment horizontal="left"/>
    </xf>
    <xf numFmtId="0" fontId="39" fillId="0" borderId="0" xfId="0" applyFont="1"/>
    <xf numFmtId="0" fontId="40" fillId="0" borderId="0" xfId="0" applyFont="1" applyAlignment="1">
      <alignment horizontal="center"/>
    </xf>
    <xf numFmtId="0" fontId="39" fillId="0" borderId="0" xfId="0" applyFont="1" applyAlignment="1">
      <alignment horizontal="center"/>
    </xf>
    <xf numFmtId="10" fontId="39" fillId="0" borderId="0" xfId="0" applyNumberFormat="1" applyFont="1" applyAlignment="1">
      <alignment horizontal="center"/>
    </xf>
    <xf numFmtId="0" fontId="41" fillId="0" borderId="0" xfId="0" applyFont="1" applyAlignment="1">
      <alignment horizontal="center"/>
    </xf>
    <xf numFmtId="10" fontId="41" fillId="0" borderId="0" xfId="0" applyNumberFormat="1" applyFont="1" applyAlignment="1">
      <alignment horizontal="center"/>
    </xf>
    <xf numFmtId="0" fontId="0" fillId="0" borderId="0" xfId="0" applyAlignment="1">
      <alignment horizontal="center"/>
    </xf>
    <xf numFmtId="9" fontId="0" fillId="0" borderId="0" xfId="0" applyNumberFormat="1" applyAlignment="1">
      <alignment horizontal="center"/>
    </xf>
    <xf numFmtId="0" fontId="0" fillId="2" borderId="0" xfId="0" applyFill="1"/>
    <xf numFmtId="0" fontId="42" fillId="0" borderId="0" xfId="0" applyFont="1" applyAlignment="1">
      <alignment horizontal="center"/>
    </xf>
    <xf numFmtId="0" fontId="43" fillId="0" borderId="0" xfId="0" applyFont="1" applyAlignment="1">
      <alignment horizontal="center"/>
    </xf>
    <xf numFmtId="10" fontId="43" fillId="0" borderId="0" xfId="0" applyNumberFormat="1" applyFont="1" applyAlignment="1">
      <alignment horizontal="center"/>
    </xf>
    <xf numFmtId="0" fontId="44" fillId="0" borderId="1" xfId="0" applyFont="1" applyBorder="1"/>
    <xf numFmtId="0" fontId="44" fillId="0" borderId="2" xfId="0" applyFont="1" applyBorder="1" applyAlignment="1">
      <alignment horizontal="center"/>
    </xf>
    <xf numFmtId="0" fontId="44" fillId="0" borderId="3" xfId="0" applyFont="1" applyBorder="1" applyAlignment="1">
      <alignment horizontal="center" vertical="center" wrapText="1"/>
    </xf>
    <xf numFmtId="0" fontId="44" fillId="0" borderId="4" xfId="0" applyFont="1" applyBorder="1" applyAlignment="1">
      <alignment horizontal="center" vertical="center" wrapText="1"/>
    </xf>
    <xf numFmtId="0" fontId="44" fillId="0" borderId="2" xfId="0" applyFont="1" applyBorder="1" applyAlignment="1">
      <alignment horizontal="center" vertical="center" wrapText="1"/>
    </xf>
    <xf numFmtId="0" fontId="45" fillId="3" borderId="5" xfId="0" applyFont="1" applyFill="1" applyBorder="1" applyAlignment="1">
      <alignment horizontal="center" wrapText="1"/>
    </xf>
    <xf numFmtId="0" fontId="46" fillId="4" borderId="5" xfId="0" applyFont="1" applyFill="1" applyBorder="1" applyAlignment="1">
      <alignment horizontal="center" wrapText="1"/>
    </xf>
    <xf numFmtId="10" fontId="46" fillId="4" borderId="5" xfId="0" applyNumberFormat="1" applyFont="1" applyFill="1" applyBorder="1" applyAlignment="1">
      <alignment horizontal="center" wrapText="1"/>
    </xf>
    <xf numFmtId="0" fontId="44" fillId="5" borderId="5" xfId="0" applyFont="1" applyFill="1" applyBorder="1" applyAlignment="1">
      <alignment horizontal="center" wrapText="1"/>
    </xf>
    <xf numFmtId="0" fontId="45" fillId="3" borderId="5" xfId="0" applyFont="1" applyFill="1" applyBorder="1" applyAlignment="1">
      <alignment horizontal="center"/>
    </xf>
    <xf numFmtId="0" fontId="44" fillId="5" borderId="6" xfId="0" applyFont="1" applyFill="1" applyBorder="1" applyAlignment="1">
      <alignment horizontal="center" wrapText="1"/>
    </xf>
    <xf numFmtId="0" fontId="0" fillId="0" borderId="7" xfId="0" applyBorder="1" applyAlignment="1">
      <alignment horizontal="center"/>
    </xf>
    <xf numFmtId="9" fontId="42" fillId="0" borderId="8" xfId="0" applyNumberFormat="1" applyFont="1" applyBorder="1" applyAlignment="1">
      <alignment horizontal="center"/>
    </xf>
    <xf numFmtId="9" fontId="47" fillId="3" borderId="9" xfId="0" applyNumberFormat="1" applyFont="1" applyFill="1" applyBorder="1" applyAlignment="1">
      <alignment horizontal="center"/>
    </xf>
    <xf numFmtId="9" fontId="46" fillId="4" borderId="10" xfId="0" applyNumberFormat="1" applyFont="1" applyFill="1" applyBorder="1" applyAlignment="1">
      <alignment horizontal="center"/>
    </xf>
    <xf numFmtId="10" fontId="46" fillId="4" borderId="10" xfId="0" applyNumberFormat="1" applyFont="1" applyFill="1" applyBorder="1" applyAlignment="1">
      <alignment horizontal="center"/>
    </xf>
    <xf numFmtId="9" fontId="44" fillId="5" borderId="9" xfId="0" applyNumberFormat="1" applyFont="1" applyFill="1" applyBorder="1" applyAlignment="1">
      <alignment horizontal="center"/>
    </xf>
    <xf numFmtId="9" fontId="48" fillId="2" borderId="11" xfId="0" applyNumberFormat="1" applyFont="1" applyFill="1" applyBorder="1" applyAlignment="1">
      <alignment horizontal="center"/>
    </xf>
    <xf numFmtId="9" fontId="0" fillId="3" borderId="12" xfId="0" applyNumberFormat="1" applyFill="1" applyBorder="1" applyAlignment="1">
      <alignment horizontal="center"/>
    </xf>
    <xf numFmtId="9" fontId="41" fillId="0" borderId="0" xfId="0" applyNumberFormat="1" applyFont="1"/>
    <xf numFmtId="9" fontId="49" fillId="0" borderId="0" xfId="0" applyNumberFormat="1" applyFont="1"/>
    <xf numFmtId="0" fontId="0" fillId="0" borderId="13" xfId="0" applyBorder="1"/>
    <xf numFmtId="9" fontId="42" fillId="0" borderId="14" xfId="0" applyNumberFormat="1" applyFont="1" applyBorder="1" applyAlignment="1">
      <alignment horizontal="center"/>
    </xf>
    <xf numFmtId="9" fontId="0" fillId="0" borderId="15" xfId="0" applyNumberFormat="1" applyBorder="1" applyAlignment="1">
      <alignment horizontal="center"/>
    </xf>
    <xf numFmtId="9" fontId="47" fillId="3" borderId="16" xfId="0" applyNumberFormat="1" applyFont="1" applyFill="1" applyBorder="1" applyAlignment="1">
      <alignment horizontal="center"/>
    </xf>
    <xf numFmtId="9" fontId="46" fillId="4" borderId="17" xfId="0" applyNumberFormat="1" applyFont="1" applyFill="1" applyBorder="1" applyAlignment="1">
      <alignment horizontal="center"/>
    </xf>
    <xf numFmtId="10" fontId="46" fillId="4" borderId="18" xfId="0" applyNumberFormat="1" applyFont="1" applyFill="1" applyBorder="1" applyAlignment="1">
      <alignment horizontal="center"/>
    </xf>
    <xf numFmtId="9" fontId="44" fillId="5" borderId="16" xfId="0" applyNumberFormat="1" applyFont="1" applyFill="1" applyBorder="1" applyAlignment="1">
      <alignment horizontal="center"/>
    </xf>
    <xf numFmtId="9" fontId="48" fillId="0" borderId="13" xfId="0" applyNumberFormat="1" applyFont="1" applyBorder="1" applyAlignment="1">
      <alignment horizontal="center"/>
    </xf>
    <xf numFmtId="9" fontId="0" fillId="3" borderId="19" xfId="0" applyNumberFormat="1" applyFill="1" applyBorder="1" applyAlignment="1">
      <alignment horizontal="center"/>
    </xf>
    <xf numFmtId="0" fontId="0" fillId="0" borderId="20" xfId="0" applyBorder="1"/>
    <xf numFmtId="9" fontId="42" fillId="0" borderId="21" xfId="0" applyNumberFormat="1" applyFont="1" applyBorder="1" applyAlignment="1">
      <alignment horizontal="center"/>
    </xf>
    <xf numFmtId="9" fontId="0" fillId="0" borderId="20" xfId="0" applyNumberFormat="1" applyBorder="1" applyAlignment="1">
      <alignment horizontal="center"/>
    </xf>
    <xf numFmtId="9" fontId="47" fillId="3" borderId="22" xfId="0" applyNumberFormat="1" applyFont="1" applyFill="1" applyBorder="1" applyAlignment="1">
      <alignment horizontal="center"/>
    </xf>
    <xf numFmtId="9" fontId="46" fillId="4" borderId="23" xfId="0" applyNumberFormat="1" applyFont="1" applyFill="1" applyBorder="1" applyAlignment="1">
      <alignment horizontal="center"/>
    </xf>
    <xf numFmtId="10" fontId="46" fillId="4" borderId="23" xfId="0" applyNumberFormat="1" applyFont="1" applyFill="1" applyBorder="1" applyAlignment="1">
      <alignment horizontal="center"/>
    </xf>
    <xf numFmtId="9" fontId="44" fillId="5" borderId="22" xfId="0" applyNumberFormat="1" applyFont="1" applyFill="1" applyBorder="1" applyAlignment="1">
      <alignment horizontal="center"/>
    </xf>
    <xf numFmtId="9" fontId="48" fillId="0" borderId="20" xfId="0" applyNumberFormat="1" applyFont="1" applyBorder="1" applyAlignment="1">
      <alignment horizontal="center"/>
    </xf>
    <xf numFmtId="9" fontId="0" fillId="3" borderId="22" xfId="0" applyNumberFormat="1" applyFill="1" applyBorder="1" applyAlignment="1">
      <alignment horizontal="center"/>
    </xf>
    <xf numFmtId="9" fontId="0" fillId="0" borderId="0" xfId="0" applyNumberFormat="1"/>
    <xf numFmtId="9" fontId="47" fillId="3" borderId="19" xfId="0" applyNumberFormat="1" applyFont="1" applyFill="1" applyBorder="1" applyAlignment="1">
      <alignment horizontal="center"/>
    </xf>
    <xf numFmtId="9" fontId="46" fillId="4" borderId="18" xfId="0" applyNumberFormat="1" applyFont="1" applyFill="1" applyBorder="1" applyAlignment="1">
      <alignment horizontal="center"/>
    </xf>
    <xf numFmtId="9" fontId="48" fillId="0" borderId="0" xfId="0" applyNumberFormat="1" applyFont="1" applyAlignment="1">
      <alignment horizontal="center"/>
    </xf>
    <xf numFmtId="9" fontId="0" fillId="3" borderId="16" xfId="0" applyNumberFormat="1" applyFill="1" applyBorder="1" applyAlignment="1">
      <alignment horizontal="center"/>
    </xf>
    <xf numFmtId="0" fontId="47" fillId="0" borderId="0" xfId="0" applyFont="1"/>
    <xf numFmtId="9" fontId="0" fillId="2" borderId="20" xfId="0" applyNumberFormat="1" applyFill="1" applyBorder="1" applyAlignment="1">
      <alignment horizontal="center"/>
    </xf>
    <xf numFmtId="9" fontId="48" fillId="0" borderId="24" xfId="0" applyNumberFormat="1" applyFont="1" applyBorder="1" applyAlignment="1">
      <alignment horizontal="center"/>
    </xf>
    <xf numFmtId="9" fontId="42" fillId="6" borderId="8" xfId="0" applyNumberFormat="1" applyFont="1" applyFill="1" applyBorder="1" applyAlignment="1">
      <alignment horizontal="center"/>
    </xf>
    <xf numFmtId="1" fontId="48" fillId="0" borderId="15" xfId="0" applyNumberFormat="1" applyFont="1" applyBorder="1" applyAlignment="1">
      <alignment horizontal="center"/>
    </xf>
    <xf numFmtId="1" fontId="0" fillId="0" borderId="0" xfId="0" applyNumberFormat="1" applyAlignment="1">
      <alignment horizontal="center"/>
    </xf>
    <xf numFmtId="1" fontId="47" fillId="3" borderId="16" xfId="0" applyNumberFormat="1" applyFont="1" applyFill="1" applyBorder="1" applyAlignment="1">
      <alignment horizontal="center"/>
    </xf>
    <xf numFmtId="10" fontId="46" fillId="4" borderId="16" xfId="0" applyNumberFormat="1" applyFont="1" applyFill="1" applyBorder="1" applyAlignment="1">
      <alignment horizontal="center"/>
    </xf>
    <xf numFmtId="1" fontId="44" fillId="5" borderId="16" xfId="0" applyNumberFormat="1" applyFont="1" applyFill="1" applyBorder="1" applyAlignment="1">
      <alignment horizontal="center"/>
    </xf>
    <xf numFmtId="9" fontId="0" fillId="6" borderId="0" xfId="0" applyNumberFormat="1" applyFill="1" applyAlignment="1">
      <alignment horizontal="center"/>
    </xf>
    <xf numFmtId="1" fontId="0" fillId="3" borderId="19" xfId="0" applyNumberFormat="1" applyFill="1" applyBorder="1" applyAlignment="1">
      <alignment horizontal="center"/>
    </xf>
    <xf numFmtId="1" fontId="0" fillId="0" borderId="15" xfId="0" applyNumberFormat="1" applyBorder="1" applyAlignment="1">
      <alignment horizontal="center"/>
    </xf>
    <xf numFmtId="1" fontId="0" fillId="3" borderId="16" xfId="0" applyNumberFormat="1" applyFill="1" applyBorder="1" applyAlignment="1">
      <alignment horizontal="center"/>
    </xf>
    <xf numFmtId="1" fontId="48" fillId="0" borderId="0" xfId="0" applyNumberFormat="1" applyFont="1" applyAlignment="1">
      <alignment horizontal="center"/>
    </xf>
    <xf numFmtId="0" fontId="48" fillId="0" borderId="0" xfId="0" applyFont="1"/>
    <xf numFmtId="9" fontId="50" fillId="4" borderId="8" xfId="0" applyNumberFormat="1" applyFont="1" applyFill="1" applyBorder="1" applyAlignment="1">
      <alignment horizontal="center"/>
    </xf>
    <xf numFmtId="2" fontId="47" fillId="3" borderId="16" xfId="0" applyNumberFormat="1" applyFont="1" applyFill="1" applyBorder="1" applyAlignment="1">
      <alignment horizontal="center"/>
    </xf>
    <xf numFmtId="2" fontId="44" fillId="5" borderId="16" xfId="0" applyNumberFormat="1" applyFont="1" applyFill="1" applyBorder="1" applyAlignment="1">
      <alignment horizontal="center"/>
    </xf>
    <xf numFmtId="9" fontId="0" fillId="5" borderId="0" xfId="0" applyNumberFormat="1" applyFill="1" applyAlignment="1">
      <alignment horizontal="center"/>
    </xf>
    <xf numFmtId="2" fontId="0" fillId="3" borderId="16" xfId="0" applyNumberFormat="1" applyFill="1" applyBorder="1" applyAlignment="1">
      <alignment horizontal="center"/>
    </xf>
    <xf numFmtId="9" fontId="0" fillId="2" borderId="15" xfId="0" applyNumberFormat="1" applyFill="1" applyBorder="1" applyAlignment="1">
      <alignment horizontal="center"/>
    </xf>
    <xf numFmtId="9" fontId="0" fillId="2" borderId="0" xfId="0" applyNumberFormat="1" applyFill="1" applyAlignment="1">
      <alignment horizontal="center"/>
    </xf>
    <xf numFmtId="9" fontId="0" fillId="0" borderId="25" xfId="0" applyNumberFormat="1" applyBorder="1" applyAlignment="1">
      <alignment horizontal="center"/>
    </xf>
    <xf numFmtId="10" fontId="46" fillId="4" borderId="19" xfId="0" applyNumberFormat="1" applyFont="1" applyFill="1" applyBorder="1" applyAlignment="1">
      <alignment horizontal="center"/>
    </xf>
    <xf numFmtId="9" fontId="44" fillId="5" borderId="19" xfId="0" applyNumberFormat="1" applyFont="1" applyFill="1" applyBorder="1" applyAlignment="1">
      <alignment horizontal="center"/>
    </xf>
    <xf numFmtId="9" fontId="0" fillId="0" borderId="13" xfId="0" applyNumberFormat="1" applyBorder="1" applyAlignment="1">
      <alignment horizontal="center"/>
    </xf>
    <xf numFmtId="10" fontId="46" fillId="4" borderId="22" xfId="0" applyNumberFormat="1" applyFont="1" applyFill="1" applyBorder="1" applyAlignment="1">
      <alignment horizontal="center"/>
    </xf>
    <xf numFmtId="9" fontId="42" fillId="0" borderId="15" xfId="0" applyNumberFormat="1" applyFont="1" applyBorder="1" applyAlignment="1">
      <alignment horizontal="center"/>
    </xf>
    <xf numFmtId="9" fontId="0" fillId="0" borderId="26" xfId="0" applyNumberFormat="1" applyBorder="1" applyAlignment="1">
      <alignment horizontal="center"/>
    </xf>
    <xf numFmtId="9" fontId="47" fillId="3" borderId="27" xfId="0" applyNumberFormat="1" applyFont="1" applyFill="1" applyBorder="1" applyAlignment="1">
      <alignment horizontal="center"/>
    </xf>
    <xf numFmtId="10" fontId="46" fillId="4" borderId="27" xfId="0" applyNumberFormat="1" applyFont="1" applyFill="1" applyBorder="1" applyAlignment="1">
      <alignment horizontal="center"/>
    </xf>
    <xf numFmtId="9" fontId="44" fillId="5" borderId="27" xfId="0" applyNumberFormat="1" applyFont="1" applyFill="1" applyBorder="1" applyAlignment="1">
      <alignment horizontal="center"/>
    </xf>
    <xf numFmtId="9" fontId="0" fillId="0" borderId="28" xfId="0" applyNumberFormat="1" applyBorder="1" applyAlignment="1">
      <alignment horizontal="center"/>
    </xf>
    <xf numFmtId="9" fontId="0" fillId="6" borderId="20" xfId="0" applyNumberFormat="1" applyFill="1" applyBorder="1" applyAlignment="1">
      <alignment horizontal="center"/>
    </xf>
    <xf numFmtId="9" fontId="0" fillId="6" borderId="22" xfId="0" applyNumberFormat="1" applyFill="1" applyBorder="1" applyAlignment="1">
      <alignment horizontal="center"/>
    </xf>
    <xf numFmtId="0" fontId="0" fillId="0" borderId="29" xfId="0" applyBorder="1" applyAlignment="1">
      <alignment horizontal="center"/>
    </xf>
    <xf numFmtId="0" fontId="0" fillId="0" borderId="28" xfId="0" applyBorder="1"/>
    <xf numFmtId="9" fontId="42" fillId="0" borderId="30" xfId="0" applyNumberFormat="1" applyFont="1" applyBorder="1" applyAlignment="1">
      <alignment horizontal="center"/>
    </xf>
    <xf numFmtId="9" fontId="0" fillId="3" borderId="27" xfId="0" applyNumberFormat="1" applyFill="1" applyBorder="1" applyAlignment="1">
      <alignment horizontal="center"/>
    </xf>
    <xf numFmtId="0" fontId="47" fillId="0" borderId="28" xfId="0" applyFont="1" applyBorder="1"/>
    <xf numFmtId="9" fontId="42" fillId="0" borderId="31" xfId="0" applyNumberFormat="1" applyFont="1" applyBorder="1" applyAlignment="1">
      <alignment horizontal="center"/>
    </xf>
    <xf numFmtId="0" fontId="0" fillId="0" borderId="32" xfId="0" applyBorder="1" applyAlignment="1">
      <alignment horizontal="center"/>
    </xf>
    <xf numFmtId="0" fontId="47" fillId="0" borderId="20" xfId="0" applyFont="1" applyBorder="1"/>
    <xf numFmtId="9" fontId="42" fillId="0" borderId="25" xfId="0" applyNumberFormat="1" applyFont="1" applyBorder="1" applyAlignment="1">
      <alignment horizontal="center"/>
    </xf>
    <xf numFmtId="0" fontId="0" fillId="0" borderId="33" xfId="0" applyBorder="1" applyAlignment="1">
      <alignment horizontal="center"/>
    </xf>
    <xf numFmtId="0" fontId="47" fillId="0" borderId="34" xfId="0" applyFont="1" applyBorder="1"/>
    <xf numFmtId="9" fontId="47" fillId="3" borderId="35" xfId="0" applyNumberFormat="1" applyFont="1" applyFill="1" applyBorder="1" applyAlignment="1">
      <alignment horizontal="center"/>
    </xf>
    <xf numFmtId="9" fontId="46" fillId="4" borderId="35" xfId="0" applyNumberFormat="1" applyFont="1" applyFill="1" applyBorder="1" applyAlignment="1">
      <alignment horizontal="center"/>
    </xf>
    <xf numFmtId="10" fontId="46" fillId="4" borderId="35" xfId="0" applyNumberFormat="1" applyFont="1" applyFill="1" applyBorder="1" applyAlignment="1">
      <alignment horizontal="center"/>
    </xf>
    <xf numFmtId="9" fontId="44" fillId="5" borderId="35" xfId="0" applyNumberFormat="1" applyFont="1" applyFill="1" applyBorder="1" applyAlignment="1">
      <alignment horizontal="center"/>
    </xf>
    <xf numFmtId="9" fontId="0" fillId="0" borderId="34" xfId="0" applyNumberFormat="1" applyBorder="1" applyAlignment="1">
      <alignment horizontal="center"/>
    </xf>
    <xf numFmtId="9" fontId="0" fillId="3" borderId="35" xfId="0" applyNumberFormat="1" applyFill="1" applyBorder="1" applyAlignment="1">
      <alignment horizontal="center"/>
    </xf>
    <xf numFmtId="0" fontId="51" fillId="0" borderId="0" xfId="0" applyFont="1"/>
    <xf numFmtId="0" fontId="51" fillId="0" borderId="33" xfId="0" applyFont="1" applyBorder="1" applyAlignment="1">
      <alignment horizontal="center"/>
    </xf>
    <xf numFmtId="0" fontId="51" fillId="0" borderId="34" xfId="0" applyFont="1" applyBorder="1"/>
    <xf numFmtId="9" fontId="45" fillId="0" borderId="36" xfId="0" applyNumberFormat="1" applyFont="1" applyBorder="1" applyAlignment="1">
      <alignment horizontal="center"/>
    </xf>
    <xf numFmtId="10" fontId="51" fillId="0" borderId="37" xfId="0" applyNumberFormat="1" applyFont="1" applyBorder="1" applyAlignment="1">
      <alignment horizontal="center"/>
    </xf>
    <xf numFmtId="10" fontId="51" fillId="0" borderId="34" xfId="0" applyNumberFormat="1" applyFont="1" applyBorder="1" applyAlignment="1">
      <alignment horizontal="center"/>
    </xf>
    <xf numFmtId="10" fontId="51" fillId="3" borderId="35" xfId="0" applyNumberFormat="1" applyFont="1" applyFill="1" applyBorder="1" applyAlignment="1">
      <alignment horizontal="center"/>
    </xf>
    <xf numFmtId="10" fontId="52" fillId="5" borderId="35" xfId="0" applyNumberFormat="1" applyFont="1" applyFill="1" applyBorder="1" applyAlignment="1">
      <alignment horizontal="center"/>
    </xf>
    <xf numFmtId="10" fontId="0" fillId="0" borderId="0" xfId="0" applyNumberFormat="1" applyAlignment="1">
      <alignment horizontal="center"/>
    </xf>
    <xf numFmtId="9" fontId="51" fillId="0" borderId="0" xfId="0" applyNumberFormat="1" applyFont="1"/>
    <xf numFmtId="0" fontId="45" fillId="0" borderId="0" xfId="0" applyFont="1" applyAlignment="1">
      <alignment horizontal="center"/>
    </xf>
    <xf numFmtId="10" fontId="44" fillId="0" borderId="0" xfId="0" applyNumberFormat="1" applyFont="1" applyAlignment="1">
      <alignment horizontal="center"/>
    </xf>
    <xf numFmtId="10" fontId="40" fillId="0" borderId="0" xfId="0" applyNumberFormat="1" applyFont="1" applyAlignment="1">
      <alignment horizontal="center"/>
    </xf>
    <xf numFmtId="0" fontId="0" fillId="0" borderId="0" xfId="0" quotePrefix="1" applyAlignment="1">
      <alignment horizontal="left"/>
    </xf>
    <xf numFmtId="10" fontId="42" fillId="2" borderId="0" xfId="0" applyNumberFormat="1" applyFont="1" applyFill="1" applyAlignment="1">
      <alignment horizontal="center"/>
    </xf>
    <xf numFmtId="0" fontId="53" fillId="0" borderId="0" xfId="0" applyFont="1"/>
    <xf numFmtId="0" fontId="54" fillId="0" borderId="0" xfId="0" applyFont="1" applyAlignment="1">
      <alignment horizontal="center"/>
    </xf>
    <xf numFmtId="0" fontId="44" fillId="0" borderId="0" xfId="0" applyFont="1" applyAlignment="1">
      <alignment horizontal="center" wrapText="1"/>
    </xf>
    <xf numFmtId="0" fontId="52" fillId="0" borderId="0" xfId="0" applyFont="1" applyAlignment="1">
      <alignment horizontal="center" wrapText="1"/>
    </xf>
    <xf numFmtId="9" fontId="44" fillId="0" borderId="0" xfId="0" applyNumberFormat="1" applyFont="1" applyAlignment="1">
      <alignment horizontal="center" wrapText="1"/>
    </xf>
    <xf numFmtId="1" fontId="0" fillId="2" borderId="0" xfId="0" applyNumberFormat="1" applyFill="1" applyAlignment="1">
      <alignment horizontal="center"/>
    </xf>
    <xf numFmtId="2" fontId="48" fillId="2" borderId="0" xfId="0" applyNumberFormat="1" applyFont="1" applyFill="1" applyAlignment="1">
      <alignment horizontal="center"/>
    </xf>
    <xf numFmtId="9" fontId="44" fillId="5" borderId="12" xfId="0" applyNumberFormat="1" applyFont="1" applyFill="1" applyBorder="1" applyAlignment="1">
      <alignment horizontal="center"/>
    </xf>
    <xf numFmtId="1" fontId="44" fillId="5" borderId="19" xfId="0" applyNumberFormat="1" applyFont="1" applyFill="1" applyBorder="1" applyAlignment="1">
      <alignment horizontal="center"/>
    </xf>
    <xf numFmtId="9" fontId="44" fillId="6" borderId="22" xfId="0" applyNumberFormat="1" applyFont="1" applyFill="1" applyBorder="1" applyAlignment="1">
      <alignment horizontal="center"/>
    </xf>
    <xf numFmtId="0" fontId="44" fillId="0" borderId="0" xfId="0" applyFont="1" applyAlignment="1">
      <alignment horizontal="center"/>
    </xf>
    <xf numFmtId="0" fontId="44" fillId="0" borderId="30" xfId="0" applyFont="1" applyBorder="1" applyAlignment="1">
      <alignment horizontal="center"/>
    </xf>
    <xf numFmtId="0" fontId="0" fillId="0" borderId="30" xfId="0" applyBorder="1"/>
    <xf numFmtId="0" fontId="0" fillId="2" borderId="30" xfId="0" applyFill="1" applyBorder="1"/>
    <xf numFmtId="9" fontId="41" fillId="2" borderId="0" xfId="0" applyNumberFormat="1" applyFont="1" applyFill="1" applyAlignment="1">
      <alignment horizontal="center"/>
    </xf>
    <xf numFmtId="9" fontId="41" fillId="2" borderId="25" xfId="0" applyNumberFormat="1" applyFont="1" applyFill="1" applyBorder="1" applyAlignment="1">
      <alignment horizontal="center"/>
    </xf>
    <xf numFmtId="9" fontId="41" fillId="2" borderId="38" xfId="0" applyNumberFormat="1" applyFont="1" applyFill="1" applyBorder="1" applyAlignment="1">
      <alignment horizontal="center"/>
    </xf>
    <xf numFmtId="9" fontId="41" fillId="2" borderId="39" xfId="0" applyNumberFormat="1" applyFont="1" applyFill="1" applyBorder="1" applyAlignment="1">
      <alignment horizontal="center"/>
    </xf>
    <xf numFmtId="9" fontId="41" fillId="0" borderId="15" xfId="0" applyNumberFormat="1" applyFont="1" applyBorder="1" applyAlignment="1">
      <alignment horizontal="center"/>
    </xf>
    <xf numFmtId="9" fontId="41" fillId="0" borderId="0" xfId="0" applyNumberFormat="1" applyFont="1" applyAlignment="1">
      <alignment horizontal="center"/>
    </xf>
    <xf numFmtId="1" fontId="41" fillId="0" borderId="0" xfId="0" applyNumberFormat="1" applyFont="1" applyAlignment="1">
      <alignment horizontal="center"/>
    </xf>
    <xf numFmtId="0" fontId="0" fillId="2" borderId="21" xfId="0" applyFill="1" applyBorder="1" applyAlignment="1">
      <alignment horizontal="center"/>
    </xf>
    <xf numFmtId="0" fontId="45" fillId="2" borderId="0" xfId="0" applyFont="1" applyFill="1" applyAlignment="1">
      <alignment horizontal="center"/>
    </xf>
    <xf numFmtId="0" fontId="0" fillId="2" borderId="0" xfId="0" applyFill="1" applyAlignment="1">
      <alignment horizontal="center"/>
    </xf>
    <xf numFmtId="9" fontId="42" fillId="0" borderId="0" xfId="0" applyNumberFormat="1" applyFont="1" applyAlignment="1">
      <alignment horizontal="center"/>
    </xf>
    <xf numFmtId="0" fontId="49" fillId="0" borderId="0" xfId="0" applyFont="1"/>
    <xf numFmtId="2" fontId="0" fillId="0" borderId="0" xfId="0" applyNumberFormat="1"/>
    <xf numFmtId="1" fontId="47" fillId="0" borderId="15" xfId="0" applyNumberFormat="1" applyFont="1" applyBorder="1" applyAlignment="1">
      <alignment horizontal="center"/>
    </xf>
    <xf numFmtId="1" fontId="47" fillId="0" borderId="0" xfId="0" applyNumberFormat="1" applyFont="1" applyAlignment="1">
      <alignment horizontal="center"/>
    </xf>
    <xf numFmtId="2" fontId="47" fillId="2" borderId="0" xfId="0" applyNumberFormat="1" applyFont="1" applyFill="1" applyAlignment="1">
      <alignment horizontal="center"/>
    </xf>
    <xf numFmtId="9" fontId="47" fillId="2" borderId="38" xfId="0" applyNumberFormat="1" applyFont="1" applyFill="1" applyBorder="1" applyAlignment="1">
      <alignment horizontal="center"/>
    </xf>
    <xf numFmtId="9" fontId="47" fillId="2" borderId="39" xfId="0" applyNumberFormat="1" applyFont="1" applyFill="1" applyBorder="1" applyAlignment="1">
      <alignment horizontal="center"/>
    </xf>
    <xf numFmtId="9" fontId="47" fillId="0" borderId="15" xfId="0" applyNumberFormat="1" applyFont="1" applyBorder="1" applyAlignment="1">
      <alignment horizontal="center"/>
    </xf>
    <xf numFmtId="9" fontId="47" fillId="0" borderId="0" xfId="0" applyNumberFormat="1" applyFont="1" applyAlignment="1">
      <alignment horizontal="center"/>
    </xf>
    <xf numFmtId="9" fontId="47" fillId="0" borderId="20" xfId="0" applyNumberFormat="1" applyFont="1" applyBorder="1" applyAlignment="1">
      <alignment horizontal="center"/>
    </xf>
    <xf numFmtId="9" fontId="47" fillId="2" borderId="0" xfId="0" applyNumberFormat="1" applyFont="1" applyFill="1" applyAlignment="1">
      <alignment horizontal="center"/>
    </xf>
    <xf numFmtId="9" fontId="47" fillId="2" borderId="20" xfId="0" applyNumberFormat="1" applyFont="1" applyFill="1" applyBorder="1" applyAlignment="1">
      <alignment horizontal="center"/>
    </xf>
    <xf numFmtId="1" fontId="47" fillId="2" borderId="0" xfId="0" applyNumberFormat="1" applyFont="1" applyFill="1" applyAlignment="1">
      <alignment horizontal="center"/>
    </xf>
    <xf numFmtId="9" fontId="47" fillId="2" borderId="15" xfId="0" applyNumberFormat="1" applyFont="1" applyFill="1" applyBorder="1" applyAlignment="1">
      <alignment horizontal="center"/>
    </xf>
    <xf numFmtId="9" fontId="47" fillId="0" borderId="25" xfId="0" applyNumberFormat="1" applyFont="1" applyBorder="1" applyAlignment="1">
      <alignment horizontal="center"/>
    </xf>
    <xf numFmtId="9" fontId="47" fillId="0" borderId="26" xfId="0" applyNumberFormat="1" applyFont="1" applyBorder="1" applyAlignment="1">
      <alignment horizontal="center"/>
    </xf>
    <xf numFmtId="9" fontId="47" fillId="0" borderId="13" xfId="0" applyNumberFormat="1" applyFont="1" applyBorder="1" applyAlignment="1">
      <alignment horizontal="center"/>
    </xf>
    <xf numFmtId="9" fontId="47" fillId="2" borderId="25" xfId="0" applyNumberFormat="1" applyFont="1" applyFill="1" applyBorder="1" applyAlignment="1">
      <alignment horizontal="center"/>
    </xf>
    <xf numFmtId="9" fontId="47" fillId="2" borderId="31" xfId="0" applyNumberFormat="1" applyFont="1" applyFill="1" applyBorder="1" applyAlignment="1">
      <alignment horizontal="center"/>
    </xf>
    <xf numFmtId="9" fontId="47" fillId="0" borderId="28" xfId="0" applyNumberFormat="1" applyFont="1" applyBorder="1" applyAlignment="1">
      <alignment horizontal="center"/>
    </xf>
    <xf numFmtId="9" fontId="46" fillId="4" borderId="40" xfId="0" applyNumberFormat="1" applyFont="1" applyFill="1" applyBorder="1" applyAlignment="1">
      <alignment horizontal="center"/>
    </xf>
    <xf numFmtId="0" fontId="46" fillId="4" borderId="6" xfId="0" applyFont="1" applyFill="1" applyBorder="1" applyAlignment="1">
      <alignment horizontal="center" wrapText="1"/>
    </xf>
    <xf numFmtId="1" fontId="46" fillId="4" borderId="18" xfId="0" applyNumberFormat="1" applyFont="1" applyFill="1" applyBorder="1" applyAlignment="1">
      <alignment horizontal="center"/>
    </xf>
    <xf numFmtId="2" fontId="46" fillId="4" borderId="18" xfId="0" applyNumberFormat="1" applyFont="1" applyFill="1" applyBorder="1" applyAlignment="1">
      <alignment horizontal="center"/>
    </xf>
    <xf numFmtId="9" fontId="46" fillId="4" borderId="41" xfId="0" applyNumberFormat="1" applyFont="1" applyFill="1" applyBorder="1" applyAlignment="1">
      <alignment horizontal="center"/>
    </xf>
    <xf numFmtId="9" fontId="46" fillId="4" borderId="0" xfId="0" applyNumberFormat="1" applyFont="1" applyFill="1" applyAlignment="1">
      <alignment horizontal="center"/>
    </xf>
    <xf numFmtId="10" fontId="46" fillId="4" borderId="0" xfId="0" applyNumberFormat="1" applyFont="1" applyFill="1" applyAlignment="1">
      <alignment horizontal="center"/>
    </xf>
    <xf numFmtId="9" fontId="44" fillId="5" borderId="18" xfId="0" applyNumberFormat="1" applyFont="1" applyFill="1" applyBorder="1" applyAlignment="1">
      <alignment horizontal="center"/>
    </xf>
    <xf numFmtId="9" fontId="41" fillId="2" borderId="26" xfId="0" applyNumberFormat="1" applyFont="1" applyFill="1" applyBorder="1" applyAlignment="1">
      <alignment horizontal="center"/>
    </xf>
    <xf numFmtId="9" fontId="41" fillId="0" borderId="13" xfId="0" applyNumberFormat="1" applyFont="1" applyBorder="1" applyAlignment="1">
      <alignment horizontal="center"/>
    </xf>
    <xf numFmtId="0" fontId="0" fillId="0" borderId="42" xfId="0" applyBorder="1" applyAlignment="1">
      <alignment horizontal="center"/>
    </xf>
    <xf numFmtId="0" fontId="47" fillId="0" borderId="43" xfId="0" applyFont="1" applyBorder="1"/>
    <xf numFmtId="9" fontId="42" fillId="0" borderId="44" xfId="0" applyNumberFormat="1" applyFont="1" applyBorder="1" applyAlignment="1">
      <alignment horizontal="center"/>
    </xf>
    <xf numFmtId="9" fontId="0" fillId="6" borderId="43" xfId="0" applyNumberFormat="1" applyFill="1" applyBorder="1" applyAlignment="1">
      <alignment horizontal="center"/>
    </xf>
    <xf numFmtId="9" fontId="47" fillId="3" borderId="45" xfId="0" applyNumberFormat="1" applyFont="1" applyFill="1" applyBorder="1" applyAlignment="1">
      <alignment horizontal="center"/>
    </xf>
    <xf numFmtId="9" fontId="42" fillId="0" borderId="36" xfId="0" applyNumberFormat="1" applyFont="1" applyBorder="1" applyAlignment="1">
      <alignment horizontal="center"/>
    </xf>
    <xf numFmtId="10" fontId="0" fillId="0" borderId="0" xfId="0" applyNumberFormat="1"/>
    <xf numFmtId="9" fontId="47" fillId="7" borderId="0" xfId="0" applyNumberFormat="1" applyFont="1" applyFill="1" applyAlignment="1">
      <alignment horizontal="center"/>
    </xf>
    <xf numFmtId="0" fontId="44" fillId="2" borderId="0" xfId="0" applyFont="1" applyFill="1" applyAlignment="1">
      <alignment horizontal="center"/>
    </xf>
    <xf numFmtId="0" fontId="47" fillId="0" borderId="21" xfId="0" applyFont="1" applyBorder="1"/>
    <xf numFmtId="9" fontId="44" fillId="5" borderId="46" xfId="0" applyNumberFormat="1" applyFont="1" applyFill="1" applyBorder="1" applyAlignment="1">
      <alignment horizontal="center"/>
    </xf>
    <xf numFmtId="9" fontId="44" fillId="5" borderId="17" xfId="0" applyNumberFormat="1" applyFont="1" applyFill="1" applyBorder="1" applyAlignment="1">
      <alignment horizontal="center"/>
    </xf>
    <xf numFmtId="9" fontId="44" fillId="5" borderId="23" xfId="0" applyNumberFormat="1" applyFont="1" applyFill="1" applyBorder="1" applyAlignment="1">
      <alignment horizontal="center"/>
    </xf>
    <xf numFmtId="1" fontId="44" fillId="5" borderId="18" xfId="0" applyNumberFormat="1" applyFont="1" applyFill="1" applyBorder="1" applyAlignment="1">
      <alignment horizontal="center"/>
    </xf>
    <xf numFmtId="2" fontId="44" fillId="5" borderId="18" xfId="0" applyNumberFormat="1" applyFont="1" applyFill="1" applyBorder="1" applyAlignment="1">
      <alignment horizontal="center"/>
    </xf>
    <xf numFmtId="9" fontId="44" fillId="6" borderId="23" xfId="0" applyNumberFormat="1" applyFont="1" applyFill="1" applyBorder="1" applyAlignment="1">
      <alignment horizontal="center"/>
    </xf>
    <xf numFmtId="9" fontId="44" fillId="5" borderId="40" xfId="0" applyNumberFormat="1" applyFont="1" applyFill="1" applyBorder="1" applyAlignment="1">
      <alignment horizontal="center"/>
    </xf>
    <xf numFmtId="9" fontId="44" fillId="5" borderId="41" xfId="0" applyNumberFormat="1" applyFont="1" applyFill="1" applyBorder="1" applyAlignment="1">
      <alignment horizontal="center"/>
    </xf>
    <xf numFmtId="10" fontId="52" fillId="5" borderId="41" xfId="0" applyNumberFormat="1" applyFont="1" applyFill="1" applyBorder="1" applyAlignment="1">
      <alignment horizontal="center"/>
    </xf>
    <xf numFmtId="0" fontId="0" fillId="0" borderId="47" xfId="0" applyBorder="1" applyAlignment="1">
      <alignment horizontal="center"/>
    </xf>
    <xf numFmtId="0" fontId="0" fillId="0" borderId="11" xfId="0" applyBorder="1"/>
    <xf numFmtId="9" fontId="42" fillId="0" borderId="48" xfId="0" applyNumberFormat="1" applyFont="1" applyBorder="1" applyAlignment="1">
      <alignment horizontal="center"/>
    </xf>
    <xf numFmtId="9" fontId="0" fillId="0" borderId="30" xfId="0" applyNumberFormat="1" applyBorder="1" applyAlignment="1">
      <alignment horizontal="center"/>
    </xf>
    <xf numFmtId="9" fontId="46" fillId="4" borderId="30" xfId="0" applyNumberFormat="1" applyFont="1" applyFill="1" applyBorder="1" applyAlignment="1">
      <alignment horizontal="center"/>
    </xf>
    <xf numFmtId="10" fontId="49" fillId="0" borderId="30" xfId="0" applyNumberFormat="1" applyFont="1" applyBorder="1" applyAlignment="1">
      <alignment horizontal="center"/>
    </xf>
    <xf numFmtId="10" fontId="49" fillId="3" borderId="30" xfId="0" applyNumberFormat="1" applyFont="1" applyFill="1" applyBorder="1" applyAlignment="1">
      <alignment horizontal="center"/>
    </xf>
    <xf numFmtId="0" fontId="0" fillId="0" borderId="31" xfId="0" applyBorder="1"/>
    <xf numFmtId="0" fontId="0" fillId="4" borderId="30" xfId="0" applyFill="1" applyBorder="1"/>
    <xf numFmtId="0" fontId="0" fillId="8" borderId="30" xfId="0" applyFill="1" applyBorder="1"/>
    <xf numFmtId="0" fontId="55" fillId="0" borderId="0" xfId="0" applyFont="1" applyAlignment="1">
      <alignment horizontal="center"/>
    </xf>
    <xf numFmtId="0" fontId="55" fillId="0" borderId="30" xfId="0" applyFont="1" applyBorder="1" applyAlignment="1">
      <alignment horizontal="center"/>
    </xf>
    <xf numFmtId="0" fontId="46" fillId="9" borderId="30" xfId="0" applyFont="1" applyFill="1" applyBorder="1" applyAlignment="1">
      <alignment horizontal="center"/>
    </xf>
    <xf numFmtId="0" fontId="50" fillId="9" borderId="30" xfId="0" applyFont="1" applyFill="1" applyBorder="1" applyAlignment="1">
      <alignment horizontal="center"/>
    </xf>
    <xf numFmtId="0" fontId="50" fillId="9" borderId="30" xfId="0" applyFont="1" applyFill="1" applyBorder="1" applyAlignment="1">
      <alignment horizontal="center" vertical="center" wrapText="1"/>
    </xf>
    <xf numFmtId="9" fontId="50" fillId="9" borderId="30" xfId="0" applyNumberFormat="1" applyFont="1" applyFill="1" applyBorder="1" applyAlignment="1">
      <alignment horizontal="center"/>
    </xf>
    <xf numFmtId="0" fontId="60" fillId="9" borderId="30" xfId="0" applyFont="1" applyFill="1" applyBorder="1" applyAlignment="1">
      <alignment horizontal="center"/>
    </xf>
    <xf numFmtId="0" fontId="50" fillId="9" borderId="30" xfId="0" applyFont="1" applyFill="1" applyBorder="1" applyAlignment="1">
      <alignment horizontal="left"/>
    </xf>
    <xf numFmtId="0" fontId="42" fillId="0" borderId="0" xfId="0" applyFont="1" applyAlignment="1">
      <alignment horizontal="left"/>
    </xf>
    <xf numFmtId="0" fontId="42" fillId="0" borderId="0" xfId="0" applyFont="1" applyAlignment="1">
      <alignment horizontal="center" vertical="center" wrapText="1"/>
    </xf>
    <xf numFmtId="0" fontId="0" fillId="4" borderId="31" xfId="0" applyFill="1" applyBorder="1"/>
    <xf numFmtId="0" fontId="0" fillId="2" borderId="31" xfId="0" applyFill="1" applyBorder="1"/>
    <xf numFmtId="0" fontId="55" fillId="2" borderId="30" xfId="0" applyFont="1" applyFill="1" applyBorder="1" applyAlignment="1">
      <alignment horizontal="center"/>
    </xf>
    <xf numFmtId="1" fontId="0" fillId="3" borderId="16" xfId="0" applyNumberFormat="1" applyFill="1" applyBorder="1" applyAlignment="1">
      <alignment horizontal="left" indent="2"/>
    </xf>
    <xf numFmtId="3" fontId="47" fillId="2" borderId="0" xfId="0" applyNumberFormat="1" applyFont="1" applyFill="1" applyAlignment="1">
      <alignment horizontal="center"/>
    </xf>
    <xf numFmtId="3" fontId="47" fillId="3" borderId="16" xfId="0" applyNumberFormat="1" applyFont="1" applyFill="1" applyBorder="1" applyAlignment="1">
      <alignment horizontal="center"/>
    </xf>
    <xf numFmtId="3" fontId="0" fillId="3" borderId="16" xfId="0" applyNumberFormat="1" applyFill="1" applyBorder="1" applyAlignment="1">
      <alignment horizontal="center"/>
    </xf>
    <xf numFmtId="9" fontId="47" fillId="10" borderId="0" xfId="0" applyNumberFormat="1" applyFont="1" applyFill="1" applyAlignment="1">
      <alignment horizontal="center"/>
    </xf>
    <xf numFmtId="9" fontId="47" fillId="10" borderId="16" xfId="0" applyNumberFormat="1" applyFont="1" applyFill="1" applyBorder="1" applyAlignment="1">
      <alignment horizontal="center"/>
    </xf>
    <xf numFmtId="0" fontId="48" fillId="0" borderId="15" xfId="0" applyFont="1" applyBorder="1"/>
    <xf numFmtId="0" fontId="47" fillId="0" borderId="25" xfId="0" applyFont="1" applyBorder="1"/>
    <xf numFmtId="9" fontId="42" fillId="6" borderId="21" xfId="0" applyNumberFormat="1" applyFont="1" applyFill="1" applyBorder="1" applyAlignment="1">
      <alignment horizontal="center"/>
    </xf>
    <xf numFmtId="1" fontId="44" fillId="5" borderId="22" xfId="0" applyNumberFormat="1" applyFont="1" applyFill="1" applyBorder="1" applyAlignment="1">
      <alignment horizontal="center"/>
    </xf>
    <xf numFmtId="1" fontId="44" fillId="5" borderId="23" xfId="0" applyNumberFormat="1" applyFont="1" applyFill="1" applyBorder="1" applyAlignment="1">
      <alignment horizontal="center"/>
    </xf>
    <xf numFmtId="2" fontId="47" fillId="0" borderId="15" xfId="0" applyNumberFormat="1" applyFont="1" applyBorder="1" applyAlignment="1">
      <alignment horizontal="center"/>
    </xf>
    <xf numFmtId="4" fontId="47" fillId="3" borderId="16" xfId="0" applyNumberFormat="1" applyFont="1" applyFill="1" applyBorder="1" applyAlignment="1">
      <alignment horizontal="center"/>
    </xf>
    <xf numFmtId="4" fontId="47" fillId="0" borderId="25" xfId="0" applyNumberFormat="1" applyFont="1" applyBorder="1" applyAlignment="1">
      <alignment horizontal="center"/>
    </xf>
    <xf numFmtId="4" fontId="47" fillId="3" borderId="22" xfId="0" applyNumberFormat="1" applyFont="1" applyFill="1" applyBorder="1" applyAlignment="1">
      <alignment horizontal="center"/>
    </xf>
    <xf numFmtId="3" fontId="47" fillId="0" borderId="15" xfId="0" applyNumberFormat="1" applyFont="1" applyBorder="1" applyAlignment="1">
      <alignment horizontal="center"/>
    </xf>
    <xf numFmtId="2" fontId="46" fillId="4" borderId="22" xfId="0" applyNumberFormat="1" applyFont="1" applyFill="1" applyBorder="1" applyAlignment="1">
      <alignment horizontal="center"/>
    </xf>
    <xf numFmtId="0" fontId="42" fillId="2" borderId="0" xfId="0" applyFont="1" applyFill="1" applyAlignment="1">
      <alignment horizontal="center"/>
    </xf>
    <xf numFmtId="10" fontId="49" fillId="2" borderId="0" xfId="0" applyNumberFormat="1" applyFont="1" applyFill="1" applyAlignment="1">
      <alignment horizontal="center"/>
    </xf>
    <xf numFmtId="9" fontId="46" fillId="2" borderId="0" xfId="0" applyNumberFormat="1" applyFont="1" applyFill="1" applyAlignment="1">
      <alignment horizontal="center"/>
    </xf>
    <xf numFmtId="0" fontId="38" fillId="0" borderId="0" xfId="0" applyFont="1"/>
    <xf numFmtId="0" fontId="0" fillId="0" borderId="0" xfId="0" applyAlignment="1">
      <alignment vertical="center" wrapText="1"/>
    </xf>
    <xf numFmtId="4" fontId="0" fillId="3" borderId="16" xfId="0" applyNumberFormat="1" applyFill="1" applyBorder="1" applyAlignment="1">
      <alignment horizontal="center"/>
    </xf>
    <xf numFmtId="4" fontId="0" fillId="3" borderId="22" xfId="0" applyNumberFormat="1" applyFill="1" applyBorder="1" applyAlignment="1">
      <alignment horizontal="center"/>
    </xf>
    <xf numFmtId="3" fontId="47" fillId="2" borderId="20" xfId="0" applyNumberFormat="1" applyFont="1" applyFill="1" applyBorder="1" applyAlignment="1">
      <alignment horizontal="center"/>
    </xf>
    <xf numFmtId="3" fontId="47" fillId="3" borderId="22" xfId="0" applyNumberFormat="1" applyFont="1" applyFill="1" applyBorder="1" applyAlignment="1">
      <alignment horizontal="center"/>
    </xf>
    <xf numFmtId="3" fontId="46" fillId="4" borderId="23" xfId="0" applyNumberFormat="1" applyFont="1" applyFill="1" applyBorder="1" applyAlignment="1">
      <alignment horizontal="center"/>
    </xf>
    <xf numFmtId="3" fontId="46" fillId="4" borderId="22" xfId="0" applyNumberFormat="1" applyFont="1" applyFill="1" applyBorder="1" applyAlignment="1">
      <alignment horizontal="center"/>
    </xf>
    <xf numFmtId="3" fontId="44" fillId="5" borderId="22" xfId="0" applyNumberFormat="1" applyFont="1" applyFill="1" applyBorder="1" applyAlignment="1">
      <alignment horizontal="center"/>
    </xf>
    <xf numFmtId="3" fontId="0" fillId="6" borderId="20" xfId="0" applyNumberFormat="1" applyFill="1" applyBorder="1" applyAlignment="1">
      <alignment horizontal="center"/>
    </xf>
    <xf numFmtId="3" fontId="0" fillId="0" borderId="20" xfId="0" applyNumberFormat="1" applyBorder="1" applyAlignment="1">
      <alignment horizontal="center"/>
    </xf>
    <xf numFmtId="3" fontId="0" fillId="3" borderId="22" xfId="0" applyNumberFormat="1" applyFill="1" applyBorder="1" applyAlignment="1">
      <alignment horizontal="center"/>
    </xf>
    <xf numFmtId="3" fontId="44" fillId="5" borderId="23" xfId="0" applyNumberFormat="1" applyFont="1" applyFill="1" applyBorder="1" applyAlignment="1">
      <alignment horizontal="center"/>
    </xf>
    <xf numFmtId="0" fontId="61" fillId="2" borderId="0" xfId="0" applyFont="1" applyFill="1" applyAlignment="1">
      <alignment horizontal="center"/>
    </xf>
    <xf numFmtId="0" fontId="45" fillId="3" borderId="30" xfId="0" applyFont="1" applyFill="1" applyBorder="1" applyAlignment="1">
      <alignment horizontal="center" wrapText="1"/>
    </xf>
    <xf numFmtId="9" fontId="44" fillId="0" borderId="30" xfId="0" applyNumberFormat="1" applyFont="1" applyBorder="1" applyAlignment="1">
      <alignment horizontal="center" vertical="center" wrapText="1"/>
    </xf>
    <xf numFmtId="9" fontId="49" fillId="3" borderId="30" xfId="0" applyNumberFormat="1" applyFont="1" applyFill="1" applyBorder="1" applyAlignment="1">
      <alignment horizontal="center"/>
    </xf>
    <xf numFmtId="2" fontId="0" fillId="0" borderId="0" xfId="0" applyNumberFormat="1" applyAlignment="1">
      <alignment horizontal="center"/>
    </xf>
    <xf numFmtId="2" fontId="0" fillId="0" borderId="0" xfId="0" applyNumberFormat="1" applyAlignment="1">
      <alignment horizontal="left"/>
    </xf>
    <xf numFmtId="0" fontId="45" fillId="0" borderId="30" xfId="0" applyFont="1" applyBorder="1" applyAlignment="1">
      <alignment horizontal="center"/>
    </xf>
    <xf numFmtId="3" fontId="0" fillId="0" borderId="0" xfId="0" applyNumberFormat="1" applyAlignment="1">
      <alignment horizontal="center"/>
    </xf>
    <xf numFmtId="2" fontId="49" fillId="2" borderId="0" xfId="0" applyNumberFormat="1" applyFont="1" applyFill="1"/>
    <xf numFmtId="0" fontId="44" fillId="0" borderId="8" xfId="0" applyFont="1" applyBorder="1" applyAlignment="1">
      <alignment horizontal="right"/>
    </xf>
    <xf numFmtId="0" fontId="0" fillId="2" borderId="0" xfId="0" applyFill="1" applyAlignment="1">
      <alignment vertical="center" wrapText="1"/>
    </xf>
    <xf numFmtId="0" fontId="0" fillId="2" borderId="34" xfId="0" applyFill="1" applyBorder="1" applyAlignment="1">
      <alignment horizontal="center"/>
    </xf>
    <xf numFmtId="0" fontId="0" fillId="0" borderId="34" xfId="0" applyBorder="1" applyAlignment="1">
      <alignment horizontal="center"/>
    </xf>
    <xf numFmtId="0" fontId="44" fillId="2" borderId="34" xfId="0" applyFont="1" applyFill="1" applyBorder="1" applyAlignment="1">
      <alignment horizontal="center"/>
    </xf>
    <xf numFmtId="0" fontId="51" fillId="2" borderId="0" xfId="0" applyFont="1" applyFill="1" applyAlignment="1">
      <alignment horizontal="center"/>
    </xf>
    <xf numFmtId="0" fontId="0" fillId="0" borderId="34" xfId="0" applyBorder="1"/>
    <xf numFmtId="0" fontId="49" fillId="0" borderId="34" xfId="0" applyFont="1" applyBorder="1"/>
    <xf numFmtId="0" fontId="46" fillId="11" borderId="0" xfId="0" applyFont="1" applyFill="1" applyAlignment="1">
      <alignment horizontal="center"/>
    </xf>
    <xf numFmtId="0" fontId="46" fillId="4" borderId="0" xfId="0" applyFont="1" applyFill="1" applyAlignment="1">
      <alignment horizontal="center"/>
    </xf>
    <xf numFmtId="2" fontId="46" fillId="2" borderId="0" xfId="0" applyNumberFormat="1" applyFont="1" applyFill="1" applyAlignment="1">
      <alignment horizontal="center"/>
    </xf>
    <xf numFmtId="0" fontId="47" fillId="2" borderId="34" xfId="0" applyFont="1" applyFill="1" applyBorder="1" applyAlignment="1">
      <alignment horizontal="center"/>
    </xf>
    <xf numFmtId="0" fontId="46" fillId="2" borderId="0" xfId="0" applyFont="1" applyFill="1" applyAlignment="1">
      <alignment horizontal="center"/>
    </xf>
    <xf numFmtId="2" fontId="0" fillId="2" borderId="34" xfId="0" applyNumberFormat="1" applyFill="1" applyBorder="1" applyAlignment="1">
      <alignment horizontal="center"/>
    </xf>
    <xf numFmtId="0" fontId="47" fillId="2" borderId="0" xfId="0" applyFont="1" applyFill="1" applyAlignment="1">
      <alignment horizontal="center"/>
    </xf>
    <xf numFmtId="4" fontId="0" fillId="0" borderId="0" xfId="0" applyNumberFormat="1" applyAlignment="1">
      <alignment horizontal="center"/>
    </xf>
    <xf numFmtId="4" fontId="0" fillId="0" borderId="0" xfId="0" applyNumberFormat="1"/>
    <xf numFmtId="1" fontId="0" fillId="2" borderId="0" xfId="0" applyNumberFormat="1" applyFill="1"/>
    <xf numFmtId="1" fontId="0" fillId="7" borderId="0" xfId="0" applyNumberFormat="1" applyFill="1" applyAlignment="1">
      <alignment horizontal="center"/>
    </xf>
    <xf numFmtId="3" fontId="42" fillId="2" borderId="0" xfId="0" applyNumberFormat="1" applyFont="1" applyFill="1" applyAlignment="1">
      <alignment horizontal="center"/>
    </xf>
    <xf numFmtId="3" fontId="61" fillId="2" borderId="0" xfId="0" applyNumberFormat="1" applyFont="1" applyFill="1" applyAlignment="1">
      <alignment horizontal="center"/>
    </xf>
    <xf numFmtId="0" fontId="64" fillId="2" borderId="0" xfId="0" applyFont="1" applyFill="1" applyAlignment="1">
      <alignment horizontal="center"/>
    </xf>
    <xf numFmtId="0" fontId="59" fillId="11" borderId="0" xfId="0" applyFont="1" applyFill="1" applyAlignment="1">
      <alignment horizontal="center"/>
    </xf>
    <xf numFmtId="0" fontId="57" fillId="0" borderId="30" xfId="0" applyFont="1" applyBorder="1" applyAlignment="1" applyProtection="1">
      <alignment horizontal="center" vertical="center"/>
      <protection locked="0"/>
    </xf>
    <xf numFmtId="0" fontId="0" fillId="2" borderId="31" xfId="0" applyFill="1" applyBorder="1" applyAlignment="1">
      <alignment horizontal="center"/>
    </xf>
    <xf numFmtId="0" fontId="0" fillId="2" borderId="28" xfId="0" applyFill="1" applyBorder="1" applyAlignment="1">
      <alignment horizontal="center"/>
    </xf>
    <xf numFmtId="0" fontId="62" fillId="2" borderId="28" xfId="0" applyFont="1" applyFill="1" applyBorder="1"/>
    <xf numFmtId="0" fontId="62" fillId="2" borderId="0" xfId="0" applyFont="1" applyFill="1"/>
    <xf numFmtId="0" fontId="56" fillId="0" borderId="30" xfId="0" applyFont="1" applyBorder="1" applyAlignment="1" applyProtection="1">
      <alignment horizontal="center" vertical="center"/>
      <protection locked="0"/>
    </xf>
    <xf numFmtId="0" fontId="66" fillId="0" borderId="30" xfId="0" applyFont="1" applyBorder="1" applyAlignment="1" applyProtection="1">
      <alignment horizontal="center" vertical="center" wrapText="1"/>
      <protection locked="0"/>
    </xf>
    <xf numFmtId="0" fontId="66" fillId="2" borderId="0" xfId="0" applyFont="1" applyFill="1" applyAlignment="1" applyProtection="1">
      <alignment horizontal="center" vertical="center" wrapText="1"/>
      <protection locked="0"/>
    </xf>
    <xf numFmtId="0" fontId="66" fillId="0" borderId="25" xfId="0" applyFont="1" applyBorder="1" applyAlignment="1" applyProtection="1">
      <alignment horizontal="center" vertical="center" wrapText="1"/>
      <protection locked="0"/>
    </xf>
    <xf numFmtId="0" fontId="66" fillId="0" borderId="21" xfId="0" applyFont="1" applyBorder="1" applyAlignment="1" applyProtection="1">
      <alignment horizontal="center" vertical="center" wrapText="1"/>
      <protection locked="0"/>
    </xf>
    <xf numFmtId="0" fontId="67" fillId="0" borderId="21" xfId="0" applyFont="1" applyBorder="1" applyAlignment="1" applyProtection="1">
      <alignment horizontal="center" vertical="center"/>
      <protection locked="0"/>
    </xf>
    <xf numFmtId="1" fontId="68" fillId="0" borderId="21" xfId="0" applyNumberFormat="1" applyFont="1" applyBorder="1" applyAlignment="1" applyProtection="1">
      <alignment horizontal="center" vertical="center" wrapText="1"/>
      <protection locked="0"/>
    </xf>
    <xf numFmtId="1" fontId="68" fillId="0" borderId="30" xfId="0" applyNumberFormat="1" applyFont="1" applyBorder="1" applyAlignment="1" applyProtection="1">
      <alignment horizontal="center" vertical="center" wrapText="1"/>
      <protection locked="0"/>
    </xf>
    <xf numFmtId="0" fontId="68" fillId="2" borderId="0" xfId="0" applyFont="1" applyFill="1" applyAlignment="1" applyProtection="1">
      <alignment horizontal="center" vertical="center" wrapText="1"/>
      <protection locked="0"/>
    </xf>
    <xf numFmtId="168" fontId="56" fillId="2" borderId="25" xfId="0" applyNumberFormat="1" applyFont="1" applyFill="1" applyBorder="1" applyAlignment="1" applyProtection="1">
      <alignment horizontal="center" vertical="center"/>
      <protection locked="0"/>
    </xf>
    <xf numFmtId="168" fontId="56" fillId="2" borderId="20" xfId="0" applyNumberFormat="1" applyFont="1" applyFill="1" applyBorder="1" applyAlignment="1" applyProtection="1">
      <alignment horizontal="center" vertical="center"/>
      <protection locked="0"/>
    </xf>
    <xf numFmtId="169" fontId="56" fillId="2" borderId="49" xfId="0" applyNumberFormat="1" applyFont="1" applyFill="1" applyBorder="1" applyAlignment="1" applyProtection="1">
      <alignment horizontal="center" vertical="center"/>
      <protection locked="0"/>
    </xf>
    <xf numFmtId="168" fontId="68" fillId="2" borderId="25" xfId="0" applyNumberFormat="1" applyFont="1" applyFill="1" applyBorder="1" applyAlignment="1" applyProtection="1">
      <alignment horizontal="center" vertical="center"/>
      <protection locked="0"/>
    </xf>
    <xf numFmtId="168" fontId="68" fillId="2" borderId="20" xfId="0" applyNumberFormat="1" applyFont="1" applyFill="1" applyBorder="1" applyAlignment="1" applyProtection="1">
      <alignment horizontal="center" vertical="center"/>
      <protection locked="0"/>
    </xf>
    <xf numFmtId="169" fontId="68" fillId="2" borderId="49" xfId="0" applyNumberFormat="1" applyFont="1" applyFill="1" applyBorder="1" applyAlignment="1" applyProtection="1">
      <alignment horizontal="center" vertical="center"/>
      <protection locked="0"/>
    </xf>
    <xf numFmtId="1" fontId="69" fillId="7" borderId="21" xfId="0" applyNumberFormat="1" applyFont="1" applyFill="1" applyBorder="1" applyAlignment="1" applyProtection="1">
      <alignment horizontal="center" vertical="center"/>
      <protection locked="0"/>
    </xf>
    <xf numFmtId="1" fontId="70" fillId="12" borderId="21" xfId="0" applyNumberFormat="1" applyFont="1" applyFill="1" applyBorder="1" applyAlignment="1" applyProtection="1">
      <alignment horizontal="center" vertical="center"/>
      <protection locked="0"/>
    </xf>
    <xf numFmtId="1" fontId="70" fillId="12" borderId="30" xfId="0" applyNumberFormat="1" applyFont="1" applyFill="1" applyBorder="1" applyAlignment="1" applyProtection="1">
      <alignment horizontal="center" vertical="center"/>
      <protection locked="0"/>
    </xf>
    <xf numFmtId="1" fontId="71" fillId="4" borderId="21" xfId="0" applyNumberFormat="1" applyFont="1" applyFill="1" applyBorder="1" applyAlignment="1" applyProtection="1">
      <alignment horizontal="center" vertical="center"/>
      <protection locked="0"/>
    </xf>
    <xf numFmtId="166" fontId="71" fillId="2" borderId="0" xfId="0" applyNumberFormat="1" applyFont="1" applyFill="1" applyAlignment="1" applyProtection="1">
      <alignment horizontal="center" vertical="center"/>
      <protection locked="0"/>
    </xf>
    <xf numFmtId="168" fontId="71" fillId="4" borderId="25" xfId="0" applyNumberFormat="1" applyFont="1" applyFill="1" applyBorder="1" applyAlignment="1" applyProtection="1">
      <alignment horizontal="center" vertical="center"/>
      <protection locked="0"/>
    </xf>
    <xf numFmtId="168" fontId="71" fillId="4" borderId="21" xfId="0" applyNumberFormat="1" applyFont="1" applyFill="1" applyBorder="1" applyAlignment="1" applyProtection="1">
      <alignment horizontal="center" vertical="center"/>
      <protection locked="0"/>
    </xf>
    <xf numFmtId="169" fontId="70" fillId="12" borderId="21" xfId="0" applyNumberFormat="1" applyFont="1" applyFill="1" applyBorder="1" applyAlignment="1" applyProtection="1">
      <alignment horizontal="center" vertical="center"/>
      <protection locked="0"/>
    </xf>
    <xf numFmtId="0" fontId="67" fillId="0" borderId="30" xfId="0" applyFont="1" applyBorder="1" applyAlignment="1" applyProtection="1">
      <alignment horizontal="center" vertical="center"/>
      <protection locked="0"/>
    </xf>
    <xf numFmtId="1" fontId="67" fillId="0" borderId="30" xfId="0" applyNumberFormat="1" applyFont="1" applyBorder="1" applyAlignment="1" applyProtection="1">
      <alignment horizontal="center" vertical="center"/>
      <protection locked="0"/>
    </xf>
    <xf numFmtId="166" fontId="67" fillId="2" borderId="0" xfId="0" applyNumberFormat="1" applyFont="1" applyFill="1" applyAlignment="1" applyProtection="1">
      <alignment horizontal="center" vertical="center"/>
      <protection locked="0"/>
    </xf>
    <xf numFmtId="168" fontId="67" fillId="0" borderId="31" xfId="0" applyNumberFormat="1" applyFont="1" applyBorder="1" applyAlignment="1" applyProtection="1">
      <alignment horizontal="center" vertical="center"/>
      <protection locked="0"/>
    </xf>
    <xf numFmtId="168" fontId="67" fillId="0" borderId="30" xfId="0" applyNumberFormat="1" applyFont="1" applyBorder="1" applyAlignment="1" applyProtection="1">
      <alignment horizontal="center" vertical="center"/>
      <protection locked="0"/>
    </xf>
    <xf numFmtId="169" fontId="67" fillId="0" borderId="30" xfId="0" applyNumberFormat="1" applyFont="1" applyBorder="1" applyAlignment="1" applyProtection="1">
      <alignment horizontal="center" vertical="center"/>
      <protection locked="0"/>
    </xf>
    <xf numFmtId="168" fontId="68" fillId="2" borderId="26" xfId="0" applyNumberFormat="1" applyFont="1" applyFill="1" applyBorder="1" applyAlignment="1" applyProtection="1">
      <alignment vertical="center"/>
      <protection locked="0"/>
    </xf>
    <xf numFmtId="168" fontId="68" fillId="2" borderId="13" xfId="0" applyNumberFormat="1" applyFont="1" applyFill="1" applyBorder="1" applyAlignment="1" applyProtection="1">
      <alignment vertical="center"/>
      <protection locked="0"/>
    </xf>
    <xf numFmtId="168" fontId="68" fillId="2" borderId="50" xfId="0" applyNumberFormat="1" applyFont="1" applyFill="1" applyBorder="1" applyAlignment="1" applyProtection="1">
      <alignment vertical="center"/>
      <protection locked="0"/>
    </xf>
    <xf numFmtId="166" fontId="68" fillId="2" borderId="0" xfId="0" applyNumberFormat="1" applyFont="1" applyFill="1" applyAlignment="1" applyProtection="1">
      <alignment horizontal="center" vertical="center"/>
      <protection locked="0"/>
    </xf>
    <xf numFmtId="1" fontId="67" fillId="0" borderId="21" xfId="0" applyNumberFormat="1" applyFont="1" applyBorder="1" applyAlignment="1" applyProtection="1">
      <alignment horizontal="center" vertical="center"/>
      <protection locked="0"/>
    </xf>
    <xf numFmtId="168" fontId="68" fillId="2" borderId="25" xfId="0" applyNumberFormat="1" applyFont="1" applyFill="1" applyBorder="1" applyAlignment="1" applyProtection="1">
      <alignment vertical="center"/>
      <protection locked="0"/>
    </xf>
    <xf numFmtId="168" fontId="68" fillId="2" borderId="20" xfId="0" applyNumberFormat="1" applyFont="1" applyFill="1" applyBorder="1" applyAlignment="1" applyProtection="1">
      <alignment vertical="center"/>
      <protection locked="0"/>
    </xf>
    <xf numFmtId="168" fontId="68" fillId="2" borderId="49" xfId="0" applyNumberFormat="1" applyFont="1" applyFill="1" applyBorder="1" applyAlignment="1" applyProtection="1">
      <alignment vertical="center"/>
      <protection locked="0"/>
    </xf>
    <xf numFmtId="168" fontId="56" fillId="2" borderId="31" xfId="0" applyNumberFormat="1" applyFont="1" applyFill="1" applyBorder="1" applyAlignment="1" applyProtection="1">
      <alignment horizontal="center" vertical="center"/>
      <protection locked="0"/>
    </xf>
    <xf numFmtId="168" fontId="56" fillId="2" borderId="28" xfId="0" applyNumberFormat="1" applyFont="1" applyFill="1" applyBorder="1" applyAlignment="1" applyProtection="1">
      <alignment horizontal="center" vertical="center"/>
      <protection locked="0"/>
    </xf>
    <xf numFmtId="169" fontId="56" fillId="2" borderId="51" xfId="0" applyNumberFormat="1" applyFont="1" applyFill="1" applyBorder="1" applyAlignment="1" applyProtection="1">
      <alignment horizontal="center" vertical="center"/>
      <protection locked="0"/>
    </xf>
    <xf numFmtId="168" fontId="68" fillId="2" borderId="31" xfId="0" applyNumberFormat="1" applyFont="1" applyFill="1" applyBorder="1" applyAlignment="1" applyProtection="1">
      <alignment vertical="center"/>
      <protection locked="0"/>
    </xf>
    <xf numFmtId="168" fontId="68" fillId="2" borderId="28" xfId="0" applyNumberFormat="1" applyFont="1" applyFill="1" applyBorder="1" applyAlignment="1" applyProtection="1">
      <alignment vertical="center"/>
      <protection locked="0"/>
    </xf>
    <xf numFmtId="168" fontId="68" fillId="2" borderId="51" xfId="0" applyNumberFormat="1" applyFont="1" applyFill="1" applyBorder="1" applyAlignment="1" applyProtection="1">
      <alignment vertical="center"/>
      <protection locked="0"/>
    </xf>
    <xf numFmtId="169" fontId="70" fillId="12" borderId="30" xfId="0" applyNumberFormat="1" applyFont="1" applyFill="1" applyBorder="1" applyAlignment="1" applyProtection="1">
      <alignment horizontal="center" vertical="center"/>
      <protection locked="0"/>
    </xf>
    <xf numFmtId="169" fontId="70" fillId="12" borderId="49" xfId="0" applyNumberFormat="1" applyFont="1" applyFill="1" applyBorder="1" applyAlignment="1" applyProtection="1">
      <alignment horizontal="center" vertical="center"/>
      <protection locked="0"/>
    </xf>
    <xf numFmtId="166" fontId="70" fillId="2" borderId="0" xfId="0" applyNumberFormat="1" applyFont="1" applyFill="1" applyAlignment="1" applyProtection="1">
      <alignment horizontal="center" vertical="center"/>
      <protection locked="0"/>
    </xf>
    <xf numFmtId="1" fontId="71" fillId="4" borderId="30" xfId="0" applyNumberFormat="1" applyFont="1" applyFill="1" applyBorder="1" applyAlignment="1" applyProtection="1">
      <alignment horizontal="center" vertical="center"/>
      <protection locked="0"/>
    </xf>
    <xf numFmtId="1" fontId="70" fillId="7" borderId="30" xfId="0" applyNumberFormat="1" applyFont="1" applyFill="1" applyBorder="1" applyAlignment="1" applyProtection="1">
      <alignment horizontal="center" vertical="center"/>
      <protection locked="0"/>
    </xf>
    <xf numFmtId="168" fontId="71" fillId="4" borderId="24" xfId="0" applyNumberFormat="1" applyFont="1" applyFill="1" applyBorder="1" applyAlignment="1" applyProtection="1">
      <alignment horizontal="center" vertical="center"/>
      <protection locked="0"/>
    </xf>
    <xf numFmtId="168" fontId="67" fillId="0" borderId="25" xfId="0" applyNumberFormat="1" applyFont="1" applyBorder="1" applyAlignment="1" applyProtection="1">
      <alignment horizontal="center" vertical="center"/>
      <protection locked="0"/>
    </xf>
    <xf numFmtId="168" fontId="67" fillId="0" borderId="21" xfId="0" applyNumberFormat="1" applyFont="1" applyBorder="1" applyAlignment="1" applyProtection="1">
      <alignment horizontal="center" vertical="center"/>
      <protection locked="0"/>
    </xf>
    <xf numFmtId="169" fontId="67" fillId="0" borderId="21" xfId="0" applyNumberFormat="1" applyFont="1" applyBorder="1" applyAlignment="1" applyProtection="1">
      <alignment horizontal="center" vertical="center"/>
      <protection locked="0"/>
    </xf>
    <xf numFmtId="168" fontId="71" fillId="2" borderId="25" xfId="0" applyNumberFormat="1" applyFont="1" applyFill="1" applyBorder="1" applyAlignment="1" applyProtection="1">
      <alignment horizontal="center" vertical="center"/>
      <protection locked="0"/>
    </xf>
    <xf numFmtId="168" fontId="71" fillId="2" borderId="21" xfId="0" applyNumberFormat="1" applyFont="1" applyFill="1" applyBorder="1" applyAlignment="1" applyProtection="1">
      <alignment horizontal="center" vertical="center"/>
      <protection locked="0"/>
    </xf>
    <xf numFmtId="169" fontId="70" fillId="2" borderId="21" xfId="0" applyNumberFormat="1" applyFont="1" applyFill="1" applyBorder="1" applyAlignment="1" applyProtection="1">
      <alignment horizontal="center" vertical="center"/>
      <protection locked="0"/>
    </xf>
    <xf numFmtId="169" fontId="71" fillId="2" borderId="21" xfId="0" applyNumberFormat="1" applyFont="1" applyFill="1" applyBorder="1" applyAlignment="1" applyProtection="1">
      <alignment horizontal="center" vertical="center"/>
      <protection locked="0"/>
    </xf>
    <xf numFmtId="169" fontId="70" fillId="2" borderId="49" xfId="0" applyNumberFormat="1" applyFont="1" applyFill="1" applyBorder="1" applyAlignment="1" applyProtection="1">
      <alignment horizontal="center" vertical="center"/>
      <protection locked="0"/>
    </xf>
    <xf numFmtId="168" fontId="69" fillId="2" borderId="25" xfId="0" applyNumberFormat="1" applyFont="1" applyFill="1" applyBorder="1" applyAlignment="1" applyProtection="1">
      <alignment horizontal="center" vertical="center"/>
      <protection locked="0"/>
    </xf>
    <xf numFmtId="168" fontId="71" fillId="2" borderId="24" xfId="0" applyNumberFormat="1" applyFont="1" applyFill="1" applyBorder="1" applyAlignment="1" applyProtection="1">
      <alignment horizontal="center" vertical="center"/>
      <protection locked="0"/>
    </xf>
    <xf numFmtId="168" fontId="69" fillId="2" borderId="32" xfId="0" applyNumberFormat="1" applyFont="1" applyFill="1" applyBorder="1" applyAlignment="1" applyProtection="1">
      <alignment horizontal="center" vertical="center"/>
      <protection locked="0"/>
    </xf>
    <xf numFmtId="0" fontId="63" fillId="0" borderId="30" xfId="0" applyFont="1" applyBorder="1" applyAlignment="1" applyProtection="1">
      <alignment horizontal="center" vertical="center" wrapText="1"/>
      <protection locked="0"/>
    </xf>
    <xf numFmtId="0" fontId="38" fillId="2" borderId="14" xfId="0" applyFont="1" applyFill="1" applyBorder="1" applyAlignment="1">
      <alignment horizontal="center"/>
    </xf>
    <xf numFmtId="9" fontId="0" fillId="2" borderId="8" xfId="0" applyNumberFormat="1" applyFill="1" applyBorder="1" applyAlignment="1">
      <alignment horizontal="center"/>
    </xf>
    <xf numFmtId="0" fontId="0" fillId="2" borderId="8" xfId="0" applyFill="1" applyBorder="1" applyAlignment="1">
      <alignment horizontal="center"/>
    </xf>
    <xf numFmtId="17" fontId="0" fillId="0" borderId="34" xfId="0" applyNumberFormat="1" applyBorder="1" applyAlignment="1">
      <alignment horizontal="center"/>
    </xf>
    <xf numFmtId="1" fontId="0" fillId="0" borderId="0" xfId="0" applyNumberFormat="1"/>
    <xf numFmtId="3" fontId="0" fillId="0" borderId="0" xfId="0" applyNumberFormat="1"/>
    <xf numFmtId="1" fontId="72" fillId="0" borderId="21" xfId="0" applyNumberFormat="1" applyFont="1" applyBorder="1" applyAlignment="1" applyProtection="1">
      <alignment horizontal="center" vertical="center"/>
      <protection locked="0"/>
    </xf>
    <xf numFmtId="1" fontId="72" fillId="0" borderId="30" xfId="0" applyNumberFormat="1" applyFont="1" applyBorder="1" applyAlignment="1" applyProtection="1">
      <alignment horizontal="center" vertical="center"/>
      <protection locked="0"/>
    </xf>
    <xf numFmtId="1" fontId="72" fillId="0" borderId="14" xfId="0" applyNumberFormat="1" applyFont="1" applyBorder="1" applyAlignment="1" applyProtection="1">
      <alignment horizontal="center" vertical="center"/>
      <protection locked="0"/>
    </xf>
    <xf numFmtId="170" fontId="73" fillId="0" borderId="30" xfId="0" applyNumberFormat="1" applyFont="1" applyBorder="1" applyAlignment="1" applyProtection="1">
      <alignment horizontal="center" vertical="center"/>
      <protection locked="0"/>
    </xf>
    <xf numFmtId="170" fontId="73" fillId="0" borderId="21" xfId="0" applyNumberFormat="1" applyFont="1" applyBorder="1" applyAlignment="1" applyProtection="1">
      <alignment horizontal="center" vertical="center"/>
      <protection locked="0"/>
    </xf>
    <xf numFmtId="1" fontId="72" fillId="2" borderId="30" xfId="0" applyNumberFormat="1" applyFont="1" applyFill="1" applyBorder="1" applyAlignment="1" applyProtection="1">
      <alignment horizontal="center" vertical="center"/>
      <protection locked="0"/>
    </xf>
    <xf numFmtId="170" fontId="72" fillId="2" borderId="30" xfId="0" applyNumberFormat="1" applyFont="1" applyFill="1" applyBorder="1" applyAlignment="1" applyProtection="1">
      <alignment horizontal="center" vertical="center"/>
      <protection locked="0"/>
    </xf>
    <xf numFmtId="170" fontId="72" fillId="2" borderId="21" xfId="0" applyNumberFormat="1" applyFont="1" applyFill="1" applyBorder="1" applyAlignment="1" applyProtection="1">
      <alignment horizontal="center" vertical="center"/>
      <protection locked="0"/>
    </xf>
    <xf numFmtId="1" fontId="73" fillId="0" borderId="30" xfId="0" applyNumberFormat="1" applyFont="1" applyBorder="1" applyAlignment="1" applyProtection="1">
      <alignment horizontal="center" vertical="center"/>
      <protection locked="0"/>
    </xf>
    <xf numFmtId="170" fontId="74" fillId="0" borderId="30" xfId="0" applyNumberFormat="1" applyFont="1" applyBorder="1" applyAlignment="1" applyProtection="1">
      <alignment horizontal="center" vertical="center"/>
      <protection locked="0"/>
    </xf>
    <xf numFmtId="170" fontId="74" fillId="0" borderId="14" xfId="0" applyNumberFormat="1" applyFont="1" applyBorder="1" applyAlignment="1" applyProtection="1">
      <alignment horizontal="center" vertical="center"/>
      <protection locked="0"/>
    </xf>
    <xf numFmtId="1" fontId="74" fillId="0" borderId="30" xfId="0" applyNumberFormat="1" applyFont="1" applyBorder="1" applyAlignment="1" applyProtection="1">
      <alignment horizontal="center" vertical="center"/>
      <protection locked="0"/>
    </xf>
    <xf numFmtId="1" fontId="74" fillId="0" borderId="14" xfId="0" applyNumberFormat="1" applyFont="1" applyBorder="1" applyAlignment="1" applyProtection="1">
      <alignment horizontal="center" vertical="center"/>
      <protection locked="0"/>
    </xf>
    <xf numFmtId="0" fontId="43" fillId="0" borderId="0" xfId="0" applyFont="1"/>
    <xf numFmtId="0" fontId="43" fillId="0" borderId="30" xfId="0" applyFont="1" applyBorder="1" applyAlignment="1">
      <alignment horizontal="center"/>
    </xf>
    <xf numFmtId="0" fontId="43" fillId="0" borderId="31" xfId="0" applyFont="1" applyBorder="1" applyAlignment="1">
      <alignment horizontal="center"/>
    </xf>
    <xf numFmtId="1" fontId="43" fillId="0" borderId="14" xfId="0" applyNumberFormat="1" applyFont="1" applyBorder="1" applyAlignment="1" applyProtection="1">
      <alignment horizontal="center" vertical="center"/>
      <protection locked="0"/>
    </xf>
    <xf numFmtId="0" fontId="43" fillId="0" borderId="21" xfId="0" applyFont="1" applyBorder="1" applyAlignment="1" applyProtection="1">
      <alignment horizontal="center" vertical="center"/>
      <protection locked="0"/>
    </xf>
    <xf numFmtId="1" fontId="43" fillId="0" borderId="0" xfId="0" applyNumberFormat="1" applyFont="1" applyAlignment="1">
      <alignment horizontal="center"/>
    </xf>
    <xf numFmtId="170" fontId="43" fillId="0" borderId="0" xfId="0" applyNumberFormat="1" applyFont="1" applyAlignment="1">
      <alignment horizontal="center"/>
    </xf>
    <xf numFmtId="170" fontId="72" fillId="0" borderId="30" xfId="0" applyNumberFormat="1" applyFont="1" applyBorder="1" applyAlignment="1" applyProtection="1">
      <alignment horizontal="center" vertical="center"/>
      <protection locked="0"/>
    </xf>
    <xf numFmtId="1" fontId="43" fillId="0" borderId="30" xfId="0" applyNumberFormat="1" applyFont="1" applyBorder="1" applyAlignment="1">
      <alignment horizontal="center"/>
    </xf>
    <xf numFmtId="170" fontId="43" fillId="0" borderId="30" xfId="0" applyNumberFormat="1" applyFont="1" applyBorder="1" applyAlignment="1">
      <alignment horizontal="center"/>
    </xf>
    <xf numFmtId="49" fontId="43" fillId="0" borderId="30" xfId="0" applyNumberFormat="1" applyFont="1" applyBorder="1" applyAlignment="1">
      <alignment horizontal="center"/>
    </xf>
    <xf numFmtId="1" fontId="43" fillId="0" borderId="8" xfId="0" applyNumberFormat="1" applyFont="1" applyBorder="1" applyAlignment="1" applyProtection="1">
      <alignment horizontal="center" vertical="center"/>
      <protection locked="0"/>
    </xf>
    <xf numFmtId="170" fontId="43" fillId="2" borderId="8" xfId="0" applyNumberFormat="1" applyFont="1" applyFill="1" applyBorder="1" applyAlignment="1" applyProtection="1">
      <alignment horizontal="center" vertical="center"/>
      <protection locked="0"/>
    </xf>
    <xf numFmtId="170" fontId="47" fillId="0" borderId="8" xfId="0" applyNumberFormat="1" applyFont="1" applyBorder="1" applyAlignment="1" applyProtection="1">
      <alignment horizontal="center" vertical="center"/>
      <protection locked="0"/>
    </xf>
    <xf numFmtId="1" fontId="47" fillId="0" borderId="8" xfId="0" applyNumberFormat="1" applyFont="1" applyBorder="1" applyAlignment="1" applyProtection="1">
      <alignment horizontal="center" vertical="center"/>
      <protection locked="0"/>
    </xf>
    <xf numFmtId="0" fontId="43" fillId="0" borderId="21" xfId="0" applyFont="1" applyBorder="1" applyAlignment="1">
      <alignment horizontal="center"/>
    </xf>
    <xf numFmtId="0" fontId="43" fillId="0" borderId="52" xfId="0" applyFont="1" applyBorder="1" applyAlignment="1">
      <alignment horizontal="center"/>
    </xf>
    <xf numFmtId="1" fontId="43" fillId="0" borderId="52" xfId="0" applyNumberFormat="1" applyFont="1" applyBorder="1" applyAlignment="1">
      <alignment horizontal="center"/>
    </xf>
    <xf numFmtId="49" fontId="43" fillId="0" borderId="52" xfId="0" applyNumberFormat="1" applyFont="1" applyBorder="1" applyAlignment="1">
      <alignment horizontal="center"/>
    </xf>
    <xf numFmtId="170" fontId="43" fillId="0" borderId="52" xfId="0" applyNumberFormat="1" applyFont="1" applyBorder="1" applyAlignment="1">
      <alignment horizontal="center"/>
    </xf>
    <xf numFmtId="170" fontId="72" fillId="0" borderId="21" xfId="0" applyNumberFormat="1" applyFont="1" applyBorder="1" applyAlignment="1" applyProtection="1">
      <alignment horizontal="center" vertical="center"/>
      <protection locked="0"/>
    </xf>
    <xf numFmtId="170" fontId="75" fillId="9" borderId="52" xfId="0" applyNumberFormat="1" applyFont="1" applyFill="1" applyBorder="1" applyAlignment="1" applyProtection="1">
      <alignment horizontal="center" vertical="center" wrapText="1"/>
      <protection locked="0"/>
    </xf>
    <xf numFmtId="1" fontId="75" fillId="9" borderId="52" xfId="0" applyNumberFormat="1" applyFont="1" applyFill="1" applyBorder="1" applyAlignment="1" applyProtection="1">
      <alignment horizontal="center" vertical="center" wrapText="1"/>
      <protection locked="0"/>
    </xf>
    <xf numFmtId="1" fontId="75" fillId="4" borderId="52" xfId="0" applyNumberFormat="1" applyFont="1" applyFill="1" applyBorder="1" applyAlignment="1" applyProtection="1">
      <alignment horizontal="center" vertical="center" wrapText="1"/>
      <protection locked="0"/>
    </xf>
    <xf numFmtId="1" fontId="66" fillId="5" borderId="52" xfId="0" applyNumberFormat="1" applyFont="1" applyFill="1" applyBorder="1" applyAlignment="1" applyProtection="1">
      <alignment horizontal="center" vertical="center" wrapText="1"/>
      <protection locked="0"/>
    </xf>
    <xf numFmtId="1" fontId="43" fillId="0" borderId="21" xfId="0" applyNumberFormat="1" applyFont="1" applyBorder="1" applyAlignment="1" applyProtection="1">
      <alignment horizontal="center" vertical="center"/>
      <protection locked="0"/>
    </xf>
    <xf numFmtId="1" fontId="43" fillId="0" borderId="52" xfId="0" applyNumberFormat="1" applyFont="1" applyBorder="1" applyAlignment="1" applyProtection="1">
      <alignment horizontal="center" vertical="center"/>
      <protection locked="0"/>
    </xf>
    <xf numFmtId="1" fontId="43" fillId="0" borderId="30" xfId="0" applyNumberFormat="1" applyFont="1" applyBorder="1" applyAlignment="1" applyProtection="1">
      <alignment horizontal="center" vertical="center"/>
      <protection locked="0"/>
    </xf>
    <xf numFmtId="14" fontId="0" fillId="0" borderId="0" xfId="0" applyNumberFormat="1"/>
    <xf numFmtId="14" fontId="41" fillId="0" borderId="5" xfId="0" applyNumberFormat="1" applyFont="1" applyBorder="1" applyAlignment="1">
      <alignment horizontal="center" vertical="center"/>
    </xf>
    <xf numFmtId="0" fontId="0" fillId="0" borderId="0" xfId="0" applyAlignment="1">
      <alignment horizontal="center" vertical="center" wrapText="1"/>
    </xf>
    <xf numFmtId="0" fontId="49" fillId="0" borderId="12" xfId="0" applyFont="1" applyBorder="1" applyAlignment="1">
      <alignment horizontal="center" vertical="center" wrapText="1"/>
    </xf>
    <xf numFmtId="14" fontId="46" fillId="4" borderId="12" xfId="0" applyNumberFormat="1" applyFont="1" applyFill="1" applyBorder="1" applyAlignment="1">
      <alignment horizontal="center" vertical="center" wrapText="1"/>
    </xf>
    <xf numFmtId="1" fontId="49" fillId="0" borderId="12" xfId="0" applyNumberFormat="1" applyFont="1" applyBorder="1" applyAlignment="1">
      <alignment horizontal="center" vertical="center" wrapText="1"/>
    </xf>
    <xf numFmtId="3" fontId="49" fillId="0" borderId="12" xfId="0" applyNumberFormat="1" applyFont="1" applyBorder="1" applyAlignment="1">
      <alignment horizontal="center" vertical="center" wrapText="1"/>
    </xf>
    <xf numFmtId="3" fontId="49" fillId="0" borderId="46" xfId="0" applyNumberFormat="1" applyFont="1" applyBorder="1" applyAlignment="1">
      <alignment horizontal="center" vertical="center" wrapText="1"/>
    </xf>
    <xf numFmtId="14" fontId="0" fillId="0" borderId="0" xfId="0" applyNumberFormat="1" applyAlignment="1">
      <alignment horizontal="center" vertical="center" wrapText="1"/>
    </xf>
    <xf numFmtId="1" fontId="49" fillId="0" borderId="0" xfId="0" applyNumberFormat="1" applyFont="1" applyAlignment="1">
      <alignment horizontal="center" vertical="center" wrapText="1"/>
    </xf>
    <xf numFmtId="0" fontId="49" fillId="0" borderId="0" xfId="0" applyFont="1" applyAlignment="1">
      <alignment horizontal="center" vertical="center" wrapText="1"/>
    </xf>
    <xf numFmtId="14" fontId="42" fillId="0" borderId="12" xfId="0" applyNumberFormat="1" applyFont="1" applyBorder="1" applyAlignment="1">
      <alignment horizontal="center"/>
    </xf>
    <xf numFmtId="1" fontId="76" fillId="0" borderId="11" xfId="0" applyNumberFormat="1" applyFont="1" applyBorder="1" applyAlignment="1">
      <alignment horizontal="center"/>
    </xf>
    <xf numFmtId="0" fontId="42" fillId="0" borderId="12" xfId="0" applyFont="1" applyBorder="1" applyAlignment="1">
      <alignment horizontal="center" vertical="center"/>
    </xf>
    <xf numFmtId="14" fontId="42" fillId="0" borderId="16" xfId="0" applyNumberFormat="1" applyFont="1" applyBorder="1" applyAlignment="1">
      <alignment horizontal="center" vertical="center"/>
    </xf>
    <xf numFmtId="1" fontId="65" fillId="0" borderId="0" xfId="0" applyNumberFormat="1" applyFont="1" applyAlignment="1">
      <alignment horizontal="center" vertical="center" wrapText="1"/>
    </xf>
    <xf numFmtId="0" fontId="42" fillId="0" borderId="16" xfId="0" applyFont="1" applyBorder="1" applyAlignment="1">
      <alignment horizontal="center" vertical="center"/>
    </xf>
    <xf numFmtId="14" fontId="77" fillId="0" borderId="35" xfId="0" applyNumberFormat="1" applyFont="1" applyBorder="1" applyAlignment="1">
      <alignment horizontal="center" vertical="center"/>
    </xf>
    <xf numFmtId="1" fontId="65" fillId="0" borderId="34" xfId="0" applyNumberFormat="1" applyFont="1" applyBorder="1" applyAlignment="1">
      <alignment horizontal="center" vertical="center" wrapText="1"/>
    </xf>
    <xf numFmtId="0" fontId="42" fillId="0" borderId="35" xfId="0" applyFont="1" applyBorder="1" applyAlignment="1">
      <alignment horizontal="center" vertical="center"/>
    </xf>
    <xf numFmtId="1" fontId="76" fillId="0" borderId="20" xfId="0" applyNumberFormat="1" applyFont="1" applyBorder="1" applyAlignment="1">
      <alignment horizontal="center"/>
    </xf>
    <xf numFmtId="0" fontId="42" fillId="0" borderId="22" xfId="0" applyFont="1" applyBorder="1" applyAlignment="1">
      <alignment horizontal="center" vertical="center"/>
    </xf>
    <xf numFmtId="1" fontId="65" fillId="0" borderId="28" xfId="0" applyNumberFormat="1" applyFont="1" applyBorder="1" applyAlignment="1">
      <alignment horizontal="center" vertical="center" wrapText="1"/>
    </xf>
    <xf numFmtId="0" fontId="42" fillId="0" borderId="27" xfId="0" applyFont="1" applyBorder="1" applyAlignment="1">
      <alignment horizontal="center" vertical="center"/>
    </xf>
    <xf numFmtId="14" fontId="42" fillId="0" borderId="27" xfId="0" applyNumberFormat="1" applyFont="1" applyBorder="1" applyAlignment="1">
      <alignment horizontal="center" vertical="center"/>
    </xf>
    <xf numFmtId="1" fontId="65" fillId="0" borderId="43" xfId="0" applyNumberFormat="1" applyFont="1" applyBorder="1" applyAlignment="1">
      <alignment horizontal="center" vertical="center" wrapText="1"/>
    </xf>
    <xf numFmtId="0" fontId="42" fillId="0" borderId="45" xfId="0" applyFont="1" applyBorder="1" applyAlignment="1">
      <alignment horizontal="center" vertical="center"/>
    </xf>
    <xf numFmtId="1" fontId="76" fillId="0" borderId="28" xfId="0" applyNumberFormat="1" applyFont="1" applyBorder="1" applyAlignment="1">
      <alignment horizontal="center"/>
    </xf>
    <xf numFmtId="0" fontId="42" fillId="0" borderId="19" xfId="0" applyFont="1" applyBorder="1" applyAlignment="1">
      <alignment horizontal="center" vertical="center"/>
    </xf>
    <xf numFmtId="1" fontId="76" fillId="0" borderId="43" xfId="0" applyNumberFormat="1" applyFont="1" applyBorder="1" applyAlignment="1">
      <alignment horizontal="center"/>
    </xf>
    <xf numFmtId="1" fontId="65" fillId="0" borderId="45" xfId="0" applyNumberFormat="1" applyFont="1" applyBorder="1" applyAlignment="1">
      <alignment horizontal="center" vertical="center" wrapText="1"/>
    </xf>
    <xf numFmtId="0" fontId="42" fillId="2" borderId="45" xfId="0" applyFont="1" applyFill="1" applyBorder="1" applyAlignment="1">
      <alignment horizontal="center" vertical="center"/>
    </xf>
    <xf numFmtId="0" fontId="42" fillId="2" borderId="27" xfId="0" applyFont="1" applyFill="1" applyBorder="1" applyAlignment="1">
      <alignment horizontal="center" vertical="center"/>
    </xf>
    <xf numFmtId="1" fontId="61" fillId="0" borderId="28" xfId="0" applyNumberFormat="1" applyFont="1" applyBorder="1" applyAlignment="1">
      <alignment horizontal="center"/>
    </xf>
    <xf numFmtId="1" fontId="61" fillId="0" borderId="45" xfId="0" applyNumberFormat="1" applyFont="1" applyBorder="1" applyAlignment="1">
      <alignment horizontal="center"/>
    </xf>
    <xf numFmtId="0" fontId="42" fillId="0" borderId="22" xfId="0" applyFont="1" applyBorder="1" applyAlignment="1">
      <alignment horizontal="center" vertical="center" wrapText="1"/>
    </xf>
    <xf numFmtId="0" fontId="42" fillId="0" borderId="27" xfId="0" applyFont="1" applyBorder="1" applyAlignment="1">
      <alignment horizontal="center" vertical="center" wrapText="1"/>
    </xf>
    <xf numFmtId="0" fontId="57" fillId="0" borderId="35" xfId="0" applyFont="1" applyBorder="1" applyAlignment="1">
      <alignment horizontal="center" vertical="center" wrapText="1"/>
    </xf>
    <xf numFmtId="1" fontId="76" fillId="0" borderId="34" xfId="0" applyNumberFormat="1" applyFont="1" applyBorder="1" applyAlignment="1">
      <alignment horizontal="center"/>
    </xf>
    <xf numFmtId="0" fontId="56" fillId="0" borderId="35" xfId="0" applyFont="1" applyBorder="1" applyAlignment="1">
      <alignment horizontal="center" vertical="center" wrapText="1"/>
    </xf>
    <xf numFmtId="0" fontId="57" fillId="0" borderId="0" xfId="0" applyFont="1" applyAlignment="1">
      <alignment vertical="center" wrapText="1"/>
    </xf>
    <xf numFmtId="1" fontId="76" fillId="0" borderId="0" xfId="0" applyNumberFormat="1" applyFont="1"/>
    <xf numFmtId="170" fontId="43" fillId="2" borderId="30" xfId="0" applyNumberFormat="1" applyFont="1" applyFill="1" applyBorder="1" applyAlignment="1" applyProtection="1">
      <alignment horizontal="center" vertical="center"/>
      <protection locked="0"/>
    </xf>
    <xf numFmtId="1" fontId="47" fillId="0" borderId="30" xfId="0" applyNumberFormat="1" applyFont="1" applyBorder="1" applyAlignment="1" applyProtection="1">
      <alignment horizontal="center" vertical="center"/>
      <protection locked="0"/>
    </xf>
    <xf numFmtId="170" fontId="47" fillId="0" borderId="30" xfId="0" applyNumberFormat="1" applyFont="1" applyBorder="1" applyAlignment="1" applyProtection="1">
      <alignment horizontal="center" vertical="center"/>
      <protection locked="0"/>
    </xf>
    <xf numFmtId="1" fontId="43" fillId="0" borderId="0" xfId="0" applyNumberFormat="1" applyFont="1"/>
    <xf numFmtId="170" fontId="43" fillId="0" borderId="0" xfId="0" applyNumberFormat="1" applyFont="1"/>
    <xf numFmtId="3" fontId="43" fillId="0" borderId="0" xfId="0" applyNumberFormat="1" applyFont="1"/>
    <xf numFmtId="14" fontId="42" fillId="0" borderId="22" xfId="0" applyNumberFormat="1" applyFont="1" applyBorder="1" applyAlignment="1">
      <alignment horizontal="center" vertical="center"/>
    </xf>
    <xf numFmtId="14" fontId="42" fillId="0" borderId="27" xfId="0" applyNumberFormat="1" applyFont="1" applyBorder="1" applyAlignment="1">
      <alignment horizontal="center"/>
    </xf>
    <xf numFmtId="14" fontId="61" fillId="0" borderId="27" xfId="0" applyNumberFormat="1" applyFont="1" applyBorder="1" applyAlignment="1">
      <alignment horizontal="center"/>
    </xf>
    <xf numFmtId="14" fontId="42" fillId="0" borderId="22" xfId="0" applyNumberFormat="1" applyFont="1" applyBorder="1" applyAlignment="1">
      <alignment horizontal="center" vertical="center" wrapText="1"/>
    </xf>
    <xf numFmtId="14" fontId="42" fillId="0" borderId="27" xfId="0" applyNumberFormat="1" applyFont="1" applyBorder="1" applyAlignment="1">
      <alignment horizontal="center" vertical="center" wrapText="1"/>
    </xf>
    <xf numFmtId="3" fontId="43" fillId="0" borderId="0" xfId="0" applyNumberFormat="1" applyFont="1" applyAlignment="1">
      <alignment horizontal="center" vertical="center"/>
    </xf>
    <xf numFmtId="3" fontId="43" fillId="0" borderId="34" xfId="0" applyNumberFormat="1" applyFont="1" applyBorder="1" applyAlignment="1">
      <alignment horizontal="center" vertical="center"/>
    </xf>
    <xf numFmtId="3" fontId="43" fillId="0" borderId="35" xfId="0" applyNumberFormat="1" applyFont="1" applyBorder="1" applyAlignment="1">
      <alignment horizontal="center" vertical="center"/>
    </xf>
    <xf numFmtId="14" fontId="42" fillId="0" borderId="35" xfId="0" applyNumberFormat="1" applyFont="1" applyBorder="1" applyAlignment="1">
      <alignment horizontal="center" vertical="center"/>
    </xf>
    <xf numFmtId="14" fontId="77" fillId="0" borderId="27" xfId="0" applyNumberFormat="1" applyFont="1" applyBorder="1" applyAlignment="1">
      <alignment horizontal="center" vertical="center"/>
    </xf>
    <xf numFmtId="14" fontId="42" fillId="0" borderId="22" xfId="0" applyNumberFormat="1" applyFont="1" applyBorder="1" applyAlignment="1">
      <alignment horizontal="center"/>
    </xf>
    <xf numFmtId="14" fontId="42" fillId="0" borderId="35" xfId="0" applyNumberFormat="1" applyFont="1" applyBorder="1" applyAlignment="1">
      <alignment horizontal="center"/>
    </xf>
    <xf numFmtId="1" fontId="76" fillId="0" borderId="0" xfId="0" applyNumberFormat="1" applyFont="1" applyAlignment="1">
      <alignment horizontal="center"/>
    </xf>
    <xf numFmtId="0" fontId="42" fillId="2" borderId="19" xfId="0" applyFont="1" applyFill="1" applyBorder="1" applyAlignment="1">
      <alignment horizontal="center" vertical="center"/>
    </xf>
    <xf numFmtId="0" fontId="42" fillId="0" borderId="19" xfId="0" applyFont="1" applyBorder="1" applyAlignment="1">
      <alignment horizontal="center" vertical="center" wrapText="1"/>
    </xf>
    <xf numFmtId="14" fontId="42" fillId="0" borderId="12" xfId="0" applyNumberFormat="1" applyFont="1" applyBorder="1" applyAlignment="1">
      <alignment horizontal="center" vertical="center"/>
    </xf>
    <xf numFmtId="2" fontId="80" fillId="2" borderId="0" xfId="0" applyNumberFormat="1" applyFont="1" applyFill="1" applyAlignment="1">
      <alignment horizontal="center"/>
    </xf>
    <xf numFmtId="1" fontId="0" fillId="2" borderId="30" xfId="0" applyNumberFormat="1" applyFill="1" applyBorder="1" applyAlignment="1">
      <alignment horizontal="center"/>
    </xf>
    <xf numFmtId="172" fontId="46" fillId="2" borderId="30" xfId="1" applyNumberFormat="1" applyFont="1" applyFill="1" applyBorder="1"/>
    <xf numFmtId="172" fontId="47" fillId="2" borderId="30" xfId="1" applyNumberFormat="1" applyFont="1" applyFill="1" applyBorder="1" applyAlignment="1">
      <alignment horizontal="center"/>
    </xf>
    <xf numFmtId="0" fontId="47" fillId="2" borderId="30" xfId="0" applyFont="1" applyFill="1" applyBorder="1" applyAlignment="1">
      <alignment horizontal="center"/>
    </xf>
    <xf numFmtId="0" fontId="0" fillId="2" borderId="30" xfId="0" applyFill="1" applyBorder="1" applyAlignment="1">
      <alignment horizontal="center"/>
    </xf>
    <xf numFmtId="172" fontId="47" fillId="2" borderId="30" xfId="1" applyNumberFormat="1" applyFont="1" applyFill="1" applyBorder="1"/>
    <xf numFmtId="172" fontId="41" fillId="2" borderId="30" xfId="1" applyNumberFormat="1" applyFont="1" applyFill="1" applyBorder="1" applyAlignment="1">
      <alignment horizontal="center"/>
    </xf>
    <xf numFmtId="172" fontId="46" fillId="2" borderId="30" xfId="1" applyNumberFormat="1" applyFont="1" applyFill="1" applyBorder="1" applyAlignment="1">
      <alignment horizontal="center"/>
    </xf>
    <xf numFmtId="172" fontId="46" fillId="2" borderId="0" xfId="1" applyNumberFormat="1" applyFont="1" applyFill="1"/>
    <xf numFmtId="172" fontId="47" fillId="2" borderId="0" xfId="1" applyNumberFormat="1" applyFont="1" applyFill="1"/>
    <xf numFmtId="3" fontId="0" fillId="2" borderId="30" xfId="0" applyNumberFormat="1" applyFill="1" applyBorder="1"/>
    <xf numFmtId="0" fontId="43" fillId="0" borderId="30" xfId="0" applyFont="1" applyBorder="1" applyAlignment="1">
      <alignment horizontal="center" vertical="center" wrapText="1"/>
    </xf>
    <xf numFmtId="0" fontId="43" fillId="0" borderId="52" xfId="0" applyFont="1" applyBorder="1" applyAlignment="1">
      <alignment horizontal="center" vertical="center" wrapText="1"/>
    </xf>
    <xf numFmtId="0" fontId="43" fillId="0" borderId="30" xfId="0" applyFont="1" applyBorder="1" applyAlignment="1" applyProtection="1">
      <alignment horizontal="center" vertical="center"/>
      <protection locked="0"/>
    </xf>
    <xf numFmtId="171" fontId="0" fillId="0" borderId="0" xfId="0" applyNumberFormat="1" applyAlignment="1">
      <alignment horizontal="center"/>
    </xf>
    <xf numFmtId="1" fontId="66" fillId="5" borderId="30" xfId="0" applyNumberFormat="1" applyFont="1" applyFill="1" applyBorder="1" applyAlignment="1" applyProtection="1">
      <alignment horizontal="center" vertical="center" wrapText="1"/>
      <protection locked="0"/>
    </xf>
    <xf numFmtId="1" fontId="75" fillId="4" borderId="30" xfId="0" applyNumberFormat="1" applyFont="1" applyFill="1" applyBorder="1" applyAlignment="1" applyProtection="1">
      <alignment horizontal="center" vertical="center" wrapText="1"/>
      <protection locked="0"/>
    </xf>
    <xf numFmtId="170" fontId="75" fillId="9" borderId="30" xfId="0" applyNumberFormat="1" applyFont="1" applyFill="1" applyBorder="1" applyAlignment="1" applyProtection="1">
      <alignment horizontal="center" vertical="center" wrapText="1"/>
      <protection locked="0"/>
    </xf>
    <xf numFmtId="1" fontId="75" fillId="9" borderId="30" xfId="0" applyNumberFormat="1" applyFont="1" applyFill="1" applyBorder="1" applyAlignment="1" applyProtection="1">
      <alignment horizontal="center" vertical="center" wrapText="1"/>
      <protection locked="0"/>
    </xf>
    <xf numFmtId="170" fontId="74" fillId="2" borderId="30" xfId="0" applyNumberFormat="1" applyFont="1" applyFill="1" applyBorder="1" applyAlignment="1" applyProtection="1">
      <alignment horizontal="center" vertical="center"/>
      <protection locked="0"/>
    </xf>
    <xf numFmtId="3" fontId="43" fillId="0" borderId="12" xfId="0" applyNumberFormat="1" applyFont="1" applyBorder="1" applyAlignment="1">
      <alignment horizontal="center" vertical="center"/>
    </xf>
    <xf numFmtId="3" fontId="43" fillId="0" borderId="16" xfId="0" applyNumberFormat="1" applyFont="1" applyBorder="1" applyAlignment="1">
      <alignment horizontal="center" vertical="center"/>
    </xf>
    <xf numFmtId="3" fontId="43" fillId="0" borderId="12" xfId="0" applyNumberFormat="1" applyFont="1" applyBorder="1" applyAlignment="1">
      <alignment horizontal="center" vertical="center" wrapText="1"/>
    </xf>
    <xf numFmtId="3" fontId="43" fillId="0" borderId="16" xfId="0" applyNumberFormat="1" applyFont="1" applyBorder="1" applyAlignment="1">
      <alignment horizontal="center" vertical="center" wrapText="1"/>
    </xf>
    <xf numFmtId="3" fontId="43" fillId="0" borderId="35" xfId="0" applyNumberFormat="1" applyFont="1" applyBorder="1" applyAlignment="1">
      <alignment horizontal="center" vertical="center" wrapText="1"/>
    </xf>
    <xf numFmtId="1" fontId="47" fillId="2" borderId="30" xfId="1" applyNumberFormat="1" applyFont="1" applyFill="1" applyBorder="1" applyAlignment="1">
      <alignment horizontal="center"/>
    </xf>
    <xf numFmtId="1" fontId="43" fillId="2" borderId="30" xfId="1" applyNumberFormat="1" applyFont="1" applyFill="1" applyBorder="1" applyAlignment="1">
      <alignment horizontal="center"/>
    </xf>
    <xf numFmtId="1" fontId="48" fillId="2" borderId="30" xfId="1" applyNumberFormat="1" applyFont="1" applyFill="1" applyBorder="1" applyAlignment="1">
      <alignment horizontal="center"/>
    </xf>
    <xf numFmtId="1" fontId="43" fillId="0" borderId="30" xfId="0" quotePrefix="1" applyNumberFormat="1" applyFont="1" applyBorder="1" applyAlignment="1">
      <alignment horizontal="center"/>
    </xf>
    <xf numFmtId="1" fontId="78" fillId="0" borderId="30" xfId="0" applyNumberFormat="1" applyFont="1" applyBorder="1" applyAlignment="1" applyProtection="1">
      <alignment horizontal="center" vertical="center"/>
      <protection locked="0"/>
    </xf>
    <xf numFmtId="1" fontId="81" fillId="0" borderId="30" xfId="0" applyNumberFormat="1" applyFont="1" applyBorder="1" applyAlignment="1" applyProtection="1">
      <alignment horizontal="center" vertical="center"/>
      <protection locked="0"/>
    </xf>
    <xf numFmtId="170" fontId="81" fillId="0" borderId="30" xfId="0" applyNumberFormat="1" applyFont="1" applyBorder="1" applyAlignment="1" applyProtection="1">
      <alignment horizontal="center" vertical="center"/>
      <protection locked="0"/>
    </xf>
    <xf numFmtId="0" fontId="0" fillId="7" borderId="0" xfId="0" applyFill="1" applyAlignment="1">
      <alignment horizontal="center"/>
    </xf>
    <xf numFmtId="0" fontId="43" fillId="2" borderId="0" xfId="0" applyFont="1" applyFill="1" applyAlignment="1">
      <alignment horizontal="center"/>
    </xf>
    <xf numFmtId="1" fontId="43" fillId="2" borderId="0" xfId="0" applyNumberFormat="1" applyFont="1" applyFill="1" applyAlignment="1" applyProtection="1">
      <alignment horizontal="center" vertical="center"/>
      <protection locked="0"/>
    </xf>
    <xf numFmtId="1" fontId="72" fillId="2" borderId="0" xfId="0" applyNumberFormat="1" applyFont="1" applyFill="1" applyAlignment="1" applyProtection="1">
      <alignment horizontal="center" vertical="center"/>
      <protection locked="0"/>
    </xf>
    <xf numFmtId="170" fontId="72" fillId="2" borderId="0" xfId="0" applyNumberFormat="1" applyFont="1" applyFill="1" applyAlignment="1" applyProtection="1">
      <alignment horizontal="center" vertical="center"/>
      <protection locked="0"/>
    </xf>
    <xf numFmtId="1" fontId="43" fillId="2" borderId="0" xfId="0" quotePrefix="1" applyNumberFormat="1" applyFont="1" applyFill="1" applyAlignment="1">
      <alignment horizontal="center"/>
    </xf>
    <xf numFmtId="49" fontId="43" fillId="2" borderId="0" xfId="0" applyNumberFormat="1" applyFont="1" applyFill="1" applyAlignment="1">
      <alignment horizontal="center"/>
    </xf>
    <xf numFmtId="170" fontId="43" fillId="2" borderId="0" xfId="0" applyNumberFormat="1" applyFont="1" applyFill="1" applyAlignment="1">
      <alignment horizontal="center"/>
    </xf>
    <xf numFmtId="1" fontId="43" fillId="2" borderId="0" xfId="0" applyNumberFormat="1" applyFont="1" applyFill="1" applyAlignment="1">
      <alignment horizontal="center"/>
    </xf>
    <xf numFmtId="0" fontId="43" fillId="2" borderId="0" xfId="0" applyFont="1" applyFill="1" applyAlignment="1" applyProtection="1">
      <alignment horizontal="center" vertical="center"/>
      <protection locked="0"/>
    </xf>
    <xf numFmtId="3" fontId="43" fillId="2" borderId="0" xfId="0" applyNumberFormat="1" applyFont="1" applyFill="1" applyAlignment="1" applyProtection="1">
      <alignment horizontal="center" vertical="center"/>
      <protection locked="0"/>
    </xf>
    <xf numFmtId="0" fontId="43" fillId="5" borderId="30" xfId="0" applyFont="1" applyFill="1" applyBorder="1" applyAlignment="1">
      <alignment horizontal="center" vertical="center" wrapText="1"/>
    </xf>
    <xf numFmtId="1" fontId="63" fillId="5" borderId="30" xfId="0" applyNumberFormat="1" applyFont="1" applyFill="1" applyBorder="1" applyAlignment="1" applyProtection="1">
      <alignment horizontal="center" vertical="center" wrapText="1"/>
      <protection locked="0"/>
    </xf>
    <xf numFmtId="170" fontId="60" fillId="9" borderId="30" xfId="0" applyNumberFormat="1" applyFont="1" applyFill="1" applyBorder="1" applyAlignment="1" applyProtection="1">
      <alignment horizontal="center" vertical="center" wrapText="1"/>
      <protection locked="0"/>
    </xf>
    <xf numFmtId="1" fontId="60" fillId="9" borderId="30" xfId="0" applyNumberFormat="1" applyFont="1" applyFill="1" applyBorder="1" applyAlignment="1" applyProtection="1">
      <alignment horizontal="center" vertical="center" wrapText="1"/>
      <protection locked="0"/>
    </xf>
    <xf numFmtId="1" fontId="58" fillId="7" borderId="0" xfId="0" applyNumberFormat="1" applyFont="1" applyFill="1" applyAlignment="1">
      <alignment horizontal="center"/>
    </xf>
    <xf numFmtId="1" fontId="46" fillId="11" borderId="0" xfId="0" applyNumberFormat="1" applyFont="1" applyFill="1" applyAlignment="1">
      <alignment horizontal="center"/>
    </xf>
    <xf numFmtId="1" fontId="46" fillId="11" borderId="34" xfId="0" applyNumberFormat="1" applyFont="1" applyFill="1" applyBorder="1" applyAlignment="1">
      <alignment horizontal="center"/>
    </xf>
    <xf numFmtId="17" fontId="0" fillId="2" borderId="34" xfId="0" applyNumberFormat="1" applyFill="1" applyBorder="1" applyAlignment="1">
      <alignment horizontal="center"/>
    </xf>
    <xf numFmtId="1" fontId="59" fillId="11" borderId="0" xfId="0" applyNumberFormat="1" applyFont="1" applyFill="1" applyAlignment="1">
      <alignment horizontal="center"/>
    </xf>
    <xf numFmtId="170" fontId="46" fillId="11" borderId="0" xfId="0" applyNumberFormat="1" applyFont="1" applyFill="1" applyAlignment="1">
      <alignment horizontal="center"/>
    </xf>
    <xf numFmtId="170" fontId="46" fillId="11" borderId="34" xfId="0" applyNumberFormat="1" applyFont="1" applyFill="1" applyBorder="1" applyAlignment="1">
      <alignment horizontal="center"/>
    </xf>
    <xf numFmtId="1" fontId="46" fillId="4" borderId="0" xfId="0" applyNumberFormat="1" applyFont="1" applyFill="1" applyAlignment="1">
      <alignment horizontal="center"/>
    </xf>
    <xf numFmtId="170" fontId="44" fillId="2" borderId="0" xfId="0" applyNumberFormat="1" applyFont="1" applyFill="1" applyAlignment="1">
      <alignment horizontal="center"/>
    </xf>
    <xf numFmtId="1" fontId="44" fillId="2" borderId="0" xfId="0" applyNumberFormat="1" applyFont="1" applyFill="1" applyAlignment="1">
      <alignment horizontal="center"/>
    </xf>
    <xf numFmtId="170" fontId="44" fillId="2" borderId="34" xfId="0" applyNumberFormat="1" applyFont="1" applyFill="1" applyBorder="1" applyAlignment="1">
      <alignment horizontal="center"/>
    </xf>
    <xf numFmtId="3" fontId="42" fillId="2" borderId="0" xfId="0" applyNumberFormat="1" applyFont="1" applyFill="1"/>
    <xf numFmtId="170" fontId="58" fillId="7" borderId="0" xfId="0" applyNumberFormat="1" applyFont="1" applyFill="1" applyAlignment="1">
      <alignment horizontal="center"/>
    </xf>
    <xf numFmtId="170" fontId="46" fillId="4" borderId="0" xfId="0" applyNumberFormat="1" applyFont="1" applyFill="1" applyAlignment="1">
      <alignment horizontal="center"/>
    </xf>
    <xf numFmtId="170" fontId="46" fillId="4" borderId="34" xfId="0" applyNumberFormat="1" applyFont="1" applyFill="1" applyBorder="1" applyAlignment="1">
      <alignment horizontal="center"/>
    </xf>
    <xf numFmtId="3" fontId="46" fillId="11" borderId="0" xfId="0" applyNumberFormat="1" applyFont="1" applyFill="1" applyAlignment="1">
      <alignment horizontal="center"/>
    </xf>
    <xf numFmtId="2" fontId="0" fillId="2" borderId="0" xfId="0" applyNumberFormat="1" applyFill="1" applyAlignment="1">
      <alignment horizontal="center"/>
    </xf>
    <xf numFmtId="3" fontId="44" fillId="2" borderId="0" xfId="0" applyNumberFormat="1" applyFont="1" applyFill="1" applyAlignment="1">
      <alignment horizontal="center"/>
    </xf>
    <xf numFmtId="170" fontId="58" fillId="7" borderId="34" xfId="0" applyNumberFormat="1" applyFont="1" applyFill="1" applyBorder="1" applyAlignment="1">
      <alignment horizontal="center"/>
    </xf>
    <xf numFmtId="1" fontId="49" fillId="0" borderId="30" xfId="2" applyNumberFormat="1" applyFont="1" applyBorder="1" applyAlignment="1">
      <alignment horizontal="center" wrapText="1"/>
    </xf>
    <xf numFmtId="0" fontId="49" fillId="0" borderId="30" xfId="2" applyFont="1" applyBorder="1" applyAlignment="1">
      <alignment horizontal="center" wrapText="1"/>
    </xf>
    <xf numFmtId="1" fontId="38" fillId="0" borderId="30" xfId="2" applyNumberFormat="1" applyBorder="1" applyAlignment="1">
      <alignment horizontal="center" wrapText="1"/>
    </xf>
    <xf numFmtId="14" fontId="42" fillId="0" borderId="0" xfId="0" applyNumberFormat="1" applyFont="1" applyAlignment="1">
      <alignment horizontal="center" vertical="center"/>
    </xf>
    <xf numFmtId="0" fontId="42" fillId="0" borderId="0" xfId="0" applyFont="1" applyAlignment="1">
      <alignment horizontal="center" vertical="center"/>
    </xf>
    <xf numFmtId="14" fontId="42" fillId="0" borderId="0" xfId="0" applyNumberFormat="1" applyFont="1" applyAlignment="1">
      <alignment horizontal="center"/>
    </xf>
    <xf numFmtId="14" fontId="61" fillId="0" borderId="0" xfId="0" applyNumberFormat="1" applyFont="1" applyAlignment="1">
      <alignment horizontal="center"/>
    </xf>
    <xf numFmtId="14" fontId="49" fillId="0" borderId="30" xfId="2" applyNumberFormat="1" applyFont="1" applyBorder="1" applyAlignment="1">
      <alignment horizontal="center" wrapText="1"/>
    </xf>
    <xf numFmtId="14" fontId="64" fillId="0" borderId="0" xfId="0" applyNumberFormat="1" applyFont="1"/>
    <xf numFmtId="3" fontId="0" fillId="0" borderId="0" xfId="0" applyNumberFormat="1" applyAlignment="1">
      <alignment horizontal="center" vertical="center"/>
    </xf>
    <xf numFmtId="3" fontId="56" fillId="0" borderId="0" xfId="0" applyNumberFormat="1" applyFont="1" applyAlignment="1">
      <alignment horizontal="center" vertical="center" wrapText="1"/>
    </xf>
    <xf numFmtId="3" fontId="44" fillId="0" borderId="0" xfId="0" applyNumberFormat="1" applyFont="1" applyAlignment="1">
      <alignment horizontal="center" vertical="center"/>
    </xf>
    <xf numFmtId="0" fontId="0" fillId="0" borderId="30" xfId="0" applyBorder="1" applyAlignment="1">
      <alignment horizontal="center"/>
    </xf>
    <xf numFmtId="1" fontId="0" fillId="0" borderId="30" xfId="0" applyNumberFormat="1" applyBorder="1"/>
    <xf numFmtId="172" fontId="47" fillId="2" borderId="51" xfId="1" applyNumberFormat="1" applyFont="1" applyFill="1" applyBorder="1" applyAlignment="1">
      <alignment horizontal="center"/>
    </xf>
    <xf numFmtId="1" fontId="79" fillId="2" borderId="30" xfId="1" applyNumberFormat="1" applyFont="1" applyFill="1" applyBorder="1" applyAlignment="1">
      <alignment horizontal="center"/>
    </xf>
    <xf numFmtId="14" fontId="64" fillId="0" borderId="0" xfId="0" applyNumberFormat="1" applyFont="1" applyAlignment="1">
      <alignment horizontal="center"/>
    </xf>
    <xf numFmtId="0" fontId="42" fillId="2" borderId="0" xfId="0" applyFont="1" applyFill="1" applyAlignment="1">
      <alignment horizontal="center" vertical="center"/>
    </xf>
    <xf numFmtId="170" fontId="44" fillId="2" borderId="34" xfId="0" quotePrefix="1" applyNumberFormat="1" applyFont="1" applyFill="1" applyBorder="1" applyAlignment="1">
      <alignment horizontal="center"/>
    </xf>
    <xf numFmtId="0" fontId="45" fillId="2" borderId="0" xfId="0" applyFont="1" applyFill="1" applyAlignment="1">
      <alignment horizontal="left"/>
    </xf>
    <xf numFmtId="49" fontId="0" fillId="2" borderId="0" xfId="0" applyNumberFormat="1" applyFill="1" applyAlignment="1">
      <alignment horizontal="center"/>
    </xf>
    <xf numFmtId="171" fontId="43" fillId="0" borderId="0" xfId="0" applyNumberFormat="1" applyFont="1"/>
    <xf numFmtId="1" fontId="49" fillId="7" borderId="0" xfId="0" applyNumberFormat="1" applyFont="1" applyFill="1" applyAlignment="1">
      <alignment horizontal="center"/>
    </xf>
    <xf numFmtId="14" fontId="77" fillId="0" borderId="0" xfId="0" applyNumberFormat="1" applyFont="1" applyAlignment="1">
      <alignment horizontal="center" vertical="center"/>
    </xf>
    <xf numFmtId="14" fontId="42" fillId="7" borderId="0" xfId="0" applyNumberFormat="1" applyFont="1" applyFill="1" applyAlignment="1">
      <alignment horizontal="center" vertical="center"/>
    </xf>
    <xf numFmtId="0" fontId="0" fillId="0" borderId="0" xfId="0" applyAlignment="1">
      <alignment horizontal="left"/>
    </xf>
    <xf numFmtId="49" fontId="0" fillId="2" borderId="34" xfId="0" applyNumberFormat="1" applyFill="1" applyBorder="1" applyAlignment="1">
      <alignment horizontal="center"/>
    </xf>
    <xf numFmtId="49" fontId="0" fillId="2" borderId="0" xfId="0" applyNumberFormat="1" applyFill="1"/>
    <xf numFmtId="49" fontId="51" fillId="2" borderId="0" xfId="0" quotePrefix="1" applyNumberFormat="1" applyFont="1" applyFill="1" applyAlignment="1">
      <alignment horizontal="center"/>
    </xf>
    <xf numFmtId="49" fontId="0" fillId="0" borderId="0" xfId="0" applyNumberFormat="1"/>
    <xf numFmtId="49" fontId="0" fillId="2" borderId="0" xfId="0" quotePrefix="1" applyNumberFormat="1" applyFill="1" applyAlignment="1">
      <alignment horizontal="center"/>
    </xf>
    <xf numFmtId="49" fontId="0" fillId="2" borderId="34" xfId="0" quotePrefix="1" applyNumberFormat="1" applyFill="1" applyBorder="1" applyAlignment="1">
      <alignment horizontal="center"/>
    </xf>
    <xf numFmtId="49" fontId="51" fillId="2" borderId="0" xfId="0" applyNumberFormat="1" applyFont="1" applyFill="1" applyAlignment="1">
      <alignment horizontal="center"/>
    </xf>
    <xf numFmtId="49" fontId="42" fillId="2" borderId="0" xfId="0" applyNumberFormat="1" applyFont="1" applyFill="1" applyAlignment="1">
      <alignment horizontal="center"/>
    </xf>
    <xf numFmtId="49" fontId="44" fillId="2" borderId="0" xfId="0" applyNumberFormat="1" applyFont="1" applyFill="1" applyAlignment="1">
      <alignment horizontal="center"/>
    </xf>
    <xf numFmtId="1" fontId="0" fillId="2" borderId="34" xfId="0" applyNumberFormat="1" applyFill="1" applyBorder="1" applyAlignment="1">
      <alignment horizontal="center"/>
    </xf>
    <xf numFmtId="3" fontId="0" fillId="0" borderId="0" xfId="0" applyNumberFormat="1" applyAlignment="1">
      <alignment horizontal="right"/>
    </xf>
    <xf numFmtId="9" fontId="80" fillId="0" borderId="0" xfId="0" applyNumberFormat="1" applyFont="1" applyAlignment="1">
      <alignment horizontal="center"/>
    </xf>
    <xf numFmtId="3" fontId="47" fillId="0" borderId="0" xfId="0" applyNumberFormat="1" applyFont="1"/>
    <xf numFmtId="4" fontId="0" fillId="0" borderId="0" xfId="0" quotePrefix="1" applyNumberFormat="1"/>
    <xf numFmtId="170" fontId="0" fillId="0" borderId="0" xfId="0" applyNumberFormat="1" applyAlignment="1">
      <alignment horizontal="center"/>
    </xf>
    <xf numFmtId="0" fontId="46" fillId="13" borderId="30" xfId="0" applyFont="1" applyFill="1" applyBorder="1" applyAlignment="1">
      <alignment horizontal="center"/>
    </xf>
    <xf numFmtId="3" fontId="43" fillId="0" borderId="0" xfId="0" applyNumberFormat="1" applyFont="1" applyAlignment="1">
      <alignment horizontal="center"/>
    </xf>
    <xf numFmtId="17" fontId="0" fillId="0" borderId="34" xfId="0" applyNumberFormat="1" applyBorder="1"/>
    <xf numFmtId="0" fontId="0" fillId="7" borderId="0" xfId="0" applyFill="1"/>
    <xf numFmtId="0" fontId="0" fillId="0" borderId="11" xfId="0" applyBorder="1" applyAlignment="1">
      <alignment horizontal="center"/>
    </xf>
    <xf numFmtId="0" fontId="44" fillId="2" borderId="34" xfId="0" applyFont="1" applyFill="1" applyBorder="1" applyAlignment="1">
      <alignment horizontal="left"/>
    </xf>
    <xf numFmtId="0" fontId="44" fillId="2" borderId="0" xfId="0" applyFont="1" applyFill="1" applyAlignment="1">
      <alignment horizontal="left"/>
    </xf>
    <xf numFmtId="0" fontId="47" fillId="2" borderId="0" xfId="0" applyFont="1" applyFill="1" applyAlignment="1">
      <alignment horizontal="left"/>
    </xf>
    <xf numFmtId="3" fontId="47" fillId="2" borderId="30" xfId="1" applyNumberFormat="1" applyFont="1" applyFill="1" applyBorder="1" applyAlignment="1">
      <alignment vertical="center" wrapText="1"/>
    </xf>
    <xf numFmtId="170" fontId="46" fillId="2" borderId="34" xfId="0" applyNumberFormat="1" applyFont="1" applyFill="1" applyBorder="1" applyAlignment="1">
      <alignment horizontal="center"/>
    </xf>
    <xf numFmtId="0" fontId="79" fillId="2" borderId="0" xfId="0" applyFont="1" applyFill="1" applyAlignment="1">
      <alignment horizontal="center"/>
    </xf>
    <xf numFmtId="2" fontId="79" fillId="2" borderId="0" xfId="0" applyNumberFormat="1" applyFont="1" applyFill="1" applyAlignment="1">
      <alignment horizontal="center"/>
    </xf>
    <xf numFmtId="170" fontId="58" fillId="4" borderId="0" xfId="0" applyNumberFormat="1" applyFont="1" applyFill="1" applyAlignment="1">
      <alignment horizontal="center"/>
    </xf>
    <xf numFmtId="1" fontId="58" fillId="11" borderId="0" xfId="0" applyNumberFormat="1" applyFont="1" applyFill="1" applyAlignment="1">
      <alignment horizontal="center"/>
    </xf>
    <xf numFmtId="0" fontId="0" fillId="2" borderId="11" xfId="0" applyFill="1" applyBorder="1" applyAlignment="1">
      <alignment horizontal="center"/>
    </xf>
    <xf numFmtId="170" fontId="0" fillId="0" borderId="0" xfId="0" applyNumberFormat="1"/>
    <xf numFmtId="0" fontId="80" fillId="2" borderId="0" xfId="0" applyFont="1" applyFill="1" applyAlignment="1">
      <alignment vertical="center" wrapText="1"/>
    </xf>
    <xf numFmtId="0" fontId="80" fillId="2" borderId="0" xfId="0" applyFont="1" applyFill="1"/>
    <xf numFmtId="170" fontId="84" fillId="2" borderId="34" xfId="0" applyNumberFormat="1" applyFont="1" applyFill="1" applyBorder="1" applyAlignment="1">
      <alignment horizontal="center"/>
    </xf>
    <xf numFmtId="170" fontId="0" fillId="2" borderId="0" xfId="0" applyNumberFormat="1" applyFill="1" applyAlignment="1">
      <alignment horizontal="center"/>
    </xf>
    <xf numFmtId="0" fontId="0" fillId="0" borderId="20" xfId="0" applyBorder="1" applyAlignment="1">
      <alignment horizontal="center"/>
    </xf>
    <xf numFmtId="0" fontId="0" fillId="0" borderId="43" xfId="0" applyBorder="1" applyAlignment="1">
      <alignment horizontal="center"/>
    </xf>
    <xf numFmtId="1" fontId="49" fillId="11" borderId="34" xfId="0" applyNumberFormat="1" applyFont="1" applyFill="1" applyBorder="1" applyAlignment="1">
      <alignment horizontal="center"/>
    </xf>
    <xf numFmtId="0" fontId="51" fillId="11" borderId="0" xfId="0" applyFont="1" applyFill="1" applyAlignment="1">
      <alignment horizontal="center"/>
    </xf>
    <xf numFmtId="0" fontId="43" fillId="2" borderId="0" xfId="0" applyFont="1" applyFill="1"/>
    <xf numFmtId="170" fontId="49" fillId="0" borderId="34" xfId="0" applyNumberFormat="1" applyFont="1" applyBorder="1" applyAlignment="1">
      <alignment horizontal="center"/>
    </xf>
    <xf numFmtId="170" fontId="49" fillId="0" borderId="0" xfId="0" applyNumberFormat="1" applyFont="1" applyAlignment="1">
      <alignment horizontal="center"/>
    </xf>
    <xf numFmtId="0" fontId="51" fillId="0" borderId="0" xfId="0" applyFont="1" applyAlignment="1">
      <alignment horizontal="center"/>
    </xf>
    <xf numFmtId="49" fontId="0" fillId="5" borderId="34" xfId="0" applyNumberFormat="1" applyFill="1" applyBorder="1" applyAlignment="1">
      <alignment horizontal="center"/>
    </xf>
    <xf numFmtId="0" fontId="61" fillId="2" borderId="0" xfId="0" applyFont="1" applyFill="1" applyAlignment="1">
      <alignment horizontal="left"/>
    </xf>
    <xf numFmtId="0" fontId="47" fillId="2" borderId="34" xfId="0" applyFont="1" applyFill="1" applyBorder="1" applyAlignment="1">
      <alignment horizontal="left"/>
    </xf>
    <xf numFmtId="3" fontId="0" fillId="0" borderId="51" xfId="0" applyNumberFormat="1" applyBorder="1"/>
    <xf numFmtId="3" fontId="46" fillId="4" borderId="0" xfId="0" applyNumberFormat="1" applyFont="1" applyFill="1" applyAlignment="1">
      <alignment horizontal="center"/>
    </xf>
    <xf numFmtId="1" fontId="51" fillId="2" borderId="0" xfId="0" applyNumberFormat="1" applyFont="1" applyFill="1" applyAlignment="1">
      <alignment horizontal="center"/>
    </xf>
    <xf numFmtId="17" fontId="0" fillId="0" borderId="0" xfId="0" applyNumberFormat="1" applyAlignment="1">
      <alignment horizontal="center"/>
    </xf>
    <xf numFmtId="2" fontId="44" fillId="2" borderId="30" xfId="0" quotePrefix="1" applyNumberFormat="1" applyFont="1" applyFill="1" applyBorder="1" applyAlignment="1">
      <alignment horizontal="center"/>
    </xf>
    <xf numFmtId="170" fontId="46" fillId="11" borderId="30" xfId="0" applyNumberFormat="1" applyFont="1" applyFill="1" applyBorder="1" applyAlignment="1">
      <alignment horizontal="center"/>
    </xf>
    <xf numFmtId="170" fontId="58" fillId="7" borderId="30" xfId="0" applyNumberFormat="1" applyFont="1" applyFill="1" applyBorder="1" applyAlignment="1">
      <alignment horizontal="center"/>
    </xf>
    <xf numFmtId="170" fontId="46" fillId="4" borderId="30" xfId="0" applyNumberFormat="1" applyFont="1" applyFill="1" applyBorder="1" applyAlignment="1">
      <alignment horizontal="center"/>
    </xf>
    <xf numFmtId="3" fontId="0" fillId="0" borderId="28" xfId="0" applyNumberFormat="1" applyBorder="1"/>
    <xf numFmtId="3" fontId="82" fillId="0" borderId="31" xfId="0" applyNumberFormat="1" applyFont="1" applyBorder="1"/>
    <xf numFmtId="3" fontId="49" fillId="0" borderId="28" xfId="0" applyNumberFormat="1" applyFont="1" applyBorder="1"/>
    <xf numFmtId="3" fontId="49" fillId="0" borderId="51" xfId="0" applyNumberFormat="1" applyFont="1" applyBorder="1"/>
    <xf numFmtId="3" fontId="82" fillId="0" borderId="51" xfId="0" applyNumberFormat="1" applyFont="1" applyBorder="1"/>
    <xf numFmtId="2" fontId="44" fillId="2" borderId="51" xfId="0" quotePrefix="1" applyNumberFormat="1" applyFont="1" applyFill="1" applyBorder="1" applyAlignment="1">
      <alignment horizontal="center"/>
    </xf>
    <xf numFmtId="170" fontId="49" fillId="7" borderId="30" xfId="0" applyNumberFormat="1" applyFont="1" applyFill="1" applyBorder="1" applyAlignment="1">
      <alignment horizontal="center"/>
    </xf>
    <xf numFmtId="170" fontId="58" fillId="4" borderId="30" xfId="0" applyNumberFormat="1" applyFont="1" applyFill="1" applyBorder="1" applyAlignment="1">
      <alignment horizontal="center"/>
    </xf>
    <xf numFmtId="1" fontId="46" fillId="11" borderId="14" xfId="0" applyNumberFormat="1" applyFont="1" applyFill="1" applyBorder="1" applyAlignment="1">
      <alignment horizontal="center"/>
    </xf>
    <xf numFmtId="170" fontId="46" fillId="11" borderId="21" xfId="0" applyNumberFormat="1" applyFont="1" applyFill="1" applyBorder="1" applyAlignment="1">
      <alignment horizontal="center"/>
    </xf>
    <xf numFmtId="170" fontId="46" fillId="7" borderId="34" xfId="0" applyNumberFormat="1" applyFont="1" applyFill="1" applyBorder="1" applyAlignment="1">
      <alignment horizontal="center"/>
    </xf>
    <xf numFmtId="0" fontId="49" fillId="7" borderId="0" xfId="0" applyFont="1" applyFill="1" applyAlignment="1">
      <alignment horizontal="center"/>
    </xf>
    <xf numFmtId="170" fontId="0" fillId="7" borderId="0" xfId="0" applyNumberFormat="1" applyFill="1" applyAlignment="1">
      <alignment horizontal="center"/>
    </xf>
    <xf numFmtId="1" fontId="49" fillId="4" borderId="63" xfId="0" applyNumberFormat="1" applyFont="1" applyFill="1" applyBorder="1" applyAlignment="1">
      <alignment horizontal="center"/>
    </xf>
    <xf numFmtId="1" fontId="0" fillId="2" borderId="63" xfId="0" applyNumberFormat="1" applyFill="1" applyBorder="1" applyAlignment="1">
      <alignment horizontal="center"/>
    </xf>
    <xf numFmtId="1" fontId="0" fillId="2" borderId="64" xfId="0" applyNumberFormat="1" applyFill="1" applyBorder="1" applyAlignment="1">
      <alignment horizontal="center"/>
    </xf>
    <xf numFmtId="0" fontId="51" fillId="2" borderId="63" xfId="0" applyFont="1" applyFill="1" applyBorder="1" applyAlignment="1">
      <alignment horizontal="center"/>
    </xf>
    <xf numFmtId="0" fontId="0" fillId="2" borderId="63" xfId="0" applyFill="1" applyBorder="1" applyAlignment="1">
      <alignment horizontal="center"/>
    </xf>
    <xf numFmtId="1" fontId="49" fillId="7" borderId="8" xfId="0" applyNumberFormat="1" applyFont="1" applyFill="1" applyBorder="1" applyAlignment="1">
      <alignment horizontal="center"/>
    </xf>
    <xf numFmtId="1" fontId="59" fillId="11" borderId="8" xfId="0" applyNumberFormat="1" applyFont="1" applyFill="1" applyBorder="1" applyAlignment="1">
      <alignment horizontal="center"/>
    </xf>
    <xf numFmtId="1" fontId="46" fillId="11" borderId="36" xfId="0" applyNumberFormat="1" applyFont="1" applyFill="1" applyBorder="1" applyAlignment="1">
      <alignment horizontal="center"/>
    </xf>
    <xf numFmtId="0" fontId="59" fillId="11" borderId="8" xfId="0" applyFont="1" applyFill="1" applyBorder="1" applyAlignment="1">
      <alignment horizontal="center"/>
    </xf>
    <xf numFmtId="1" fontId="51" fillId="4" borderId="8" xfId="0" applyNumberFormat="1" applyFont="1" applyFill="1" applyBorder="1" applyAlignment="1">
      <alignment horizontal="center"/>
    </xf>
    <xf numFmtId="1" fontId="46" fillId="11" borderId="8" xfId="0" applyNumberFormat="1" applyFont="1" applyFill="1" applyBorder="1" applyAlignment="1">
      <alignment horizontal="center"/>
    </xf>
    <xf numFmtId="0" fontId="43" fillId="2" borderId="34" xfId="0" applyFont="1" applyFill="1" applyBorder="1" applyAlignment="1">
      <alignment horizontal="center"/>
    </xf>
    <xf numFmtId="0" fontId="49" fillId="2" borderId="34" xfId="0" applyFont="1" applyFill="1" applyBorder="1" applyAlignment="1">
      <alignment horizontal="center"/>
    </xf>
    <xf numFmtId="49" fontId="49" fillId="2" borderId="34" xfId="0" applyNumberFormat="1" applyFont="1" applyFill="1" applyBorder="1" applyAlignment="1">
      <alignment horizontal="center"/>
    </xf>
    <xf numFmtId="0" fontId="85" fillId="2" borderId="0" xfId="0" applyFont="1" applyFill="1" applyAlignment="1">
      <alignment horizontal="center"/>
    </xf>
    <xf numFmtId="0" fontId="86" fillId="2" borderId="0" xfId="0" applyFont="1" applyFill="1" applyAlignment="1">
      <alignment horizontal="center"/>
    </xf>
    <xf numFmtId="2" fontId="43" fillId="2" borderId="34" xfId="0" applyNumberFormat="1" applyFont="1" applyFill="1" applyBorder="1" applyAlignment="1">
      <alignment horizontal="center"/>
    </xf>
    <xf numFmtId="2" fontId="49" fillId="2" borderId="34" xfId="0" applyNumberFormat="1" applyFont="1" applyFill="1" applyBorder="1" applyAlignment="1">
      <alignment horizontal="center"/>
    </xf>
    <xf numFmtId="0" fontId="49" fillId="2" borderId="0" xfId="0" applyFont="1" applyFill="1" applyAlignment="1">
      <alignment horizontal="center"/>
    </xf>
    <xf numFmtId="0" fontId="85" fillId="2" borderId="0" xfId="0" applyFont="1" applyFill="1"/>
    <xf numFmtId="0" fontId="44" fillId="0" borderId="0" xfId="0" applyFont="1" applyAlignment="1">
      <alignment horizontal="left"/>
    </xf>
    <xf numFmtId="0" fontId="49" fillId="0" borderId="0" xfId="0" applyFont="1" applyAlignment="1">
      <alignment horizontal="center"/>
    </xf>
    <xf numFmtId="17" fontId="43" fillId="2" borderId="34" xfId="0" applyNumberFormat="1" applyFont="1" applyFill="1" applyBorder="1" applyAlignment="1">
      <alignment horizontal="center"/>
    </xf>
    <xf numFmtId="9" fontId="0" fillId="2" borderId="0" xfId="0" applyNumberFormat="1" applyFill="1" applyAlignment="1">
      <alignment horizontal="center" vertical="center" wrapText="1"/>
    </xf>
    <xf numFmtId="0" fontId="42" fillId="2" borderId="34" xfId="0" applyFont="1" applyFill="1" applyBorder="1" applyAlignment="1">
      <alignment horizontal="center"/>
    </xf>
    <xf numFmtId="49" fontId="43" fillId="5" borderId="34" xfId="0" applyNumberFormat="1" applyFont="1" applyFill="1" applyBorder="1" applyAlignment="1">
      <alignment horizontal="center"/>
    </xf>
    <xf numFmtId="49" fontId="43" fillId="5" borderId="0" xfId="0" applyNumberFormat="1" applyFont="1" applyFill="1" applyAlignment="1">
      <alignment horizontal="center"/>
    </xf>
    <xf numFmtId="170" fontId="90" fillId="4" borderId="0" xfId="0" applyNumberFormat="1" applyFont="1" applyFill="1" applyAlignment="1">
      <alignment horizontal="center"/>
    </xf>
    <xf numFmtId="170" fontId="90" fillId="4" borderId="34" xfId="0" applyNumberFormat="1" applyFont="1" applyFill="1" applyBorder="1" applyAlignment="1">
      <alignment horizontal="center"/>
    </xf>
    <xf numFmtId="0" fontId="0" fillId="2" borderId="34" xfId="0" applyFill="1" applyBorder="1" applyAlignment="1">
      <alignment horizontal="left"/>
    </xf>
    <xf numFmtId="49" fontId="43" fillId="2" borderId="34" xfId="0" applyNumberFormat="1" applyFont="1" applyFill="1" applyBorder="1" applyAlignment="1">
      <alignment horizontal="center"/>
    </xf>
    <xf numFmtId="170" fontId="91" fillId="4" borderId="34" xfId="0" applyNumberFormat="1" applyFont="1" applyFill="1" applyBorder="1" applyAlignment="1">
      <alignment horizontal="center"/>
    </xf>
    <xf numFmtId="49" fontId="85" fillId="2" borderId="0" xfId="0" applyNumberFormat="1" applyFont="1" applyFill="1" applyAlignment="1">
      <alignment horizontal="center"/>
    </xf>
    <xf numFmtId="1" fontId="89" fillId="11" borderId="0" xfId="0" applyNumberFormat="1" applyFont="1" applyFill="1" applyAlignment="1">
      <alignment horizontal="center"/>
    </xf>
    <xf numFmtId="0" fontId="85" fillId="2" borderId="34" xfId="0" applyFont="1" applyFill="1" applyBorder="1" applyAlignment="1">
      <alignment horizontal="center"/>
    </xf>
    <xf numFmtId="49" fontId="85" fillId="2" borderId="34" xfId="0" applyNumberFormat="1" applyFont="1" applyFill="1" applyBorder="1" applyAlignment="1">
      <alignment horizontal="center"/>
    </xf>
    <xf numFmtId="9" fontId="85" fillId="2" borderId="0" xfId="0" applyNumberFormat="1" applyFont="1" applyFill="1" applyAlignment="1">
      <alignment horizontal="center"/>
    </xf>
    <xf numFmtId="0" fontId="87" fillId="2" borderId="0" xfId="0" applyFont="1" applyFill="1" applyAlignment="1">
      <alignment horizontal="center"/>
    </xf>
    <xf numFmtId="49" fontId="87" fillId="2" borderId="0" xfId="0" applyNumberFormat="1" applyFont="1" applyFill="1" applyAlignment="1">
      <alignment horizontal="center"/>
    </xf>
    <xf numFmtId="49" fontId="85" fillId="2" borderId="0" xfId="0" applyNumberFormat="1" applyFont="1" applyFill="1"/>
    <xf numFmtId="3" fontId="85" fillId="2" borderId="0" xfId="0" applyNumberFormat="1" applyFont="1" applyFill="1" applyAlignment="1">
      <alignment horizontal="center"/>
    </xf>
    <xf numFmtId="170" fontId="89" fillId="4" borderId="0" xfId="0" applyNumberFormat="1" applyFont="1" applyFill="1" applyAlignment="1">
      <alignment horizontal="center"/>
    </xf>
    <xf numFmtId="1" fontId="89" fillId="4" borderId="0" xfId="0" applyNumberFormat="1" applyFont="1" applyFill="1" applyAlignment="1">
      <alignment horizontal="center"/>
    </xf>
    <xf numFmtId="170" fontId="89" fillId="4" borderId="34" xfId="0" applyNumberFormat="1" applyFont="1" applyFill="1" applyBorder="1" applyAlignment="1">
      <alignment horizontal="center"/>
    </xf>
    <xf numFmtId="2" fontId="85" fillId="0" borderId="0" xfId="0" applyNumberFormat="1" applyFont="1" applyAlignment="1">
      <alignment horizontal="center"/>
    </xf>
    <xf numFmtId="0" fontId="78" fillId="2" borderId="0" xfId="0" applyFont="1" applyFill="1" applyAlignment="1">
      <alignment horizontal="center"/>
    </xf>
    <xf numFmtId="49" fontId="43" fillId="0" borderId="0" xfId="0" applyNumberFormat="1" applyFont="1"/>
    <xf numFmtId="17" fontId="43" fillId="0" borderId="34" xfId="0" applyNumberFormat="1" applyFont="1" applyBorder="1" applyAlignment="1">
      <alignment horizontal="center"/>
    </xf>
    <xf numFmtId="0" fontId="43" fillId="2" borderId="30" xfId="0" applyFont="1" applyFill="1" applyBorder="1"/>
    <xf numFmtId="49" fontId="38" fillId="2" borderId="0" xfId="0" applyNumberFormat="1" applyFont="1" applyFill="1" applyAlignment="1">
      <alignment horizontal="center"/>
    </xf>
    <xf numFmtId="0" fontId="38" fillId="2" borderId="34" xfId="0" applyFont="1" applyFill="1" applyBorder="1" applyAlignment="1">
      <alignment horizontal="center"/>
    </xf>
    <xf numFmtId="0" fontId="38" fillId="0" borderId="0" xfId="0" applyFont="1" applyAlignment="1">
      <alignment horizontal="center"/>
    </xf>
    <xf numFmtId="4" fontId="38" fillId="0" borderId="0" xfId="0" applyNumberFormat="1" applyFont="1"/>
    <xf numFmtId="3" fontId="43" fillId="0" borderId="0" xfId="0" applyNumberFormat="1" applyFont="1" applyAlignment="1">
      <alignment horizontal="right"/>
    </xf>
    <xf numFmtId="1" fontId="43" fillId="0" borderId="0" xfId="0" applyNumberFormat="1" applyFont="1" applyAlignment="1">
      <alignment horizontal="right"/>
    </xf>
    <xf numFmtId="0" fontId="44" fillId="2" borderId="34" xfId="0" applyFont="1" applyFill="1" applyBorder="1"/>
    <xf numFmtId="0" fontId="44" fillId="2" borderId="0" xfId="0" applyFont="1" applyFill="1"/>
    <xf numFmtId="1" fontId="90" fillId="4" borderId="0" xfId="0" applyNumberFormat="1" applyFont="1" applyFill="1" applyAlignment="1">
      <alignment horizontal="center"/>
    </xf>
    <xf numFmtId="0" fontId="38" fillId="2" borderId="0" xfId="0" applyFont="1" applyFill="1" applyAlignment="1">
      <alignment horizontal="center"/>
    </xf>
    <xf numFmtId="1" fontId="49" fillId="4" borderId="0" xfId="0" applyNumberFormat="1" applyFont="1" applyFill="1" applyAlignment="1">
      <alignment horizontal="center"/>
    </xf>
    <xf numFmtId="1" fontId="51" fillId="4" borderId="0" xfId="0" applyNumberFormat="1" applyFont="1" applyFill="1" applyAlignment="1">
      <alignment horizontal="center"/>
    </xf>
    <xf numFmtId="17" fontId="38" fillId="2" borderId="34" xfId="0" applyNumberFormat="1" applyFont="1" applyFill="1" applyBorder="1" applyAlignment="1">
      <alignment horizontal="center"/>
    </xf>
    <xf numFmtId="17" fontId="43" fillId="2" borderId="0" xfId="0" applyNumberFormat="1" applyFont="1" applyFill="1" applyAlignment="1">
      <alignment horizontal="center"/>
    </xf>
    <xf numFmtId="3" fontId="38" fillId="2" borderId="0" xfId="0" applyNumberFormat="1" applyFont="1" applyFill="1" applyAlignment="1">
      <alignment horizontal="center"/>
    </xf>
    <xf numFmtId="49" fontId="38" fillId="2" borderId="34" xfId="0" applyNumberFormat="1" applyFont="1" applyFill="1" applyBorder="1" applyAlignment="1">
      <alignment horizontal="center"/>
    </xf>
    <xf numFmtId="0" fontId="38" fillId="2" borderId="30" xfId="0" applyFont="1" applyFill="1" applyBorder="1"/>
    <xf numFmtId="0" fontId="38" fillId="2" borderId="8" xfId="0" applyFont="1" applyFill="1" applyBorder="1"/>
    <xf numFmtId="3" fontId="38" fillId="0" borderId="0" xfId="0" applyNumberFormat="1" applyFont="1"/>
    <xf numFmtId="0" fontId="38" fillId="0" borderId="30" xfId="0" applyFont="1" applyBorder="1" applyAlignment="1">
      <alignment horizontal="center"/>
    </xf>
    <xf numFmtId="1" fontId="0" fillId="2" borderId="21" xfId="0" applyNumberFormat="1" applyFill="1" applyBorder="1" applyAlignment="1">
      <alignment horizontal="center"/>
    </xf>
    <xf numFmtId="1" fontId="47" fillId="2" borderId="21" xfId="1" applyNumberFormat="1" applyFont="1" applyFill="1" applyBorder="1" applyAlignment="1">
      <alignment horizontal="center"/>
    </xf>
    <xf numFmtId="1" fontId="0" fillId="2" borderId="52" xfId="0" applyNumberFormat="1" applyFill="1" applyBorder="1" applyAlignment="1">
      <alignment horizontal="center"/>
    </xf>
    <xf numFmtId="1" fontId="47" fillId="2" borderId="52" xfId="1" applyNumberFormat="1" applyFont="1" applyFill="1" applyBorder="1" applyAlignment="1">
      <alignment horizontal="center"/>
    </xf>
    <xf numFmtId="1" fontId="49" fillId="0" borderId="69" xfId="0" applyNumberFormat="1" applyFont="1" applyBorder="1" applyAlignment="1">
      <alignment horizontal="center"/>
    </xf>
    <xf numFmtId="1" fontId="49" fillId="0" borderId="52" xfId="0" applyNumberFormat="1" applyFont="1" applyBorder="1" applyAlignment="1">
      <alignment horizontal="center"/>
    </xf>
    <xf numFmtId="1" fontId="58" fillId="2" borderId="52" xfId="1" applyNumberFormat="1" applyFont="1" applyFill="1" applyBorder="1" applyAlignment="1">
      <alignment horizontal="center"/>
    </xf>
    <xf numFmtId="1" fontId="42" fillId="2" borderId="30" xfId="0" applyNumberFormat="1" applyFont="1" applyFill="1" applyBorder="1" applyAlignment="1">
      <alignment horizontal="center"/>
    </xf>
    <xf numFmtId="1" fontId="42" fillId="2" borderId="30" xfId="0" applyNumberFormat="1" applyFont="1" applyFill="1" applyBorder="1" applyAlignment="1">
      <alignment horizontal="center" vertical="center" wrapText="1"/>
    </xf>
    <xf numFmtId="1" fontId="42" fillId="0" borderId="30" xfId="0" applyNumberFormat="1" applyFont="1" applyBorder="1" applyAlignment="1">
      <alignment horizontal="center" vertical="center" wrapText="1"/>
    </xf>
    <xf numFmtId="1" fontId="42" fillId="2" borderId="14" xfId="0" applyNumberFormat="1" applyFont="1" applyFill="1" applyBorder="1" applyAlignment="1">
      <alignment horizontal="center" vertical="center" wrapText="1"/>
    </xf>
    <xf numFmtId="1" fontId="45" fillId="2" borderId="3" xfId="0" applyNumberFormat="1" applyFont="1" applyFill="1" applyBorder="1" applyAlignment="1">
      <alignment horizontal="center" vertical="center" wrapText="1"/>
    </xf>
    <xf numFmtId="0" fontId="42" fillId="2" borderId="0" xfId="0" applyFont="1" applyFill="1" applyAlignment="1">
      <alignment horizontal="center" vertical="center" wrapText="1"/>
    </xf>
    <xf numFmtId="0" fontId="42" fillId="2" borderId="0" xfId="0" applyFont="1" applyFill="1" applyAlignment="1">
      <alignment horizontal="left" vertical="center" wrapText="1"/>
    </xf>
    <xf numFmtId="14" fontId="40" fillId="14" borderId="30" xfId="0" applyNumberFormat="1" applyFont="1" applyFill="1" applyBorder="1" applyAlignment="1">
      <alignment horizontal="left" vertical="center" wrapText="1"/>
    </xf>
    <xf numFmtId="0" fontId="96" fillId="0" borderId="0" xfId="0" applyFont="1"/>
    <xf numFmtId="0" fontId="97" fillId="0" borderId="0" xfId="0" applyFont="1"/>
    <xf numFmtId="0" fontId="98" fillId="0" borderId="0" xfId="0" applyFont="1"/>
    <xf numFmtId="14" fontId="112" fillId="14" borderId="30" xfId="0" applyNumberFormat="1" applyFont="1" applyFill="1" applyBorder="1" applyAlignment="1">
      <alignment horizontal="center"/>
    </xf>
    <xf numFmtId="3" fontId="42" fillId="2" borderId="30" xfId="0" applyNumberFormat="1" applyFont="1" applyFill="1" applyBorder="1" applyAlignment="1">
      <alignment horizontal="center" vertical="center" wrapText="1"/>
    </xf>
    <xf numFmtId="3" fontId="42" fillId="2" borderId="14" xfId="0" applyNumberFormat="1" applyFont="1" applyFill="1" applyBorder="1" applyAlignment="1">
      <alignment horizontal="center" vertical="center" wrapText="1"/>
    </xf>
    <xf numFmtId="3" fontId="45" fillId="2" borderId="3" xfId="0" applyNumberFormat="1" applyFont="1" applyFill="1" applyBorder="1" applyAlignment="1">
      <alignment horizontal="center" vertical="center" wrapText="1"/>
    </xf>
    <xf numFmtId="0" fontId="37" fillId="2" borderId="0" xfId="0" applyFont="1" applyFill="1" applyAlignment="1">
      <alignment horizontal="center"/>
    </xf>
    <xf numFmtId="0" fontId="58" fillId="2" borderId="0" xfId="0" applyFont="1" applyFill="1" applyAlignment="1">
      <alignment horizontal="center"/>
    </xf>
    <xf numFmtId="0" fontId="58" fillId="2" borderId="34" xfId="0" applyFont="1" applyFill="1" applyBorder="1" applyAlignment="1">
      <alignment horizontal="center"/>
    </xf>
    <xf numFmtId="1" fontId="89" fillId="45" borderId="0" xfId="0" applyNumberFormat="1" applyFont="1" applyFill="1" applyAlignment="1">
      <alignment horizontal="center"/>
    </xf>
    <xf numFmtId="3" fontId="113" fillId="45" borderId="30" xfId="1" applyNumberFormat="1" applyFont="1" applyFill="1" applyBorder="1" applyAlignment="1">
      <alignment vertical="center" wrapText="1"/>
    </xf>
    <xf numFmtId="49" fontId="115" fillId="2" borderId="0" xfId="0" applyNumberFormat="1" applyFont="1" applyFill="1" applyAlignment="1">
      <alignment horizontal="center"/>
    </xf>
    <xf numFmtId="170" fontId="38" fillId="2" borderId="0" xfId="0" applyNumberFormat="1" applyFont="1" applyFill="1" applyAlignment="1">
      <alignment horizontal="center"/>
    </xf>
    <xf numFmtId="1" fontId="38" fillId="2" borderId="0" xfId="0" applyNumberFormat="1" applyFont="1" applyFill="1" applyAlignment="1">
      <alignment horizontal="center"/>
    </xf>
    <xf numFmtId="170" fontId="46" fillId="45" borderId="0" xfId="0" applyNumberFormat="1" applyFont="1" applyFill="1" applyAlignment="1">
      <alignment horizontal="center"/>
    </xf>
    <xf numFmtId="1" fontId="46" fillId="46" borderId="34" xfId="0" applyNumberFormat="1" applyFont="1" applyFill="1" applyBorder="1" applyAlignment="1">
      <alignment horizontal="center"/>
    </xf>
    <xf numFmtId="1" fontId="90" fillId="46" borderId="0" xfId="0" applyNumberFormat="1" applyFont="1" applyFill="1" applyAlignment="1">
      <alignment horizontal="center"/>
    </xf>
    <xf numFmtId="170" fontId="116" fillId="46" borderId="0" xfId="0" applyNumberFormat="1" applyFont="1" applyFill="1" applyAlignment="1">
      <alignment horizontal="center"/>
    </xf>
    <xf numFmtId="1" fontId="116" fillId="46" borderId="0" xfId="0" applyNumberFormat="1" applyFont="1" applyFill="1" applyAlignment="1">
      <alignment horizontal="center"/>
    </xf>
    <xf numFmtId="0" fontId="117" fillId="46" borderId="0" xfId="0" applyFont="1" applyFill="1"/>
    <xf numFmtId="2" fontId="49" fillId="46" borderId="34" xfId="0" applyNumberFormat="1" applyFont="1" applyFill="1" applyBorder="1" applyAlignment="1">
      <alignment horizontal="center"/>
    </xf>
    <xf numFmtId="170" fontId="91" fillId="46" borderId="34" xfId="0" applyNumberFormat="1" applyFont="1" applyFill="1" applyBorder="1" applyAlignment="1">
      <alignment horizontal="center"/>
    </xf>
    <xf numFmtId="17" fontId="49" fillId="2" borderId="0" xfId="0" applyNumberFormat="1" applyFont="1" applyFill="1" applyAlignment="1">
      <alignment horizontal="center"/>
    </xf>
    <xf numFmtId="1" fontId="115" fillId="46" borderId="0" xfId="0" applyNumberFormat="1" applyFont="1" applyFill="1" applyAlignment="1">
      <alignment horizontal="center"/>
    </xf>
    <xf numFmtId="17" fontId="85" fillId="2" borderId="0" xfId="0" applyNumberFormat="1" applyFont="1" applyFill="1" applyAlignment="1">
      <alignment horizontal="center"/>
    </xf>
    <xf numFmtId="0" fontId="51" fillId="0" borderId="0" xfId="0" applyFont="1" applyAlignment="1">
      <alignment horizontal="left"/>
    </xf>
    <xf numFmtId="0" fontId="86" fillId="2" borderId="34" xfId="0" applyFont="1" applyFill="1" applyBorder="1" applyAlignment="1">
      <alignment horizontal="center"/>
    </xf>
    <xf numFmtId="2" fontId="86" fillId="2" borderId="34" xfId="0" applyNumberFormat="1" applyFont="1" applyFill="1" applyBorder="1" applyAlignment="1">
      <alignment horizontal="center"/>
    </xf>
    <xf numFmtId="49" fontId="86" fillId="2" borderId="34" xfId="0" applyNumberFormat="1" applyFont="1" applyFill="1" applyBorder="1" applyAlignment="1">
      <alignment horizontal="center"/>
    </xf>
    <xf numFmtId="17" fontId="51" fillId="2" borderId="34" xfId="0" applyNumberFormat="1" applyFont="1" applyFill="1" applyBorder="1" applyAlignment="1">
      <alignment horizontal="center"/>
    </xf>
    <xf numFmtId="4" fontId="0" fillId="0" borderId="0" xfId="0" quotePrefix="1" applyNumberFormat="1" applyAlignment="1">
      <alignment horizontal="center"/>
    </xf>
    <xf numFmtId="1" fontId="58" fillId="2" borderId="0" xfId="0" applyNumberFormat="1" applyFont="1" applyFill="1" applyAlignment="1">
      <alignment horizontal="center"/>
    </xf>
    <xf numFmtId="1" fontId="119" fillId="45" borderId="0" xfId="0" applyNumberFormat="1" applyFont="1" applyFill="1" applyAlignment="1">
      <alignment horizontal="center"/>
    </xf>
    <xf numFmtId="1" fontId="42" fillId="2" borderId="21" xfId="0" applyNumberFormat="1" applyFont="1" applyFill="1" applyBorder="1" applyAlignment="1">
      <alignment horizontal="center" vertical="center" wrapText="1"/>
    </xf>
    <xf numFmtId="3" fontId="42" fillId="2" borderId="21" xfId="0" applyNumberFormat="1" applyFont="1" applyFill="1" applyBorder="1" applyAlignment="1">
      <alignment horizontal="center" vertical="center" wrapText="1"/>
    </xf>
    <xf numFmtId="1" fontId="42" fillId="2" borderId="21" xfId="0" applyNumberFormat="1" applyFont="1" applyFill="1" applyBorder="1" applyAlignment="1">
      <alignment horizontal="center"/>
    </xf>
    <xf numFmtId="0" fontId="42" fillId="2" borderId="52" xfId="0" applyFont="1" applyFill="1" applyBorder="1" applyAlignment="1">
      <alignment horizontal="center"/>
    </xf>
    <xf numFmtId="3" fontId="42" fillId="2" borderId="52" xfId="0" applyNumberFormat="1" applyFont="1" applyFill="1" applyBorder="1" applyAlignment="1">
      <alignment horizontal="center"/>
    </xf>
    <xf numFmtId="1" fontId="42" fillId="2" borderId="52" xfId="0" applyNumberFormat="1" applyFont="1" applyFill="1" applyBorder="1" applyAlignment="1">
      <alignment horizontal="center"/>
    </xf>
    <xf numFmtId="1" fontId="42" fillId="2" borderId="52" xfId="0" applyNumberFormat="1" applyFont="1" applyFill="1" applyBorder="1" applyAlignment="1">
      <alignment horizontal="center" vertical="center" wrapText="1"/>
    </xf>
    <xf numFmtId="3" fontId="42" fillId="2" borderId="52" xfId="0" applyNumberFormat="1" applyFont="1" applyFill="1" applyBorder="1" applyAlignment="1">
      <alignment horizontal="center" vertical="center" wrapText="1"/>
    </xf>
    <xf numFmtId="0" fontId="42" fillId="2" borderId="21" xfId="0" applyFont="1" applyFill="1" applyBorder="1" applyAlignment="1">
      <alignment horizontal="center" vertical="center" wrapText="1"/>
    </xf>
    <xf numFmtId="0" fontId="95" fillId="46" borderId="22" xfId="0" applyFont="1" applyFill="1" applyBorder="1" applyAlignment="1">
      <alignment vertical="center"/>
    </xf>
    <xf numFmtId="0" fontId="95" fillId="46" borderId="30" xfId="0" applyFont="1" applyFill="1" applyBorder="1" applyAlignment="1">
      <alignment vertical="center"/>
    </xf>
    <xf numFmtId="0" fontId="37" fillId="46" borderId="0" xfId="0" applyFont="1" applyFill="1" applyAlignment="1">
      <alignment horizontal="center"/>
    </xf>
    <xf numFmtId="2" fontId="46" fillId="4" borderId="0" xfId="0" applyNumberFormat="1" applyFont="1" applyFill="1" applyAlignment="1">
      <alignment horizontal="center"/>
    </xf>
    <xf numFmtId="2" fontId="38" fillId="46" borderId="0" xfId="0" applyNumberFormat="1" applyFont="1" applyFill="1" applyAlignment="1">
      <alignment horizontal="center"/>
    </xf>
    <xf numFmtId="2" fontId="0" fillId="46" borderId="0" xfId="0" applyNumberFormat="1" applyFill="1" applyAlignment="1">
      <alignment horizontal="center"/>
    </xf>
    <xf numFmtId="17" fontId="38" fillId="0" borderId="34" xfId="0" quotePrefix="1" applyNumberFormat="1" applyFont="1" applyBorder="1" applyAlignment="1">
      <alignment horizontal="right"/>
    </xf>
    <xf numFmtId="17" fontId="49" fillId="2" borderId="34" xfId="0" applyNumberFormat="1" applyFont="1" applyFill="1" applyBorder="1" applyAlignment="1">
      <alignment horizontal="center"/>
    </xf>
    <xf numFmtId="0" fontId="58" fillId="46" borderId="0" xfId="0" applyFont="1" applyFill="1" applyAlignment="1">
      <alignment horizontal="center"/>
    </xf>
    <xf numFmtId="49" fontId="0" fillId="46" borderId="34" xfId="0" applyNumberFormat="1" applyFill="1" applyBorder="1" applyAlignment="1">
      <alignment horizontal="center"/>
    </xf>
    <xf numFmtId="49" fontId="43" fillId="46" borderId="0" xfId="0" applyNumberFormat="1" applyFont="1" applyFill="1" applyAlignment="1">
      <alignment horizontal="center"/>
    </xf>
    <xf numFmtId="0" fontId="44" fillId="46" borderId="0" xfId="0" applyFont="1" applyFill="1" applyAlignment="1">
      <alignment horizontal="center"/>
    </xf>
    <xf numFmtId="1" fontId="46" fillId="45" borderId="0" xfId="0" applyNumberFormat="1" applyFont="1" applyFill="1" applyAlignment="1">
      <alignment horizontal="center"/>
    </xf>
    <xf numFmtId="0" fontId="113" fillId="45" borderId="0" xfId="0" applyFont="1" applyFill="1" applyAlignment="1">
      <alignment horizontal="center"/>
    </xf>
    <xf numFmtId="1" fontId="36" fillId="46" borderId="0" xfId="0" applyNumberFormat="1" applyFont="1" applyFill="1" applyAlignment="1">
      <alignment horizontal="center"/>
    </xf>
    <xf numFmtId="49" fontId="55" fillId="0" borderId="57" xfId="0" applyNumberFormat="1" applyFont="1" applyBorder="1" applyAlignment="1">
      <alignment horizontal="left"/>
    </xf>
    <xf numFmtId="1" fontId="0" fillId="0" borderId="57" xfId="0" applyNumberFormat="1" applyBorder="1" applyAlignment="1">
      <alignment horizontal="center"/>
    </xf>
    <xf numFmtId="1" fontId="0" fillId="49" borderId="30" xfId="0" applyNumberFormat="1" applyFill="1" applyBorder="1" applyAlignment="1">
      <alignment horizontal="center"/>
    </xf>
    <xf numFmtId="0" fontId="0" fillId="49" borderId="30" xfId="0" applyFill="1" applyBorder="1" applyAlignment="1">
      <alignment horizontal="center"/>
    </xf>
    <xf numFmtId="49" fontId="55" fillId="0" borderId="30" xfId="0" applyNumberFormat="1" applyFont="1" applyBorder="1" applyAlignment="1">
      <alignment horizontal="left"/>
    </xf>
    <xf numFmtId="1" fontId="0" fillId="0" borderId="30" xfId="0" applyNumberFormat="1" applyBorder="1" applyAlignment="1">
      <alignment horizontal="center"/>
    </xf>
    <xf numFmtId="1" fontId="0" fillId="5" borderId="30" xfId="0" applyNumberFormat="1" applyFill="1" applyBorder="1" applyAlignment="1">
      <alignment horizontal="center"/>
    </xf>
    <xf numFmtId="0" fontId="0" fillId="5" borderId="30" xfId="0" applyFill="1" applyBorder="1" applyAlignment="1">
      <alignment horizontal="center"/>
    </xf>
    <xf numFmtId="49" fontId="55" fillId="0" borderId="52" xfId="0" applyNumberFormat="1" applyFont="1" applyBorder="1" applyAlignment="1">
      <alignment horizontal="left"/>
    </xf>
    <xf numFmtId="1" fontId="0" fillId="0" borderId="52" xfId="0" applyNumberFormat="1" applyBorder="1" applyAlignment="1">
      <alignment horizontal="center"/>
    </xf>
    <xf numFmtId="1" fontId="0" fillId="5" borderId="52" xfId="0" applyNumberFormat="1" applyFill="1" applyBorder="1" applyAlignment="1">
      <alignment horizontal="center"/>
    </xf>
    <xf numFmtId="0" fontId="0" fillId="5" borderId="52" xfId="0" applyFill="1" applyBorder="1" applyAlignment="1">
      <alignment horizontal="center"/>
    </xf>
    <xf numFmtId="49" fontId="38" fillId="46" borderId="0" xfId="0" applyNumberFormat="1" applyFont="1" applyFill="1" applyAlignment="1">
      <alignment horizontal="center"/>
    </xf>
    <xf numFmtId="17" fontId="38" fillId="2" borderId="34" xfId="0" quotePrefix="1" applyNumberFormat="1" applyFont="1" applyFill="1" applyBorder="1" applyAlignment="1">
      <alignment horizontal="center"/>
    </xf>
    <xf numFmtId="3" fontId="0" fillId="2" borderId="0" xfId="0" applyNumberFormat="1" applyFill="1" applyAlignment="1">
      <alignment horizontal="center"/>
    </xf>
    <xf numFmtId="170" fontId="103" fillId="45" borderId="0" xfId="0" applyNumberFormat="1" applyFont="1" applyFill="1" applyAlignment="1">
      <alignment horizontal="center"/>
    </xf>
    <xf numFmtId="170" fontId="90" fillId="45" borderId="0" xfId="0" applyNumberFormat="1" applyFont="1" applyFill="1" applyAlignment="1">
      <alignment horizontal="center"/>
    </xf>
    <xf numFmtId="1" fontId="90" fillId="45" borderId="0" xfId="0" applyNumberFormat="1" applyFont="1" applyFill="1" applyAlignment="1">
      <alignment horizontal="center"/>
    </xf>
    <xf numFmtId="2" fontId="49" fillId="46" borderId="0" xfId="0" applyNumberFormat="1" applyFont="1" applyFill="1" applyAlignment="1">
      <alignment horizontal="center"/>
    </xf>
    <xf numFmtId="2" fontId="103" fillId="45" borderId="0" xfId="0" applyNumberFormat="1" applyFont="1" applyFill="1" applyAlignment="1">
      <alignment horizontal="center"/>
    </xf>
    <xf numFmtId="0" fontId="121" fillId="47" borderId="0" xfId="0" applyFont="1" applyFill="1" applyAlignment="1">
      <alignment horizontal="center" vertical="center"/>
    </xf>
    <xf numFmtId="17" fontId="82" fillId="0" borderId="0" xfId="0" applyNumberFormat="1" applyFont="1" applyAlignment="1">
      <alignment horizontal="center" vertical="center"/>
    </xf>
    <xf numFmtId="0" fontId="93" fillId="0" borderId="0" xfId="0" applyFont="1"/>
    <xf numFmtId="0" fontId="82" fillId="0" borderId="0" xfId="0" applyFont="1" applyAlignment="1">
      <alignment horizontal="left" vertical="center"/>
    </xf>
    <xf numFmtId="0" fontId="93" fillId="0" borderId="0" xfId="0" applyFont="1" applyAlignment="1">
      <alignment horizontal="center" vertical="center"/>
    </xf>
    <xf numFmtId="0" fontId="82" fillId="0" borderId="0" xfId="0" applyFont="1" applyAlignment="1">
      <alignment horizontal="center" vertical="center"/>
    </xf>
    <xf numFmtId="173" fontId="93" fillId="0" borderId="0" xfId="1" applyNumberFormat="1" applyFont="1" applyAlignment="1">
      <alignment vertical="center"/>
    </xf>
    <xf numFmtId="170" fontId="93" fillId="0" borderId="0" xfId="0" applyNumberFormat="1" applyFont="1" applyAlignment="1">
      <alignment horizontal="center" vertical="center"/>
    </xf>
    <xf numFmtId="171" fontId="93" fillId="0" borderId="0" xfId="0" applyNumberFormat="1" applyFont="1" applyAlignment="1">
      <alignment horizontal="center" vertical="center"/>
    </xf>
    <xf numFmtId="170" fontId="93" fillId="0" borderId="0" xfId="0" applyNumberFormat="1" applyFont="1" applyAlignment="1">
      <alignment horizontal="center"/>
    </xf>
    <xf numFmtId="0" fontId="82" fillId="0" borderId="34" xfId="0" applyFont="1" applyBorder="1" applyAlignment="1">
      <alignment horizontal="center" vertical="center"/>
    </xf>
    <xf numFmtId="17" fontId="82" fillId="0" borderId="34" xfId="0" applyNumberFormat="1" applyFont="1" applyBorder="1" applyAlignment="1">
      <alignment horizontal="center" vertical="center"/>
    </xf>
    <xf numFmtId="0" fontId="93" fillId="0" borderId="0" xfId="0" applyFont="1" applyAlignment="1">
      <alignment horizontal="left" vertical="center"/>
    </xf>
    <xf numFmtId="0" fontId="93" fillId="0" borderId="11" xfId="0" applyFont="1" applyBorder="1" applyAlignment="1">
      <alignment horizontal="center" vertical="center"/>
    </xf>
    <xf numFmtId="0" fontId="93" fillId="0" borderId="34" xfId="0" applyFont="1" applyBorder="1" applyAlignment="1">
      <alignment horizontal="left" vertical="center"/>
    </xf>
    <xf numFmtId="0" fontId="93" fillId="0" borderId="34" xfId="0" applyFont="1" applyBorder="1" applyAlignment="1">
      <alignment horizontal="center" vertical="center"/>
    </xf>
    <xf numFmtId="0" fontId="93" fillId="0" borderId="43" xfId="0" applyFont="1" applyBorder="1" applyAlignment="1">
      <alignment horizontal="center" vertical="center"/>
    </xf>
    <xf numFmtId="0" fontId="82" fillId="0" borderId="0" xfId="0" applyFont="1"/>
    <xf numFmtId="170" fontId="93" fillId="0" borderId="0" xfId="0" applyNumberFormat="1" applyFont="1"/>
    <xf numFmtId="0" fontId="82" fillId="0" borderId="20" xfId="0" applyFont="1" applyBorder="1" applyAlignment="1">
      <alignment horizontal="left"/>
    </xf>
    <xf numFmtId="0" fontId="82" fillId="0" borderId="20" xfId="0" applyFont="1" applyBorder="1" applyAlignment="1">
      <alignment horizontal="center"/>
    </xf>
    <xf numFmtId="0" fontId="82" fillId="0" borderId="0" xfId="0" applyFont="1" applyAlignment="1">
      <alignment horizontal="left"/>
    </xf>
    <xf numFmtId="17" fontId="82" fillId="0" borderId="20" xfId="0" applyNumberFormat="1" applyFont="1" applyBorder="1" applyAlignment="1">
      <alignment horizontal="center" vertical="center"/>
    </xf>
    <xf numFmtId="0" fontId="122" fillId="48" borderId="80" xfId="0" applyFont="1" applyFill="1" applyBorder="1" applyAlignment="1">
      <alignment horizontal="center" vertical="center" wrapText="1" readingOrder="1"/>
    </xf>
    <xf numFmtId="0" fontId="123" fillId="0" borderId="80" xfId="0" applyFont="1" applyBorder="1" applyAlignment="1">
      <alignment horizontal="left" vertical="center" wrapText="1" readingOrder="1"/>
    </xf>
    <xf numFmtId="0" fontId="124" fillId="0" borderId="80" xfId="0" applyFont="1" applyBorder="1" applyAlignment="1">
      <alignment horizontal="center" vertical="center" wrapText="1" readingOrder="1"/>
    </xf>
    <xf numFmtId="14" fontId="124" fillId="0" borderId="80" xfId="0" applyNumberFormat="1" applyFont="1" applyBorder="1" applyAlignment="1">
      <alignment horizontal="center" vertical="center" wrapText="1" readingOrder="1"/>
    </xf>
    <xf numFmtId="0" fontId="124" fillId="0" borderId="81" xfId="0" applyFont="1" applyBorder="1" applyAlignment="1">
      <alignment horizontal="center" vertical="center" wrapText="1" readingOrder="1"/>
    </xf>
    <xf numFmtId="14" fontId="124" fillId="0" borderId="82" xfId="0" applyNumberFormat="1" applyFont="1" applyBorder="1" applyAlignment="1">
      <alignment horizontal="center" vertical="center" wrapText="1" readingOrder="1"/>
    </xf>
    <xf numFmtId="0" fontId="124" fillId="0" borderId="30" xfId="0" applyFont="1" applyBorder="1" applyAlignment="1">
      <alignment horizontal="center" vertical="center" wrapText="1" readingOrder="1"/>
    </xf>
    <xf numFmtId="0" fontId="123" fillId="0" borderId="81" xfId="0" applyFont="1" applyBorder="1" applyAlignment="1">
      <alignment horizontal="left" vertical="center" wrapText="1" readingOrder="1"/>
    </xf>
    <xf numFmtId="14" fontId="124" fillId="0" borderId="83" xfId="0" applyNumberFormat="1" applyFont="1" applyBorder="1" applyAlignment="1">
      <alignment horizontal="center" vertical="center" wrapText="1" readingOrder="1"/>
    </xf>
    <xf numFmtId="0" fontId="123" fillId="0" borderId="30" xfId="0" applyFont="1" applyBorder="1" applyAlignment="1">
      <alignment horizontal="left" vertical="center" wrapText="1" readingOrder="1"/>
    </xf>
    <xf numFmtId="0" fontId="93" fillId="0" borderId="30" xfId="0" applyFont="1" applyBorder="1"/>
    <xf numFmtId="0" fontId="42" fillId="0" borderId="30" xfId="0" applyFont="1" applyBorder="1" applyAlignment="1">
      <alignment horizontal="center" vertical="center"/>
    </xf>
    <xf numFmtId="1" fontId="42" fillId="46" borderId="21" xfId="0" applyNumberFormat="1" applyFont="1" applyFill="1" applyBorder="1" applyAlignment="1">
      <alignment horizontal="center"/>
    </xf>
    <xf numFmtId="3" fontId="38" fillId="0" borderId="0" xfId="0" applyNumberFormat="1" applyFont="1" applyAlignment="1">
      <alignment horizontal="center" vertical="center"/>
    </xf>
    <xf numFmtId="1" fontId="61" fillId="0" borderId="11" xfId="0" applyNumberFormat="1" applyFont="1" applyBorder="1" applyAlignment="1">
      <alignment horizontal="center"/>
    </xf>
    <xf numFmtId="3" fontId="38" fillId="0" borderId="12" xfId="0" applyNumberFormat="1" applyFont="1" applyBorder="1" applyAlignment="1">
      <alignment horizontal="center" vertical="center"/>
    </xf>
    <xf numFmtId="1" fontId="61" fillId="0" borderId="0" xfId="0" applyNumberFormat="1" applyFont="1" applyAlignment="1">
      <alignment horizontal="center"/>
    </xf>
    <xf numFmtId="3" fontId="38" fillId="0" borderId="16" xfId="0" applyNumberFormat="1" applyFont="1" applyBorder="1" applyAlignment="1">
      <alignment horizontal="center" vertical="center"/>
    </xf>
    <xf numFmtId="3" fontId="38" fillId="0" borderId="35" xfId="0" applyNumberFormat="1" applyFont="1" applyBorder="1" applyAlignment="1">
      <alignment horizontal="center" vertical="center"/>
    </xf>
    <xf numFmtId="1" fontId="61" fillId="0" borderId="20" xfId="0" applyNumberFormat="1" applyFont="1" applyBorder="1" applyAlignment="1">
      <alignment horizontal="center"/>
    </xf>
    <xf numFmtId="3" fontId="38" fillId="0" borderId="12" xfId="0" applyNumberFormat="1" applyFont="1" applyBorder="1" applyAlignment="1">
      <alignment horizontal="center" vertical="center" wrapText="1"/>
    </xf>
    <xf numFmtId="3" fontId="38" fillId="0" borderId="16" xfId="0" applyNumberFormat="1" applyFont="1" applyBorder="1" applyAlignment="1">
      <alignment horizontal="center" vertical="center" wrapText="1"/>
    </xf>
    <xf numFmtId="3" fontId="38" fillId="0" borderId="35" xfId="0" applyNumberFormat="1" applyFont="1" applyBorder="1" applyAlignment="1">
      <alignment horizontal="center" vertical="center" wrapText="1"/>
    </xf>
    <xf numFmtId="1" fontId="61" fillId="0" borderId="43" xfId="0" applyNumberFormat="1" applyFont="1" applyBorder="1" applyAlignment="1">
      <alignment horizontal="center"/>
    </xf>
    <xf numFmtId="1" fontId="61" fillId="0" borderId="34" xfId="0" applyNumberFormat="1" applyFont="1" applyBorder="1" applyAlignment="1">
      <alignment horizontal="center"/>
    </xf>
    <xf numFmtId="3" fontId="38" fillId="0" borderId="34" xfId="0" applyNumberFormat="1" applyFont="1" applyBorder="1" applyAlignment="1">
      <alignment horizontal="center" vertical="center"/>
    </xf>
    <xf numFmtId="1" fontId="61" fillId="0" borderId="0" xfId="0" applyNumberFormat="1" applyFont="1"/>
    <xf numFmtId="0" fontId="0" fillId="0" borderId="0" xfId="0" applyAlignment="1">
      <alignment horizontal="center" vertical="center"/>
    </xf>
    <xf numFmtId="1" fontId="0" fillId="0" borderId="0" xfId="0" applyNumberFormat="1" applyAlignment="1">
      <alignment horizontal="center" vertical="center"/>
    </xf>
    <xf numFmtId="1" fontId="114" fillId="0" borderId="0" xfId="0" applyNumberFormat="1" applyFont="1" applyAlignment="1">
      <alignment horizontal="center"/>
    </xf>
    <xf numFmtId="0" fontId="38" fillId="0" borderId="30" xfId="0" applyFont="1" applyBorder="1" applyAlignment="1">
      <alignment horizontal="center" vertical="center" wrapText="1"/>
    </xf>
    <xf numFmtId="1" fontId="42" fillId="0" borderId="30" xfId="0" applyNumberFormat="1" applyFont="1" applyBorder="1" applyAlignment="1">
      <alignment horizontal="center" vertical="center"/>
    </xf>
    <xf numFmtId="3" fontId="42" fillId="0" borderId="30" xfId="0" applyNumberFormat="1" applyFont="1" applyBorder="1" applyAlignment="1">
      <alignment horizontal="center" vertical="center"/>
    </xf>
    <xf numFmtId="1" fontId="38" fillId="0" borderId="0" xfId="0" applyNumberFormat="1" applyFont="1" applyAlignment="1">
      <alignment horizontal="right"/>
    </xf>
    <xf numFmtId="2" fontId="43" fillId="0" borderId="49" xfId="0" applyNumberFormat="1" applyFont="1" applyBorder="1" applyAlignment="1">
      <alignment horizontal="center" vertical="center"/>
    </xf>
    <xf numFmtId="2" fontId="43" fillId="0" borderId="30" xfId="0" applyNumberFormat="1" applyFont="1" applyBorder="1" applyAlignment="1">
      <alignment horizontal="center" vertical="center"/>
    </xf>
    <xf numFmtId="2" fontId="43" fillId="0" borderId="61" xfId="0" applyNumberFormat="1" applyFont="1" applyBorder="1" applyAlignment="1">
      <alignment horizontal="center" vertical="center"/>
    </xf>
    <xf numFmtId="2" fontId="43" fillId="0" borderId="52" xfId="0" applyNumberFormat="1" applyFont="1" applyBorder="1" applyAlignment="1">
      <alignment horizontal="center" vertical="center"/>
    </xf>
    <xf numFmtId="2" fontId="43" fillId="0" borderId="68" xfId="0" applyNumberFormat="1" applyFont="1" applyBorder="1" applyAlignment="1">
      <alignment horizontal="center" vertical="center"/>
    </xf>
    <xf numFmtId="2" fontId="43" fillId="0" borderId="21" xfId="0" applyNumberFormat="1" applyFont="1" applyBorder="1" applyAlignment="1">
      <alignment horizontal="center" vertical="center"/>
    </xf>
    <xf numFmtId="2" fontId="43" fillId="0" borderId="60" xfId="0" applyNumberFormat="1" applyFont="1" applyBorder="1" applyAlignment="1">
      <alignment horizontal="center" vertical="center"/>
    </xf>
    <xf numFmtId="2" fontId="43" fillId="0" borderId="57" xfId="0" applyNumberFormat="1" applyFont="1" applyBorder="1" applyAlignment="1">
      <alignment horizontal="center" vertical="center"/>
    </xf>
    <xf numFmtId="2" fontId="43" fillId="0" borderId="59" xfId="0" applyNumberFormat="1" applyFont="1" applyBorder="1" applyAlignment="1">
      <alignment horizontal="center" vertical="center"/>
    </xf>
    <xf numFmtId="2" fontId="43" fillId="0" borderId="32" xfId="0" applyNumberFormat="1" applyFont="1" applyBorder="1" applyAlignment="1">
      <alignment horizontal="center" vertical="center"/>
    </xf>
    <xf numFmtId="2" fontId="43" fillId="0" borderId="29" xfId="0" applyNumberFormat="1" applyFont="1" applyBorder="1" applyAlignment="1">
      <alignment horizontal="center" vertical="center"/>
    </xf>
    <xf numFmtId="2" fontId="43" fillId="0" borderId="42" xfId="0" applyNumberFormat="1" applyFont="1" applyBorder="1" applyAlignment="1">
      <alignment horizontal="center" vertical="center"/>
    </xf>
    <xf numFmtId="2" fontId="43" fillId="0" borderId="57" xfId="0" applyNumberFormat="1" applyFont="1" applyBorder="1" applyAlignment="1">
      <alignment horizontal="center"/>
    </xf>
    <xf numFmtId="2" fontId="43" fillId="0" borderId="59" xfId="0" applyNumberFormat="1" applyFont="1" applyBorder="1" applyAlignment="1">
      <alignment horizontal="center"/>
    </xf>
    <xf numFmtId="2" fontId="43" fillId="0" borderId="52" xfId="0" applyNumberFormat="1" applyFont="1" applyBorder="1" applyAlignment="1">
      <alignment horizontal="center"/>
    </xf>
    <xf numFmtId="2" fontId="43" fillId="0" borderId="68" xfId="0" applyNumberFormat="1" applyFont="1" applyBorder="1" applyAlignment="1">
      <alignment horizontal="center"/>
    </xf>
    <xf numFmtId="0" fontId="0" fillId="46" borderId="0" xfId="0" applyFill="1"/>
    <xf numFmtId="1" fontId="90" fillId="50" borderId="0" xfId="0" applyNumberFormat="1" applyFont="1" applyFill="1" applyAlignment="1">
      <alignment horizontal="center"/>
    </xf>
    <xf numFmtId="1" fontId="90" fillId="50" borderId="43" xfId="0" applyNumberFormat="1" applyFont="1" applyFill="1" applyBorder="1" applyAlignment="1">
      <alignment horizontal="center"/>
    </xf>
    <xf numFmtId="0" fontId="0" fillId="0" borderId="30" xfId="0" applyBorder="1" applyAlignment="1">
      <alignment horizontal="center" vertical="center"/>
    </xf>
    <xf numFmtId="3" fontId="0" fillId="2" borderId="21" xfId="0" applyNumberFormat="1" applyFill="1" applyBorder="1"/>
    <xf numFmtId="0" fontId="0" fillId="0" borderId="28" xfId="0" applyBorder="1" applyAlignment="1">
      <alignment horizontal="center"/>
    </xf>
    <xf numFmtId="1" fontId="46" fillId="46" borderId="0" xfId="0" applyNumberFormat="1" applyFont="1" applyFill="1" applyAlignment="1">
      <alignment horizontal="center"/>
    </xf>
    <xf numFmtId="1" fontId="92" fillId="46" borderId="0" xfId="0" applyNumberFormat="1" applyFont="1" applyFill="1" applyAlignment="1">
      <alignment horizontal="center"/>
    </xf>
    <xf numFmtId="0" fontId="93" fillId="0" borderId="34" xfId="0" applyFont="1" applyBorder="1"/>
    <xf numFmtId="1" fontId="49" fillId="51" borderId="0" xfId="0" applyNumberFormat="1" applyFont="1" applyFill="1" applyAlignment="1">
      <alignment horizontal="center"/>
    </xf>
    <xf numFmtId="1" fontId="51" fillId="51" borderId="0" xfId="0" applyNumberFormat="1" applyFont="1" applyFill="1" applyAlignment="1">
      <alignment horizontal="center"/>
    </xf>
    <xf numFmtId="170" fontId="103" fillId="50" borderId="0" xfId="0" applyNumberFormat="1" applyFont="1" applyFill="1" applyAlignment="1">
      <alignment horizontal="center"/>
    </xf>
    <xf numFmtId="14" fontId="126" fillId="0" borderId="30" xfId="0" applyNumberFormat="1" applyFont="1" applyBorder="1" applyAlignment="1">
      <alignment horizontal="center" vertical="center"/>
    </xf>
    <xf numFmtId="3" fontId="112" fillId="46" borderId="30" xfId="1" applyNumberFormat="1" applyFont="1" applyFill="1" applyBorder="1" applyAlignment="1">
      <alignment vertical="center" wrapText="1"/>
    </xf>
    <xf numFmtId="3" fontId="112" fillId="46" borderId="21" xfId="1" applyNumberFormat="1" applyFont="1" applyFill="1" applyBorder="1"/>
    <xf numFmtId="3" fontId="112" fillId="46" borderId="14" xfId="1" applyNumberFormat="1" applyFont="1" applyFill="1" applyBorder="1" applyAlignment="1">
      <alignment vertical="center" wrapText="1"/>
    </xf>
    <xf numFmtId="0" fontId="112" fillId="46" borderId="0" xfId="0" applyFont="1" applyFill="1"/>
    <xf numFmtId="3" fontId="112" fillId="46" borderId="52" xfId="1" applyNumberFormat="1" applyFont="1" applyFill="1" applyBorder="1" applyAlignment="1">
      <alignment vertical="center" wrapText="1"/>
    </xf>
    <xf numFmtId="3" fontId="112" fillId="46" borderId="36" xfId="1" applyNumberFormat="1" applyFont="1" applyFill="1" applyBorder="1" applyAlignment="1">
      <alignment vertical="center" wrapText="1"/>
    </xf>
    <xf numFmtId="3" fontId="112" fillId="46" borderId="21" xfId="1" applyNumberFormat="1" applyFont="1" applyFill="1" applyBorder="1" applyAlignment="1">
      <alignment vertical="center" wrapText="1"/>
    </xf>
    <xf numFmtId="1" fontId="103" fillId="45" borderId="0" xfId="0" applyNumberFormat="1" applyFont="1" applyFill="1" applyAlignment="1">
      <alignment horizontal="center"/>
    </xf>
    <xf numFmtId="2" fontId="44" fillId="2" borderId="21" xfId="0" quotePrefix="1" applyNumberFormat="1" applyFont="1" applyFill="1" applyBorder="1" applyAlignment="1">
      <alignment horizontal="center"/>
    </xf>
    <xf numFmtId="2" fontId="44" fillId="2" borderId="36" xfId="0" quotePrefix="1" applyNumberFormat="1" applyFont="1" applyFill="1" applyBorder="1" applyAlignment="1">
      <alignment horizontal="center"/>
    </xf>
    <xf numFmtId="2" fontId="42" fillId="2" borderId="21" xfId="0" quotePrefix="1" applyNumberFormat="1" applyFont="1" applyFill="1" applyBorder="1" applyAlignment="1">
      <alignment horizontal="center"/>
    </xf>
    <xf numFmtId="0" fontId="42" fillId="46" borderId="0" xfId="0" applyFont="1" applyFill="1" applyAlignment="1">
      <alignment horizontal="center" vertical="center"/>
    </xf>
    <xf numFmtId="0" fontId="42" fillId="46" borderId="30" xfId="0" applyFont="1" applyFill="1" applyBorder="1" applyAlignment="1">
      <alignment horizontal="center" vertical="center"/>
    </xf>
    <xf numFmtId="3" fontId="42" fillId="46" borderId="30" xfId="0" applyNumberFormat="1" applyFont="1" applyFill="1" applyBorder="1" applyAlignment="1">
      <alignment horizontal="center" vertical="center"/>
    </xf>
    <xf numFmtId="3" fontId="0" fillId="46" borderId="30" xfId="0" applyNumberFormat="1" applyFill="1" applyBorder="1" applyAlignment="1">
      <alignment horizontal="center"/>
    </xf>
    <xf numFmtId="3" fontId="42" fillId="46" borderId="21" xfId="0" applyNumberFormat="1" applyFont="1" applyFill="1" applyBorder="1" applyAlignment="1">
      <alignment horizontal="center" vertical="center"/>
    </xf>
    <xf numFmtId="0" fontId="38" fillId="0" borderId="0" xfId="0" applyFont="1" applyAlignment="1">
      <alignment horizontal="center" vertical="center"/>
    </xf>
    <xf numFmtId="14" fontId="42" fillId="14" borderId="21" xfId="0" applyNumberFormat="1" applyFont="1" applyFill="1" applyBorder="1" applyAlignment="1">
      <alignment horizontal="center" vertical="center" wrapText="1"/>
    </xf>
    <xf numFmtId="172" fontId="47" fillId="2" borderId="49" xfId="1" applyNumberFormat="1" applyFont="1" applyFill="1" applyBorder="1" applyAlignment="1">
      <alignment horizontal="center"/>
    </xf>
    <xf numFmtId="172" fontId="47" fillId="2" borderId="21" xfId="1" applyNumberFormat="1" applyFont="1" applyFill="1" applyBorder="1" applyAlignment="1">
      <alignment horizontal="center"/>
    </xf>
    <xf numFmtId="0" fontId="47" fillId="2" borderId="21" xfId="0" applyFont="1" applyFill="1" applyBorder="1" applyAlignment="1">
      <alignment horizontal="center"/>
    </xf>
    <xf numFmtId="1" fontId="42" fillId="0" borderId="52" xfId="0" applyNumberFormat="1" applyFont="1" applyBorder="1" applyAlignment="1">
      <alignment horizontal="center" vertical="center" wrapText="1"/>
    </xf>
    <xf numFmtId="3" fontId="113" fillId="45" borderId="52" xfId="1" applyNumberFormat="1" applyFont="1" applyFill="1" applyBorder="1" applyAlignment="1">
      <alignment vertical="center" wrapText="1"/>
    </xf>
    <xf numFmtId="172" fontId="47" fillId="2" borderId="52" xfId="1" applyNumberFormat="1" applyFont="1" applyFill="1" applyBorder="1" applyAlignment="1">
      <alignment horizontal="center"/>
    </xf>
    <xf numFmtId="0" fontId="47" fillId="2" borderId="52" xfId="0" applyFont="1" applyFill="1" applyBorder="1" applyAlignment="1">
      <alignment horizontal="center"/>
    </xf>
    <xf numFmtId="3" fontId="0" fillId="2" borderId="52" xfId="0" applyNumberFormat="1" applyFill="1" applyBorder="1"/>
    <xf numFmtId="172" fontId="46" fillId="2" borderId="21" xfId="1" applyNumberFormat="1" applyFont="1" applyFill="1" applyBorder="1" applyAlignment="1">
      <alignment horizontal="center"/>
    </xf>
    <xf numFmtId="0" fontId="0" fillId="0" borderId="43" xfId="0" applyBorder="1"/>
    <xf numFmtId="3" fontId="42" fillId="2" borderId="21" xfId="0" applyNumberFormat="1" applyFont="1" applyFill="1" applyBorder="1" applyAlignment="1">
      <alignment horizontal="center"/>
    </xf>
    <xf numFmtId="3" fontId="42" fillId="46" borderId="21" xfId="1" applyNumberFormat="1" applyFont="1" applyFill="1" applyBorder="1" applyAlignment="1">
      <alignment vertical="center" wrapText="1"/>
    </xf>
    <xf numFmtId="14" fontId="126" fillId="0" borderId="30" xfId="0" applyNumberFormat="1" applyFont="1" applyBorder="1" applyAlignment="1">
      <alignment horizontal="center" vertical="center" wrapText="1"/>
    </xf>
    <xf numFmtId="0" fontId="126" fillId="0" borderId="30" xfId="0" applyFont="1" applyBorder="1" applyAlignment="1">
      <alignment horizontal="center" vertical="center" wrapText="1"/>
    </xf>
    <xf numFmtId="3" fontId="55" fillId="0" borderId="0" xfId="0" applyNumberFormat="1" applyFont="1" applyAlignment="1">
      <alignment horizontal="center"/>
    </xf>
    <xf numFmtId="3" fontId="113" fillId="45" borderId="21" xfId="1" applyNumberFormat="1" applyFont="1" applyFill="1" applyBorder="1"/>
    <xf numFmtId="0" fontId="126" fillId="51" borderId="30" xfId="0" applyFont="1" applyFill="1" applyBorder="1" applyAlignment="1">
      <alignment horizontal="center" vertical="center" wrapText="1"/>
    </xf>
    <xf numFmtId="0" fontId="126" fillId="45" borderId="30" xfId="0" applyFont="1" applyFill="1" applyBorder="1" applyAlignment="1">
      <alignment horizontal="center" vertical="center" wrapText="1"/>
    </xf>
    <xf numFmtId="0" fontId="126" fillId="0" borderId="30" xfId="0" applyFont="1" applyBorder="1" applyAlignment="1">
      <alignment horizontal="center" vertical="center"/>
    </xf>
    <xf numFmtId="0" fontId="126" fillId="45" borderId="30" xfId="0" applyFont="1" applyFill="1" applyBorder="1" applyAlignment="1">
      <alignment horizontal="center" vertical="center"/>
    </xf>
    <xf numFmtId="0" fontId="42" fillId="46" borderId="0" xfId="0" applyFont="1" applyFill="1"/>
    <xf numFmtId="0" fontId="38" fillId="46" borderId="30" xfId="0" applyFont="1" applyFill="1" applyBorder="1" applyAlignment="1">
      <alignment horizontal="center"/>
    </xf>
    <xf numFmtId="0" fontId="0" fillId="0" borderId="52" xfId="0" applyBorder="1" applyAlignment="1">
      <alignment horizontal="center"/>
    </xf>
    <xf numFmtId="0" fontId="0" fillId="0" borderId="21" xfId="0" applyBorder="1" applyAlignment="1">
      <alignment horizontal="center"/>
    </xf>
    <xf numFmtId="170" fontId="0" fillId="0" borderId="30" xfId="0" applyNumberFormat="1" applyBorder="1" applyAlignment="1">
      <alignment horizontal="center"/>
    </xf>
    <xf numFmtId="49" fontId="38" fillId="0" borderId="0" xfId="0" applyNumberFormat="1" applyFont="1"/>
    <xf numFmtId="2" fontId="38" fillId="0" borderId="0" xfId="0" applyNumberFormat="1" applyFont="1"/>
    <xf numFmtId="2" fontId="38" fillId="2" borderId="34" xfId="0" applyNumberFormat="1" applyFont="1" applyFill="1" applyBorder="1" applyAlignment="1">
      <alignment horizontal="center"/>
    </xf>
    <xf numFmtId="2" fontId="46" fillId="45" borderId="0" xfId="0" applyNumberFormat="1" applyFont="1" applyFill="1" applyAlignment="1">
      <alignment horizontal="center"/>
    </xf>
    <xf numFmtId="1" fontId="103" fillId="50" borderId="0" xfId="0" applyNumberFormat="1" applyFont="1" applyFill="1" applyAlignment="1">
      <alignment horizontal="center"/>
    </xf>
    <xf numFmtId="4" fontId="42" fillId="0" borderId="0" xfId="0" applyNumberFormat="1" applyFont="1" applyAlignment="1">
      <alignment horizontal="center" vertical="center"/>
    </xf>
    <xf numFmtId="0" fontId="0" fillId="46" borderId="30" xfId="0" applyFill="1" applyBorder="1" applyAlignment="1">
      <alignment horizontal="center" vertical="center"/>
    </xf>
    <xf numFmtId="9" fontId="0" fillId="2" borderId="0" xfId="0" applyNumberFormat="1" applyFill="1" applyAlignment="1">
      <alignment vertical="center" wrapText="1"/>
    </xf>
    <xf numFmtId="170" fontId="38" fillId="2" borderId="0" xfId="0" quotePrefix="1" applyNumberFormat="1" applyFont="1" applyFill="1" applyAlignment="1">
      <alignment horizontal="center"/>
    </xf>
    <xf numFmtId="170" fontId="42" fillId="2" borderId="0" xfId="0" applyNumberFormat="1" applyFont="1" applyFill="1" applyAlignment="1">
      <alignment horizontal="center"/>
    </xf>
    <xf numFmtId="0" fontId="37" fillId="46" borderId="34" xfId="0" applyFont="1" applyFill="1" applyBorder="1" applyAlignment="1">
      <alignment horizontal="center"/>
    </xf>
    <xf numFmtId="2" fontId="103" fillId="45" borderId="34" xfId="0" applyNumberFormat="1" applyFont="1" applyFill="1" applyBorder="1" applyAlignment="1">
      <alignment horizontal="center"/>
    </xf>
    <xf numFmtId="2" fontId="103" fillId="50" borderId="34" xfId="0" applyNumberFormat="1" applyFont="1" applyFill="1" applyBorder="1" applyAlignment="1">
      <alignment horizontal="center"/>
    </xf>
    <xf numFmtId="2" fontId="38" fillId="46" borderId="34" xfId="0" quotePrefix="1" applyNumberFormat="1" applyFont="1" applyFill="1" applyBorder="1" applyAlignment="1">
      <alignment horizontal="center"/>
    </xf>
    <xf numFmtId="2" fontId="38" fillId="46" borderId="34" xfId="0" applyNumberFormat="1" applyFont="1" applyFill="1" applyBorder="1" applyAlignment="1">
      <alignment horizontal="center"/>
    </xf>
    <xf numFmtId="0" fontId="37" fillId="0" borderId="0" xfId="0" applyFont="1" applyAlignment="1">
      <alignment horizontal="center"/>
    </xf>
    <xf numFmtId="1" fontId="38" fillId="2" borderId="0" xfId="0" quotePrefix="1" applyNumberFormat="1" applyFont="1" applyFill="1" applyAlignment="1">
      <alignment horizontal="center"/>
    </xf>
    <xf numFmtId="1" fontId="46" fillId="50" borderId="0" xfId="0" applyNumberFormat="1" applyFont="1" applyFill="1" applyAlignment="1">
      <alignment horizontal="center"/>
    </xf>
    <xf numFmtId="0" fontId="49" fillId="51" borderId="0" xfId="0" applyFont="1" applyFill="1" applyAlignment="1">
      <alignment horizontal="center"/>
    </xf>
    <xf numFmtId="2" fontId="49" fillId="51" borderId="34" xfId="0" applyNumberFormat="1" applyFont="1" applyFill="1" applyBorder="1" applyAlignment="1">
      <alignment horizontal="center"/>
    </xf>
    <xf numFmtId="170" fontId="49" fillId="51" borderId="0" xfId="0" applyNumberFormat="1" applyFont="1" applyFill="1" applyAlignment="1">
      <alignment horizontal="center"/>
    </xf>
    <xf numFmtId="1" fontId="49" fillId="0" borderId="0" xfId="0" applyNumberFormat="1" applyFont="1"/>
    <xf numFmtId="3" fontId="55" fillId="2" borderId="0" xfId="0" applyNumberFormat="1" applyFont="1" applyFill="1" applyAlignment="1">
      <alignment horizontal="center"/>
    </xf>
    <xf numFmtId="0" fontId="120" fillId="0" borderId="0" xfId="0" applyFont="1"/>
    <xf numFmtId="14" fontId="126" fillId="0" borderId="51" xfId="0" applyNumberFormat="1" applyFont="1" applyBorder="1" applyAlignment="1">
      <alignment horizontal="center" vertical="center"/>
    </xf>
    <xf numFmtId="14" fontId="130" fillId="0" borderId="0" xfId="0" applyNumberFormat="1" applyFont="1"/>
    <xf numFmtId="1" fontId="0" fillId="46" borderId="0" xfId="0" applyNumberFormat="1" applyFill="1"/>
    <xf numFmtId="9" fontId="0" fillId="46" borderId="0" xfId="42" applyFont="1" applyFill="1"/>
    <xf numFmtId="0" fontId="0" fillId="0" borderId="21" xfId="0" applyBorder="1"/>
    <xf numFmtId="0" fontId="38" fillId="53" borderId="52" xfId="0" applyFont="1" applyFill="1" applyBorder="1" applyAlignment="1">
      <alignment horizontal="center"/>
    </xf>
    <xf numFmtId="3" fontId="0" fillId="53" borderId="52" xfId="0" applyNumberFormat="1" applyFill="1" applyBorder="1" applyAlignment="1">
      <alignment horizontal="center"/>
    </xf>
    <xf numFmtId="17" fontId="42" fillId="46" borderId="30" xfId="0" quotePrefix="1" applyNumberFormat="1" applyFont="1" applyFill="1" applyBorder="1" applyAlignment="1">
      <alignment horizontal="center" vertical="center"/>
    </xf>
    <xf numFmtId="0" fontId="38" fillId="0" borderId="0" xfId="0" applyFont="1" applyAlignment="1">
      <alignment horizontal="right"/>
    </xf>
    <xf numFmtId="1" fontId="55" fillId="0" borderId="0" xfId="0" applyNumberFormat="1" applyFont="1" applyAlignment="1">
      <alignment horizontal="center"/>
    </xf>
    <xf numFmtId="171" fontId="55" fillId="0" borderId="0" xfId="0" applyNumberFormat="1" applyFont="1" applyAlignment="1">
      <alignment horizontal="center"/>
    </xf>
    <xf numFmtId="0" fontId="120" fillId="0" borderId="0" xfId="0" applyFont="1" applyAlignment="1">
      <alignment horizontal="center"/>
    </xf>
    <xf numFmtId="4" fontId="55" fillId="0" borderId="0" xfId="0" applyNumberFormat="1" applyFont="1" applyAlignment="1">
      <alignment horizontal="center"/>
    </xf>
    <xf numFmtId="0" fontId="38" fillId="46" borderId="30" xfId="0" applyFont="1" applyFill="1" applyBorder="1" applyAlignment="1">
      <alignment horizontal="center" vertical="center" wrapText="1"/>
    </xf>
    <xf numFmtId="0" fontId="131" fillId="46" borderId="52" xfId="0" applyFont="1" applyFill="1" applyBorder="1" applyAlignment="1">
      <alignment horizontal="center" vertical="center" wrapText="1"/>
    </xf>
    <xf numFmtId="0" fontId="131" fillId="46" borderId="30" xfId="0" applyFont="1" applyFill="1" applyBorder="1" applyAlignment="1">
      <alignment horizontal="center" vertical="center" wrapText="1"/>
    </xf>
    <xf numFmtId="0" fontId="131" fillId="46" borderId="21" xfId="0" applyFont="1" applyFill="1" applyBorder="1" applyAlignment="1">
      <alignment horizontal="center" vertical="center" wrapText="1"/>
    </xf>
    <xf numFmtId="0" fontId="36" fillId="46" borderId="30" xfId="0" applyFont="1" applyFill="1" applyBorder="1" applyAlignment="1">
      <alignment horizontal="center" vertical="center" wrapText="1"/>
    </xf>
    <xf numFmtId="0" fontId="131" fillId="46" borderId="30" xfId="0" applyFont="1" applyFill="1" applyBorder="1" applyAlignment="1">
      <alignment horizontal="center" vertical="top" wrapText="1"/>
    </xf>
    <xf numFmtId="14" fontId="0" fillId="46" borderId="30" xfId="0" applyNumberFormat="1" applyFill="1" applyBorder="1" applyAlignment="1">
      <alignment horizontal="center"/>
    </xf>
    <xf numFmtId="0" fontId="38" fillId="46" borderId="52" xfId="0" applyFont="1" applyFill="1" applyBorder="1" applyAlignment="1">
      <alignment horizontal="center" vertical="center" wrapText="1"/>
    </xf>
    <xf numFmtId="0" fontId="38" fillId="46" borderId="21" xfId="0" applyFont="1" applyFill="1" applyBorder="1" applyAlignment="1">
      <alignment horizontal="center" vertical="center" wrapText="1"/>
    </xf>
    <xf numFmtId="0" fontId="0" fillId="45" borderId="30" xfId="0" applyFill="1" applyBorder="1"/>
    <xf numFmtId="0" fontId="0" fillId="46" borderId="21" xfId="0" applyFill="1" applyBorder="1" applyAlignment="1">
      <alignment horizontal="center" vertical="center"/>
    </xf>
    <xf numFmtId="0" fontId="0" fillId="45" borderId="21" xfId="0" applyFill="1" applyBorder="1"/>
    <xf numFmtId="0" fontId="0" fillId="45" borderId="52" xfId="0" applyFill="1" applyBorder="1"/>
    <xf numFmtId="0" fontId="0" fillId="0" borderId="52" xfId="0" applyBorder="1"/>
    <xf numFmtId="0" fontId="131" fillId="46" borderId="21" xfId="0" applyFont="1" applyFill="1" applyBorder="1" applyAlignment="1">
      <alignment horizontal="center" vertical="top" wrapText="1"/>
    </xf>
    <xf numFmtId="14" fontId="0" fillId="46" borderId="52" xfId="0" applyNumberFormat="1" applyFill="1" applyBorder="1" applyAlignment="1">
      <alignment horizontal="center"/>
    </xf>
    <xf numFmtId="0" fontId="38" fillId="0" borderId="52" xfId="0" applyFont="1" applyBorder="1" applyAlignment="1">
      <alignment horizontal="center"/>
    </xf>
    <xf numFmtId="0" fontId="0" fillId="46" borderId="21" xfId="0" applyFill="1" applyBorder="1"/>
    <xf numFmtId="0" fontId="0" fillId="46" borderId="52" xfId="0" applyFill="1" applyBorder="1"/>
    <xf numFmtId="0" fontId="112" fillId="0" borderId="30" xfId="0" applyFont="1" applyBorder="1" applyAlignment="1">
      <alignment horizontal="left" vertical="center" wrapText="1"/>
    </xf>
    <xf numFmtId="0" fontId="42" fillId="0" borderId="30" xfId="0" applyFont="1" applyBorder="1" applyAlignment="1">
      <alignment horizontal="left" wrapText="1"/>
    </xf>
    <xf numFmtId="0" fontId="42" fillId="0" borderId="52" xfId="0" applyFont="1" applyBorder="1" applyAlignment="1">
      <alignment horizontal="left" wrapText="1"/>
    </xf>
    <xf numFmtId="0" fontId="42" fillId="0" borderId="21" xfId="0" applyFont="1" applyBorder="1" applyAlignment="1">
      <alignment horizontal="left" wrapText="1"/>
    </xf>
    <xf numFmtId="0" fontId="96" fillId="0" borderId="52" xfId="0" applyFont="1" applyBorder="1" applyAlignment="1">
      <alignment horizontal="center"/>
    </xf>
    <xf numFmtId="0" fontId="36" fillId="0" borderId="52" xfId="0" applyFont="1" applyBorder="1" applyAlignment="1">
      <alignment horizontal="center"/>
    </xf>
    <xf numFmtId="2" fontId="43" fillId="0" borderId="14" xfId="0" applyNumberFormat="1" applyFont="1" applyBorder="1" applyAlignment="1">
      <alignment horizontal="center" vertical="center"/>
    </xf>
    <xf numFmtId="2" fontId="43" fillId="0" borderId="54" xfId="0" applyNumberFormat="1" applyFont="1" applyBorder="1" applyAlignment="1">
      <alignment horizontal="center" vertical="center"/>
    </xf>
    <xf numFmtId="2" fontId="43" fillId="0" borderId="36" xfId="0" applyNumberFormat="1" applyFont="1" applyBorder="1" applyAlignment="1">
      <alignment horizontal="center" vertical="center"/>
    </xf>
    <xf numFmtId="2" fontId="43" fillId="0" borderId="62" xfId="0" applyNumberFormat="1" applyFont="1" applyBorder="1" applyAlignment="1">
      <alignment horizontal="center" vertical="center"/>
    </xf>
    <xf numFmtId="2" fontId="43" fillId="0" borderId="3" xfId="0" applyNumberFormat="1" applyFont="1" applyBorder="1" applyAlignment="1">
      <alignment horizontal="center"/>
    </xf>
    <xf numFmtId="2" fontId="43" fillId="0" borderId="53" xfId="0" applyNumberFormat="1" applyFont="1" applyBorder="1" applyAlignment="1">
      <alignment horizontal="center"/>
    </xf>
    <xf numFmtId="0" fontId="0" fillId="46" borderId="0" xfId="0" applyFill="1" applyAlignment="1">
      <alignment horizontal="center"/>
    </xf>
    <xf numFmtId="0" fontId="38" fillId="0" borderId="30" xfId="0" applyFont="1" applyBorder="1" applyAlignment="1">
      <alignment horizontal="center" vertical="center"/>
    </xf>
    <xf numFmtId="0" fontId="133" fillId="0" borderId="0" xfId="0" applyFont="1"/>
    <xf numFmtId="0" fontId="133" fillId="0" borderId="30" xfId="0" applyFont="1" applyBorder="1" applyAlignment="1">
      <alignment horizontal="center"/>
    </xf>
    <xf numFmtId="0" fontId="133" fillId="0" borderId="30" xfId="0" applyFont="1" applyBorder="1" applyAlignment="1">
      <alignment horizontal="left" vertical="center"/>
    </xf>
    <xf numFmtId="0" fontId="133" fillId="0" borderId="0" xfId="0" applyFont="1" applyAlignment="1">
      <alignment horizontal="left" vertical="center"/>
    </xf>
    <xf numFmtId="0" fontId="134" fillId="46" borderId="31" xfId="0" applyFont="1" applyFill="1" applyBorder="1"/>
    <xf numFmtId="0" fontId="134" fillId="46" borderId="44" xfId="0" applyFont="1" applyFill="1" applyBorder="1"/>
    <xf numFmtId="0" fontId="134" fillId="46" borderId="38" xfId="0" applyFont="1" applyFill="1" applyBorder="1"/>
    <xf numFmtId="0" fontId="133" fillId="46" borderId="0" xfId="0" applyFont="1" applyFill="1" applyAlignment="1">
      <alignment horizontal="center" vertical="center"/>
    </xf>
    <xf numFmtId="170" fontId="133" fillId="0" borderId="0" xfId="0" applyNumberFormat="1" applyFont="1" applyAlignment="1">
      <alignment horizontal="center"/>
    </xf>
    <xf numFmtId="1" fontId="133" fillId="0" borderId="0" xfId="0" applyNumberFormat="1" applyFont="1" applyAlignment="1">
      <alignment horizontal="center"/>
    </xf>
    <xf numFmtId="0" fontId="133" fillId="0" borderId="0" xfId="0" applyFont="1" applyAlignment="1">
      <alignment horizontal="center"/>
    </xf>
    <xf numFmtId="9" fontId="133" fillId="0" borderId="0" xfId="42" applyFont="1" applyAlignment="1">
      <alignment horizontal="center"/>
    </xf>
    <xf numFmtId="0" fontId="133" fillId="0" borderId="52" xfId="0" applyFont="1" applyBorder="1" applyAlignment="1">
      <alignment horizontal="center"/>
    </xf>
    <xf numFmtId="0" fontId="133" fillId="0" borderId="21" xfId="0" applyFont="1" applyBorder="1" applyAlignment="1">
      <alignment horizontal="center"/>
    </xf>
    <xf numFmtId="1" fontId="133" fillId="0" borderId="30" xfId="0" applyNumberFormat="1" applyFont="1" applyBorder="1" applyAlignment="1">
      <alignment horizontal="center"/>
    </xf>
    <xf numFmtId="1" fontId="133" fillId="0" borderId="21" xfId="0" applyNumberFormat="1" applyFont="1" applyBorder="1" applyAlignment="1">
      <alignment horizontal="center"/>
    </xf>
    <xf numFmtId="1" fontId="133" fillId="0" borderId="52" xfId="0" applyNumberFormat="1" applyFont="1" applyBorder="1" applyAlignment="1">
      <alignment horizontal="center"/>
    </xf>
    <xf numFmtId="0" fontId="0" fillId="0" borderId="31" xfId="0" applyBorder="1" applyAlignment="1">
      <alignment horizontal="left"/>
    </xf>
    <xf numFmtId="0" fontId="0" fillId="0" borderId="29" xfId="0" applyBorder="1" applyAlignment="1">
      <alignment horizontal="center" vertical="center"/>
    </xf>
    <xf numFmtId="9" fontId="128" fillId="0" borderId="61" xfId="42" applyFont="1" applyBorder="1" applyAlignment="1">
      <alignment horizontal="center" vertical="center"/>
    </xf>
    <xf numFmtId="0" fontId="129" fillId="45" borderId="31" xfId="0" applyFont="1" applyFill="1" applyBorder="1" applyAlignment="1">
      <alignment horizontal="left"/>
    </xf>
    <xf numFmtId="0" fontId="129" fillId="45" borderId="42" xfId="0" applyFont="1" applyFill="1" applyBorder="1" applyAlignment="1">
      <alignment horizontal="center" vertical="center"/>
    </xf>
    <xf numFmtId="0" fontId="129" fillId="45" borderId="52" xfId="0" applyFont="1" applyFill="1" applyBorder="1" applyAlignment="1">
      <alignment horizontal="center" vertical="center"/>
    </xf>
    <xf numFmtId="9" fontId="129" fillId="45" borderId="68" xfId="42" applyFont="1" applyFill="1" applyBorder="1" applyAlignment="1">
      <alignment horizontal="center" vertical="center"/>
    </xf>
    <xf numFmtId="0" fontId="132" fillId="54" borderId="29" xfId="0" applyFont="1" applyFill="1" applyBorder="1" applyAlignment="1">
      <alignment horizontal="center" vertical="center"/>
    </xf>
    <xf numFmtId="0" fontId="132" fillId="54" borderId="30" xfId="0" applyFont="1" applyFill="1" applyBorder="1" applyAlignment="1">
      <alignment horizontal="center" vertical="center"/>
    </xf>
    <xf numFmtId="0" fontId="132" fillId="54" borderId="61" xfId="0" applyFont="1" applyFill="1" applyBorder="1" applyAlignment="1">
      <alignment horizontal="center" vertical="center"/>
    </xf>
    <xf numFmtId="0" fontId="0" fillId="46" borderId="30" xfId="0" applyFill="1" applyBorder="1" applyAlignment="1">
      <alignment horizontal="left"/>
    </xf>
    <xf numFmtId="0" fontId="0" fillId="46" borderId="0" xfId="0" applyFill="1" applyAlignment="1">
      <alignment horizontal="left"/>
    </xf>
    <xf numFmtId="9" fontId="49" fillId="46" borderId="30" xfId="42" applyFont="1" applyFill="1" applyBorder="1" applyAlignment="1">
      <alignment horizontal="center"/>
    </xf>
    <xf numFmtId="0" fontId="0" fillId="46" borderId="30" xfId="0" applyFill="1" applyBorder="1" applyAlignment="1">
      <alignment horizontal="center"/>
    </xf>
    <xf numFmtId="0" fontId="38" fillId="45" borderId="21" xfId="0" applyFont="1" applyFill="1" applyBorder="1" applyAlignment="1">
      <alignment horizontal="center"/>
    </xf>
    <xf numFmtId="0" fontId="38" fillId="45" borderId="30" xfId="0" applyFont="1" applyFill="1" applyBorder="1" applyAlignment="1">
      <alignment horizontal="center"/>
    </xf>
    <xf numFmtId="0" fontId="0" fillId="55" borderId="21" xfId="0" applyFill="1" applyBorder="1" applyAlignment="1">
      <alignment horizontal="center"/>
    </xf>
    <xf numFmtId="0" fontId="0" fillId="55" borderId="52" xfId="0" applyFill="1" applyBorder="1"/>
    <xf numFmtId="0" fontId="0" fillId="55" borderId="30" xfId="0" applyFill="1" applyBorder="1" applyAlignment="1">
      <alignment horizontal="center"/>
    </xf>
    <xf numFmtId="0" fontId="0" fillId="55" borderId="52" xfId="0" applyFill="1" applyBorder="1" applyAlignment="1">
      <alignment horizontal="center"/>
    </xf>
    <xf numFmtId="0" fontId="0" fillId="55" borderId="30" xfId="0" applyFill="1" applyBorder="1"/>
    <xf numFmtId="0" fontId="133" fillId="0" borderId="30" xfId="0" applyFont="1" applyBorder="1"/>
    <xf numFmtId="174" fontId="134" fillId="0" borderId="30" xfId="1" applyNumberFormat="1" applyFont="1" applyBorder="1"/>
    <xf numFmtId="3" fontId="134" fillId="0" borderId="30" xfId="43" applyNumberFormat="1" applyFont="1" applyBorder="1"/>
    <xf numFmtId="1" fontId="134" fillId="0" borderId="30" xfId="43" applyNumberFormat="1" applyFont="1" applyBorder="1"/>
    <xf numFmtId="0" fontId="134" fillId="0" borderId="30" xfId="43" applyFont="1" applyBorder="1"/>
    <xf numFmtId="0" fontId="134" fillId="0" borderId="30" xfId="43" applyFont="1" applyBorder="1" applyAlignment="1">
      <alignment horizontal="center"/>
    </xf>
    <xf numFmtId="174" fontId="134" fillId="0" borderId="30" xfId="1" applyNumberFormat="1" applyFont="1" applyBorder="1" applyAlignment="1">
      <alignment horizontal="center"/>
    </xf>
    <xf numFmtId="174" fontId="134" fillId="0" borderId="52" xfId="1" applyNumberFormat="1" applyFont="1" applyBorder="1" applyAlignment="1">
      <alignment horizontal="center"/>
    </xf>
    <xf numFmtId="0" fontId="134" fillId="0" borderId="21" xfId="43" applyFont="1" applyBorder="1" applyAlignment="1">
      <alignment horizontal="center"/>
    </xf>
    <xf numFmtId="0" fontId="133" fillId="0" borderId="30" xfId="0" applyFont="1" applyBorder="1" applyAlignment="1">
      <alignment horizontal="right"/>
    </xf>
    <xf numFmtId="0" fontId="38" fillId="0" borderId="30" xfId="0" applyFont="1" applyBorder="1"/>
    <xf numFmtId="0" fontId="38" fillId="0" borderId="52" xfId="0" applyFont="1" applyBorder="1"/>
    <xf numFmtId="0" fontId="38" fillId="46" borderId="0" xfId="0" applyFont="1" applyFill="1"/>
    <xf numFmtId="3" fontId="38" fillId="0" borderId="0" xfId="0" applyNumberFormat="1" applyFont="1" applyAlignment="1">
      <alignment horizontal="right"/>
    </xf>
    <xf numFmtId="171" fontId="43" fillId="0" borderId="0" xfId="0" applyNumberFormat="1" applyFont="1" applyAlignment="1">
      <alignment horizontal="right"/>
    </xf>
    <xf numFmtId="170" fontId="43" fillId="0" borderId="0" xfId="0" applyNumberFormat="1" applyFont="1" applyAlignment="1">
      <alignment horizontal="right"/>
    </xf>
    <xf numFmtId="0" fontId="0" fillId="45" borderId="30" xfId="0" applyFill="1" applyBorder="1" applyAlignment="1">
      <alignment horizontal="center"/>
    </xf>
    <xf numFmtId="0" fontId="0" fillId="51" borderId="30" xfId="0" applyFill="1" applyBorder="1" applyAlignment="1">
      <alignment horizontal="center"/>
    </xf>
    <xf numFmtId="0" fontId="0" fillId="50" borderId="30" xfId="0" applyFill="1" applyBorder="1" applyAlignment="1">
      <alignment horizontal="center"/>
    </xf>
    <xf numFmtId="0" fontId="38" fillId="0" borderId="14" xfId="0" applyFont="1" applyBorder="1" applyAlignment="1">
      <alignment horizontal="center" wrapText="1"/>
    </xf>
    <xf numFmtId="0" fontId="0" fillId="50" borderId="52" xfId="0" applyFill="1" applyBorder="1" applyAlignment="1">
      <alignment horizontal="center"/>
    </xf>
    <xf numFmtId="0" fontId="0" fillId="51" borderId="52" xfId="0" applyFill="1" applyBorder="1" applyAlignment="1">
      <alignment horizontal="center"/>
    </xf>
    <xf numFmtId="9" fontId="51" fillId="46" borderId="0" xfId="0" applyNumberFormat="1" applyFont="1" applyFill="1" applyAlignment="1">
      <alignment horizontal="center"/>
    </xf>
    <xf numFmtId="0" fontId="51" fillId="46" borderId="0" xfId="0" applyFont="1" applyFill="1"/>
    <xf numFmtId="3" fontId="0" fillId="0" borderId="30" xfId="0" applyNumberFormat="1" applyBorder="1"/>
    <xf numFmtId="170" fontId="0" fillId="0" borderId="30" xfId="0" applyNumberFormat="1" applyBorder="1" applyAlignment="1">
      <alignment horizontal="center" vertical="center"/>
    </xf>
    <xf numFmtId="2" fontId="0" fillId="0" borderId="30" xfId="0" applyNumberFormat="1" applyBorder="1" applyAlignment="1">
      <alignment horizontal="center"/>
    </xf>
    <xf numFmtId="2" fontId="0" fillId="0" borderId="61" xfId="0" applyNumberFormat="1" applyBorder="1"/>
    <xf numFmtId="17" fontId="0" fillId="0" borderId="0" xfId="0" applyNumberFormat="1"/>
    <xf numFmtId="14" fontId="136" fillId="57" borderId="30" xfId="0" applyNumberFormat="1" applyFont="1" applyFill="1" applyBorder="1" applyAlignment="1">
      <alignment horizontal="center" vertical="center"/>
    </xf>
    <xf numFmtId="3" fontId="42" fillId="46" borderId="0" xfId="0" applyNumberFormat="1" applyFont="1" applyFill="1" applyAlignment="1">
      <alignment horizontal="left" vertical="center"/>
    </xf>
    <xf numFmtId="15" fontId="127" fillId="46" borderId="0" xfId="0" applyNumberFormat="1" applyFont="1" applyFill="1"/>
    <xf numFmtId="14" fontId="42" fillId="46" borderId="0" xfId="0" applyNumberFormat="1" applyFont="1" applyFill="1" applyAlignment="1">
      <alignment horizontal="left"/>
    </xf>
    <xf numFmtId="0" fontId="42" fillId="46" borderId="0" xfId="0" applyFont="1" applyFill="1" applyAlignment="1">
      <alignment horizontal="left"/>
    </xf>
    <xf numFmtId="2" fontId="83" fillId="46" borderId="0" xfId="0" applyNumberFormat="1" applyFont="1" applyFill="1" applyAlignment="1">
      <alignment horizontal="center"/>
    </xf>
    <xf numFmtId="0" fontId="42" fillId="46" borderId="0" xfId="0" applyFont="1" applyFill="1" applyAlignment="1">
      <alignment horizontal="center"/>
    </xf>
    <xf numFmtId="3" fontId="61" fillId="46" borderId="0" xfId="0" applyNumberFormat="1" applyFont="1" applyFill="1"/>
    <xf numFmtId="22" fontId="79" fillId="46" borderId="0" xfId="0" applyNumberFormat="1" applyFont="1" applyFill="1"/>
    <xf numFmtId="0" fontId="45" fillId="46" borderId="0" xfId="0" applyFont="1" applyFill="1"/>
    <xf numFmtId="0" fontId="0" fillId="46" borderId="14" xfId="0" applyFill="1" applyBorder="1" applyAlignment="1">
      <alignment horizontal="center"/>
    </xf>
    <xf numFmtId="0" fontId="42" fillId="46" borderId="52" xfId="0" applyFont="1" applyFill="1" applyBorder="1" applyAlignment="1">
      <alignment horizontal="center" vertical="center"/>
    </xf>
    <xf numFmtId="3" fontId="61" fillId="46" borderId="52" xfId="0" applyNumberFormat="1" applyFont="1" applyFill="1" applyBorder="1" applyAlignment="1">
      <alignment horizontal="center" vertical="center"/>
    </xf>
    <xf numFmtId="0" fontId="44" fillId="46" borderId="51" xfId="0" applyFont="1" applyFill="1" applyBorder="1" applyAlignment="1">
      <alignment horizontal="center" vertical="center"/>
    </xf>
    <xf numFmtId="0" fontId="44" fillId="46" borderId="30" xfId="0" applyFont="1" applyFill="1" applyBorder="1" applyAlignment="1">
      <alignment horizontal="center" vertical="center"/>
    </xf>
    <xf numFmtId="0" fontId="0" fillId="46" borderId="21" xfId="0" applyFill="1" applyBorder="1" applyAlignment="1">
      <alignment horizontal="center"/>
    </xf>
    <xf numFmtId="0" fontId="38" fillId="0" borderId="34" xfId="0" applyFont="1" applyBorder="1" applyAlignment="1">
      <alignment horizontal="center"/>
    </xf>
    <xf numFmtId="14" fontId="136" fillId="58" borderId="30" xfId="0" applyNumberFormat="1" applyFont="1" applyFill="1" applyBorder="1" applyAlignment="1">
      <alignment horizontal="center" vertical="center" wrapText="1"/>
    </xf>
    <xf numFmtId="14" fontId="136" fillId="57" borderId="30" xfId="0" applyNumberFormat="1" applyFont="1" applyFill="1" applyBorder="1" applyAlignment="1">
      <alignment horizontal="center" vertical="center" wrapText="1"/>
    </xf>
    <xf numFmtId="2" fontId="0" fillId="0" borderId="30" xfId="0" applyNumberFormat="1" applyBorder="1"/>
    <xf numFmtId="2" fontId="38" fillId="0" borderId="1" xfId="0" applyNumberFormat="1" applyFont="1" applyBorder="1" applyAlignment="1">
      <alignment horizontal="center"/>
    </xf>
    <xf numFmtId="170" fontId="43" fillId="46" borderId="0" xfId="0" applyNumberFormat="1" applyFont="1" applyFill="1"/>
    <xf numFmtId="1" fontId="43" fillId="46" borderId="0" xfId="0" applyNumberFormat="1" applyFont="1" applyFill="1" applyAlignment="1">
      <alignment horizontal="center"/>
    </xf>
    <xf numFmtId="0" fontId="0" fillId="0" borderId="30" xfId="0" applyBorder="1" applyAlignment="1">
      <alignment horizontal="left"/>
    </xf>
    <xf numFmtId="1" fontId="43" fillId="46" borderId="0" xfId="0" applyNumberFormat="1" applyFont="1" applyFill="1" applyAlignment="1">
      <alignment horizontal="right"/>
    </xf>
    <xf numFmtId="170" fontId="43" fillId="46" borderId="0" xfId="0" applyNumberFormat="1" applyFont="1" applyFill="1" applyAlignment="1">
      <alignment horizontal="center"/>
    </xf>
    <xf numFmtId="0" fontId="43" fillId="46" borderId="0" xfId="0" applyFont="1" applyFill="1"/>
    <xf numFmtId="3" fontId="43" fillId="46" borderId="0" xfId="0" applyNumberFormat="1" applyFont="1" applyFill="1" applyAlignment="1">
      <alignment horizontal="right"/>
    </xf>
    <xf numFmtId="1" fontId="43" fillId="46" borderId="0" xfId="0" applyNumberFormat="1" applyFont="1" applyFill="1"/>
    <xf numFmtId="0" fontId="43" fillId="46" borderId="0" xfId="0" applyFont="1" applyFill="1" applyAlignment="1">
      <alignment horizontal="center"/>
    </xf>
    <xf numFmtId="171" fontId="43" fillId="46" borderId="0" xfId="0" applyNumberFormat="1" applyFont="1" applyFill="1"/>
    <xf numFmtId="3" fontId="43" fillId="46" borderId="0" xfId="0" applyNumberFormat="1" applyFont="1" applyFill="1"/>
    <xf numFmtId="170" fontId="96" fillId="46" borderId="0" xfId="0" applyNumberFormat="1" applyFont="1" applyFill="1"/>
    <xf numFmtId="1" fontId="38" fillId="46" borderId="0" xfId="0" applyNumberFormat="1" applyFont="1" applyFill="1" applyAlignment="1">
      <alignment horizontal="right"/>
    </xf>
    <xf numFmtId="1" fontId="38" fillId="0" borderId="0" xfId="0" applyNumberFormat="1" applyFont="1"/>
    <xf numFmtId="2" fontId="43" fillId="0" borderId="58" xfId="0" applyNumberFormat="1" applyFont="1" applyBorder="1" applyAlignment="1">
      <alignment horizontal="center" vertical="center"/>
    </xf>
    <xf numFmtId="2" fontId="43" fillId="0" borderId="55" xfId="0" applyNumberFormat="1" applyFont="1" applyBorder="1" applyAlignment="1">
      <alignment horizontal="center" vertical="center"/>
    </xf>
    <xf numFmtId="2" fontId="43" fillId="0" borderId="33" xfId="0" applyNumberFormat="1" applyFont="1" applyBorder="1" applyAlignment="1">
      <alignment horizontal="center" vertical="center"/>
    </xf>
    <xf numFmtId="0" fontId="38" fillId="0" borderId="0" xfId="0" applyFont="1" applyAlignment="1">
      <alignment horizontal="left"/>
    </xf>
    <xf numFmtId="1" fontId="42" fillId="46" borderId="52" xfId="0" applyNumberFormat="1" applyFont="1" applyFill="1" applyBorder="1" applyAlignment="1">
      <alignment horizontal="center"/>
    </xf>
    <xf numFmtId="3" fontId="42" fillId="46" borderId="30" xfId="1" applyNumberFormat="1" applyFont="1" applyFill="1" applyBorder="1" applyAlignment="1">
      <alignment vertical="center" wrapText="1"/>
    </xf>
    <xf numFmtId="0" fontId="95" fillId="46" borderId="9" xfId="0" applyFont="1" applyFill="1" applyBorder="1" applyAlignment="1">
      <alignment vertical="center"/>
    </xf>
    <xf numFmtId="0" fontId="95" fillId="46" borderId="45" xfId="0" applyFont="1" applyFill="1" applyBorder="1" applyAlignment="1">
      <alignment vertical="center"/>
    </xf>
    <xf numFmtId="0" fontId="95" fillId="46" borderId="22" xfId="0" applyFont="1" applyFill="1" applyBorder="1" applyAlignment="1">
      <alignment vertical="center" wrapText="1"/>
    </xf>
    <xf numFmtId="0" fontId="95" fillId="46" borderId="45" xfId="0" applyFont="1" applyFill="1" applyBorder="1" applyAlignment="1">
      <alignment vertical="center" wrapText="1"/>
    </xf>
    <xf numFmtId="0" fontId="95" fillId="46" borderId="35" xfId="0" applyFont="1" applyFill="1" applyBorder="1" applyAlignment="1">
      <alignment vertical="center" wrapText="1"/>
    </xf>
    <xf numFmtId="0" fontId="95" fillId="46" borderId="27" xfId="0" applyFont="1" applyFill="1" applyBorder="1" applyAlignment="1">
      <alignment vertical="center" wrapText="1"/>
    </xf>
    <xf numFmtId="0" fontId="95" fillId="46" borderId="19" xfId="0" applyFont="1" applyFill="1" applyBorder="1" applyAlignment="1">
      <alignment vertical="center" wrapText="1"/>
    </xf>
    <xf numFmtId="0" fontId="45" fillId="46" borderId="1" xfId="0" applyFont="1" applyFill="1" applyBorder="1" applyAlignment="1">
      <alignment vertical="center" wrapText="1"/>
    </xf>
    <xf numFmtId="0" fontId="42" fillId="46" borderId="0" xfId="0" applyFont="1" applyFill="1" applyAlignment="1">
      <alignment vertical="center" wrapText="1"/>
    </xf>
    <xf numFmtId="0" fontId="69" fillId="59" borderId="30" xfId="0" applyFont="1" applyFill="1" applyBorder="1"/>
    <xf numFmtId="0" fontId="49" fillId="59" borderId="30" xfId="0" applyFont="1" applyFill="1" applyBorder="1"/>
    <xf numFmtId="0" fontId="49" fillId="0" borderId="30" xfId="0" applyFont="1" applyBorder="1"/>
    <xf numFmtId="0" fontId="116" fillId="60" borderId="30" xfId="0" applyFont="1" applyFill="1" applyBorder="1"/>
    <xf numFmtId="1" fontId="0" fillId="0" borderId="8" xfId="0" applyNumberFormat="1" applyBorder="1"/>
    <xf numFmtId="3" fontId="55" fillId="46" borderId="0" xfId="0" applyNumberFormat="1" applyFont="1" applyFill="1" applyAlignment="1">
      <alignment horizontal="center"/>
    </xf>
    <xf numFmtId="14" fontId="38" fillId="0" borderId="0" xfId="0" applyNumberFormat="1" applyFont="1"/>
    <xf numFmtId="2" fontId="0" fillId="46" borderId="0" xfId="0" applyNumberFormat="1" applyFill="1"/>
    <xf numFmtId="175" fontId="56" fillId="0" borderId="0" xfId="0" applyNumberFormat="1" applyFont="1" applyAlignment="1">
      <alignment vertical="center"/>
    </xf>
    <xf numFmtId="9" fontId="0" fillId="0" borderId="30" xfId="0" applyNumberFormat="1" applyBorder="1" applyAlignment="1">
      <alignment horizontal="center" vertical="center"/>
    </xf>
    <xf numFmtId="0" fontId="0" fillId="0" borderId="0" xfId="0" applyAlignment="1">
      <alignment vertical="center"/>
    </xf>
    <xf numFmtId="3" fontId="112" fillId="2" borderId="21" xfId="0" applyNumberFormat="1" applyFont="1" applyFill="1" applyBorder="1" applyAlignment="1">
      <alignment horizontal="center"/>
    </xf>
    <xf numFmtId="172" fontId="68" fillId="0" borderId="30" xfId="1" applyNumberFormat="1" applyFont="1" applyBorder="1"/>
    <xf numFmtId="172" fontId="38" fillId="0" borderId="32" xfId="1" applyNumberFormat="1" applyBorder="1"/>
    <xf numFmtId="0" fontId="45" fillId="53" borderId="30" xfId="0" applyFont="1" applyFill="1" applyBorder="1" applyAlignment="1">
      <alignment horizontal="center" vertical="center"/>
    </xf>
    <xf numFmtId="9" fontId="49" fillId="53" borderId="30" xfId="0" applyNumberFormat="1" applyFont="1" applyFill="1" applyBorder="1" applyAlignment="1">
      <alignment horizontal="center" vertical="center"/>
    </xf>
    <xf numFmtId="9" fontId="49" fillId="53" borderId="30" xfId="0" applyNumberFormat="1" applyFont="1" applyFill="1" applyBorder="1" applyAlignment="1">
      <alignment horizontal="center"/>
    </xf>
    <xf numFmtId="0" fontId="0" fillId="53" borderId="0" xfId="0" applyFill="1"/>
    <xf numFmtId="0" fontId="38" fillId="46" borderId="30" xfId="0" applyFont="1" applyFill="1" applyBorder="1"/>
    <xf numFmtId="0" fontId="0" fillId="0" borderId="0" xfId="0" applyAlignment="1">
      <alignment wrapText="1"/>
    </xf>
    <xf numFmtId="14" fontId="0" fillId="0" borderId="0" xfId="0" applyNumberFormat="1" applyAlignment="1">
      <alignment wrapText="1"/>
    </xf>
    <xf numFmtId="14" fontId="114" fillId="14" borderId="21" xfId="0" applyNumberFormat="1" applyFont="1" applyFill="1" applyBorder="1" applyAlignment="1">
      <alignment horizontal="center" vertical="center" wrapText="1"/>
    </xf>
    <xf numFmtId="14" fontId="114" fillId="14" borderId="30" xfId="0" applyNumberFormat="1" applyFont="1" applyFill="1" applyBorder="1" applyAlignment="1">
      <alignment horizontal="center"/>
    </xf>
    <xf numFmtId="14" fontId="114" fillId="14" borderId="21" xfId="0" applyNumberFormat="1" applyFont="1" applyFill="1" applyBorder="1" applyAlignment="1">
      <alignment horizontal="center"/>
    </xf>
    <xf numFmtId="172" fontId="68" fillId="0" borderId="8" xfId="1" applyNumberFormat="1" applyFont="1" applyBorder="1"/>
    <xf numFmtId="0" fontId="68" fillId="0" borderId="0" xfId="0" applyFont="1"/>
    <xf numFmtId="0" fontId="68" fillId="46" borderId="0" xfId="0" applyFont="1" applyFill="1"/>
    <xf numFmtId="172" fontId="68" fillId="46" borderId="8" xfId="1" applyNumberFormat="1" applyFont="1" applyFill="1" applyBorder="1"/>
    <xf numFmtId="172" fontId="68" fillId="51" borderId="8" xfId="1" applyNumberFormat="1" applyFont="1" applyFill="1" applyBorder="1"/>
    <xf numFmtId="9" fontId="49" fillId="51" borderId="30" xfId="0" applyNumberFormat="1" applyFont="1" applyFill="1" applyBorder="1" applyAlignment="1">
      <alignment horizontal="center" vertical="center"/>
    </xf>
    <xf numFmtId="3" fontId="113" fillId="45" borderId="52" xfId="1" applyNumberFormat="1" applyFont="1" applyFill="1" applyBorder="1"/>
    <xf numFmtId="3" fontId="55" fillId="51" borderId="0" xfId="0" applyNumberFormat="1" applyFont="1" applyFill="1" applyAlignment="1">
      <alignment horizontal="center"/>
    </xf>
    <xf numFmtId="1" fontId="96" fillId="0" borderId="0" xfId="0" applyNumberFormat="1" applyFont="1"/>
    <xf numFmtId="0" fontId="0" fillId="0" borderId="52" xfId="0" applyBorder="1" applyAlignment="1">
      <alignment horizontal="left"/>
    </xf>
    <xf numFmtId="0" fontId="0" fillId="0" borderId="0" xfId="0" applyAlignment="1">
      <alignment horizontal="left" wrapText="1"/>
    </xf>
    <xf numFmtId="0" fontId="96" fillId="0" borderId="0" xfId="0" applyFont="1" applyAlignment="1">
      <alignment horizontal="center"/>
    </xf>
    <xf numFmtId="0" fontId="68" fillId="51" borderId="0" xfId="0" applyFont="1" applyFill="1"/>
    <xf numFmtId="3" fontId="42" fillId="2" borderId="8" xfId="0" applyNumberFormat="1" applyFont="1" applyFill="1" applyBorder="1" applyAlignment="1">
      <alignment horizontal="center"/>
    </xf>
    <xf numFmtId="3" fontId="42" fillId="2" borderId="30" xfId="0" applyNumberFormat="1" applyFont="1" applyFill="1" applyBorder="1" applyAlignment="1">
      <alignment horizontal="center"/>
    </xf>
    <xf numFmtId="0" fontId="95" fillId="46" borderId="52" xfId="0" applyFont="1" applyFill="1" applyBorder="1" applyAlignment="1">
      <alignment vertical="center" wrapText="1"/>
    </xf>
    <xf numFmtId="14" fontId="112" fillId="14" borderId="21" xfId="0" applyNumberFormat="1" applyFont="1" applyFill="1" applyBorder="1" applyAlignment="1">
      <alignment horizontal="center"/>
    </xf>
    <xf numFmtId="14" fontId="112" fillId="14" borderId="52" xfId="0" applyNumberFormat="1" applyFont="1" applyFill="1" applyBorder="1" applyAlignment="1">
      <alignment horizontal="center"/>
    </xf>
    <xf numFmtId="14" fontId="112" fillId="14" borderId="21" xfId="0" applyNumberFormat="1" applyFont="1" applyFill="1" applyBorder="1" applyAlignment="1">
      <alignment horizontal="center" vertical="center" wrapText="1"/>
    </xf>
    <xf numFmtId="14" fontId="112" fillId="14" borderId="52" xfId="0" applyNumberFormat="1" applyFont="1" applyFill="1" applyBorder="1" applyAlignment="1">
      <alignment horizontal="center" vertical="center" wrapText="1"/>
    </xf>
    <xf numFmtId="14" fontId="112" fillId="14" borderId="30" xfId="0" applyNumberFormat="1" applyFont="1" applyFill="1" applyBorder="1" applyAlignment="1">
      <alignment horizontal="center" vertical="center" wrapText="1"/>
    </xf>
    <xf numFmtId="14" fontId="112" fillId="14" borderId="14" xfId="0" applyNumberFormat="1" applyFont="1" applyFill="1" applyBorder="1" applyAlignment="1">
      <alignment horizontal="center" vertical="center" wrapText="1"/>
    </xf>
    <xf numFmtId="15" fontId="112" fillId="2" borderId="3" xfId="0" applyNumberFormat="1" applyFont="1" applyFill="1" applyBorder="1" applyAlignment="1">
      <alignment horizontal="center"/>
    </xf>
    <xf numFmtId="2" fontId="112" fillId="2" borderId="0" xfId="0" applyNumberFormat="1" applyFont="1" applyFill="1" applyAlignment="1">
      <alignment horizontal="center" vertical="center" wrapText="1"/>
    </xf>
    <xf numFmtId="172" fontId="46" fillId="2" borderId="14" xfId="1" applyNumberFormat="1" applyFont="1" applyFill="1" applyBorder="1"/>
    <xf numFmtId="172" fontId="46" fillId="2" borderId="14" xfId="1" applyNumberFormat="1" applyFont="1" applyFill="1" applyBorder="1" applyAlignment="1">
      <alignment horizontal="center"/>
    </xf>
    <xf numFmtId="14" fontId="88" fillId="14" borderId="14" xfId="0" applyNumberFormat="1" applyFont="1" applyFill="1" applyBorder="1" applyAlignment="1">
      <alignment horizontal="center" vertical="center" wrapText="1"/>
    </xf>
    <xf numFmtId="3" fontId="0" fillId="2" borderId="14" xfId="0" applyNumberFormat="1" applyFill="1" applyBorder="1"/>
    <xf numFmtId="172" fontId="46" fillId="2" borderId="36" xfId="1" applyNumberFormat="1" applyFont="1" applyFill="1" applyBorder="1" applyAlignment="1">
      <alignment horizontal="right" vertical="center"/>
    </xf>
    <xf numFmtId="172" fontId="46" fillId="2" borderId="62" xfId="1" applyNumberFormat="1" applyFont="1" applyFill="1" applyBorder="1" applyAlignment="1">
      <alignment horizontal="right" vertical="center"/>
    </xf>
    <xf numFmtId="3" fontId="49" fillId="2" borderId="62" xfId="0" applyNumberFormat="1" applyFont="1" applyFill="1" applyBorder="1" applyAlignment="1">
      <alignment horizontal="right" vertical="center"/>
    </xf>
    <xf numFmtId="0" fontId="49" fillId="2" borderId="33" xfId="0" applyFont="1" applyFill="1" applyBorder="1" applyAlignment="1">
      <alignment horizontal="center" vertical="center"/>
    </xf>
    <xf numFmtId="1" fontId="49" fillId="2" borderId="36" xfId="0" applyNumberFormat="1" applyFont="1" applyFill="1" applyBorder="1" applyAlignment="1">
      <alignment horizontal="center" vertical="center"/>
    </xf>
    <xf numFmtId="3" fontId="38" fillId="2" borderId="36" xfId="0" applyNumberFormat="1" applyFont="1" applyFill="1" applyBorder="1" applyAlignment="1">
      <alignment horizontal="center" vertical="center"/>
    </xf>
    <xf numFmtId="15" fontId="118" fillId="2" borderId="36" xfId="0" applyNumberFormat="1" applyFont="1" applyFill="1" applyBorder="1" applyAlignment="1">
      <alignment horizontal="center" vertical="center"/>
    </xf>
    <xf numFmtId="3" fontId="58" fillId="2" borderId="62" xfId="1" applyNumberFormat="1" applyFont="1" applyFill="1" applyBorder="1" applyAlignment="1">
      <alignment horizontal="right" vertical="center" wrapText="1"/>
    </xf>
    <xf numFmtId="0" fontId="38" fillId="0" borderId="34" xfId="0" applyFont="1" applyBorder="1" applyAlignment="1">
      <alignment horizontal="right" vertical="center"/>
    </xf>
    <xf numFmtId="1" fontId="38" fillId="0" borderId="34" xfId="0" applyNumberFormat="1" applyFont="1" applyBorder="1" applyAlignment="1">
      <alignment horizontal="right" vertical="center"/>
    </xf>
    <xf numFmtId="3" fontId="38" fillId="0" borderId="0" xfId="0" applyNumberFormat="1" applyFont="1" applyAlignment="1">
      <alignment horizontal="right" vertical="center"/>
    </xf>
    <xf numFmtId="3" fontId="0" fillId="0" borderId="52" xfId="0" applyNumberFormat="1" applyBorder="1"/>
    <xf numFmtId="0" fontId="69" fillId="59" borderId="30" xfId="0" applyFont="1" applyFill="1" applyBorder="1" applyAlignment="1">
      <alignment horizontal="left"/>
    </xf>
    <xf numFmtId="1" fontId="0" fillId="0" borderId="30" xfId="0" applyNumberFormat="1" applyBorder="1" applyAlignment="1">
      <alignment horizontal="center" vertical="center"/>
    </xf>
    <xf numFmtId="0" fontId="129" fillId="52" borderId="36" xfId="0" applyFont="1" applyFill="1" applyBorder="1" applyAlignment="1">
      <alignment horizontal="center"/>
    </xf>
    <xf numFmtId="9" fontId="0" fillId="0" borderId="0" xfId="42" applyFont="1" applyAlignment="1">
      <alignment horizontal="center"/>
    </xf>
    <xf numFmtId="14" fontId="150" fillId="14" borderId="52" xfId="0" applyNumberFormat="1" applyFont="1" applyFill="1" applyBorder="1" applyAlignment="1">
      <alignment horizontal="center"/>
    </xf>
    <xf numFmtId="14" fontId="150" fillId="14" borderId="30" xfId="0" applyNumberFormat="1" applyFont="1" applyFill="1" applyBorder="1" applyAlignment="1">
      <alignment horizontal="center"/>
    </xf>
    <xf numFmtId="1" fontId="0" fillId="51" borderId="30" xfId="0" applyNumberFormat="1" applyFill="1" applyBorder="1"/>
    <xf numFmtId="0" fontId="38" fillId="0" borderId="0" xfId="0" applyFont="1" applyAlignment="1">
      <alignment horizontal="left" vertical="center"/>
    </xf>
    <xf numFmtId="9" fontId="0" fillId="0" borderId="0" xfId="0" applyNumberFormat="1" applyAlignment="1">
      <alignment horizontal="center" vertical="center"/>
    </xf>
    <xf numFmtId="0" fontId="38" fillId="46" borderId="14" xfId="0" applyFont="1" applyFill="1" applyBorder="1" applyAlignment="1">
      <alignment horizontal="center"/>
    </xf>
    <xf numFmtId="0" fontId="0" fillId="0" borderId="0" xfId="0" applyAlignment="1">
      <alignment horizontal="center" wrapText="1"/>
    </xf>
    <xf numFmtId="0" fontId="0" fillId="69" borderId="30" xfId="0" applyFill="1" applyBorder="1"/>
    <xf numFmtId="0" fontId="0" fillId="69" borderId="30" xfId="0" applyFill="1" applyBorder="1" applyAlignment="1">
      <alignment horizontal="center"/>
    </xf>
    <xf numFmtId="0" fontId="0" fillId="0" borderId="52" xfId="0" applyBorder="1" applyAlignment="1">
      <alignment horizontal="center" vertical="center"/>
    </xf>
    <xf numFmtId="0" fontId="151" fillId="46" borderId="0" xfId="0" applyFont="1" applyFill="1"/>
    <xf numFmtId="0" fontId="151" fillId="46" borderId="0" xfId="0" applyFont="1" applyFill="1" applyAlignment="1">
      <alignment horizontal="center"/>
    </xf>
    <xf numFmtId="0" fontId="152" fillId="46" borderId="0" xfId="0" applyFont="1" applyFill="1" applyAlignment="1">
      <alignment wrapText="1"/>
    </xf>
    <xf numFmtId="9" fontId="0" fillId="46" borderId="0" xfId="42" applyFont="1" applyFill="1" applyAlignment="1">
      <alignment horizontal="center"/>
    </xf>
    <xf numFmtId="0" fontId="0" fillId="46" borderId="0" xfId="0" applyFill="1" applyAlignment="1">
      <alignment wrapText="1"/>
    </xf>
    <xf numFmtId="0" fontId="0" fillId="0" borderId="30" xfId="0" applyBorder="1" applyAlignment="1">
      <alignment vertical="center"/>
    </xf>
    <xf numFmtId="0" fontId="0" fillId="0" borderId="52" xfId="0" applyBorder="1" applyAlignment="1">
      <alignment vertical="center"/>
    </xf>
    <xf numFmtId="14" fontId="150" fillId="56" borderId="14" xfId="0" applyNumberFormat="1" applyFont="1" applyFill="1" applyBorder="1" applyAlignment="1">
      <alignment horizontal="center" vertical="center" wrapText="1"/>
    </xf>
    <xf numFmtId="170" fontId="0" fillId="0" borderId="0" xfId="0" applyNumberFormat="1" applyAlignment="1">
      <alignment horizontal="center" vertical="center"/>
    </xf>
    <xf numFmtId="0" fontId="0" fillId="69" borderId="31" xfId="0" applyFill="1" applyBorder="1" applyAlignment="1">
      <alignment horizontal="center" wrapText="1"/>
    </xf>
    <xf numFmtId="0" fontId="0" fillId="0" borderId="31" xfId="0" applyBorder="1" applyAlignment="1">
      <alignment wrapText="1"/>
    </xf>
    <xf numFmtId="0" fontId="152" fillId="0" borderId="31" xfId="0" applyFont="1" applyBorder="1" applyAlignment="1">
      <alignment wrapText="1"/>
    </xf>
    <xf numFmtId="0" fontId="152" fillId="0" borderId="31" xfId="0" quotePrefix="1" applyFont="1" applyBorder="1" applyAlignment="1">
      <alignment wrapText="1"/>
    </xf>
    <xf numFmtId="0" fontId="152" fillId="0" borderId="44" xfId="0" applyFont="1" applyBorder="1" applyAlignment="1">
      <alignment wrapText="1"/>
    </xf>
    <xf numFmtId="0" fontId="49" fillId="0" borderId="30" xfId="0" applyFont="1" applyBorder="1" applyAlignment="1">
      <alignment horizontal="center" vertical="center"/>
    </xf>
    <xf numFmtId="0" fontId="38" fillId="0" borderId="30" xfId="0" applyFont="1" applyBorder="1" applyAlignment="1">
      <alignment vertical="center"/>
    </xf>
    <xf numFmtId="0" fontId="38" fillId="0" borderId="30" xfId="0" applyFont="1" applyBorder="1" applyAlignment="1">
      <alignment horizontal="right" vertical="center" indent="1"/>
    </xf>
    <xf numFmtId="0" fontId="0" fillId="0" borderId="30" xfId="0" applyBorder="1" applyAlignment="1">
      <alignment wrapText="1"/>
    </xf>
    <xf numFmtId="2" fontId="0" fillId="0" borderId="0" xfId="0" applyNumberFormat="1" applyAlignment="1">
      <alignment horizontal="right"/>
    </xf>
    <xf numFmtId="3" fontId="38" fillId="0" borderId="0" xfId="0" applyNumberFormat="1" applyFont="1" applyAlignment="1">
      <alignment horizontal="center"/>
    </xf>
    <xf numFmtId="3" fontId="45" fillId="46" borderId="0" xfId="0" applyNumberFormat="1" applyFont="1" applyFill="1" applyAlignment="1">
      <alignment horizontal="left" vertical="center"/>
    </xf>
    <xf numFmtId="2" fontId="0" fillId="0" borderId="0" xfId="0" applyNumberFormat="1" applyAlignment="1">
      <alignment wrapText="1"/>
    </xf>
    <xf numFmtId="3" fontId="113" fillId="45" borderId="30" xfId="1" applyNumberFormat="1" applyFont="1" applyFill="1" applyBorder="1"/>
    <xf numFmtId="0" fontId="118" fillId="70" borderId="0" xfId="0" applyFont="1" applyFill="1" applyAlignment="1">
      <alignment horizontal="center"/>
    </xf>
    <xf numFmtId="0" fontId="118" fillId="70" borderId="0" xfId="0" applyFont="1" applyFill="1" applyAlignment="1">
      <alignment horizontal="center" wrapText="1"/>
    </xf>
    <xf numFmtId="14" fontId="150" fillId="14" borderId="21" xfId="0" applyNumberFormat="1" applyFont="1" applyFill="1" applyBorder="1" applyAlignment="1">
      <alignment horizontal="center"/>
    </xf>
    <xf numFmtId="2" fontId="43" fillId="0" borderId="1" xfId="0" applyNumberFormat="1" applyFont="1" applyBorder="1" applyAlignment="1">
      <alignment horizontal="center"/>
    </xf>
    <xf numFmtId="14" fontId="136" fillId="57" borderId="30" xfId="138" applyNumberFormat="1" applyFont="1" applyFill="1" applyBorder="1" applyAlignment="1">
      <alignment horizontal="center" vertical="center" wrapText="1"/>
    </xf>
    <xf numFmtId="14" fontId="136" fillId="57" borderId="30" xfId="138" applyNumberFormat="1" applyFont="1" applyFill="1" applyBorder="1" applyAlignment="1">
      <alignment horizontal="center" vertical="center"/>
    </xf>
    <xf numFmtId="14" fontId="136" fillId="57" borderId="14" xfId="138" applyNumberFormat="1" applyFont="1" applyFill="1" applyBorder="1" applyAlignment="1">
      <alignment horizontal="center" vertical="center"/>
    </xf>
    <xf numFmtId="0" fontId="36" fillId="46" borderId="0" xfId="0" applyFont="1" applyFill="1"/>
    <xf numFmtId="14" fontId="150" fillId="14" borderId="21" xfId="0" applyNumberFormat="1" applyFont="1" applyFill="1" applyBorder="1" applyAlignment="1">
      <alignment horizontal="center" vertical="center" wrapText="1"/>
    </xf>
    <xf numFmtId="171" fontId="0" fillId="0" borderId="30" xfId="0" applyNumberFormat="1" applyBorder="1" applyAlignment="1">
      <alignment horizontal="center" vertical="center"/>
    </xf>
    <xf numFmtId="3" fontId="0" fillId="53" borderId="21" xfId="0" applyNumberFormat="1" applyFill="1" applyBorder="1" applyAlignment="1">
      <alignment horizontal="center"/>
    </xf>
    <xf numFmtId="0" fontId="87" fillId="46" borderId="0" xfId="0" applyFont="1" applyFill="1"/>
    <xf numFmtId="3" fontId="87" fillId="46" borderId="0" xfId="0" applyNumberFormat="1" applyFont="1" applyFill="1" applyAlignment="1">
      <alignment horizontal="center"/>
    </xf>
    <xf numFmtId="170" fontId="87" fillId="46" borderId="0" xfId="0" applyNumberFormat="1" applyFont="1" applyFill="1" applyAlignment="1">
      <alignment horizontal="center"/>
    </xf>
    <xf numFmtId="1" fontId="87" fillId="46" borderId="0" xfId="0" applyNumberFormat="1" applyFont="1" applyFill="1" applyAlignment="1">
      <alignment horizontal="center"/>
    </xf>
    <xf numFmtId="14" fontId="114" fillId="14" borderId="52" xfId="0" applyNumberFormat="1" applyFont="1" applyFill="1" applyBorder="1" applyAlignment="1">
      <alignment horizontal="center"/>
    </xf>
    <xf numFmtId="14" fontId="114" fillId="14" borderId="52" xfId="0" applyNumberFormat="1" applyFont="1" applyFill="1" applyBorder="1" applyAlignment="1">
      <alignment horizontal="center" vertical="center" wrapText="1"/>
    </xf>
    <xf numFmtId="3" fontId="42" fillId="46" borderId="14" xfId="1" applyNumberFormat="1" applyFont="1" applyFill="1" applyBorder="1" applyAlignment="1">
      <alignment vertical="center" wrapText="1"/>
    </xf>
    <xf numFmtId="1" fontId="0" fillId="46" borderId="0" xfId="0" applyNumberFormat="1" applyFill="1" applyAlignment="1">
      <alignment horizontal="center"/>
    </xf>
    <xf numFmtId="0" fontId="0" fillId="0" borderId="0" xfId="0" pivotButton="1"/>
    <xf numFmtId="0" fontId="38" fillId="46" borderId="0" xfId="0" applyFont="1" applyFill="1" applyAlignment="1">
      <alignment horizontal="center"/>
    </xf>
    <xf numFmtId="0" fontId="114" fillId="0" borderId="69" xfId="0" applyFont="1" applyBorder="1" applyAlignment="1">
      <alignment horizontal="center" vertical="center"/>
    </xf>
    <xf numFmtId="0" fontId="114" fillId="0" borderId="52" xfId="0" applyFont="1" applyBorder="1" applyAlignment="1">
      <alignment horizontal="center" vertical="center"/>
    </xf>
    <xf numFmtId="0" fontId="114" fillId="0" borderId="68" xfId="0" applyFont="1" applyBorder="1" applyAlignment="1">
      <alignment horizontal="center" vertical="center"/>
    </xf>
    <xf numFmtId="171" fontId="0" fillId="0" borderId="0" xfId="0" applyNumberFormat="1"/>
    <xf numFmtId="14" fontId="155" fillId="57" borderId="30" xfId="0" applyNumberFormat="1" applyFont="1" applyFill="1" applyBorder="1" applyAlignment="1">
      <alignment horizontal="left" vertical="center" wrapText="1"/>
    </xf>
    <xf numFmtId="0" fontId="156" fillId="70" borderId="88" xfId="0" applyFont="1" applyFill="1" applyBorder="1"/>
    <xf numFmtId="14" fontId="155" fillId="57" borderId="30" xfId="0" applyNumberFormat="1" applyFont="1" applyFill="1" applyBorder="1" applyAlignment="1">
      <alignment horizontal="center" vertical="center" wrapText="1"/>
    </xf>
    <xf numFmtId="14" fontId="154" fillId="57" borderId="30" xfId="0" applyNumberFormat="1" applyFont="1" applyFill="1" applyBorder="1" applyAlignment="1">
      <alignment horizontal="center" vertical="center"/>
    </xf>
    <xf numFmtId="3" fontId="96" fillId="46" borderId="0" xfId="0" applyNumberFormat="1" applyFont="1" applyFill="1" applyAlignment="1">
      <alignment horizontal="left"/>
    </xf>
    <xf numFmtId="0" fontId="0" fillId="0" borderId="21" xfId="0" applyBorder="1" applyAlignment="1">
      <alignment horizontal="center" vertical="center"/>
    </xf>
    <xf numFmtId="0" fontId="149" fillId="0" borderId="30" xfId="0" applyFont="1" applyBorder="1" applyAlignment="1">
      <alignment horizontal="center"/>
    </xf>
    <xf numFmtId="0" fontId="158" fillId="0" borderId="30" xfId="0" applyFont="1" applyBorder="1" applyAlignment="1">
      <alignment horizontal="center" vertical="center"/>
    </xf>
    <xf numFmtId="0" fontId="158" fillId="0" borderId="30" xfId="0" applyFont="1" applyBorder="1" applyAlignment="1">
      <alignment horizontal="center" vertical="center" wrapText="1"/>
    </xf>
    <xf numFmtId="0" fontId="0" fillId="0" borderId="57" xfId="0" applyBorder="1" applyAlignment="1">
      <alignment horizontal="center" vertical="center"/>
    </xf>
    <xf numFmtId="0" fontId="158" fillId="0" borderId="21" xfId="0" applyFont="1" applyBorder="1" applyAlignment="1">
      <alignment horizontal="center" vertical="center"/>
    </xf>
    <xf numFmtId="0" fontId="158" fillId="0" borderId="57" xfId="0" applyFont="1" applyBorder="1" applyAlignment="1">
      <alignment horizontal="center" vertical="center" wrapText="1"/>
    </xf>
    <xf numFmtId="0" fontId="158" fillId="0" borderId="57" xfId="0" applyFont="1" applyBorder="1" applyAlignment="1">
      <alignment horizontal="center" vertical="center"/>
    </xf>
    <xf numFmtId="0" fontId="158" fillId="0" borderId="52" xfId="0" applyFont="1" applyBorder="1" applyAlignment="1">
      <alignment horizontal="center" vertical="center" wrapText="1"/>
    </xf>
    <xf numFmtId="0" fontId="158" fillId="0" borderId="52" xfId="0" applyFont="1" applyBorder="1" applyAlignment="1">
      <alignment horizontal="center" vertical="center"/>
    </xf>
    <xf numFmtId="0" fontId="38" fillId="0" borderId="1" xfId="0" applyFont="1" applyBorder="1" applyAlignment="1">
      <alignment horizontal="center" vertical="center"/>
    </xf>
    <xf numFmtId="0" fontId="38" fillId="0" borderId="3" xfId="0" applyFont="1" applyBorder="1" applyAlignment="1">
      <alignment horizontal="center" vertical="center"/>
    </xf>
    <xf numFmtId="0" fontId="38" fillId="0" borderId="53" xfId="0" applyFont="1" applyBorder="1" applyAlignment="1">
      <alignment horizontal="center" vertical="center"/>
    </xf>
    <xf numFmtId="0" fontId="96" fillId="0" borderId="30" xfId="0" applyFont="1" applyBorder="1" applyAlignment="1">
      <alignment horizontal="center" vertical="center"/>
    </xf>
    <xf numFmtId="0" fontId="96" fillId="0" borderId="52" xfId="0" applyFont="1" applyBorder="1" applyAlignment="1">
      <alignment horizontal="center" vertical="center"/>
    </xf>
    <xf numFmtId="0" fontId="159" fillId="0" borderId="30" xfId="0" applyFont="1" applyBorder="1" applyAlignment="1">
      <alignment horizontal="center" vertical="center" wrapText="1"/>
    </xf>
    <xf numFmtId="0" fontId="38" fillId="0" borderId="21" xfId="0" applyFont="1" applyBorder="1" applyAlignment="1">
      <alignment horizontal="center"/>
    </xf>
    <xf numFmtId="0" fontId="162" fillId="0" borderId="21" xfId="0" applyFont="1" applyBorder="1" applyAlignment="1">
      <alignment horizontal="center" vertical="center"/>
    </xf>
    <xf numFmtId="0" fontId="162" fillId="0" borderId="30" xfId="0" applyFont="1" applyBorder="1" applyAlignment="1">
      <alignment horizontal="center" vertical="center"/>
    </xf>
    <xf numFmtId="0" fontId="162" fillId="0" borderId="57" xfId="0" applyFont="1" applyBorder="1" applyAlignment="1">
      <alignment horizontal="center" vertical="center"/>
    </xf>
    <xf numFmtId="0" fontId="162" fillId="0" borderId="52" xfId="0" applyFont="1" applyBorder="1" applyAlignment="1">
      <alignment horizontal="center" vertical="center"/>
    </xf>
    <xf numFmtId="3" fontId="163" fillId="0" borderId="0" xfId="0" applyNumberFormat="1" applyFont="1" applyAlignment="1">
      <alignment horizontal="center"/>
    </xf>
    <xf numFmtId="1" fontId="150" fillId="0" borderId="0" xfId="0" applyNumberFormat="1" applyFont="1" applyAlignment="1">
      <alignment horizontal="center"/>
    </xf>
    <xf numFmtId="0" fontId="61" fillId="0" borderId="0" xfId="0" applyFont="1" applyAlignment="1">
      <alignment horizontal="center"/>
    </xf>
    <xf numFmtId="14" fontId="150" fillId="0" borderId="27" xfId="0" applyNumberFormat="1" applyFont="1" applyBorder="1" applyAlignment="1">
      <alignment horizontal="center" vertical="center"/>
    </xf>
    <xf numFmtId="14" fontId="150" fillId="0" borderId="27" xfId="0" applyNumberFormat="1" applyFont="1" applyBorder="1" applyAlignment="1">
      <alignment horizontal="center"/>
    </xf>
    <xf numFmtId="14" fontId="165" fillId="0" borderId="30" xfId="0" applyNumberFormat="1" applyFont="1" applyBorder="1" applyAlignment="1">
      <alignment horizontal="center" vertical="center"/>
    </xf>
    <xf numFmtId="0" fontId="166" fillId="0" borderId="30" xfId="145" applyFont="1" applyBorder="1" applyAlignment="1">
      <alignment horizontal="center"/>
    </xf>
    <xf numFmtId="0" fontId="170" fillId="0" borderId="0" xfId="0" applyFont="1"/>
    <xf numFmtId="1" fontId="170" fillId="0" borderId="0" xfId="0" applyNumberFormat="1" applyFont="1"/>
    <xf numFmtId="14" fontId="164" fillId="57" borderId="30" xfId="0" applyNumberFormat="1" applyFont="1" applyFill="1" applyBorder="1" applyAlignment="1">
      <alignment horizontal="center" vertical="center" wrapText="1"/>
    </xf>
    <xf numFmtId="2" fontId="30" fillId="0" borderId="0" xfId="227" applyNumberFormat="1"/>
    <xf numFmtId="0" fontId="49" fillId="0" borderId="0" xfId="0" applyFont="1" applyAlignment="1">
      <alignment horizontal="left"/>
    </xf>
    <xf numFmtId="2" fontId="29" fillId="0" borderId="0" xfId="227" applyNumberFormat="1" applyFont="1"/>
    <xf numFmtId="1" fontId="0" fillId="46" borderId="30" xfId="0" applyNumberFormat="1" applyFill="1" applyBorder="1"/>
    <xf numFmtId="9" fontId="173" fillId="46" borderId="0" xfId="42" applyFont="1" applyFill="1" applyAlignment="1">
      <alignment horizontal="center"/>
    </xf>
    <xf numFmtId="9" fontId="42" fillId="46" borderId="0" xfId="42" applyFont="1" applyFill="1" applyAlignment="1">
      <alignment horizontal="center"/>
    </xf>
    <xf numFmtId="0" fontId="42" fillId="56" borderId="30" xfId="0" applyFont="1" applyFill="1" applyBorder="1" applyAlignment="1">
      <alignment horizontal="center"/>
    </xf>
    <xf numFmtId="0" fontId="129" fillId="45" borderId="30" xfId="0" applyFont="1" applyFill="1" applyBorder="1" applyAlignment="1">
      <alignment horizontal="center"/>
    </xf>
    <xf numFmtId="1" fontId="128" fillId="0" borderId="88" xfId="0" applyNumberFormat="1" applyFont="1" applyBorder="1"/>
    <xf numFmtId="0" fontId="0" fillId="53" borderId="30" xfId="0" applyFill="1" applyBorder="1" applyAlignment="1">
      <alignment horizontal="center" vertical="center"/>
    </xf>
    <xf numFmtId="3" fontId="0" fillId="0" borderId="30" xfId="0" applyNumberFormat="1" applyBorder="1" applyAlignment="1">
      <alignment horizontal="center" vertical="center"/>
    </xf>
    <xf numFmtId="170" fontId="36" fillId="53" borderId="21" xfId="0" applyNumberFormat="1" applyFont="1" applyFill="1" applyBorder="1" applyAlignment="1">
      <alignment horizontal="center" vertical="center"/>
    </xf>
    <xf numFmtId="0" fontId="36" fillId="0" borderId="30" xfId="0" applyFont="1" applyBorder="1"/>
    <xf numFmtId="0" fontId="36" fillId="0" borderId="52" xfId="0" applyFont="1" applyBorder="1"/>
    <xf numFmtId="0" fontId="36" fillId="53" borderId="21" xfId="0" applyFont="1" applyFill="1" applyBorder="1" applyAlignment="1">
      <alignment horizontal="center"/>
    </xf>
    <xf numFmtId="2" fontId="43" fillId="0" borderId="3" xfId="0" applyNumberFormat="1" applyFont="1" applyBorder="1" applyAlignment="1">
      <alignment horizontal="center" vertical="center"/>
    </xf>
    <xf numFmtId="2" fontId="43" fillId="0" borderId="53" xfId="0" applyNumberFormat="1" applyFont="1" applyBorder="1" applyAlignment="1">
      <alignment horizontal="center" vertical="center"/>
    </xf>
    <xf numFmtId="2" fontId="0" fillId="0" borderId="52" xfId="0" applyNumberFormat="1" applyBorder="1" applyAlignment="1">
      <alignment horizontal="center"/>
    </xf>
    <xf numFmtId="14" fontId="86" fillId="0" borderId="30" xfId="0" applyNumberFormat="1" applyFont="1" applyBorder="1" applyAlignment="1">
      <alignment horizontal="center" vertical="center"/>
    </xf>
    <xf numFmtId="0" fontId="173" fillId="0" borderId="0" xfId="0" applyFont="1"/>
    <xf numFmtId="0" fontId="173" fillId="46" borderId="0" xfId="0" applyFont="1" applyFill="1"/>
    <xf numFmtId="0" fontId="175" fillId="51" borderId="30" xfId="0" applyFont="1" applyFill="1" applyBorder="1" applyAlignment="1">
      <alignment horizontal="center" vertical="center" wrapText="1"/>
    </xf>
    <xf numFmtId="0" fontId="176" fillId="45" borderId="30" xfId="0" applyFont="1" applyFill="1" applyBorder="1" applyAlignment="1">
      <alignment horizontal="center" vertical="center" wrapText="1"/>
    </xf>
    <xf numFmtId="0" fontId="173" fillId="0" borderId="30" xfId="0" applyFont="1" applyBorder="1"/>
    <xf numFmtId="0" fontId="173" fillId="0" borderId="30" xfId="0" applyFont="1" applyBorder="1" applyAlignment="1">
      <alignment horizontal="center"/>
    </xf>
    <xf numFmtId="0" fontId="173" fillId="0" borderId="30" xfId="0" applyFont="1" applyBorder="1" applyAlignment="1">
      <alignment horizontal="center" vertical="center"/>
    </xf>
    <xf numFmtId="0" fontId="173" fillId="0" borderId="51" xfId="0" applyFont="1" applyBorder="1" applyAlignment="1">
      <alignment horizontal="center" vertical="center"/>
    </xf>
    <xf numFmtId="9" fontId="173" fillId="0" borderId="31" xfId="42" applyFont="1" applyBorder="1" applyAlignment="1">
      <alignment horizontal="center"/>
    </xf>
    <xf numFmtId="9" fontId="173" fillId="0" borderId="30" xfId="42" applyFont="1" applyBorder="1" applyAlignment="1">
      <alignment horizontal="center"/>
    </xf>
    <xf numFmtId="0" fontId="164" fillId="0" borderId="30" xfId="0" applyFont="1" applyBorder="1"/>
    <xf numFmtId="0" fontId="173" fillId="0" borderId="30" xfId="0" applyFont="1" applyBorder="1" applyAlignment="1">
      <alignment wrapText="1"/>
    </xf>
    <xf numFmtId="0" fontId="176" fillId="52" borderId="33" xfId="0" applyFont="1" applyFill="1" applyBorder="1"/>
    <xf numFmtId="0" fontId="176" fillId="52" borderId="30" xfId="0" applyFont="1" applyFill="1" applyBorder="1" applyAlignment="1">
      <alignment horizontal="center"/>
    </xf>
    <xf numFmtId="9" fontId="176" fillId="52" borderId="30" xfId="42" applyFont="1" applyFill="1" applyBorder="1" applyAlignment="1">
      <alignment horizontal="center"/>
    </xf>
    <xf numFmtId="14" fontId="172" fillId="0" borderId="30" xfId="0" applyNumberFormat="1" applyFont="1" applyBorder="1" applyAlignment="1">
      <alignment horizontal="center" vertical="center"/>
    </xf>
    <xf numFmtId="2" fontId="26" fillId="0" borderId="0" xfId="227" applyNumberFormat="1" applyFont="1"/>
    <xf numFmtId="0" fontId="177" fillId="46" borderId="0" xfId="274" applyFont="1" applyFill="1" applyAlignment="1">
      <alignment horizontal="center" vertical="center"/>
    </xf>
    <xf numFmtId="0" fontId="25" fillId="0" borderId="0" xfId="274"/>
    <xf numFmtId="0" fontId="174" fillId="73" borderId="30" xfId="274" applyFont="1" applyFill="1" applyBorder="1" applyAlignment="1">
      <alignment horizontal="center" vertical="center" wrapText="1"/>
    </xf>
    <xf numFmtId="9" fontId="178" fillId="0" borderId="30" xfId="274" applyNumberFormat="1" applyFont="1" applyBorder="1" applyAlignment="1">
      <alignment horizontal="center" vertical="center"/>
    </xf>
    <xf numFmtId="0" fontId="25" fillId="0" borderId="30" xfId="274" applyBorder="1"/>
    <xf numFmtId="0" fontId="25" fillId="46" borderId="0" xfId="274" applyFill="1"/>
    <xf numFmtId="0" fontId="25" fillId="0" borderId="14" xfId="274" applyBorder="1"/>
    <xf numFmtId="3" fontId="0" fillId="0" borderId="34" xfId="0" applyNumberFormat="1" applyBorder="1" applyAlignment="1">
      <alignment horizontal="center"/>
    </xf>
    <xf numFmtId="0" fontId="42" fillId="0" borderId="0" xfId="0" applyFont="1"/>
    <xf numFmtId="17" fontId="42" fillId="0" borderId="0" xfId="0" applyNumberFormat="1" applyFont="1" applyAlignment="1">
      <alignment horizontal="center"/>
    </xf>
    <xf numFmtId="0" fontId="0" fillId="71" borderId="30" xfId="0" applyFill="1" applyBorder="1" applyAlignment="1">
      <alignment horizontal="center"/>
    </xf>
    <xf numFmtId="3" fontId="0" fillId="71" borderId="30" xfId="0" applyNumberFormat="1" applyFill="1" applyBorder="1" applyAlignment="1">
      <alignment horizontal="center"/>
    </xf>
    <xf numFmtId="14" fontId="0" fillId="0" borderId="0" xfId="0" applyNumberFormat="1" applyAlignment="1">
      <alignment horizontal="center"/>
    </xf>
    <xf numFmtId="0" fontId="42" fillId="71" borderId="30" xfId="0" applyFont="1" applyFill="1" applyBorder="1" applyAlignment="1">
      <alignment horizontal="center" vertical="center" textRotation="90"/>
    </xf>
    <xf numFmtId="3" fontId="0" fillId="46" borderId="0" xfId="0" applyNumberFormat="1" applyFill="1"/>
    <xf numFmtId="17" fontId="42" fillId="0" borderId="0" xfId="0" quotePrefix="1" applyNumberFormat="1" applyFont="1" applyAlignment="1">
      <alignment horizontal="center"/>
    </xf>
    <xf numFmtId="14" fontId="0" fillId="0" borderId="30" xfId="0" applyNumberFormat="1" applyBorder="1" applyAlignment="1">
      <alignment horizontal="center"/>
    </xf>
    <xf numFmtId="0" fontId="0" fillId="76" borderId="30" xfId="0" applyFill="1" applyBorder="1" applyAlignment="1">
      <alignment horizontal="center"/>
    </xf>
    <xf numFmtId="0" fontId="0" fillId="76" borderId="30" xfId="0" applyFill="1" applyBorder="1"/>
    <xf numFmtId="0" fontId="38" fillId="0" borderId="30" xfId="0" applyFont="1" applyBorder="1" applyAlignment="1">
      <alignment wrapText="1"/>
    </xf>
    <xf numFmtId="0" fontId="183" fillId="51" borderId="21" xfId="0" applyFont="1" applyFill="1" applyBorder="1" applyAlignment="1">
      <alignment horizontal="center" vertical="center" wrapText="1"/>
    </xf>
    <xf numFmtId="0" fontId="182" fillId="50" borderId="25" xfId="0" applyFont="1" applyFill="1" applyBorder="1" applyAlignment="1">
      <alignment horizontal="center" vertical="center" wrapText="1"/>
    </xf>
    <xf numFmtId="0" fontId="182" fillId="45" borderId="32" xfId="0" applyFont="1" applyFill="1" applyBorder="1" applyAlignment="1">
      <alignment horizontal="center" vertical="center" wrapText="1"/>
    </xf>
    <xf numFmtId="0" fontId="166" fillId="0" borderId="29" xfId="145" applyFont="1" applyBorder="1" applyAlignment="1">
      <alignment horizontal="center"/>
    </xf>
    <xf numFmtId="0" fontId="167" fillId="0" borderId="61" xfId="145" applyFont="1" applyBorder="1" applyAlignment="1">
      <alignment horizontal="center"/>
    </xf>
    <xf numFmtId="0" fontId="128" fillId="0" borderId="61" xfId="0" applyFont="1" applyBorder="1" applyAlignment="1">
      <alignment horizontal="center"/>
    </xf>
    <xf numFmtId="0" fontId="0" fillId="0" borderId="29" xfId="0" applyBorder="1"/>
    <xf numFmtId="0" fontId="0" fillId="0" borderId="61" xfId="0" applyBorder="1"/>
    <xf numFmtId="0" fontId="0" fillId="46" borderId="29" xfId="0" applyFill="1" applyBorder="1" applyAlignment="1">
      <alignment horizontal="center"/>
    </xf>
    <xf numFmtId="0" fontId="129" fillId="52" borderId="33" xfId="0" applyFont="1" applyFill="1" applyBorder="1" applyAlignment="1">
      <alignment horizontal="center"/>
    </xf>
    <xf numFmtId="0" fontId="129" fillId="52" borderId="62" xfId="0" applyFont="1" applyFill="1" applyBorder="1" applyAlignment="1">
      <alignment horizontal="center"/>
    </xf>
    <xf numFmtId="0" fontId="128" fillId="46" borderId="9" xfId="0" applyFont="1" applyFill="1" applyBorder="1" applyAlignment="1">
      <alignment horizontal="center" vertical="center" wrapText="1"/>
    </xf>
    <xf numFmtId="0" fontId="0" fillId="0" borderId="27" xfId="0" applyBorder="1"/>
    <xf numFmtId="0" fontId="149" fillId="0" borderId="27" xfId="0" applyFont="1" applyBorder="1"/>
    <xf numFmtId="0" fontId="0" fillId="0" borderId="27" xfId="0" applyBorder="1" applyAlignment="1">
      <alignment wrapText="1"/>
    </xf>
    <xf numFmtId="0" fontId="38" fillId="0" borderId="27" xfId="0" applyFont="1" applyBorder="1"/>
    <xf numFmtId="0" fontId="38" fillId="46" borderId="27" xfId="0" applyFont="1" applyFill="1" applyBorder="1"/>
    <xf numFmtId="0" fontId="129" fillId="52" borderId="35" xfId="0" applyFont="1" applyFill="1" applyBorder="1"/>
    <xf numFmtId="0" fontId="182" fillId="52" borderId="90" xfId="0" applyFont="1" applyFill="1" applyBorder="1" applyAlignment="1">
      <alignment horizontal="center" vertical="center" wrapText="1"/>
    </xf>
    <xf numFmtId="3" fontId="0" fillId="46" borderId="0" xfId="0" applyNumberFormat="1" applyFill="1" applyAlignment="1">
      <alignment horizontal="center"/>
    </xf>
    <xf numFmtId="0" fontId="0" fillId="0" borderId="0" xfId="0" applyAlignment="1">
      <alignment horizontal="left" vertical="center"/>
    </xf>
    <xf numFmtId="0" fontId="0" fillId="0" borderId="30" xfId="0" applyBorder="1" applyAlignment="1">
      <alignment horizontal="left" vertical="center"/>
    </xf>
    <xf numFmtId="0" fontId="0" fillId="0" borderId="30" xfId="0" applyBorder="1" applyAlignment="1">
      <alignment horizontal="left" vertical="center" wrapText="1"/>
    </xf>
    <xf numFmtId="0" fontId="130" fillId="0" borderId="30" xfId="0" applyFont="1" applyBorder="1" applyAlignment="1">
      <alignment vertical="center" wrapText="1"/>
    </xf>
    <xf numFmtId="0" fontId="181" fillId="0" borderId="30" xfId="0" applyFont="1" applyBorder="1" applyAlignment="1">
      <alignment vertical="center" wrapText="1"/>
    </xf>
    <xf numFmtId="0" fontId="38" fillId="0" borderId="30" xfId="0" applyFont="1" applyBorder="1" applyAlignment="1">
      <alignment vertical="center" wrapText="1"/>
    </xf>
    <xf numFmtId="0" fontId="0" fillId="0" borderId="30" xfId="0" applyBorder="1" applyAlignment="1">
      <alignment vertical="center" wrapText="1"/>
    </xf>
    <xf numFmtId="0" fontId="0" fillId="0" borderId="30" xfId="0" applyBorder="1" applyAlignment="1">
      <alignment horizontal="center" vertical="center" wrapText="1"/>
    </xf>
    <xf numFmtId="14" fontId="0" fillId="0" borderId="30" xfId="0" applyNumberFormat="1" applyBorder="1" applyAlignment="1">
      <alignment horizontal="center" vertical="center" wrapText="1"/>
    </xf>
    <xf numFmtId="14" fontId="0" fillId="0" borderId="30" xfId="0" applyNumberFormat="1" applyBorder="1" applyAlignment="1">
      <alignment horizontal="left" vertical="center" wrapText="1"/>
    </xf>
    <xf numFmtId="0" fontId="0" fillId="46" borderId="30" xfId="0" applyFill="1" applyBorder="1"/>
    <xf numFmtId="0" fontId="38" fillId="45" borderId="30" xfId="0" applyFont="1" applyFill="1" applyBorder="1"/>
    <xf numFmtId="0" fontId="187" fillId="0" borderId="30" xfId="0" applyFont="1" applyBorder="1"/>
    <xf numFmtId="0" fontId="38" fillId="45" borderId="30" xfId="0" applyFont="1" applyFill="1" applyBorder="1" applyAlignment="1">
      <alignment vertical="center"/>
    </xf>
    <xf numFmtId="0" fontId="0" fillId="77" borderId="30" xfId="0" applyFill="1" applyBorder="1" applyAlignment="1">
      <alignment horizontal="center" vertical="center"/>
    </xf>
    <xf numFmtId="14" fontId="0" fillId="0" borderId="30" xfId="0" applyNumberFormat="1" applyBorder="1" applyAlignment="1">
      <alignment horizontal="center" vertical="center"/>
    </xf>
    <xf numFmtId="0" fontId="180" fillId="0" borderId="30" xfId="0" applyFont="1" applyBorder="1" applyAlignment="1">
      <alignment horizontal="left" vertical="center" wrapText="1"/>
    </xf>
    <xf numFmtId="0" fontId="0" fillId="46" borderId="30" xfId="0" applyFill="1" applyBorder="1" applyAlignment="1">
      <alignment horizontal="left" vertical="center"/>
    </xf>
    <xf numFmtId="0" fontId="38" fillId="46" borderId="30" xfId="0" applyFont="1" applyFill="1" applyBorder="1" applyAlignment="1">
      <alignment vertical="center" wrapText="1"/>
    </xf>
    <xf numFmtId="0" fontId="0" fillId="46" borderId="30" xfId="0" applyFill="1" applyBorder="1" applyAlignment="1">
      <alignment wrapText="1"/>
    </xf>
    <xf numFmtId="0" fontId="0" fillId="46" borderId="30" xfId="0" applyFill="1" applyBorder="1" applyAlignment="1">
      <alignment horizontal="center" vertical="center" wrapText="1"/>
    </xf>
    <xf numFmtId="0" fontId="0" fillId="46" borderId="30" xfId="0" applyFill="1" applyBorder="1" applyAlignment="1">
      <alignment vertical="center"/>
    </xf>
    <xf numFmtId="14" fontId="38" fillId="0" borderId="30" xfId="0" applyNumberFormat="1" applyFont="1" applyBorder="1" applyAlignment="1">
      <alignment horizontal="center"/>
    </xf>
    <xf numFmtId="3" fontId="0" fillId="46" borderId="30" xfId="0" applyNumberFormat="1" applyFill="1" applyBorder="1" applyAlignment="1">
      <alignment horizontal="center" vertical="center"/>
    </xf>
    <xf numFmtId="0" fontId="0" fillId="51" borderId="30" xfId="0" applyFill="1" applyBorder="1" applyAlignment="1">
      <alignment horizontal="center" vertical="center" wrapText="1"/>
    </xf>
    <xf numFmtId="0" fontId="187" fillId="0" borderId="30" xfId="0" applyFont="1" applyBorder="1" applyAlignment="1">
      <alignment vertical="center" wrapText="1"/>
    </xf>
    <xf numFmtId="0" fontId="0" fillId="0" borderId="30" xfId="0" quotePrefix="1" applyBorder="1" applyAlignment="1">
      <alignment horizontal="center" vertical="center" wrapText="1"/>
    </xf>
    <xf numFmtId="0" fontId="188" fillId="0" borderId="12" xfId="0" applyFont="1" applyBorder="1" applyAlignment="1">
      <alignment wrapText="1"/>
    </xf>
    <xf numFmtId="3" fontId="38" fillId="0" borderId="11" xfId="0" applyNumberFormat="1" applyFont="1" applyBorder="1" applyAlignment="1">
      <alignment horizontal="center"/>
    </xf>
    <xf numFmtId="0" fontId="188" fillId="79" borderId="16" xfId="0" applyFont="1" applyFill="1" applyBorder="1" applyAlignment="1">
      <alignment wrapText="1"/>
    </xf>
    <xf numFmtId="0" fontId="188" fillId="0" borderId="16" xfId="0" applyFont="1" applyBorder="1" applyAlignment="1">
      <alignment wrapText="1"/>
    </xf>
    <xf numFmtId="3" fontId="38" fillId="46" borderId="0" xfId="0" applyNumberFormat="1" applyFont="1" applyFill="1" applyAlignment="1">
      <alignment horizontal="center"/>
    </xf>
    <xf numFmtId="3" fontId="38" fillId="0" borderId="34" xfId="0" applyNumberFormat="1" applyFont="1" applyBorder="1" applyAlignment="1">
      <alignment horizontal="center"/>
    </xf>
    <xf numFmtId="0" fontId="188" fillId="0" borderId="35" xfId="0" applyFont="1" applyBorder="1" applyAlignment="1">
      <alignment wrapText="1"/>
    </xf>
    <xf numFmtId="0" fontId="0" fillId="0" borderId="46" xfId="0" applyBorder="1" applyAlignment="1">
      <alignment horizontal="center"/>
    </xf>
    <xf numFmtId="3" fontId="38" fillId="79" borderId="0" xfId="0" applyNumberFormat="1" applyFont="1" applyFill="1" applyAlignment="1">
      <alignment horizontal="center"/>
    </xf>
    <xf numFmtId="3" fontId="38" fillId="79" borderId="34" xfId="0" applyNumberFormat="1" applyFont="1" applyFill="1" applyBorder="1" applyAlignment="1">
      <alignment horizontal="center"/>
    </xf>
    <xf numFmtId="0" fontId="120" fillId="0" borderId="12" xfId="0" applyFont="1" applyBorder="1" applyAlignment="1">
      <alignment wrapText="1"/>
    </xf>
    <xf numFmtId="0" fontId="188" fillId="79" borderId="12" xfId="0" applyFont="1" applyFill="1" applyBorder="1" applyAlignment="1">
      <alignment wrapText="1"/>
    </xf>
    <xf numFmtId="3" fontId="38" fillId="79" borderId="11" xfId="0" applyNumberFormat="1" applyFont="1" applyFill="1" applyBorder="1" applyAlignment="1">
      <alignment horizontal="center"/>
    </xf>
    <xf numFmtId="0" fontId="188" fillId="79" borderId="35" xfId="0" applyFont="1" applyFill="1" applyBorder="1" applyAlignment="1">
      <alignment wrapText="1"/>
    </xf>
    <xf numFmtId="0" fontId="188" fillId="80" borderId="12" xfId="0" applyFont="1" applyFill="1" applyBorder="1" applyAlignment="1">
      <alignment wrapText="1"/>
    </xf>
    <xf numFmtId="3" fontId="38" fillId="80" borderId="11" xfId="0" applyNumberFormat="1" applyFont="1" applyFill="1" applyBorder="1" applyAlignment="1">
      <alignment horizontal="center"/>
    </xf>
    <xf numFmtId="0" fontId="188" fillId="80" borderId="16" xfId="0" applyFont="1" applyFill="1" applyBorder="1" applyAlignment="1">
      <alignment wrapText="1"/>
    </xf>
    <xf numFmtId="3" fontId="38" fillId="80" borderId="0" xfId="0" applyNumberFormat="1" applyFont="1" applyFill="1" applyAlignment="1">
      <alignment horizontal="center"/>
    </xf>
    <xf numFmtId="0" fontId="188" fillId="80" borderId="35" xfId="0" applyFont="1" applyFill="1" applyBorder="1" applyAlignment="1">
      <alignment wrapText="1"/>
    </xf>
    <xf numFmtId="3" fontId="38" fillId="80" borderId="34" xfId="0" applyNumberFormat="1" applyFont="1" applyFill="1" applyBorder="1" applyAlignment="1">
      <alignment horizontal="center"/>
    </xf>
    <xf numFmtId="0" fontId="189" fillId="0" borderId="30" xfId="0" applyFont="1" applyBorder="1" applyAlignment="1">
      <alignment vertical="center" wrapText="1"/>
    </xf>
    <xf numFmtId="0" fontId="189" fillId="0" borderId="30" xfId="0" applyFont="1" applyBorder="1"/>
    <xf numFmtId="0" fontId="187" fillId="0" borderId="30" xfId="0" applyFont="1" applyBorder="1" applyAlignment="1">
      <alignment wrapText="1"/>
    </xf>
    <xf numFmtId="0" fontId="96" fillId="0" borderId="30" xfId="0" applyFont="1" applyBorder="1" applyAlignment="1">
      <alignment vertical="center" wrapText="1"/>
    </xf>
    <xf numFmtId="0" fontId="0" fillId="51" borderId="30" xfId="0" applyFill="1" applyBorder="1" applyAlignment="1">
      <alignment vertical="center" wrapText="1"/>
    </xf>
    <xf numFmtId="0" fontId="38" fillId="51" borderId="30" xfId="0" applyFont="1" applyFill="1" applyBorder="1" applyAlignment="1">
      <alignment vertical="center" wrapText="1"/>
    </xf>
    <xf numFmtId="0" fontId="38" fillId="51" borderId="30" xfId="0" applyFont="1" applyFill="1" applyBorder="1" applyAlignment="1">
      <alignment horizontal="center" vertical="center" wrapText="1"/>
    </xf>
    <xf numFmtId="14" fontId="38" fillId="51" borderId="30" xfId="0" applyNumberFormat="1" applyFont="1" applyFill="1" applyBorder="1" applyAlignment="1">
      <alignment horizontal="center" vertical="center" wrapText="1"/>
    </xf>
    <xf numFmtId="0" fontId="187" fillId="51" borderId="30" xfId="0" applyFont="1" applyFill="1" applyBorder="1" applyAlignment="1">
      <alignment vertical="center" wrapText="1"/>
    </xf>
    <xf numFmtId="0" fontId="0" fillId="51" borderId="0" xfId="0" applyFill="1" applyAlignment="1">
      <alignment vertical="center" wrapText="1"/>
    </xf>
    <xf numFmtId="0" fontId="190" fillId="3" borderId="92" xfId="0" applyFont="1" applyFill="1" applyBorder="1" applyAlignment="1">
      <alignment vertical="center"/>
    </xf>
    <xf numFmtId="0" fontId="0" fillId="0" borderId="80" xfId="0" applyBorder="1" applyAlignment="1">
      <alignment wrapText="1"/>
    </xf>
    <xf numFmtId="0" fontId="191" fillId="0" borderId="30" xfId="0" applyFont="1" applyBorder="1"/>
    <xf numFmtId="172" fontId="0" fillId="71" borderId="9" xfId="1" applyNumberFormat="1" applyFont="1" applyFill="1" applyBorder="1"/>
    <xf numFmtId="172" fontId="0" fillId="71" borderId="27" xfId="1" applyNumberFormat="1" applyFont="1" applyFill="1" applyBorder="1"/>
    <xf numFmtId="0" fontId="46" fillId="12" borderId="5" xfId="0" applyFont="1" applyFill="1" applyBorder="1"/>
    <xf numFmtId="0" fontId="46" fillId="12" borderId="1" xfId="0" applyFont="1" applyFill="1" applyBorder="1" applyAlignment="1">
      <alignment horizontal="center"/>
    </xf>
    <xf numFmtId="0" fontId="46" fillId="12" borderId="3" xfId="0" applyFont="1" applyFill="1" applyBorder="1" applyAlignment="1">
      <alignment horizontal="center"/>
    </xf>
    <xf numFmtId="0" fontId="46" fillId="12" borderId="53" xfId="0" applyFont="1" applyFill="1" applyBorder="1" applyAlignment="1">
      <alignment horizontal="center"/>
    </xf>
    <xf numFmtId="3" fontId="103" fillId="50" borderId="1" xfId="0" applyNumberFormat="1" applyFont="1" applyFill="1" applyBorder="1"/>
    <xf numFmtId="0" fontId="192" fillId="3" borderId="24" xfId="0" quotePrefix="1" applyFont="1" applyFill="1" applyBorder="1" applyAlignment="1">
      <alignment horizontal="left" vertical="center"/>
    </xf>
    <xf numFmtId="0" fontId="192" fillId="3" borderId="92" xfId="0" quotePrefix="1" applyFont="1" applyFill="1" applyBorder="1" applyAlignment="1">
      <alignment horizontal="left" vertical="center"/>
    </xf>
    <xf numFmtId="0" fontId="192" fillId="3" borderId="92" xfId="0" applyFont="1" applyFill="1" applyBorder="1" applyAlignment="1">
      <alignment horizontal="left" vertical="center"/>
    </xf>
    <xf numFmtId="0" fontId="192" fillId="3" borderId="92" xfId="0" applyFont="1" applyFill="1" applyBorder="1" applyAlignment="1">
      <alignment vertical="center"/>
    </xf>
    <xf numFmtId="0" fontId="192" fillId="3" borderId="93" xfId="0" applyFont="1" applyFill="1" applyBorder="1" applyAlignment="1">
      <alignment horizontal="left" vertical="center"/>
    </xf>
    <xf numFmtId="171" fontId="0" fillId="0" borderId="29" xfId="0" applyNumberFormat="1" applyBorder="1" applyAlignment="1">
      <alignment horizontal="center" vertical="center"/>
    </xf>
    <xf numFmtId="3" fontId="0" fillId="0" borderId="61" xfId="0" applyNumberFormat="1" applyBorder="1" applyAlignment="1">
      <alignment horizontal="center" vertical="center"/>
    </xf>
    <xf numFmtId="170" fontId="36" fillId="53" borderId="32" xfId="0" applyNumberFormat="1" applyFont="1" applyFill="1" applyBorder="1" applyAlignment="1">
      <alignment horizontal="center" vertical="center"/>
    </xf>
    <xf numFmtId="1" fontId="36" fillId="53" borderId="60" xfId="0" applyNumberFormat="1" applyFont="1" applyFill="1" applyBorder="1" applyAlignment="1">
      <alignment horizontal="center" vertical="center"/>
    </xf>
    <xf numFmtId="0" fontId="0" fillId="0" borderId="30" xfId="0" applyBorder="1" applyAlignment="1">
      <alignment horizontal="center" wrapText="1"/>
    </xf>
    <xf numFmtId="0" fontId="103" fillId="78" borderId="0" xfId="0" applyFont="1" applyFill="1" applyAlignment="1">
      <alignment horizontal="left" vertical="center"/>
    </xf>
    <xf numFmtId="14" fontId="38" fillId="0" borderId="30" xfId="0" applyNumberFormat="1" applyFont="1" applyBorder="1" applyAlignment="1">
      <alignment horizontal="center" vertical="center" wrapText="1"/>
    </xf>
    <xf numFmtId="0" fontId="0" fillId="46" borderId="27" xfId="0" applyFill="1" applyBorder="1"/>
    <xf numFmtId="0" fontId="166" fillId="46" borderId="29" xfId="145" applyFont="1" applyFill="1" applyBorder="1" applyAlignment="1">
      <alignment horizontal="center"/>
    </xf>
    <xf numFmtId="0" fontId="166" fillId="46" borderId="30" xfId="145" applyFont="1" applyFill="1" applyBorder="1" applyAlignment="1">
      <alignment horizontal="center"/>
    </xf>
    <xf numFmtId="0" fontId="167" fillId="46" borderId="61" xfId="145" applyFont="1" applyFill="1" applyBorder="1" applyAlignment="1">
      <alignment horizontal="center"/>
    </xf>
    <xf numFmtId="0" fontId="149" fillId="46" borderId="51" xfId="0" applyFont="1" applyFill="1" applyBorder="1" applyAlignment="1">
      <alignment horizontal="center"/>
    </xf>
    <xf numFmtId="0" fontId="149" fillId="46" borderId="30" xfId="0" applyFont="1" applyFill="1" applyBorder="1" applyAlignment="1">
      <alignment horizontal="center"/>
    </xf>
    <xf numFmtId="0" fontId="149" fillId="0" borderId="51" xfId="0" applyFont="1" applyBorder="1" applyAlignment="1">
      <alignment horizontal="center"/>
    </xf>
    <xf numFmtId="0" fontId="42" fillId="56" borderId="51" xfId="0" applyFont="1" applyFill="1" applyBorder="1" applyAlignment="1">
      <alignment horizontal="center"/>
    </xf>
    <xf numFmtId="0" fontId="129" fillId="45" borderId="51" xfId="0" applyFont="1" applyFill="1" applyBorder="1" applyAlignment="1">
      <alignment horizontal="center"/>
    </xf>
    <xf numFmtId="0" fontId="182" fillId="45" borderId="58" xfId="0" applyFont="1" applyFill="1" applyBorder="1" applyAlignment="1">
      <alignment horizontal="center" vertical="center" wrapText="1"/>
    </xf>
    <xf numFmtId="0" fontId="183" fillId="51" borderId="57" xfId="0" applyFont="1" applyFill="1" applyBorder="1" applyAlignment="1">
      <alignment horizontal="center" vertical="center" wrapText="1"/>
    </xf>
    <xf numFmtId="0" fontId="182" fillId="50" borderId="38" xfId="0" applyFont="1" applyFill="1" applyBorder="1" applyAlignment="1">
      <alignment horizontal="center" vertical="center" wrapText="1"/>
    </xf>
    <xf numFmtId="0" fontId="182" fillId="52" borderId="94" xfId="0" applyFont="1" applyFill="1" applyBorder="1" applyAlignment="1">
      <alignment horizontal="center" vertical="center" wrapText="1"/>
    </xf>
    <xf numFmtId="0" fontId="195" fillId="73" borderId="30" xfId="274" applyFont="1" applyFill="1" applyBorder="1" applyAlignment="1">
      <alignment horizontal="center" vertical="center"/>
    </xf>
    <xf numFmtId="0" fontId="136" fillId="0" borderId="0" xfId="0" applyFont="1"/>
    <xf numFmtId="0" fontId="195" fillId="74" borderId="21" xfId="274" applyFont="1" applyFill="1" applyBorder="1" applyAlignment="1">
      <alignment horizontal="center" vertical="center"/>
    </xf>
    <xf numFmtId="0" fontId="196" fillId="0" borderId="30" xfId="274" applyFont="1" applyBorder="1" applyAlignment="1">
      <alignment vertical="center"/>
    </xf>
    <xf numFmtId="0" fontId="196" fillId="0" borderId="30" xfId="274" applyFont="1" applyBorder="1" applyAlignment="1">
      <alignment horizontal="center" vertical="center"/>
    </xf>
    <xf numFmtId="0" fontId="184" fillId="0" borderId="30" xfId="274" applyFont="1" applyBorder="1" applyAlignment="1">
      <alignment horizontal="center"/>
    </xf>
    <xf numFmtId="9" fontId="195" fillId="0" borderId="30" xfId="274" applyNumberFormat="1" applyFont="1" applyBorder="1" applyAlignment="1">
      <alignment horizontal="center" vertical="center"/>
    </xf>
    <xf numFmtId="0" fontId="136" fillId="46" borderId="30" xfId="274" applyFont="1" applyFill="1" applyBorder="1" applyAlignment="1">
      <alignment vertical="center"/>
    </xf>
    <xf numFmtId="0" fontId="196" fillId="46" borderId="30" xfId="274" applyFont="1" applyFill="1" applyBorder="1" applyAlignment="1">
      <alignment horizontal="center" vertical="center"/>
    </xf>
    <xf numFmtId="0" fontId="136" fillId="0" borderId="30" xfId="274" applyFont="1" applyBorder="1" applyAlignment="1">
      <alignment vertical="center"/>
    </xf>
    <xf numFmtId="0" fontId="196" fillId="0" borderId="14" xfId="274" applyFont="1" applyBorder="1" applyAlignment="1">
      <alignment vertical="center"/>
    </xf>
    <xf numFmtId="0" fontId="196" fillId="0" borderId="14" xfId="274" applyFont="1" applyBorder="1" applyAlignment="1">
      <alignment horizontal="center" vertical="center"/>
    </xf>
    <xf numFmtId="0" fontId="184" fillId="0" borderId="14" xfId="274" applyFont="1" applyBorder="1" applyAlignment="1">
      <alignment horizontal="center"/>
    </xf>
    <xf numFmtId="9" fontId="195" fillId="0" borderId="14" xfId="274" applyNumberFormat="1" applyFont="1" applyBorder="1" applyAlignment="1">
      <alignment horizontal="center" vertical="center"/>
    </xf>
    <xf numFmtId="0" fontId="197" fillId="83" borderId="21" xfId="274" applyFont="1" applyFill="1" applyBorder="1" applyAlignment="1">
      <alignment horizontal="center"/>
    </xf>
    <xf numFmtId="9" fontId="195" fillId="83" borderId="21" xfId="274" applyNumberFormat="1" applyFont="1" applyFill="1" applyBorder="1" applyAlignment="1">
      <alignment horizontal="center" vertical="center"/>
    </xf>
    <xf numFmtId="9" fontId="0" fillId="0" borderId="0" xfId="42" applyFont="1" applyAlignment="1">
      <alignment horizontal="center" vertical="center"/>
    </xf>
    <xf numFmtId="3" fontId="0" fillId="0" borderId="0" xfId="42" applyNumberFormat="1" applyFont="1" applyAlignment="1">
      <alignment horizontal="center" vertical="center"/>
    </xf>
    <xf numFmtId="0" fontId="184" fillId="0" borderId="30" xfId="274" applyFont="1" applyBorder="1" applyAlignment="1">
      <alignment horizontal="center" vertical="center"/>
    </xf>
    <xf numFmtId="0" fontId="103" fillId="0" borderId="0" xfId="0" applyFont="1" applyAlignment="1">
      <alignment horizontal="center"/>
    </xf>
    <xf numFmtId="0" fontId="101" fillId="45" borderId="30" xfId="0" applyFont="1" applyFill="1" applyBorder="1" applyAlignment="1">
      <alignment horizontal="center"/>
    </xf>
    <xf numFmtId="0" fontId="101" fillId="45" borderId="51" xfId="0" applyFont="1" applyFill="1" applyBorder="1" applyAlignment="1">
      <alignment horizontal="center"/>
    </xf>
    <xf numFmtId="0" fontId="130" fillId="0" borderId="51" xfId="0" applyFont="1" applyBorder="1"/>
    <xf numFmtId="3" fontId="0" fillId="46" borderId="52" xfId="0" applyNumberFormat="1" applyFill="1" applyBorder="1" applyAlignment="1">
      <alignment horizontal="center" vertical="center"/>
    </xf>
    <xf numFmtId="0" fontId="187" fillId="84" borderId="41" xfId="0" applyFont="1" applyFill="1" applyBorder="1" applyAlignment="1">
      <alignment horizontal="left" vertical="center" wrapText="1"/>
    </xf>
    <xf numFmtId="0" fontId="38" fillId="0" borderId="30" xfId="0" applyFont="1" applyBorder="1" applyAlignment="1">
      <alignment horizontal="left" vertical="center"/>
    </xf>
    <xf numFmtId="0" fontId="38" fillId="0" borderId="30" xfId="0" applyFont="1" applyBorder="1" applyAlignment="1">
      <alignment horizontal="left" vertical="center" wrapText="1"/>
    </xf>
    <xf numFmtId="0" fontId="187" fillId="0" borderId="0" xfId="0" applyFont="1"/>
    <xf numFmtId="0" fontId="130" fillId="0" borderId="0" xfId="0" applyFont="1"/>
    <xf numFmtId="0" fontId="130" fillId="0" borderId="0" xfId="0" applyFont="1" applyAlignment="1">
      <alignment vertical="center"/>
    </xf>
    <xf numFmtId="0" fontId="158" fillId="0" borderId="0" xfId="0" applyFont="1"/>
    <xf numFmtId="0" fontId="130" fillId="0" borderId="0" xfId="0" applyFont="1" applyAlignment="1">
      <alignment wrapText="1"/>
    </xf>
    <xf numFmtId="0" fontId="96" fillId="0" borderId="0" xfId="0" applyFont="1" applyAlignment="1">
      <alignment horizontal="center" vertical="center"/>
    </xf>
    <xf numFmtId="0" fontId="0" fillId="46" borderId="0" xfId="0" applyFill="1" applyAlignment="1">
      <alignment horizontal="center" vertical="center"/>
    </xf>
    <xf numFmtId="0" fontId="96" fillId="46" borderId="0" xfId="0" applyFont="1" applyFill="1" applyAlignment="1">
      <alignment horizontal="center" vertical="center"/>
    </xf>
    <xf numFmtId="170" fontId="38" fillId="0" borderId="0" xfId="0" applyNumberFormat="1" applyFont="1" applyAlignment="1">
      <alignment horizontal="center"/>
    </xf>
    <xf numFmtId="0" fontId="0" fillId="0" borderId="70" xfId="0" applyBorder="1" applyAlignment="1">
      <alignment horizontal="center"/>
    </xf>
    <xf numFmtId="3" fontId="0" fillId="79" borderId="67" xfId="0" applyNumberFormat="1" applyFill="1" applyBorder="1" applyAlignment="1">
      <alignment horizontal="center"/>
    </xf>
    <xf numFmtId="3" fontId="0" fillId="79" borderId="0" xfId="0" applyNumberFormat="1" applyFill="1" applyAlignment="1">
      <alignment horizontal="center"/>
    </xf>
    <xf numFmtId="3" fontId="0" fillId="0" borderId="67" xfId="0" applyNumberFormat="1" applyBorder="1" applyAlignment="1">
      <alignment horizontal="center"/>
    </xf>
    <xf numFmtId="3" fontId="38" fillId="0" borderId="70" xfId="0" applyNumberFormat="1" applyFont="1" applyBorder="1" applyAlignment="1">
      <alignment horizontal="center"/>
    </xf>
    <xf numFmtId="3" fontId="38" fillId="79" borderId="67" xfId="0" applyNumberFormat="1" applyFont="1" applyFill="1" applyBorder="1" applyAlignment="1">
      <alignment horizontal="center"/>
    </xf>
    <xf numFmtId="3" fontId="38" fillId="0" borderId="67" xfId="0" applyNumberFormat="1" applyFont="1" applyBorder="1" applyAlignment="1">
      <alignment horizontal="center"/>
    </xf>
    <xf numFmtId="3" fontId="38" fillId="0" borderId="71" xfId="0" applyNumberFormat="1" applyFont="1" applyBorder="1" applyAlignment="1">
      <alignment horizontal="center"/>
    </xf>
    <xf numFmtId="0" fontId="187" fillId="0" borderId="0" xfId="0" applyFont="1" applyAlignment="1">
      <alignment wrapText="1"/>
    </xf>
    <xf numFmtId="3" fontId="49" fillId="0" borderId="0" xfId="0" applyNumberFormat="1" applyFont="1" applyAlignment="1">
      <alignment horizontal="center"/>
    </xf>
    <xf numFmtId="0" fontId="0" fillId="0" borderId="67" xfId="0" applyBorder="1" applyAlignment="1">
      <alignment horizontal="right"/>
    </xf>
    <xf numFmtId="0" fontId="0" fillId="0" borderId="71" xfId="0" applyBorder="1" applyAlignment="1">
      <alignment horizontal="right"/>
    </xf>
    <xf numFmtId="0" fontId="49" fillId="85" borderId="30" xfId="0" applyFont="1" applyFill="1" applyBorder="1"/>
    <xf numFmtId="0" fontId="0" fillId="85" borderId="30" xfId="0" applyFill="1" applyBorder="1"/>
    <xf numFmtId="9" fontId="49" fillId="46" borderId="0" xfId="42" applyFont="1" applyFill="1"/>
    <xf numFmtId="1" fontId="0" fillId="0" borderId="0" xfId="42" applyNumberFormat="1" applyFont="1" applyAlignment="1">
      <alignment horizontal="center" vertical="center"/>
    </xf>
    <xf numFmtId="0" fontId="103" fillId="78" borderId="0" xfId="0" applyFont="1" applyFill="1" applyAlignment="1">
      <alignment horizontal="center" vertical="center"/>
    </xf>
    <xf numFmtId="172" fontId="49" fillId="71" borderId="27" xfId="1" applyNumberFormat="1" applyFont="1" applyFill="1" applyBorder="1" applyAlignment="1">
      <alignment horizontal="center" vertical="center"/>
    </xf>
    <xf numFmtId="1" fontId="103" fillId="50" borderId="5" xfId="0" applyNumberFormat="1" applyFont="1" applyFill="1" applyBorder="1" applyAlignment="1">
      <alignment horizontal="center" vertical="center"/>
    </xf>
    <xf numFmtId="3" fontId="0" fillId="76" borderId="30" xfId="0" applyNumberFormat="1" applyFill="1" applyBorder="1"/>
    <xf numFmtId="3" fontId="38" fillId="0" borderId="0" xfId="871" applyNumberFormat="1" applyAlignment="1">
      <alignment horizontal="center"/>
    </xf>
    <xf numFmtId="9" fontId="38" fillId="0" borderId="0" xfId="42" applyFont="1" applyAlignment="1">
      <alignment horizontal="center"/>
    </xf>
    <xf numFmtId="3" fontId="38" fillId="0" borderId="34" xfId="871" applyNumberFormat="1" applyBorder="1" applyAlignment="1">
      <alignment horizontal="center"/>
    </xf>
    <xf numFmtId="9" fontId="38" fillId="0" borderId="34" xfId="42" applyFont="1" applyBorder="1" applyAlignment="1">
      <alignment horizontal="center"/>
    </xf>
    <xf numFmtId="0" fontId="38" fillId="0" borderId="0" xfId="871" applyAlignment="1">
      <alignment horizontal="center"/>
    </xf>
    <xf numFmtId="0" fontId="38" fillId="0" borderId="0" xfId="871"/>
    <xf numFmtId="0" fontId="38" fillId="0" borderId="0" xfId="871" applyAlignment="1">
      <alignment horizontal="right"/>
    </xf>
    <xf numFmtId="0" fontId="38" fillId="0" borderId="0" xfId="871" applyAlignment="1">
      <alignment horizontal="left"/>
    </xf>
    <xf numFmtId="0" fontId="49" fillId="0" borderId="30" xfId="871" applyFont="1" applyBorder="1"/>
    <xf numFmtId="0" fontId="38" fillId="0" borderId="30" xfId="871" applyBorder="1"/>
    <xf numFmtId="0" fontId="187" fillId="0" borderId="0" xfId="0" applyFont="1" applyAlignment="1">
      <alignment horizontal="left"/>
    </xf>
    <xf numFmtId="0" fontId="38" fillId="0" borderId="30" xfId="0" applyFont="1" applyBorder="1" applyAlignment="1">
      <alignment horizontal="left"/>
    </xf>
    <xf numFmtId="0" fontId="187" fillId="0" borderId="30" xfId="0" applyFont="1" applyBorder="1" applyAlignment="1">
      <alignment horizontal="left"/>
    </xf>
    <xf numFmtId="0" fontId="130" fillId="0" borderId="0" xfId="0" applyFont="1" applyAlignment="1">
      <alignment horizontal="left"/>
    </xf>
    <xf numFmtId="0" fontId="130" fillId="0" borderId="30" xfId="0" applyFont="1" applyBorder="1" applyAlignment="1">
      <alignment horizontal="left"/>
    </xf>
    <xf numFmtId="0" fontId="130" fillId="46" borderId="30" xfId="0" applyFont="1" applyFill="1" applyBorder="1" applyAlignment="1">
      <alignment horizontal="left"/>
    </xf>
    <xf numFmtId="0" fontId="187" fillId="0" borderId="30" xfId="0" applyFont="1" applyBorder="1" applyAlignment="1">
      <alignment horizontal="left" vertical="center" wrapText="1"/>
    </xf>
    <xf numFmtId="0" fontId="187" fillId="0" borderId="30" xfId="0" applyFont="1" applyBorder="1" applyAlignment="1">
      <alignment horizontal="left" wrapText="1"/>
    </xf>
    <xf numFmtId="0" fontId="130" fillId="51" borderId="0" xfId="0" applyFont="1" applyFill="1" applyAlignment="1">
      <alignment horizontal="left"/>
    </xf>
    <xf numFmtId="0" fontId="38" fillId="0" borderId="8" xfId="0" applyFont="1" applyBorder="1" applyAlignment="1">
      <alignment horizontal="left"/>
    </xf>
    <xf numFmtId="0" fontId="38" fillId="0" borderId="8" xfId="0" applyFont="1" applyBorder="1" applyAlignment="1">
      <alignment vertical="center" wrapText="1"/>
    </xf>
    <xf numFmtId="0" fontId="187" fillId="0" borderId="0" xfId="0" applyFont="1" applyAlignment="1">
      <alignment vertical="center"/>
    </xf>
    <xf numFmtId="0" fontId="38" fillId="0" borderId="8" xfId="0" applyFont="1" applyBorder="1" applyAlignment="1">
      <alignment horizontal="center" vertical="center"/>
    </xf>
    <xf numFmtId="0" fontId="38" fillId="0" borderId="8" xfId="0" applyFont="1" applyBorder="1" applyAlignment="1">
      <alignment horizontal="center" vertical="center" wrapText="1"/>
    </xf>
    <xf numFmtId="0" fontId="0" fillId="0" borderId="8" xfId="0" applyBorder="1" applyAlignment="1">
      <alignment horizontal="center" vertical="center" wrapText="1"/>
    </xf>
    <xf numFmtId="0" fontId="192" fillId="3" borderId="91" xfId="0" applyFont="1" applyFill="1" applyBorder="1" applyAlignment="1">
      <alignment horizontal="left" vertical="center"/>
    </xf>
    <xf numFmtId="172" fontId="38" fillId="71" borderId="27" xfId="1" applyNumberFormat="1" applyFont="1" applyFill="1" applyBorder="1" applyAlignment="1">
      <alignment horizontal="center" vertical="center"/>
    </xf>
    <xf numFmtId="2" fontId="38" fillId="0" borderId="1" xfId="0" applyNumberFormat="1" applyFont="1" applyBorder="1" applyAlignment="1">
      <alignment horizontal="center" vertical="center"/>
    </xf>
    <xf numFmtId="0" fontId="0" fillId="0" borderId="51" xfId="0" applyBorder="1" applyAlignment="1">
      <alignment vertical="center"/>
    </xf>
    <xf numFmtId="0" fontId="0" fillId="0" borderId="51" xfId="0" applyBorder="1"/>
    <xf numFmtId="0" fontId="38" fillId="0" borderId="21" xfId="0" applyFont="1" applyBorder="1" applyAlignment="1">
      <alignment vertical="center" wrapText="1"/>
    </xf>
    <xf numFmtId="0" fontId="0" fillId="0" borderId="51" xfId="0" applyBorder="1" applyAlignment="1">
      <alignment horizontal="center" vertical="center"/>
    </xf>
    <xf numFmtId="0" fontId="38" fillId="0" borderId="14" xfId="0" applyFont="1" applyBorder="1" applyAlignment="1">
      <alignment vertical="center" wrapText="1"/>
    </xf>
    <xf numFmtId="0" fontId="0" fillId="0" borderId="14" xfId="0" applyBorder="1" applyAlignment="1">
      <alignment horizontal="center" vertical="center" wrapText="1"/>
    </xf>
    <xf numFmtId="0" fontId="38" fillId="0" borderId="14" xfId="0" applyFont="1" applyBorder="1" applyAlignment="1">
      <alignment horizontal="center" vertical="center" wrapText="1"/>
    </xf>
    <xf numFmtId="0" fontId="0" fillId="0" borderId="21" xfId="0" applyBorder="1" applyAlignment="1">
      <alignment horizontal="center" vertical="center" wrapText="1"/>
    </xf>
    <xf numFmtId="0" fontId="38" fillId="0" borderId="21" xfId="0" applyFont="1" applyBorder="1" applyAlignment="1">
      <alignment horizontal="center" vertical="center" wrapText="1"/>
    </xf>
    <xf numFmtId="14" fontId="38" fillId="0" borderId="30" xfId="0" applyNumberFormat="1" applyFont="1" applyBorder="1" applyAlignment="1">
      <alignment horizontal="center" vertical="center"/>
    </xf>
    <xf numFmtId="2" fontId="43" fillId="0" borderId="1" xfId="0" applyNumberFormat="1" applyFont="1" applyBorder="1" applyAlignment="1">
      <alignment horizontal="center" vertical="center"/>
    </xf>
    <xf numFmtId="0" fontId="0" fillId="0" borderId="8" xfId="0" applyBorder="1" applyAlignment="1">
      <alignment horizontal="center"/>
    </xf>
    <xf numFmtId="0" fontId="199" fillId="0" borderId="0" xfId="0" applyFont="1"/>
    <xf numFmtId="0" fontId="0" fillId="71" borderId="21" xfId="0" applyFill="1" applyBorder="1" applyAlignment="1">
      <alignment horizontal="center"/>
    </xf>
    <xf numFmtId="0" fontId="0" fillId="76" borderId="21" xfId="0" applyFill="1" applyBorder="1" applyAlignment="1">
      <alignment horizontal="center"/>
    </xf>
    <xf numFmtId="17" fontId="42" fillId="0" borderId="20" xfId="0" applyNumberFormat="1" applyFont="1" applyBorder="1" applyAlignment="1">
      <alignment horizontal="center"/>
    </xf>
    <xf numFmtId="0" fontId="0" fillId="56" borderId="0" xfId="0" applyFill="1" applyAlignment="1">
      <alignment horizontal="center"/>
    </xf>
    <xf numFmtId="0" fontId="0" fillId="56" borderId="18" xfId="0" applyFill="1" applyBorder="1" applyAlignment="1">
      <alignment horizontal="center"/>
    </xf>
    <xf numFmtId="0" fontId="0" fillId="56" borderId="34" xfId="0" applyFill="1" applyBorder="1" applyAlignment="1">
      <alignment horizontal="center"/>
    </xf>
    <xf numFmtId="0" fontId="0" fillId="56" borderId="41" xfId="0" applyFill="1" applyBorder="1" applyAlignment="1">
      <alignment horizontal="center"/>
    </xf>
    <xf numFmtId="0" fontId="0" fillId="0" borderId="14" xfId="0"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14" fontId="130" fillId="0" borderId="0" xfId="0" applyNumberFormat="1" applyFont="1" applyAlignment="1">
      <alignment horizontal="center" vertical="center"/>
    </xf>
    <xf numFmtId="0" fontId="85" fillId="0" borderId="18" xfId="0" applyFont="1" applyBorder="1" applyAlignment="1">
      <alignment horizontal="center" vertical="center" wrapText="1"/>
    </xf>
    <xf numFmtId="0" fontId="0" fillId="0" borderId="14" xfId="0" applyBorder="1" applyAlignment="1">
      <alignment vertical="center"/>
    </xf>
    <xf numFmtId="0" fontId="38" fillId="0" borderId="14" xfId="0" applyFont="1" applyBorder="1" applyAlignment="1">
      <alignment vertical="center"/>
    </xf>
    <xf numFmtId="0" fontId="0" fillId="0" borderId="14" xfId="0" applyBorder="1" applyAlignment="1">
      <alignment horizontal="left" vertical="center" wrapText="1"/>
    </xf>
    <xf numFmtId="0" fontId="38" fillId="0" borderId="8" xfId="0" applyFont="1" applyBorder="1" applyAlignment="1">
      <alignment horizontal="left" vertical="center"/>
    </xf>
    <xf numFmtId="0" fontId="38" fillId="0" borderId="8" xfId="0" applyFont="1" applyBorder="1" applyAlignment="1">
      <alignment horizontal="left" vertical="center" wrapText="1"/>
    </xf>
    <xf numFmtId="0" fontId="38" fillId="0" borderId="8" xfId="0" applyFont="1" applyBorder="1" applyAlignment="1">
      <alignment vertical="center"/>
    </xf>
    <xf numFmtId="172" fontId="0" fillId="71" borderId="9" xfId="1" applyNumberFormat="1" applyFont="1" applyFill="1" applyBorder="1" applyAlignment="1">
      <alignment horizontal="center"/>
    </xf>
    <xf numFmtId="172" fontId="0" fillId="71" borderId="27" xfId="1" applyNumberFormat="1" applyFont="1" applyFill="1" applyBorder="1" applyAlignment="1">
      <alignment horizontal="center"/>
    </xf>
    <xf numFmtId="172" fontId="38" fillId="71" borderId="27" xfId="1" applyNumberFormat="1" applyFont="1" applyFill="1" applyBorder="1" applyAlignment="1">
      <alignment horizontal="center"/>
    </xf>
    <xf numFmtId="3" fontId="103" fillId="50" borderId="1" xfId="0" applyNumberFormat="1" applyFont="1" applyFill="1" applyBorder="1" applyAlignment="1">
      <alignment horizontal="center"/>
    </xf>
    <xf numFmtId="0" fontId="0" fillId="85" borderId="30" xfId="0" applyFill="1" applyBorder="1" applyAlignment="1">
      <alignment horizontal="center"/>
    </xf>
    <xf numFmtId="9" fontId="38" fillId="0" borderId="0" xfId="42" applyFont="1" applyBorder="1" applyAlignment="1">
      <alignment horizontal="center"/>
    </xf>
    <xf numFmtId="3" fontId="12" fillId="0" borderId="0" xfId="0" applyNumberFormat="1" applyFont="1" applyAlignment="1">
      <alignment horizontal="center"/>
    </xf>
    <xf numFmtId="0" fontId="38" fillId="0" borderId="34" xfId="871" applyBorder="1" applyAlignment="1">
      <alignment horizontal="left"/>
    </xf>
    <xf numFmtId="9" fontId="96" fillId="0" borderId="0" xfId="42" applyFont="1" applyAlignment="1">
      <alignment horizontal="center"/>
    </xf>
    <xf numFmtId="9" fontId="96" fillId="0" borderId="0" xfId="42" applyFont="1" applyBorder="1" applyAlignment="1">
      <alignment horizontal="center"/>
    </xf>
    <xf numFmtId="9" fontId="96" fillId="0" borderId="34" xfId="42" applyFont="1" applyBorder="1" applyAlignment="1">
      <alignment horizontal="center"/>
    </xf>
    <xf numFmtId="3" fontId="49" fillId="0" borderId="30" xfId="871" applyNumberFormat="1" applyFont="1" applyBorder="1" applyAlignment="1">
      <alignment horizontal="center"/>
    </xf>
    <xf numFmtId="9" fontId="120" fillId="0" borderId="30" xfId="42" applyFont="1" applyBorder="1" applyAlignment="1">
      <alignment horizontal="center"/>
    </xf>
    <xf numFmtId="3" fontId="96" fillId="0" borderId="0" xfId="871" applyNumberFormat="1" applyFont="1" applyAlignment="1">
      <alignment horizontal="center"/>
    </xf>
    <xf numFmtId="3" fontId="96" fillId="0" borderId="0" xfId="0" applyNumberFormat="1" applyFont="1" applyAlignment="1">
      <alignment horizontal="center"/>
    </xf>
    <xf numFmtId="3" fontId="38" fillId="0" borderId="0" xfId="871" applyNumberFormat="1"/>
    <xf numFmtId="3" fontId="0" fillId="0" borderId="0" xfId="42" applyNumberFormat="1" applyFont="1" applyAlignment="1">
      <alignment horizontal="center"/>
    </xf>
    <xf numFmtId="3" fontId="96" fillId="0" borderId="34" xfId="871" applyNumberFormat="1" applyFont="1" applyBorder="1" applyAlignment="1">
      <alignment horizontal="center"/>
    </xf>
    <xf numFmtId="3" fontId="159" fillId="0" borderId="0" xfId="0" applyNumberFormat="1" applyFont="1" applyAlignment="1">
      <alignment horizontal="center"/>
    </xf>
    <xf numFmtId="3" fontId="120" fillId="0" borderId="30" xfId="871" applyNumberFormat="1" applyFont="1" applyBorder="1" applyAlignment="1">
      <alignment horizontal="center"/>
    </xf>
    <xf numFmtId="0" fontId="0" fillId="86" borderId="30" xfId="0" applyFill="1" applyBorder="1" applyAlignment="1">
      <alignment horizontal="center"/>
    </xf>
    <xf numFmtId="3" fontId="38" fillId="86" borderId="30" xfId="0" applyNumberFormat="1" applyFont="1" applyFill="1" applyBorder="1" applyAlignment="1">
      <alignment horizontal="center"/>
    </xf>
    <xf numFmtId="3" fontId="42" fillId="0" borderId="0" xfId="0" applyNumberFormat="1" applyFont="1" applyAlignment="1">
      <alignment vertical="top" wrapText="1"/>
    </xf>
    <xf numFmtId="0" fontId="38" fillId="0" borderId="21" xfId="0" applyFont="1" applyBorder="1" applyAlignment="1">
      <alignment horizontal="left" vertical="center"/>
    </xf>
    <xf numFmtId="0" fontId="38" fillId="0" borderId="21" xfId="0" applyFont="1" applyBorder="1" applyAlignment="1">
      <alignment horizontal="center" vertical="center"/>
    </xf>
    <xf numFmtId="0" fontId="0" fillId="0" borderId="8" xfId="0" applyBorder="1" applyAlignment="1">
      <alignment horizontal="left" vertical="center" wrapText="1"/>
    </xf>
    <xf numFmtId="0" fontId="0" fillId="0" borderId="21" xfId="0" applyBorder="1" applyAlignment="1">
      <alignment horizontal="left" vertical="center" wrapText="1"/>
    </xf>
    <xf numFmtId="0" fontId="0" fillId="0" borderId="21" xfId="0" applyBorder="1" applyAlignment="1">
      <alignment vertical="center" wrapText="1"/>
    </xf>
    <xf numFmtId="14" fontId="0" fillId="0" borderId="21" xfId="0" applyNumberFormat="1" applyBorder="1" applyAlignment="1">
      <alignment horizontal="center" vertical="center" wrapText="1"/>
    </xf>
    <xf numFmtId="0" fontId="38" fillId="0" borderId="21" xfId="0" applyFont="1" applyBorder="1" applyAlignment="1">
      <alignment vertical="center"/>
    </xf>
    <xf numFmtId="0" fontId="0" fillId="0" borderId="21" xfId="0" applyBorder="1" applyAlignment="1">
      <alignment vertical="center"/>
    </xf>
    <xf numFmtId="2" fontId="0" fillId="0" borderId="30" xfId="0" applyNumberFormat="1" applyBorder="1" applyAlignment="1">
      <alignment vertical="center"/>
    </xf>
    <xf numFmtId="0" fontId="38" fillId="0" borderId="14" xfId="0" applyFont="1" applyBorder="1" applyAlignment="1">
      <alignment horizontal="left" vertical="center"/>
    </xf>
    <xf numFmtId="0" fontId="38" fillId="0" borderId="14" xfId="0" applyFont="1" applyBorder="1" applyAlignment="1">
      <alignment horizontal="center" vertical="center"/>
    </xf>
    <xf numFmtId="0" fontId="0" fillId="51" borderId="30" xfId="0" applyFill="1" applyBorder="1" applyAlignment="1">
      <alignment horizontal="left" vertical="center"/>
    </xf>
    <xf numFmtId="0" fontId="0" fillId="0" borderId="50" xfId="0" applyBorder="1"/>
    <xf numFmtId="0" fontId="0" fillId="0" borderId="50" xfId="0" applyBorder="1" applyAlignment="1">
      <alignment vertical="center"/>
    </xf>
    <xf numFmtId="0" fontId="38" fillId="0" borderId="63" xfId="0" applyFont="1" applyBorder="1" applyAlignment="1">
      <alignment horizontal="center" vertical="center"/>
    </xf>
    <xf numFmtId="0" fontId="38" fillId="0" borderId="51" xfId="0" applyFont="1" applyBorder="1"/>
    <xf numFmtId="0" fontId="0" fillId="0" borderId="51" xfId="0" applyBorder="1" applyAlignment="1">
      <alignment horizontal="left" vertical="center"/>
    </xf>
    <xf numFmtId="14" fontId="0" fillId="0" borderId="14" xfId="0" applyNumberFormat="1" applyBorder="1" applyAlignment="1">
      <alignment horizontal="center" vertical="center" wrapText="1"/>
    </xf>
    <xf numFmtId="14" fontId="0" fillId="0" borderId="14" xfId="0" applyNumberFormat="1" applyBorder="1" applyAlignment="1">
      <alignment horizontal="left" vertical="center" wrapText="1"/>
    </xf>
    <xf numFmtId="0" fontId="0" fillId="0" borderId="14" xfId="0" applyBorder="1" applyAlignment="1">
      <alignment vertical="center" wrapText="1"/>
    </xf>
    <xf numFmtId="0" fontId="130" fillId="0" borderId="8" xfId="0" applyFont="1" applyBorder="1" applyAlignment="1">
      <alignment vertical="center"/>
    </xf>
    <xf numFmtId="14" fontId="0" fillId="0" borderId="8" xfId="0" applyNumberFormat="1" applyBorder="1" applyAlignment="1">
      <alignment horizontal="center" vertical="center" wrapText="1"/>
    </xf>
    <xf numFmtId="0" fontId="0" fillId="0" borderId="8" xfId="0" applyBorder="1" applyAlignment="1">
      <alignment vertical="center"/>
    </xf>
    <xf numFmtId="0" fontId="0" fillId="0" borderId="8" xfId="0" applyBorder="1"/>
    <xf numFmtId="0" fontId="38" fillId="0" borderId="8" xfId="0" applyFont="1" applyBorder="1" applyAlignment="1">
      <alignment horizontal="center"/>
    </xf>
    <xf numFmtId="0" fontId="38" fillId="0" borderId="8" xfId="0" applyFont="1" applyBorder="1" applyAlignment="1">
      <alignment wrapText="1"/>
    </xf>
    <xf numFmtId="0" fontId="38" fillId="0" borderId="8" xfId="0" applyFont="1" applyBorder="1"/>
    <xf numFmtId="14" fontId="0" fillId="0" borderId="8" xfId="0" applyNumberFormat="1" applyBorder="1" applyAlignment="1">
      <alignment horizontal="center"/>
    </xf>
    <xf numFmtId="0" fontId="0" fillId="0" borderId="8" xfId="0" applyBorder="1" applyAlignment="1">
      <alignment horizontal="left" wrapText="1"/>
    </xf>
    <xf numFmtId="14" fontId="85" fillId="0" borderId="30" xfId="0" applyNumberFormat="1" applyFont="1" applyBorder="1" applyAlignment="1">
      <alignment horizontal="left" vertical="center"/>
    </xf>
    <xf numFmtId="0" fontId="85" fillId="0" borderId="30" xfId="0" applyFont="1" applyBorder="1" applyAlignment="1">
      <alignment horizontal="left" vertical="center"/>
    </xf>
    <xf numFmtId="0" fontId="136" fillId="0" borderId="30" xfId="0" applyFont="1" applyBorder="1" applyAlignment="1">
      <alignment vertical="center"/>
    </xf>
    <xf numFmtId="0" fontId="136" fillId="0" borderId="30" xfId="0" applyFont="1" applyBorder="1" applyAlignment="1">
      <alignment horizontal="center" vertical="center" wrapText="1"/>
    </xf>
    <xf numFmtId="0" fontId="136" fillId="0" borderId="30" xfId="0" applyFont="1" applyBorder="1" applyAlignment="1">
      <alignment vertical="center" wrapText="1"/>
    </xf>
    <xf numFmtId="0" fontId="136" fillId="0" borderId="30" xfId="0" applyFont="1" applyBorder="1" applyAlignment="1">
      <alignment horizontal="center" vertical="center"/>
    </xf>
    <xf numFmtId="0" fontId="136" fillId="0" borderId="30" xfId="0" applyFont="1" applyBorder="1" applyAlignment="1">
      <alignment horizontal="left" vertical="center"/>
    </xf>
    <xf numFmtId="14" fontId="136" fillId="0" borderId="30" xfId="0" applyNumberFormat="1" applyFont="1" applyBorder="1" applyAlignment="1">
      <alignment horizontal="center" vertical="center" wrapText="1"/>
    </xf>
    <xf numFmtId="0" fontId="196" fillId="0" borderId="30" xfId="0" applyFont="1" applyBorder="1" applyAlignment="1">
      <alignment vertical="center" wrapText="1"/>
    </xf>
    <xf numFmtId="0" fontId="136" fillId="0" borderId="0" xfId="0" applyFont="1" applyAlignment="1">
      <alignment vertical="center"/>
    </xf>
    <xf numFmtId="0" fontId="200" fillId="0" borderId="30" xfId="0" applyFont="1" applyBorder="1" applyAlignment="1">
      <alignment horizontal="center" vertical="center"/>
    </xf>
    <xf numFmtId="0" fontId="136" fillId="0" borderId="0" xfId="0" applyFont="1" applyAlignment="1">
      <alignment horizontal="center" vertical="center"/>
    </xf>
    <xf numFmtId="0" fontId="136" fillId="0" borderId="30" xfId="0" applyFont="1" applyBorder="1"/>
    <xf numFmtId="0" fontId="201" fillId="0" borderId="30" xfId="0" applyFont="1" applyBorder="1" applyAlignment="1">
      <alignment horizontal="center" vertical="center"/>
    </xf>
    <xf numFmtId="0" fontId="136" fillId="0" borderId="30" xfId="0" applyFont="1" applyBorder="1" applyAlignment="1">
      <alignment horizontal="left" vertical="center" wrapText="1"/>
    </xf>
    <xf numFmtId="0" fontId="196" fillId="0" borderId="30" xfId="0" applyFont="1" applyBorder="1" applyAlignment="1">
      <alignment horizontal="center" vertical="center"/>
    </xf>
    <xf numFmtId="0" fontId="136" fillId="0" borderId="30" xfId="0" applyFont="1" applyBorder="1" applyAlignment="1">
      <alignment horizontal="left" wrapText="1"/>
    </xf>
    <xf numFmtId="0" fontId="201" fillId="0" borderId="30" xfId="0" applyFont="1" applyBorder="1" applyAlignment="1">
      <alignment horizontal="center" vertical="center" wrapText="1"/>
    </xf>
    <xf numFmtId="0" fontId="136" fillId="0" borderId="30" xfId="0" applyFont="1" applyBorder="1" applyAlignment="1">
      <alignment wrapText="1"/>
    </xf>
    <xf numFmtId="0" fontId="136" fillId="0" borderId="30" xfId="0" applyFont="1" applyBorder="1" applyAlignment="1">
      <alignment horizontal="center"/>
    </xf>
    <xf numFmtId="0" fontId="136" fillId="0" borderId="30" xfId="0" applyFont="1" applyBorder="1" applyAlignment="1">
      <alignment horizontal="left"/>
    </xf>
    <xf numFmtId="14" fontId="136" fillId="0" borderId="30" xfId="0" applyNumberFormat="1" applyFont="1" applyBorder="1" applyAlignment="1">
      <alignment horizontal="center" vertical="center"/>
    </xf>
    <xf numFmtId="14" fontId="136" fillId="0" borderId="30" xfId="0" applyNumberFormat="1" applyFont="1" applyBorder="1" applyAlignment="1">
      <alignment horizontal="center"/>
    </xf>
    <xf numFmtId="0" fontId="196" fillId="0" borderId="30" xfId="0" applyFont="1" applyBorder="1" applyAlignment="1">
      <alignment wrapText="1"/>
    </xf>
    <xf numFmtId="0" fontId="202" fillId="0" borderId="30" xfId="0" applyFont="1" applyBorder="1" applyAlignment="1">
      <alignment vertical="center" wrapText="1"/>
    </xf>
    <xf numFmtId="0" fontId="202" fillId="0" borderId="30" xfId="0" applyFont="1" applyBorder="1" applyAlignment="1">
      <alignment horizontal="center" vertical="center" wrapText="1"/>
    </xf>
    <xf numFmtId="14" fontId="202" fillId="0" borderId="30" xfId="0" applyNumberFormat="1" applyFont="1" applyBorder="1"/>
    <xf numFmtId="14" fontId="136" fillId="0" borderId="30" xfId="0" applyNumberFormat="1" applyFont="1" applyBorder="1" applyAlignment="1">
      <alignment vertical="center"/>
    </xf>
    <xf numFmtId="0" fontId="136" fillId="0" borderId="0" xfId="0" applyFont="1" applyAlignment="1">
      <alignment horizontal="left" vertical="center"/>
    </xf>
    <xf numFmtId="0" fontId="136" fillId="51" borderId="30" xfId="0" applyFont="1" applyFill="1" applyBorder="1" applyAlignment="1">
      <alignment horizontal="center" vertical="center"/>
    </xf>
    <xf numFmtId="0" fontId="136" fillId="82" borderId="30" xfId="0" applyFont="1" applyFill="1" applyBorder="1" applyAlignment="1">
      <alignment vertical="center"/>
    </xf>
    <xf numFmtId="0" fontId="136" fillId="81" borderId="30" xfId="0" applyFont="1" applyFill="1" applyBorder="1" applyAlignment="1">
      <alignment vertical="center"/>
    </xf>
    <xf numFmtId="0" fontId="136" fillId="55" borderId="30" xfId="0" applyFont="1" applyFill="1" applyBorder="1" applyAlignment="1">
      <alignment vertical="center"/>
    </xf>
    <xf numFmtId="0" fontId="136" fillId="0" borderId="0" xfId="0" applyFont="1" applyAlignment="1">
      <alignment vertical="center" wrapText="1"/>
    </xf>
    <xf numFmtId="14" fontId="136" fillId="0" borderId="0" xfId="0" applyNumberFormat="1" applyFont="1" applyAlignment="1">
      <alignment horizontal="center" vertical="center"/>
    </xf>
    <xf numFmtId="0" fontId="136" fillId="0" borderId="0" xfId="0" applyFont="1" applyAlignment="1">
      <alignment horizontal="left" vertical="center" wrapText="1"/>
    </xf>
    <xf numFmtId="0" fontId="196" fillId="0" borderId="30" xfId="0" applyFont="1" applyBorder="1" applyAlignment="1">
      <alignment horizontal="left" vertical="center"/>
    </xf>
    <xf numFmtId="0" fontId="196" fillId="0" borderId="30" xfId="0" applyFont="1" applyBorder="1"/>
    <xf numFmtId="0" fontId="201" fillId="0" borderId="30" xfId="0" applyFont="1" applyBorder="1" applyAlignment="1">
      <alignment vertical="center" wrapText="1"/>
    </xf>
    <xf numFmtId="0" fontId="204" fillId="0" borderId="30" xfId="0" applyFont="1" applyBorder="1" applyAlignment="1">
      <alignment vertical="center" wrapText="1"/>
    </xf>
    <xf numFmtId="0" fontId="196" fillId="0" borderId="30" xfId="0" applyFont="1" applyBorder="1" applyAlignment="1">
      <alignment vertical="center"/>
    </xf>
    <xf numFmtId="0" fontId="205" fillId="0" borderId="30" xfId="0" applyFont="1" applyBorder="1" applyAlignment="1">
      <alignment wrapText="1"/>
    </xf>
    <xf numFmtId="0" fontId="205" fillId="0" borderId="30" xfId="0" applyFont="1" applyBorder="1" applyAlignment="1">
      <alignment vertical="center" wrapText="1"/>
    </xf>
    <xf numFmtId="0" fontId="206" fillId="0" borderId="30" xfId="0" applyFont="1" applyBorder="1" applyAlignment="1">
      <alignment vertical="center" wrapText="1"/>
    </xf>
    <xf numFmtId="0" fontId="203" fillId="0" borderId="30" xfId="0" applyFont="1" applyBorder="1" applyAlignment="1">
      <alignment vertical="center" wrapText="1"/>
    </xf>
    <xf numFmtId="0" fontId="203" fillId="0" borderId="30" xfId="0" applyFont="1" applyBorder="1"/>
    <xf numFmtId="0" fontId="207" fillId="0" borderId="30" xfId="0" applyFont="1" applyBorder="1"/>
    <xf numFmtId="0" fontId="196" fillId="84" borderId="30" xfId="0" applyFont="1" applyFill="1" applyBorder="1" applyAlignment="1">
      <alignment horizontal="justify" vertical="center" wrapText="1"/>
    </xf>
    <xf numFmtId="0" fontId="196" fillId="84" borderId="30" xfId="0" applyFont="1" applyFill="1" applyBorder="1" applyAlignment="1">
      <alignment horizontal="center" vertical="center" wrapText="1"/>
    </xf>
    <xf numFmtId="0" fontId="196" fillId="0" borderId="30" xfId="0" applyFont="1" applyBorder="1" applyAlignment="1">
      <alignment horizontal="center"/>
    </xf>
    <xf numFmtId="14" fontId="203" fillId="0" borderId="30" xfId="0" applyNumberFormat="1" applyFont="1" applyBorder="1" applyAlignment="1">
      <alignment horizontal="center" vertical="center"/>
    </xf>
    <xf numFmtId="0" fontId="206" fillId="0" borderId="30" xfId="0" applyFont="1" applyBorder="1"/>
    <xf numFmtId="0" fontId="195" fillId="84" borderId="30" xfId="0" applyFont="1" applyFill="1" applyBorder="1" applyAlignment="1">
      <alignment horizontal="justify" vertical="center" wrapText="1"/>
    </xf>
    <xf numFmtId="0" fontId="202" fillId="0" borderId="30" xfId="0" applyFont="1" applyBorder="1"/>
    <xf numFmtId="0" fontId="203" fillId="0" borderId="30" xfId="0" applyFont="1" applyBorder="1" applyAlignment="1">
      <alignment horizontal="center" vertical="center" wrapText="1"/>
    </xf>
    <xf numFmtId="0" fontId="196" fillId="84" borderId="30" xfId="0" applyFont="1" applyFill="1" applyBorder="1" applyAlignment="1">
      <alignment vertical="center" wrapText="1"/>
    </xf>
    <xf numFmtId="0" fontId="195" fillId="84" borderId="30" xfId="0" applyFont="1" applyFill="1" applyBorder="1" applyAlignment="1">
      <alignment vertical="center" wrapText="1"/>
    </xf>
    <xf numFmtId="14" fontId="136" fillId="0" borderId="30" xfId="0" applyNumberFormat="1" applyFont="1" applyBorder="1" applyAlignment="1">
      <alignment horizontal="left" vertical="center"/>
    </xf>
    <xf numFmtId="0" fontId="129" fillId="81" borderId="31" xfId="0" applyFont="1" applyFill="1" applyBorder="1" applyAlignment="1">
      <alignment horizontal="center" vertical="center"/>
    </xf>
    <xf numFmtId="0" fontId="129" fillId="81" borderId="30" xfId="0" applyFont="1" applyFill="1" applyBorder="1" applyAlignment="1">
      <alignment horizontal="center" vertical="center"/>
    </xf>
    <xf numFmtId="0" fontId="129" fillId="81" borderId="51" xfId="0" applyFont="1" applyFill="1" applyBorder="1" applyAlignment="1">
      <alignment horizontal="center" vertical="center"/>
    </xf>
    <xf numFmtId="0" fontId="129" fillId="81" borderId="30" xfId="0" applyFont="1" applyFill="1" applyBorder="1" applyAlignment="1">
      <alignment horizontal="center" vertical="center" wrapText="1"/>
    </xf>
    <xf numFmtId="14" fontId="129" fillId="81" borderId="30" xfId="0" applyNumberFormat="1" applyFont="1" applyFill="1" applyBorder="1" applyAlignment="1">
      <alignment horizontal="center" vertical="center"/>
    </xf>
    <xf numFmtId="0" fontId="129" fillId="81" borderId="28" xfId="0" applyFont="1" applyFill="1" applyBorder="1" applyAlignment="1">
      <alignment horizontal="center" vertical="center"/>
    </xf>
    <xf numFmtId="0" fontId="129" fillId="81" borderId="30" xfId="0" applyFont="1" applyFill="1" applyBorder="1" applyAlignment="1">
      <alignment horizontal="left" vertical="center" wrapText="1"/>
    </xf>
    <xf numFmtId="0" fontId="129" fillId="0" borderId="0" xfId="0" applyFont="1" applyAlignment="1">
      <alignment vertical="center"/>
    </xf>
    <xf numFmtId="0" fontId="208" fillId="0" borderId="30" xfId="0" applyFont="1" applyBorder="1" applyAlignment="1">
      <alignment horizontal="center" vertical="center"/>
    </xf>
    <xf numFmtId="0" fontId="208" fillId="0" borderId="30" xfId="0" applyFont="1" applyBorder="1" applyAlignment="1">
      <alignment horizontal="center" vertical="center" wrapText="1"/>
    </xf>
    <xf numFmtId="3" fontId="96" fillId="46" borderId="0" xfId="0" applyNumberFormat="1" applyFont="1" applyFill="1" applyAlignment="1">
      <alignment horizontal="center"/>
    </xf>
    <xf numFmtId="1" fontId="38" fillId="0" borderId="0" xfId="0" applyNumberFormat="1" applyFont="1" applyAlignment="1">
      <alignment horizontal="center"/>
    </xf>
    <xf numFmtId="3" fontId="38" fillId="46" borderId="30" xfId="0" applyNumberFormat="1" applyFont="1" applyFill="1" applyBorder="1" applyAlignment="1">
      <alignment horizontal="center" vertical="center"/>
    </xf>
    <xf numFmtId="0" fontId="136" fillId="0" borderId="51" xfId="0" applyFont="1" applyBorder="1" applyAlignment="1">
      <alignment vertical="center"/>
    </xf>
    <xf numFmtId="0" fontId="160" fillId="0" borderId="30" xfId="0" applyFont="1" applyBorder="1"/>
    <xf numFmtId="0" fontId="209" fillId="81" borderId="13" xfId="0" applyFont="1" applyFill="1" applyBorder="1" applyAlignment="1">
      <alignment vertical="center"/>
    </xf>
    <xf numFmtId="0" fontId="209" fillId="81" borderId="0" xfId="0" applyFont="1" applyFill="1" applyAlignment="1">
      <alignment vertical="center"/>
    </xf>
    <xf numFmtId="1" fontId="49" fillId="0" borderId="0" xfId="0" applyNumberFormat="1" applyFont="1" applyAlignment="1">
      <alignment horizontal="center"/>
    </xf>
    <xf numFmtId="2" fontId="0" fillId="0" borderId="1" xfId="0" applyNumberFormat="1" applyBorder="1" applyAlignment="1">
      <alignment horizontal="center" vertical="center"/>
    </xf>
    <xf numFmtId="2" fontId="0" fillId="0" borderId="3" xfId="0" applyNumberFormat="1" applyBorder="1" applyAlignment="1">
      <alignment horizontal="center" vertical="center"/>
    </xf>
    <xf numFmtId="2" fontId="0" fillId="0" borderId="3" xfId="0" applyNumberFormat="1" applyBorder="1" applyAlignment="1">
      <alignment vertical="center"/>
    </xf>
    <xf numFmtId="2" fontId="0" fillId="0" borderId="53" xfId="0" applyNumberFormat="1" applyBorder="1" applyAlignment="1">
      <alignment horizontal="right" vertical="center"/>
    </xf>
    <xf numFmtId="0" fontId="136" fillId="0" borderId="14" xfId="0" applyFont="1" applyBorder="1" applyAlignment="1">
      <alignment horizontal="left" vertical="center"/>
    </xf>
    <xf numFmtId="0" fontId="136" fillId="0" borderId="14" xfId="0" applyFont="1" applyBorder="1" applyAlignment="1">
      <alignment vertical="center"/>
    </xf>
    <xf numFmtId="14" fontId="136" fillId="0" borderId="14" xfId="0" applyNumberFormat="1" applyFont="1" applyBorder="1" applyAlignment="1">
      <alignment horizontal="center" vertical="center"/>
    </xf>
    <xf numFmtId="0" fontId="136" fillId="0" borderId="14" xfId="0" applyFont="1" applyBorder="1" applyAlignment="1">
      <alignment vertical="center" wrapText="1"/>
    </xf>
    <xf numFmtId="0" fontId="136" fillId="0" borderId="14" xfId="0" applyFont="1" applyBorder="1" applyAlignment="1">
      <alignment horizontal="center" vertical="center"/>
    </xf>
    <xf numFmtId="14" fontId="136" fillId="0" borderId="14" xfId="0" applyNumberFormat="1" applyFont="1" applyBorder="1" applyAlignment="1">
      <alignment horizontal="left" vertical="center"/>
    </xf>
    <xf numFmtId="0" fontId="136" fillId="0" borderId="14" xfId="0" applyFont="1" applyBorder="1" applyAlignment="1">
      <alignment horizontal="left" vertical="center" wrapText="1"/>
    </xf>
    <xf numFmtId="0" fontId="136" fillId="0" borderId="28" xfId="0" applyFont="1" applyBorder="1" applyAlignment="1">
      <alignment horizontal="left" vertical="center"/>
    </xf>
    <xf numFmtId="0" fontId="209" fillId="81" borderId="30" xfId="0" applyFont="1" applyFill="1" applyBorder="1" applyAlignment="1">
      <alignment vertical="center"/>
    </xf>
    <xf numFmtId="3" fontId="42" fillId="0" borderId="0" xfId="0" applyNumberFormat="1" applyFont="1" applyAlignment="1">
      <alignment vertical="center" wrapText="1"/>
    </xf>
    <xf numFmtId="3" fontId="0" fillId="75" borderId="29" xfId="0" applyNumberFormat="1" applyFill="1" applyBorder="1"/>
    <xf numFmtId="0" fontId="114" fillId="54" borderId="58" xfId="0" applyFont="1" applyFill="1" applyBorder="1" applyAlignment="1">
      <alignment horizontal="center" vertical="center" textRotation="90"/>
    </xf>
    <xf numFmtId="0" fontId="114" fillId="54" borderId="57" xfId="0" applyFont="1" applyFill="1" applyBorder="1" applyAlignment="1">
      <alignment horizontal="center" vertical="center" textRotation="90"/>
    </xf>
    <xf numFmtId="0" fontId="114" fillId="54" borderId="59" xfId="0" applyFont="1" applyFill="1" applyBorder="1" applyAlignment="1">
      <alignment horizontal="center" vertical="center" textRotation="90"/>
    </xf>
    <xf numFmtId="0" fontId="42" fillId="71" borderId="31" xfId="0" applyFont="1" applyFill="1" applyBorder="1" applyAlignment="1">
      <alignment horizontal="center" vertical="center" textRotation="90"/>
    </xf>
    <xf numFmtId="3" fontId="0" fillId="71" borderId="31" xfId="0" applyNumberFormat="1" applyFill="1" applyBorder="1" applyAlignment="1">
      <alignment horizontal="center"/>
    </xf>
    <xf numFmtId="0" fontId="210" fillId="57" borderId="58" xfId="0" applyFont="1" applyFill="1" applyBorder="1" applyAlignment="1">
      <alignment horizontal="center" vertical="center" textRotation="90"/>
    </xf>
    <xf numFmtId="0" fontId="210" fillId="57" borderId="57" xfId="0" applyFont="1" applyFill="1" applyBorder="1" applyAlignment="1">
      <alignment horizontal="center" vertical="center" textRotation="90"/>
    </xf>
    <xf numFmtId="0" fontId="210" fillId="57" borderId="59" xfId="0" applyFont="1" applyFill="1" applyBorder="1" applyAlignment="1">
      <alignment horizontal="center" vertical="center" textRotation="90"/>
    </xf>
    <xf numFmtId="0" fontId="45" fillId="57" borderId="58" xfId="0" applyFont="1" applyFill="1" applyBorder="1" applyAlignment="1">
      <alignment horizontal="center" vertical="center" textRotation="90"/>
    </xf>
    <xf numFmtId="0" fontId="45" fillId="57" borderId="57" xfId="0" applyFont="1" applyFill="1" applyBorder="1" applyAlignment="1">
      <alignment horizontal="center" vertical="center" textRotation="90"/>
    </xf>
    <xf numFmtId="0" fontId="45" fillId="57" borderId="59" xfId="0" applyFont="1" applyFill="1" applyBorder="1" applyAlignment="1">
      <alignment horizontal="center" vertical="center" textRotation="90"/>
    </xf>
    <xf numFmtId="0" fontId="0" fillId="71" borderId="31" xfId="0" applyFill="1" applyBorder="1" applyAlignment="1">
      <alignment horizontal="center"/>
    </xf>
    <xf numFmtId="0" fontId="0" fillId="76" borderId="51" xfId="0" applyFill="1" applyBorder="1"/>
    <xf numFmtId="0" fontId="0" fillId="76" borderId="29" xfId="0" applyFill="1" applyBorder="1"/>
    <xf numFmtId="0" fontId="0" fillId="76" borderId="61" xfId="0" applyFill="1" applyBorder="1"/>
    <xf numFmtId="0" fontId="0" fillId="76" borderId="49" xfId="0" applyFill="1" applyBorder="1"/>
    <xf numFmtId="0" fontId="0" fillId="76" borderId="21" xfId="0" applyFill="1" applyBorder="1"/>
    <xf numFmtId="0" fontId="0" fillId="76" borderId="50" xfId="0" applyFill="1" applyBorder="1"/>
    <xf numFmtId="0" fontId="0" fillId="76" borderId="14" xfId="0" applyFill="1" applyBorder="1"/>
    <xf numFmtId="0" fontId="0" fillId="76" borderId="25" xfId="0" applyFill="1" applyBorder="1"/>
    <xf numFmtId="0" fontId="0" fillId="76" borderId="31" xfId="0" applyFill="1" applyBorder="1"/>
    <xf numFmtId="0" fontId="0" fillId="76" borderId="26" xfId="0" applyFill="1" applyBorder="1"/>
    <xf numFmtId="0" fontId="0" fillId="75" borderId="29" xfId="0" applyFill="1" applyBorder="1" applyAlignment="1">
      <alignment horizontal="center"/>
    </xf>
    <xf numFmtId="0" fontId="0" fillId="76" borderId="29" xfId="0" applyFill="1" applyBorder="1" applyAlignment="1">
      <alignment horizontal="center"/>
    </xf>
    <xf numFmtId="0" fontId="0" fillId="76" borderId="61" xfId="0" applyFill="1" applyBorder="1" applyAlignment="1">
      <alignment horizontal="center"/>
    </xf>
    <xf numFmtId="0" fontId="0" fillId="71" borderId="25" xfId="0" applyFill="1" applyBorder="1" applyAlignment="1">
      <alignment horizontal="center"/>
    </xf>
    <xf numFmtId="0" fontId="0" fillId="76" borderId="32" xfId="0" applyFill="1" applyBorder="1" applyAlignment="1">
      <alignment horizontal="center"/>
    </xf>
    <xf numFmtId="0" fontId="0" fillId="76" borderId="60" xfId="0" applyFill="1" applyBorder="1" applyAlignment="1">
      <alignment horizontal="center"/>
    </xf>
    <xf numFmtId="0" fontId="0" fillId="76" borderId="28" xfId="0" applyFill="1" applyBorder="1" applyAlignment="1">
      <alignment horizontal="center"/>
    </xf>
    <xf numFmtId="0" fontId="0" fillId="76" borderId="20" xfId="0" applyFill="1" applyBorder="1" applyAlignment="1">
      <alignment horizontal="center"/>
    </xf>
    <xf numFmtId="0" fontId="38" fillId="0" borderId="95" xfId="0" applyFont="1" applyBorder="1"/>
    <xf numFmtId="3" fontId="0" fillId="0" borderId="95" xfId="0" applyNumberFormat="1" applyBorder="1" applyAlignment="1">
      <alignment horizontal="center"/>
    </xf>
    <xf numFmtId="0" fontId="38" fillId="0" borderId="34" xfId="0" applyFont="1" applyBorder="1"/>
    <xf numFmtId="0" fontId="38" fillId="56" borderId="0" xfId="0" applyFont="1" applyFill="1" applyAlignment="1">
      <alignment horizontal="center"/>
    </xf>
    <xf numFmtId="0" fontId="38" fillId="56" borderId="95" xfId="0" applyFont="1" applyFill="1" applyBorder="1" applyAlignment="1">
      <alignment horizontal="center"/>
    </xf>
    <xf numFmtId="0" fontId="36" fillId="46" borderId="0" xfId="0" applyFont="1" applyFill="1" applyAlignment="1">
      <alignment horizontal="left" vertical="center" wrapText="1"/>
    </xf>
    <xf numFmtId="0" fontId="134" fillId="46" borderId="0" xfId="0" applyFont="1" applyFill="1"/>
    <xf numFmtId="0" fontId="36" fillId="46" borderId="0" xfId="0" applyFont="1" applyFill="1" applyAlignment="1">
      <alignment horizontal="left" wrapText="1"/>
    </xf>
    <xf numFmtId="0" fontId="0" fillId="46" borderId="0" xfId="0" applyFill="1" applyAlignment="1">
      <alignment horizontal="center" wrapText="1"/>
    </xf>
    <xf numFmtId="0" fontId="36" fillId="46" borderId="0" xfId="0" applyFont="1" applyFill="1" applyAlignment="1">
      <alignment horizontal="right" wrapText="1"/>
    </xf>
    <xf numFmtId="0" fontId="0" fillId="46" borderId="0" xfId="0" applyFill="1" applyAlignment="1">
      <alignment horizontal="right" wrapText="1"/>
    </xf>
    <xf numFmtId="0" fontId="0" fillId="0" borderId="0" xfId="0" applyAlignment="1">
      <alignment horizontal="right" wrapText="1"/>
    </xf>
    <xf numFmtId="0" fontId="0" fillId="0" borderId="0" xfId="0" applyAlignment="1">
      <alignment horizontal="right"/>
    </xf>
    <xf numFmtId="170" fontId="36" fillId="46" borderId="0" xfId="0" applyNumberFormat="1" applyFont="1" applyFill="1" applyAlignment="1">
      <alignment horizontal="left" vertical="center" wrapText="1"/>
    </xf>
    <xf numFmtId="170" fontId="36" fillId="46" borderId="15" xfId="0" applyNumberFormat="1" applyFont="1" applyFill="1" applyBorder="1" applyAlignment="1">
      <alignment horizontal="center" vertical="center" wrapText="1"/>
    </xf>
    <xf numFmtId="1" fontId="36" fillId="46" borderId="63" xfId="0" applyNumberFormat="1" applyFont="1" applyFill="1" applyBorder="1" applyAlignment="1">
      <alignment horizontal="center" vertical="center" wrapText="1"/>
    </xf>
    <xf numFmtId="170" fontId="36" fillId="46" borderId="37" xfId="0" applyNumberFormat="1" applyFont="1" applyFill="1" applyBorder="1" applyAlignment="1">
      <alignment horizontal="center" vertical="center" wrapText="1"/>
    </xf>
    <xf numFmtId="170" fontId="214" fillId="46" borderId="25" xfId="0" applyNumberFormat="1" applyFont="1" applyFill="1" applyBorder="1" applyAlignment="1">
      <alignment horizontal="center" vertical="center" wrapText="1"/>
    </xf>
    <xf numFmtId="3" fontId="36" fillId="46" borderId="15" xfId="0" applyNumberFormat="1" applyFont="1" applyFill="1" applyBorder="1" applyAlignment="1">
      <alignment horizontal="right" vertical="center" wrapText="1"/>
    </xf>
    <xf numFmtId="3" fontId="36" fillId="46" borderId="63" xfId="0" applyNumberFormat="1" applyFont="1" applyFill="1" applyBorder="1" applyAlignment="1">
      <alignment horizontal="right" vertical="center" wrapText="1"/>
    </xf>
    <xf numFmtId="3" fontId="0" fillId="0" borderId="63" xfId="0" applyNumberFormat="1" applyBorder="1" applyAlignment="1">
      <alignment horizontal="right"/>
    </xf>
    <xf numFmtId="3" fontId="36" fillId="46" borderId="37" xfId="0" applyNumberFormat="1" applyFont="1" applyFill="1" applyBorder="1" applyAlignment="1">
      <alignment horizontal="right" vertical="center" wrapText="1"/>
    </xf>
    <xf numFmtId="3" fontId="36" fillId="46" borderId="64" xfId="0" applyNumberFormat="1" applyFont="1" applyFill="1" applyBorder="1" applyAlignment="1">
      <alignment horizontal="right" vertical="center" wrapText="1"/>
    </xf>
    <xf numFmtId="3" fontId="214" fillId="46" borderId="25" xfId="0" applyNumberFormat="1" applyFont="1" applyFill="1" applyBorder="1" applyAlignment="1">
      <alignment horizontal="right" vertical="center" wrapText="1"/>
    </xf>
    <xf numFmtId="3" fontId="214" fillId="46" borderId="49" xfId="0" applyNumberFormat="1" applyFont="1" applyFill="1" applyBorder="1" applyAlignment="1">
      <alignment horizontal="right" vertical="center" wrapText="1"/>
    </xf>
    <xf numFmtId="0" fontId="36" fillId="46" borderId="15" xfId="0" applyFont="1" applyFill="1" applyBorder="1" applyAlignment="1">
      <alignment horizontal="center" vertical="center" wrapText="1"/>
    </xf>
    <xf numFmtId="3" fontId="36" fillId="46" borderId="63" xfId="0" applyNumberFormat="1" applyFont="1" applyFill="1" applyBorder="1" applyAlignment="1">
      <alignment horizontal="center" vertical="center" wrapText="1"/>
    </xf>
    <xf numFmtId="0" fontId="36" fillId="46" borderId="37" xfId="0" applyFont="1" applyFill="1" applyBorder="1" applyAlignment="1">
      <alignment horizontal="center" vertical="center" wrapText="1"/>
    </xf>
    <xf numFmtId="3" fontId="36" fillId="46" borderId="64" xfId="0" applyNumberFormat="1" applyFont="1" applyFill="1" applyBorder="1" applyAlignment="1">
      <alignment horizontal="center" vertical="center" wrapText="1"/>
    </xf>
    <xf numFmtId="3" fontId="214" fillId="46" borderId="49" xfId="0" applyNumberFormat="1" applyFont="1" applyFill="1" applyBorder="1" applyAlignment="1">
      <alignment horizontal="center" vertical="center" wrapText="1"/>
    </xf>
    <xf numFmtId="1" fontId="214" fillId="46" borderId="25" xfId="0" applyNumberFormat="1" applyFont="1" applyFill="1" applyBorder="1" applyAlignment="1">
      <alignment horizontal="center" vertical="center" wrapText="1"/>
    </xf>
    <xf numFmtId="1" fontId="36" fillId="46" borderId="64" xfId="0" applyNumberFormat="1" applyFont="1" applyFill="1" applyBorder="1" applyAlignment="1">
      <alignment horizontal="center" vertical="center" wrapText="1"/>
    </xf>
    <xf numFmtId="1" fontId="214" fillId="46" borderId="49" xfId="0" applyNumberFormat="1" applyFont="1" applyFill="1" applyBorder="1" applyAlignment="1">
      <alignment horizontal="center" vertical="center" wrapText="1"/>
    </xf>
    <xf numFmtId="0" fontId="214" fillId="46" borderId="0" xfId="0" applyFont="1" applyFill="1" applyAlignment="1">
      <alignment horizontal="left" wrapText="1"/>
    </xf>
    <xf numFmtId="0" fontId="112" fillId="46" borderId="0" xfId="0" applyFont="1" applyFill="1" applyAlignment="1">
      <alignment horizontal="center" vertical="center" wrapText="1"/>
    </xf>
    <xf numFmtId="3" fontId="112" fillId="46" borderId="0" xfId="0" applyNumberFormat="1" applyFont="1" applyFill="1" applyAlignment="1">
      <alignment horizontal="center" vertical="center" wrapText="1"/>
    </xf>
    <xf numFmtId="0" fontId="209" fillId="81" borderId="14" xfId="0" applyFont="1" applyFill="1" applyBorder="1" applyAlignment="1">
      <alignment vertical="center"/>
    </xf>
    <xf numFmtId="0" fontId="136" fillId="82" borderId="30" xfId="0" applyFont="1" applyFill="1" applyBorder="1" applyAlignment="1">
      <alignment horizontal="center" vertical="center"/>
    </xf>
    <xf numFmtId="0" fontId="136" fillId="0" borderId="30" xfId="0" applyFont="1" applyBorder="1" applyAlignment="1">
      <alignment vertical="top"/>
    </xf>
    <xf numFmtId="0" fontId="10" fillId="0" borderId="30" xfId="0" applyFont="1" applyBorder="1" applyAlignment="1">
      <alignment horizontal="center" vertical="center"/>
    </xf>
    <xf numFmtId="0" fontId="215" fillId="0" borderId="30" xfId="0" applyFont="1" applyBorder="1" applyAlignment="1">
      <alignment horizontal="left" vertical="center" wrapText="1"/>
    </xf>
    <xf numFmtId="0" fontId="10" fillId="0" borderId="30" xfId="0" applyFont="1" applyBorder="1" applyAlignment="1">
      <alignment vertical="center" wrapText="1"/>
    </xf>
    <xf numFmtId="14" fontId="136" fillId="0" borderId="51" xfId="0" applyNumberFormat="1" applyFont="1" applyBorder="1" applyAlignment="1">
      <alignment horizontal="left" vertical="center"/>
    </xf>
    <xf numFmtId="0" fontId="10" fillId="0" borderId="30" xfId="0" applyFont="1" applyBorder="1"/>
    <xf numFmtId="0" fontId="136" fillId="45" borderId="30" xfId="0" applyFont="1" applyFill="1" applyBorder="1" applyAlignment="1">
      <alignment horizontal="left" vertical="center"/>
    </xf>
    <xf numFmtId="0" fontId="129" fillId="81" borderId="30" xfId="0" applyFont="1" applyFill="1" applyBorder="1" applyAlignment="1">
      <alignment horizontal="left" vertical="center"/>
    </xf>
    <xf numFmtId="0" fontId="12" fillId="0" borderId="30" xfId="0" applyFont="1" applyBorder="1" applyAlignment="1">
      <alignment horizontal="left" vertical="center"/>
    </xf>
    <xf numFmtId="0" fontId="10" fillId="0" borderId="30" xfId="0" applyFont="1" applyBorder="1" applyAlignment="1">
      <alignment horizontal="left"/>
    </xf>
    <xf numFmtId="0" fontId="136" fillId="82" borderId="14" xfId="0" applyFont="1" applyFill="1" applyBorder="1" applyAlignment="1">
      <alignment horizontal="center" vertical="center"/>
    </xf>
    <xf numFmtId="0" fontId="216" fillId="0" borderId="14" xfId="0" applyFont="1" applyBorder="1"/>
    <xf numFmtId="0" fontId="160" fillId="0" borderId="14" xfId="0" applyFont="1" applyBorder="1" applyAlignment="1">
      <alignment vertical="center" wrapText="1"/>
    </xf>
    <xf numFmtId="0" fontId="158" fillId="0" borderId="30" xfId="0" applyFont="1" applyBorder="1" applyAlignment="1">
      <alignment vertical="center" wrapText="1"/>
    </xf>
    <xf numFmtId="0" fontId="10" fillId="0" borderId="0" xfId="0" applyFont="1"/>
    <xf numFmtId="0" fontId="136" fillId="89" borderId="30" xfId="0" applyFont="1" applyFill="1" applyBorder="1" applyAlignment="1">
      <alignment horizontal="left" vertical="center"/>
    </xf>
    <xf numFmtId="0" fontId="158" fillId="0" borderId="41" xfId="0" applyFont="1" applyBorder="1" applyAlignment="1">
      <alignment vertical="center" wrapText="1"/>
    </xf>
    <xf numFmtId="0" fontId="158" fillId="0" borderId="14" xfId="0" applyFont="1" applyBorder="1" applyAlignment="1">
      <alignment vertical="center" wrapText="1"/>
    </xf>
    <xf numFmtId="0" fontId="10" fillId="0" borderId="14" xfId="0" applyFont="1" applyBorder="1"/>
    <xf numFmtId="0" fontId="136" fillId="45" borderId="30" xfId="0" applyFont="1" applyFill="1" applyBorder="1" applyAlignment="1">
      <alignment horizontal="center" vertical="center"/>
    </xf>
    <xf numFmtId="0" fontId="136" fillId="0" borderId="51" xfId="0" applyFont="1" applyBorder="1" applyAlignment="1">
      <alignment horizontal="center" vertical="center"/>
    </xf>
    <xf numFmtId="0" fontId="136" fillId="0" borderId="21" xfId="0" applyFont="1" applyBorder="1" applyAlignment="1">
      <alignment vertical="center" wrapText="1"/>
    </xf>
    <xf numFmtId="0" fontId="136" fillId="82" borderId="15" xfId="0" applyFont="1" applyFill="1" applyBorder="1" applyAlignment="1">
      <alignment horizontal="center" vertical="center"/>
    </xf>
    <xf numFmtId="0" fontId="10" fillId="0" borderId="14" xfId="0" applyFont="1" applyBorder="1" applyAlignment="1">
      <alignment horizontal="center" wrapText="1"/>
    </xf>
    <xf numFmtId="0" fontId="136" fillId="0" borderId="31" xfId="0" applyFont="1" applyBorder="1" applyAlignment="1">
      <alignment horizontal="left" vertical="center"/>
    </xf>
    <xf numFmtId="0" fontId="136" fillId="0" borderId="26" xfId="0" applyFont="1" applyBorder="1" applyAlignment="1">
      <alignment horizontal="left" vertical="center"/>
    </xf>
    <xf numFmtId="0" fontId="10" fillId="0" borderId="0" xfId="0" applyFont="1" applyAlignment="1">
      <alignment vertical="center" wrapText="1"/>
    </xf>
    <xf numFmtId="0" fontId="10" fillId="0" borderId="31" xfId="0" applyFont="1" applyBorder="1" applyAlignment="1">
      <alignment vertical="center" wrapText="1"/>
    </xf>
    <xf numFmtId="0" fontId="10" fillId="0" borderId="14" xfId="0" applyFont="1" applyBorder="1" applyAlignment="1">
      <alignment vertical="center" wrapText="1"/>
    </xf>
    <xf numFmtId="0" fontId="9" fillId="0" borderId="30" xfId="0" applyFont="1" applyBorder="1"/>
    <xf numFmtId="0" fontId="9" fillId="0" borderId="30" xfId="0" applyFont="1" applyBorder="1" applyAlignment="1">
      <alignment wrapText="1"/>
    </xf>
    <xf numFmtId="0" fontId="10" fillId="0" borderId="14" xfId="0" applyFont="1" applyBorder="1" applyAlignment="1">
      <alignment wrapText="1"/>
    </xf>
    <xf numFmtId="0" fontId="9" fillId="0" borderId="0" xfId="0" applyFont="1"/>
    <xf numFmtId="0" fontId="9" fillId="0" borderId="30" xfId="0" applyFont="1" applyBorder="1" applyAlignment="1">
      <alignment vertical="center" wrapText="1"/>
    </xf>
    <xf numFmtId="0" fontId="45" fillId="71" borderId="30" xfId="0" applyFont="1" applyFill="1" applyBorder="1" applyAlignment="1">
      <alignment horizontal="center" vertical="center" textRotation="90"/>
    </xf>
    <xf numFmtId="0" fontId="45" fillId="71" borderId="31" xfId="0" applyFont="1" applyFill="1" applyBorder="1" applyAlignment="1">
      <alignment horizontal="center" vertical="center" textRotation="90"/>
    </xf>
    <xf numFmtId="0" fontId="136" fillId="76" borderId="14" xfId="0" applyFont="1" applyFill="1" applyBorder="1" applyAlignment="1">
      <alignment horizontal="left" vertical="center"/>
    </xf>
    <xf numFmtId="0" fontId="9" fillId="0" borderId="30" xfId="0" applyFont="1" applyBorder="1" applyAlignment="1">
      <alignment horizontal="left" vertical="center" wrapText="1"/>
    </xf>
    <xf numFmtId="0" fontId="136" fillId="76" borderId="14" xfId="0" applyFont="1" applyFill="1" applyBorder="1" applyAlignment="1">
      <alignment horizontal="center" vertical="center"/>
    </xf>
    <xf numFmtId="0" fontId="9" fillId="0" borderId="30" xfId="0" applyFont="1" applyBorder="1" applyAlignment="1">
      <alignment horizontal="justify" vertical="center"/>
    </xf>
    <xf numFmtId="0" fontId="136" fillId="82" borderId="14" xfId="0" applyFont="1" applyFill="1" applyBorder="1" applyAlignment="1">
      <alignment horizontal="left" vertical="center"/>
    </xf>
    <xf numFmtId="0" fontId="10" fillId="0" borderId="30" xfId="0" applyFont="1" applyBorder="1" applyAlignment="1">
      <alignment horizontal="left" vertical="center" wrapText="1"/>
    </xf>
    <xf numFmtId="0" fontId="136" fillId="0" borderId="51" xfId="0" applyFont="1" applyBorder="1" applyAlignment="1">
      <alignment horizontal="left" vertical="center"/>
    </xf>
    <xf numFmtId="0" fontId="9" fillId="0" borderId="30" xfId="0" applyFont="1" applyBorder="1" applyAlignment="1">
      <alignment horizontal="left" wrapText="1"/>
    </xf>
    <xf numFmtId="0" fontId="9" fillId="0" borderId="0" xfId="0" applyFont="1" applyAlignment="1">
      <alignment horizontal="left" vertical="center"/>
    </xf>
    <xf numFmtId="0" fontId="9" fillId="0" borderId="30" xfId="0" applyFont="1" applyBorder="1" applyAlignment="1">
      <alignment horizontal="left" vertical="center"/>
    </xf>
    <xf numFmtId="0" fontId="216" fillId="0" borderId="14" xfId="0" applyFont="1" applyBorder="1" applyAlignment="1">
      <alignment horizontal="left" vertical="center"/>
    </xf>
    <xf numFmtId="0" fontId="9" fillId="0" borderId="0" xfId="0" applyFont="1" applyAlignment="1">
      <alignment vertical="center"/>
    </xf>
    <xf numFmtId="0" fontId="136" fillId="0" borderId="30" xfId="0" applyFont="1" applyBorder="1" applyAlignment="1">
      <alignment horizontal="left" vertical="top"/>
    </xf>
    <xf numFmtId="0" fontId="9" fillId="0" borderId="0" xfId="0" applyFont="1" applyAlignment="1">
      <alignment horizontal="center" vertical="center"/>
    </xf>
    <xf numFmtId="0" fontId="219" fillId="0" borderId="0" xfId="0" applyFont="1"/>
    <xf numFmtId="0" fontId="9" fillId="0" borderId="30" xfId="0" applyFont="1" applyBorder="1" applyAlignment="1">
      <alignment horizontal="center" vertical="center"/>
    </xf>
    <xf numFmtId="0" fontId="219" fillId="0" borderId="30" xfId="0" applyFont="1" applyBorder="1" applyAlignment="1">
      <alignment horizontal="center"/>
    </xf>
    <xf numFmtId="0" fontId="158" fillId="0" borderId="0" xfId="0" applyFont="1" applyAlignment="1">
      <alignment vertical="center"/>
    </xf>
    <xf numFmtId="0" fontId="158" fillId="0" borderId="30" xfId="0" applyFont="1" applyBorder="1" applyAlignment="1">
      <alignment vertical="center"/>
    </xf>
    <xf numFmtId="0" fontId="0" fillId="86" borderId="30" xfId="0" applyFill="1" applyBorder="1" applyAlignment="1">
      <alignment horizontal="center" vertical="center"/>
    </xf>
    <xf numFmtId="9" fontId="0" fillId="86" borderId="30" xfId="42" applyFont="1" applyFill="1" applyBorder="1" applyAlignment="1">
      <alignment horizontal="center" vertical="center"/>
    </xf>
    <xf numFmtId="1" fontId="0" fillId="86" borderId="30" xfId="0" applyNumberFormat="1" applyFill="1" applyBorder="1" applyAlignment="1">
      <alignment horizontal="center" vertical="center"/>
    </xf>
    <xf numFmtId="14" fontId="136" fillId="51" borderId="30" xfId="0" applyNumberFormat="1" applyFont="1" applyFill="1" applyBorder="1" applyAlignment="1">
      <alignment horizontal="left" vertical="center"/>
    </xf>
    <xf numFmtId="14" fontId="136" fillId="51" borderId="30" xfId="0" applyNumberFormat="1" applyFont="1" applyFill="1" applyBorder="1" applyAlignment="1">
      <alignment horizontal="center" vertical="center"/>
    </xf>
    <xf numFmtId="9" fontId="0" fillId="51" borderId="0" xfId="42" applyFont="1" applyFill="1" applyAlignment="1">
      <alignment horizontal="center" vertical="center"/>
    </xf>
    <xf numFmtId="0" fontId="10" fillId="0" borderId="30" xfId="0" applyFont="1" applyBorder="1" applyAlignment="1">
      <alignment horizontal="center"/>
    </xf>
    <xf numFmtId="0" fontId="136" fillId="54" borderId="30" xfId="0" applyFont="1" applyFill="1" applyBorder="1" applyAlignment="1">
      <alignment horizontal="left" vertical="center"/>
    </xf>
    <xf numFmtId="0" fontId="136" fillId="54" borderId="14" xfId="0" applyFont="1" applyFill="1" applyBorder="1" applyAlignment="1">
      <alignment horizontal="left" vertical="center"/>
    </xf>
    <xf numFmtId="0" fontId="9" fillId="0" borderId="31" xfId="0" applyFont="1" applyBorder="1" applyAlignment="1">
      <alignment vertical="center" wrapText="1"/>
    </xf>
    <xf numFmtId="0" fontId="136" fillId="54" borderId="30" xfId="0" applyFont="1" applyFill="1" applyBorder="1" applyAlignment="1">
      <alignment horizontal="center" vertical="center"/>
    </xf>
    <xf numFmtId="0" fontId="136" fillId="54" borderId="30" xfId="0" applyFont="1" applyFill="1" applyBorder="1" applyAlignment="1">
      <alignment vertical="center"/>
    </xf>
    <xf numFmtId="14" fontId="136" fillId="54" borderId="30" xfId="0" applyNumberFormat="1" applyFont="1" applyFill="1" applyBorder="1" applyAlignment="1">
      <alignment horizontal="left" vertical="center"/>
    </xf>
    <xf numFmtId="14" fontId="136" fillId="54" borderId="30" xfId="0" applyNumberFormat="1" applyFont="1" applyFill="1" applyBorder="1" applyAlignment="1">
      <alignment horizontal="center" vertical="center"/>
    </xf>
    <xf numFmtId="0" fontId="136" fillId="54" borderId="0" xfId="0" applyFont="1" applyFill="1" applyAlignment="1">
      <alignment vertical="center"/>
    </xf>
    <xf numFmtId="0" fontId="9" fillId="0" borderId="51" xfId="0" applyFont="1" applyBorder="1" applyAlignment="1">
      <alignment horizontal="left" vertical="center"/>
    </xf>
    <xf numFmtId="0" fontId="9" fillId="0" borderId="0" xfId="0" applyFont="1" applyAlignment="1">
      <alignment vertical="center" wrapText="1"/>
    </xf>
    <xf numFmtId="0" fontId="10" fillId="54" borderId="30" xfId="0" applyFont="1" applyFill="1" applyBorder="1" applyAlignment="1">
      <alignment horizontal="left" vertical="center"/>
    </xf>
    <xf numFmtId="0" fontId="45" fillId="76" borderId="58" xfId="0" applyFont="1" applyFill="1" applyBorder="1" applyAlignment="1">
      <alignment horizontal="center" vertical="center" textRotation="90"/>
    </xf>
    <xf numFmtId="0" fontId="45" fillId="76" borderId="57" xfId="0" applyFont="1" applyFill="1" applyBorder="1" applyAlignment="1">
      <alignment horizontal="center" vertical="center" textRotation="90"/>
    </xf>
    <xf numFmtId="0" fontId="45" fillId="76" borderId="59" xfId="0" applyFont="1" applyFill="1" applyBorder="1" applyAlignment="1">
      <alignment horizontal="center" vertical="center" textRotation="90"/>
    </xf>
    <xf numFmtId="0" fontId="114" fillId="76" borderId="57" xfId="0" applyFont="1" applyFill="1" applyBorder="1" applyAlignment="1">
      <alignment horizontal="center" vertical="center" textRotation="90"/>
    </xf>
    <xf numFmtId="0" fontId="114" fillId="76" borderId="59" xfId="0" applyFont="1" applyFill="1" applyBorder="1" applyAlignment="1">
      <alignment horizontal="center" vertical="center" textRotation="90"/>
    </xf>
    <xf numFmtId="0" fontId="210" fillId="76" borderId="58" xfId="0" applyFont="1" applyFill="1" applyBorder="1" applyAlignment="1">
      <alignment horizontal="center" vertical="center" textRotation="90"/>
    </xf>
    <xf numFmtId="0" fontId="210" fillId="76" borderId="57" xfId="0" applyFont="1" applyFill="1" applyBorder="1" applyAlignment="1">
      <alignment horizontal="center" vertical="center" textRotation="90"/>
    </xf>
    <xf numFmtId="0" fontId="210" fillId="76" borderId="59" xfId="0" applyFont="1" applyFill="1" applyBorder="1" applyAlignment="1">
      <alignment horizontal="center" vertical="center" textRotation="90"/>
    </xf>
    <xf numFmtId="0" fontId="211" fillId="76" borderId="58" xfId="0" applyFont="1" applyFill="1" applyBorder="1" applyAlignment="1">
      <alignment horizontal="center" vertical="center" textRotation="90"/>
    </xf>
    <xf numFmtId="0" fontId="211" fillId="76" borderId="57" xfId="0" applyFont="1" applyFill="1" applyBorder="1" applyAlignment="1">
      <alignment horizontal="center" vertical="center" textRotation="90"/>
    </xf>
    <xf numFmtId="0" fontId="211" fillId="76" borderId="38" xfId="0" applyFont="1" applyFill="1" applyBorder="1" applyAlignment="1">
      <alignment horizontal="center" vertical="center" textRotation="90"/>
    </xf>
    <xf numFmtId="0" fontId="211" fillId="76" borderId="59" xfId="0" applyFont="1" applyFill="1" applyBorder="1" applyAlignment="1">
      <alignment horizontal="center" vertical="center" textRotation="90"/>
    </xf>
    <xf numFmtId="0" fontId="114" fillId="76" borderId="1" xfId="0" applyFont="1" applyFill="1" applyBorder="1" applyAlignment="1">
      <alignment horizontal="center" vertical="center" textRotation="90"/>
    </xf>
    <xf numFmtId="0" fontId="114" fillId="76" borderId="3" xfId="0" applyFont="1" applyFill="1" applyBorder="1" applyAlignment="1">
      <alignment horizontal="center" vertical="center" textRotation="90"/>
    </xf>
    <xf numFmtId="0" fontId="114" fillId="76" borderId="4" xfId="0" applyFont="1" applyFill="1" applyBorder="1" applyAlignment="1">
      <alignment horizontal="center" vertical="center" textRotation="90"/>
    </xf>
    <xf numFmtId="0" fontId="0" fillId="76" borderId="58" xfId="0" applyFill="1" applyBorder="1"/>
    <xf numFmtId="0" fontId="0" fillId="76" borderId="57" xfId="0" applyFill="1" applyBorder="1"/>
    <xf numFmtId="0" fontId="0" fillId="76" borderId="38" xfId="0" applyFill="1" applyBorder="1"/>
    <xf numFmtId="0" fontId="0" fillId="76" borderId="42" xfId="0" applyFill="1" applyBorder="1"/>
    <xf numFmtId="0" fontId="0" fillId="76" borderId="52" xfId="0" applyFill="1" applyBorder="1"/>
    <xf numFmtId="0" fontId="0" fillId="76" borderId="68" xfId="0" applyFill="1" applyBorder="1"/>
    <xf numFmtId="0" fontId="0" fillId="76" borderId="44" xfId="0" applyFill="1" applyBorder="1"/>
    <xf numFmtId="0" fontId="0" fillId="76" borderId="55" xfId="0" applyFill="1" applyBorder="1"/>
    <xf numFmtId="0" fontId="0" fillId="76" borderId="54" xfId="0" applyFill="1" applyBorder="1"/>
    <xf numFmtId="0" fontId="0" fillId="76" borderId="7" xfId="0" applyFill="1" applyBorder="1"/>
    <xf numFmtId="0" fontId="0" fillId="76" borderId="8" xfId="0" applyFill="1" applyBorder="1"/>
    <xf numFmtId="0" fontId="0" fillId="76" borderId="15" xfId="0" applyFill="1" applyBorder="1"/>
    <xf numFmtId="170" fontId="55" fillId="0" borderId="0" xfId="0" applyNumberFormat="1" applyFont="1" applyAlignment="1">
      <alignment horizontal="center"/>
    </xf>
    <xf numFmtId="2" fontId="55" fillId="0" borderId="0" xfId="0" applyNumberFormat="1" applyFont="1" applyAlignment="1">
      <alignment horizontal="center"/>
    </xf>
    <xf numFmtId="3" fontId="0" fillId="86" borderId="30" xfId="0" applyNumberFormat="1" applyFill="1" applyBorder="1"/>
    <xf numFmtId="3" fontId="0" fillId="90" borderId="30" xfId="0" applyNumberFormat="1" applyFill="1" applyBorder="1"/>
    <xf numFmtId="3" fontId="0" fillId="54" borderId="29" xfId="0" applyNumberFormat="1" applyFill="1" applyBorder="1"/>
    <xf numFmtId="3" fontId="0" fillId="91" borderId="29" xfId="0" applyNumberFormat="1" applyFill="1" applyBorder="1"/>
    <xf numFmtId="0" fontId="38" fillId="0" borderId="51" xfId="0" applyFont="1" applyBorder="1" applyAlignment="1">
      <alignment horizontal="center"/>
    </xf>
    <xf numFmtId="0" fontId="0" fillId="81" borderId="29" xfId="0" applyFill="1" applyBorder="1" applyAlignment="1">
      <alignment horizontal="center"/>
    </xf>
    <xf numFmtId="0" fontId="101" fillId="81" borderId="29" xfId="0" applyFont="1" applyFill="1" applyBorder="1" applyAlignment="1">
      <alignment horizontal="center"/>
    </xf>
    <xf numFmtId="0" fontId="0" fillId="90" borderId="30" xfId="0" applyFill="1" applyBorder="1" applyAlignment="1">
      <alignment horizontal="center"/>
    </xf>
    <xf numFmtId="0" fontId="0" fillId="76" borderId="51" xfId="0" applyFill="1" applyBorder="1" applyAlignment="1">
      <alignment horizontal="center"/>
    </xf>
    <xf numFmtId="0" fontId="0" fillId="75" borderId="30" xfId="0" applyFill="1" applyBorder="1" applyAlignment="1">
      <alignment horizontal="center"/>
    </xf>
    <xf numFmtId="0" fontId="101" fillId="81" borderId="30" xfId="0" applyFont="1" applyFill="1" applyBorder="1" applyAlignment="1">
      <alignment horizontal="center"/>
    </xf>
    <xf numFmtId="0" fontId="0" fillId="75" borderId="61" xfId="0" applyFill="1" applyBorder="1" applyAlignment="1">
      <alignment horizontal="center"/>
    </xf>
    <xf numFmtId="0" fontId="101" fillId="81" borderId="61" xfId="0" applyFont="1" applyFill="1" applyBorder="1" applyAlignment="1">
      <alignment horizontal="center"/>
    </xf>
    <xf numFmtId="0" fontId="0" fillId="75" borderId="51" xfId="0" applyFill="1" applyBorder="1" applyAlignment="1">
      <alignment horizontal="center"/>
    </xf>
    <xf numFmtId="0" fontId="101" fillId="81" borderId="51" xfId="0" applyFont="1" applyFill="1" applyBorder="1" applyAlignment="1">
      <alignment horizontal="center"/>
    </xf>
    <xf numFmtId="0" fontId="0" fillId="75" borderId="32" xfId="0" applyFill="1" applyBorder="1" applyAlignment="1">
      <alignment horizontal="center"/>
    </xf>
    <xf numFmtId="0" fontId="0" fillId="75" borderId="21" xfId="0" applyFill="1" applyBorder="1" applyAlignment="1">
      <alignment horizontal="center"/>
    </xf>
    <xf numFmtId="0" fontId="0" fillId="75" borderId="60" xfId="0" applyFill="1" applyBorder="1" applyAlignment="1">
      <alignment horizontal="center"/>
    </xf>
    <xf numFmtId="0" fontId="0" fillId="75" borderId="49" xfId="0" applyFill="1" applyBorder="1" applyAlignment="1">
      <alignment horizontal="center"/>
    </xf>
    <xf numFmtId="0" fontId="45" fillId="57" borderId="1" xfId="0" applyFont="1" applyFill="1" applyBorder="1" applyAlignment="1">
      <alignment horizontal="center" vertical="center" textRotation="90"/>
    </xf>
    <xf numFmtId="0" fontId="45" fillId="57" borderId="3" xfId="0" applyFont="1" applyFill="1" applyBorder="1" applyAlignment="1">
      <alignment horizontal="center" vertical="center" textRotation="90"/>
    </xf>
    <xf numFmtId="0" fontId="45" fillId="57" borderId="53" xfId="0" applyFont="1" applyFill="1" applyBorder="1" applyAlignment="1">
      <alignment horizontal="center" vertical="center" textRotation="90"/>
    </xf>
    <xf numFmtId="0" fontId="114" fillId="54" borderId="65" xfId="0" applyFont="1" applyFill="1" applyBorder="1" applyAlignment="1">
      <alignment horizontal="center" vertical="center" textRotation="90"/>
    </xf>
    <xf numFmtId="0" fontId="114" fillId="54" borderId="3" xfId="0" applyFont="1" applyFill="1" applyBorder="1" applyAlignment="1">
      <alignment horizontal="center" vertical="center" textRotation="90"/>
    </xf>
    <xf numFmtId="0" fontId="114" fillId="54" borderId="53" xfId="0" applyFont="1" applyFill="1" applyBorder="1" applyAlignment="1">
      <alignment horizontal="center" vertical="center" textRotation="90"/>
    </xf>
    <xf numFmtId="0" fontId="210" fillId="57" borderId="65" xfId="0" applyFont="1" applyFill="1" applyBorder="1" applyAlignment="1">
      <alignment horizontal="center" vertical="center" textRotation="90"/>
    </xf>
    <xf numFmtId="0" fontId="210" fillId="57" borderId="3" xfId="0" applyFont="1" applyFill="1" applyBorder="1" applyAlignment="1">
      <alignment horizontal="center" vertical="center" textRotation="90"/>
    </xf>
    <xf numFmtId="0" fontId="210" fillId="57" borderId="4" xfId="0" applyFont="1" applyFill="1" applyBorder="1" applyAlignment="1">
      <alignment horizontal="center" vertical="center" textRotation="90"/>
    </xf>
    <xf numFmtId="0" fontId="114" fillId="76" borderId="66" xfId="0" applyFont="1" applyFill="1" applyBorder="1" applyAlignment="1">
      <alignment horizontal="center" vertical="center" textRotation="90"/>
    </xf>
    <xf numFmtId="0" fontId="0" fillId="76" borderId="49" xfId="0" applyFill="1" applyBorder="1" applyAlignment="1">
      <alignment horizontal="center"/>
    </xf>
    <xf numFmtId="0" fontId="45" fillId="76" borderId="1" xfId="0" applyFont="1" applyFill="1" applyBorder="1" applyAlignment="1">
      <alignment horizontal="center" vertical="center" textRotation="90"/>
    </xf>
    <xf numFmtId="0" fontId="45" fillId="76" borderId="3" xfId="0" applyFont="1" applyFill="1" applyBorder="1" applyAlignment="1">
      <alignment horizontal="center" vertical="center" textRotation="90"/>
    </xf>
    <xf numFmtId="0" fontId="45" fillId="76" borderId="53" xfId="0" applyFont="1" applyFill="1" applyBorder="1" applyAlignment="1">
      <alignment horizontal="center" vertical="center" textRotation="90"/>
    </xf>
    <xf numFmtId="0" fontId="0" fillId="90" borderId="51" xfId="0" applyFill="1" applyBorder="1" applyAlignment="1">
      <alignment horizontal="center"/>
    </xf>
    <xf numFmtId="0" fontId="0" fillId="76" borderId="50" xfId="0" applyFill="1" applyBorder="1" applyAlignment="1">
      <alignment horizontal="center"/>
    </xf>
    <xf numFmtId="0" fontId="0" fillId="76" borderId="14" xfId="0" applyFill="1" applyBorder="1" applyAlignment="1">
      <alignment horizontal="center"/>
    </xf>
    <xf numFmtId="0" fontId="0" fillId="86" borderId="29" xfId="0" applyFill="1" applyBorder="1" applyAlignment="1">
      <alignment horizontal="center"/>
    </xf>
    <xf numFmtId="0" fontId="0" fillId="86" borderId="61" xfId="0" applyFill="1" applyBorder="1" applyAlignment="1">
      <alignment horizontal="center"/>
    </xf>
    <xf numFmtId="0" fontId="0" fillId="86" borderId="42" xfId="0" applyFill="1" applyBorder="1" applyAlignment="1">
      <alignment horizontal="center"/>
    </xf>
    <xf numFmtId="0" fontId="0" fillId="86" borderId="52" xfId="0" applyFill="1" applyBorder="1" applyAlignment="1">
      <alignment horizontal="center"/>
    </xf>
    <xf numFmtId="0" fontId="0" fillId="86" borderId="68" xfId="0" applyFill="1" applyBorder="1" applyAlignment="1">
      <alignment horizontal="center"/>
    </xf>
    <xf numFmtId="0" fontId="0" fillId="90" borderId="29" xfId="0" applyFill="1" applyBorder="1" applyAlignment="1">
      <alignment horizontal="center"/>
    </xf>
    <xf numFmtId="0" fontId="0" fillId="90" borderId="61" xfId="0" applyFill="1" applyBorder="1" applyAlignment="1">
      <alignment horizontal="center"/>
    </xf>
    <xf numFmtId="0" fontId="0" fillId="90" borderId="42" xfId="0" applyFill="1" applyBorder="1" applyAlignment="1">
      <alignment horizontal="center"/>
    </xf>
    <xf numFmtId="0" fontId="0" fillId="90" borderId="52" xfId="0" applyFill="1" applyBorder="1" applyAlignment="1">
      <alignment horizontal="center"/>
    </xf>
    <xf numFmtId="0" fontId="0" fillId="90" borderId="68" xfId="0" applyFill="1" applyBorder="1" applyAlignment="1">
      <alignment horizontal="center"/>
    </xf>
    <xf numFmtId="0" fontId="0" fillId="75" borderId="55" xfId="0" applyFill="1" applyBorder="1" applyAlignment="1">
      <alignment horizontal="center"/>
    </xf>
    <xf numFmtId="0" fontId="114" fillId="54" borderId="1" xfId="0" applyFont="1" applyFill="1" applyBorder="1" applyAlignment="1">
      <alignment horizontal="center" vertical="center" textRotation="90"/>
    </xf>
    <xf numFmtId="0" fontId="210" fillId="57" borderId="1" xfId="0" applyFont="1" applyFill="1" applyBorder="1" applyAlignment="1">
      <alignment horizontal="center" vertical="center" textRotation="90"/>
    </xf>
    <xf numFmtId="0" fontId="0" fillId="81" borderId="30" xfId="0" applyFill="1" applyBorder="1" applyAlignment="1">
      <alignment horizontal="center"/>
    </xf>
    <xf numFmtId="0" fontId="0" fillId="81" borderId="31" xfId="0" applyFill="1" applyBorder="1" applyAlignment="1">
      <alignment horizontal="center"/>
    </xf>
    <xf numFmtId="0" fontId="0" fillId="57" borderId="29" xfId="0" applyFill="1" applyBorder="1" applyAlignment="1">
      <alignment horizontal="center"/>
    </xf>
    <xf numFmtId="0" fontId="0" fillId="57" borderId="30" xfId="0" applyFill="1" applyBorder="1" applyAlignment="1">
      <alignment horizontal="center"/>
    </xf>
    <xf numFmtId="0" fontId="0" fillId="57" borderId="31" xfId="0" applyFill="1" applyBorder="1" applyAlignment="1">
      <alignment horizontal="center"/>
    </xf>
    <xf numFmtId="0" fontId="0" fillId="76" borderId="54" xfId="0" applyFill="1" applyBorder="1" applyAlignment="1">
      <alignment horizontal="center"/>
    </xf>
    <xf numFmtId="0" fontId="0" fillId="76" borderId="13" xfId="0" applyFill="1" applyBorder="1" applyAlignment="1">
      <alignment horizontal="center"/>
    </xf>
    <xf numFmtId="0" fontId="114" fillId="76" borderId="53" xfId="0" applyFont="1" applyFill="1" applyBorder="1" applyAlignment="1">
      <alignment horizontal="center" vertical="center" textRotation="90"/>
    </xf>
    <xf numFmtId="0" fontId="210" fillId="76" borderId="1" xfId="0" applyFont="1" applyFill="1" applyBorder="1" applyAlignment="1">
      <alignment horizontal="center" vertical="center" textRotation="90"/>
    </xf>
    <xf numFmtId="0" fontId="210" fillId="76" borderId="3" xfId="0" applyFont="1" applyFill="1" applyBorder="1" applyAlignment="1">
      <alignment horizontal="center" vertical="center" textRotation="90"/>
    </xf>
    <xf numFmtId="0" fontId="210" fillId="76" borderId="53" xfId="0" applyFont="1" applyFill="1" applyBorder="1" applyAlignment="1">
      <alignment horizontal="center" vertical="center" textRotation="90"/>
    </xf>
    <xf numFmtId="3" fontId="0" fillId="86" borderId="30" xfId="0" applyNumberFormat="1" applyFill="1" applyBorder="1" applyAlignment="1">
      <alignment horizontal="center" vertical="center"/>
    </xf>
    <xf numFmtId="3" fontId="0" fillId="76" borderId="21" xfId="0" applyNumberFormat="1" applyFill="1" applyBorder="1"/>
    <xf numFmtId="0" fontId="212" fillId="76" borderId="1" xfId="0" applyFont="1" applyFill="1" applyBorder="1" applyAlignment="1">
      <alignment horizontal="center" vertical="center" textRotation="90"/>
    </xf>
    <xf numFmtId="0" fontId="212" fillId="76" borderId="3" xfId="0" applyFont="1" applyFill="1" applyBorder="1" applyAlignment="1">
      <alignment horizontal="center" vertical="center" textRotation="90"/>
    </xf>
    <xf numFmtId="0" fontId="212" fillId="76" borderId="53" xfId="0" applyFont="1" applyFill="1" applyBorder="1" applyAlignment="1">
      <alignment horizontal="center" vertical="center" textRotation="90"/>
    </xf>
    <xf numFmtId="0" fontId="114" fillId="76" borderId="3" xfId="0" applyFont="1" applyFill="1" applyBorder="1" applyAlignment="1">
      <alignment horizontal="center" vertical="center" textRotation="90" wrapText="1"/>
    </xf>
    <xf numFmtId="0" fontId="114" fillId="76" borderId="53" xfId="0" applyFont="1" applyFill="1" applyBorder="1" applyAlignment="1">
      <alignment horizontal="center" vertical="center" textRotation="90" wrapText="1"/>
    </xf>
    <xf numFmtId="3" fontId="0" fillId="86" borderId="59" xfId="0" applyNumberFormat="1" applyFill="1" applyBorder="1" applyAlignment="1">
      <alignment horizontal="center" vertical="center"/>
    </xf>
    <xf numFmtId="3" fontId="0" fillId="86" borderId="61" xfId="0" applyNumberFormat="1" applyFill="1" applyBorder="1" applyAlignment="1">
      <alignment horizontal="center" vertical="center"/>
    </xf>
    <xf numFmtId="3" fontId="0" fillId="86" borderId="52" xfId="0" applyNumberFormat="1" applyFill="1" applyBorder="1" applyAlignment="1">
      <alignment horizontal="center" vertical="center"/>
    </xf>
    <xf numFmtId="3" fontId="0" fillId="90" borderId="29" xfId="0" applyNumberFormat="1" applyFill="1" applyBorder="1"/>
    <xf numFmtId="3" fontId="0" fillId="90" borderId="61" xfId="0" applyNumberFormat="1" applyFill="1" applyBorder="1"/>
    <xf numFmtId="3" fontId="0" fillId="90" borderId="52" xfId="0" applyNumberFormat="1" applyFill="1" applyBorder="1"/>
    <xf numFmtId="3" fontId="0" fillId="86" borderId="57" xfId="0" applyNumberFormat="1" applyFill="1" applyBorder="1"/>
    <xf numFmtId="3" fontId="0" fillId="86" borderId="52" xfId="0" applyNumberFormat="1" applyFill="1" applyBorder="1"/>
    <xf numFmtId="3" fontId="0" fillId="54" borderId="30" xfId="0" applyNumberFormat="1" applyFill="1" applyBorder="1"/>
    <xf numFmtId="3" fontId="0" fillId="54" borderId="58" xfId="0" applyNumberFormat="1" applyFill="1" applyBorder="1"/>
    <xf numFmtId="3" fontId="0" fillId="54" borderId="57" xfId="0" applyNumberFormat="1" applyFill="1" applyBorder="1"/>
    <xf numFmtId="3" fontId="0" fillId="54" borderId="59" xfId="0" applyNumberFormat="1" applyFill="1" applyBorder="1"/>
    <xf numFmtId="3" fontId="0" fillId="54" borderId="61" xfId="0" applyNumberFormat="1" applyFill="1" applyBorder="1"/>
    <xf numFmtId="3" fontId="0" fillId="54" borderId="42" xfId="0" applyNumberFormat="1" applyFill="1" applyBorder="1"/>
    <xf numFmtId="3" fontId="0" fillId="54" borderId="52" xfId="0" applyNumberFormat="1" applyFill="1" applyBorder="1"/>
    <xf numFmtId="3" fontId="0" fillId="75" borderId="32" xfId="0" applyNumberFormat="1" applyFill="1" applyBorder="1"/>
    <xf numFmtId="0" fontId="45" fillId="57" borderId="4" xfId="0" applyFont="1" applyFill="1" applyBorder="1" applyAlignment="1">
      <alignment horizontal="center" vertical="center" textRotation="90"/>
    </xf>
    <xf numFmtId="3" fontId="0" fillId="75" borderId="24" xfId="0" applyNumberFormat="1" applyFill="1" applyBorder="1"/>
    <xf numFmtId="3" fontId="0" fillId="75" borderId="92" xfId="0" applyNumberFormat="1" applyFill="1" applyBorder="1"/>
    <xf numFmtId="3" fontId="0" fillId="54" borderId="38" xfId="0" applyNumberFormat="1" applyFill="1" applyBorder="1"/>
    <xf numFmtId="3" fontId="0" fillId="54" borderId="31" xfId="0" applyNumberFormat="1" applyFill="1" applyBorder="1"/>
    <xf numFmtId="3" fontId="0" fillId="54" borderId="44" xfId="0" applyNumberFormat="1" applyFill="1" applyBorder="1"/>
    <xf numFmtId="3" fontId="0" fillId="75" borderId="51" xfId="0" applyNumberFormat="1" applyFill="1" applyBorder="1"/>
    <xf numFmtId="3" fontId="0" fillId="75" borderId="30" xfId="0" applyNumberFormat="1" applyFill="1" applyBorder="1"/>
    <xf numFmtId="3" fontId="0" fillId="91" borderId="30" xfId="0" applyNumberFormat="1" applyFill="1" applyBorder="1"/>
    <xf numFmtId="3" fontId="0" fillId="75" borderId="61" xfId="0" applyNumberFormat="1" applyFill="1" applyBorder="1"/>
    <xf numFmtId="3" fontId="0" fillId="75" borderId="21" xfId="0" applyNumberFormat="1" applyFill="1" applyBorder="1"/>
    <xf numFmtId="3" fontId="0" fillId="75" borderId="60" xfId="0" applyNumberFormat="1" applyFill="1" applyBorder="1"/>
    <xf numFmtId="0" fontId="114" fillId="57" borderId="1" xfId="0" applyFont="1" applyFill="1" applyBorder="1" applyAlignment="1">
      <alignment horizontal="center" vertical="center" textRotation="90"/>
    </xf>
    <xf numFmtId="0" fontId="114" fillId="57" borderId="3" xfId="0" applyFont="1" applyFill="1" applyBorder="1" applyAlignment="1">
      <alignment horizontal="center" vertical="center" textRotation="90"/>
    </xf>
    <xf numFmtId="0" fontId="114" fillId="57" borderId="53" xfId="0" applyFont="1" applyFill="1" applyBorder="1" applyAlignment="1">
      <alignment horizontal="center" vertical="center" textRotation="90"/>
    </xf>
    <xf numFmtId="3" fontId="0" fillId="75" borderId="49" xfId="0" applyNumberFormat="1" applyFill="1" applyBorder="1"/>
    <xf numFmtId="0" fontId="212" fillId="57" borderId="1" xfId="0" applyFont="1" applyFill="1" applyBorder="1" applyAlignment="1">
      <alignment horizontal="center" vertical="center" textRotation="90"/>
    </xf>
    <xf numFmtId="0" fontId="212" fillId="57" borderId="3" xfId="0" applyFont="1" applyFill="1" applyBorder="1" applyAlignment="1">
      <alignment horizontal="center" vertical="center" textRotation="90"/>
    </xf>
    <xf numFmtId="0" fontId="212" fillId="57" borderId="53" xfId="0" applyFont="1" applyFill="1" applyBorder="1" applyAlignment="1">
      <alignment horizontal="center" vertical="center" textRotation="90"/>
    </xf>
    <xf numFmtId="0" fontId="103" fillId="50" borderId="30" xfId="0" applyFont="1" applyFill="1" applyBorder="1"/>
    <xf numFmtId="0" fontId="0" fillId="0" borderId="61" xfId="0" applyBorder="1" applyAlignment="1">
      <alignment horizontal="center"/>
    </xf>
    <xf numFmtId="0" fontId="0" fillId="0" borderId="69" xfId="0" applyBorder="1" applyAlignment="1">
      <alignment horizontal="center"/>
    </xf>
    <xf numFmtId="0" fontId="49" fillId="71" borderId="9" xfId="0" applyFont="1" applyFill="1" applyBorder="1" applyAlignment="1">
      <alignment horizontal="left"/>
    </xf>
    <xf numFmtId="0" fontId="49" fillId="71" borderId="27" xfId="0" applyFont="1" applyFill="1" applyBorder="1" applyAlignment="1">
      <alignment horizontal="left"/>
    </xf>
    <xf numFmtId="0" fontId="49" fillId="71" borderId="45" xfId="0" applyFont="1" applyFill="1" applyBorder="1" applyAlignment="1">
      <alignment horizontal="left"/>
    </xf>
    <xf numFmtId="0" fontId="49" fillId="0" borderId="13" xfId="0" applyFont="1" applyBorder="1" applyAlignment="1">
      <alignment horizontal="center"/>
    </xf>
    <xf numFmtId="0" fontId="38" fillId="0" borderId="66" xfId="0" applyFont="1" applyBorder="1" applyAlignment="1">
      <alignment horizontal="center"/>
    </xf>
    <xf numFmtId="14" fontId="136" fillId="0" borderId="30" xfId="0" applyNumberFormat="1" applyFont="1" applyBorder="1" applyAlignment="1">
      <alignment horizontal="left" vertical="center" wrapText="1"/>
    </xf>
    <xf numFmtId="0" fontId="103" fillId="81" borderId="30" xfId="0" applyFont="1" applyFill="1" applyBorder="1" applyAlignment="1">
      <alignment horizontal="center"/>
    </xf>
    <xf numFmtId="0" fontId="49" fillId="90" borderId="61" xfId="0" applyFont="1" applyFill="1" applyBorder="1" applyAlignment="1">
      <alignment horizontal="center"/>
    </xf>
    <xf numFmtId="1" fontId="0" fillId="0" borderId="34" xfId="0" applyNumberFormat="1" applyBorder="1" applyAlignment="1">
      <alignment horizontal="center"/>
    </xf>
    <xf numFmtId="0" fontId="36" fillId="0" borderId="0" xfId="0" applyFont="1" applyAlignment="1">
      <alignment horizontal="center"/>
    </xf>
    <xf numFmtId="1" fontId="36" fillId="0" borderId="0" xfId="0" applyNumberFormat="1" applyFont="1" applyAlignment="1">
      <alignment horizontal="center"/>
    </xf>
    <xf numFmtId="170" fontId="38" fillId="46" borderId="15" xfId="0" applyNumberFormat="1" applyFont="1" applyFill="1" applyBorder="1" applyAlignment="1">
      <alignment horizontal="center" vertical="center" wrapText="1"/>
    </xf>
    <xf numFmtId="0" fontId="36" fillId="46" borderId="8" xfId="0" applyFont="1" applyFill="1" applyBorder="1" applyAlignment="1">
      <alignment horizontal="center" vertical="center" wrapText="1"/>
    </xf>
    <xf numFmtId="0" fontId="36" fillId="46" borderId="36" xfId="0" applyFont="1" applyFill="1" applyBorder="1" applyAlignment="1">
      <alignment horizontal="center" vertical="center" wrapText="1"/>
    </xf>
    <xf numFmtId="0" fontId="220" fillId="0" borderId="0" xfId="0" applyFont="1"/>
    <xf numFmtId="9" fontId="0" fillId="0" borderId="0" xfId="518" applyFont="1" applyAlignment="1">
      <alignment horizontal="center"/>
    </xf>
    <xf numFmtId="0" fontId="0" fillId="51" borderId="0" xfId="0" applyFill="1" applyAlignment="1">
      <alignment horizontal="center"/>
    </xf>
    <xf numFmtId="0" fontId="136" fillId="0" borderId="21" xfId="0" applyFont="1" applyBorder="1" applyAlignment="1">
      <alignment vertical="center"/>
    </xf>
    <xf numFmtId="171" fontId="0" fillId="0" borderId="30" xfId="0" applyNumberFormat="1" applyBorder="1" applyAlignment="1">
      <alignment horizontal="center"/>
    </xf>
    <xf numFmtId="3" fontId="0" fillId="0" borderId="30" xfId="0" applyNumberFormat="1" applyBorder="1" applyAlignment="1">
      <alignment horizontal="center"/>
    </xf>
    <xf numFmtId="0" fontId="0" fillId="79" borderId="30" xfId="0" applyFill="1" applyBorder="1"/>
    <xf numFmtId="0" fontId="0" fillId="79" borderId="30" xfId="0" applyFill="1" applyBorder="1" applyAlignment="1">
      <alignment horizontal="center"/>
    </xf>
    <xf numFmtId="0" fontId="38" fillId="79" borderId="30" xfId="0" applyFont="1" applyFill="1" applyBorder="1" applyAlignment="1">
      <alignment horizontal="center"/>
    </xf>
    <xf numFmtId="0" fontId="158" fillId="0" borderId="30" xfId="0" applyFont="1" applyBorder="1"/>
    <xf numFmtId="0" fontId="9" fillId="0" borderId="14" xfId="0" applyFont="1" applyBorder="1" applyAlignment="1">
      <alignment horizontal="left" vertical="center"/>
    </xf>
    <xf numFmtId="0" fontId="136" fillId="0" borderId="21" xfId="0" applyFont="1" applyBorder="1" applyAlignment="1">
      <alignment horizontal="left" vertical="center"/>
    </xf>
    <xf numFmtId="0" fontId="136" fillId="0" borderId="21" xfId="0" applyFont="1" applyBorder="1" applyAlignment="1">
      <alignment horizontal="center" vertical="center"/>
    </xf>
    <xf numFmtId="0" fontId="136" fillId="0" borderId="8" xfId="0" applyFont="1" applyBorder="1" applyAlignment="1">
      <alignment horizontal="left" vertical="center" wrapText="1"/>
    </xf>
    <xf numFmtId="0" fontId="136" fillId="0" borderId="8" xfId="0" applyFont="1" applyBorder="1" applyAlignment="1">
      <alignment horizontal="left" vertical="center"/>
    </xf>
    <xf numFmtId="3" fontId="0" fillId="54" borderId="30" xfId="0" applyNumberFormat="1" applyFill="1" applyBorder="1" applyAlignment="1">
      <alignment horizontal="center"/>
    </xf>
    <xf numFmtId="1" fontId="0" fillId="46" borderId="30" xfId="0" applyNumberFormat="1" applyFill="1" applyBorder="1" applyAlignment="1">
      <alignment horizontal="center"/>
    </xf>
    <xf numFmtId="0" fontId="0" fillId="46" borderId="57" xfId="0" applyFill="1" applyBorder="1" applyAlignment="1">
      <alignment horizontal="center"/>
    </xf>
    <xf numFmtId="0" fontId="158" fillId="0" borderId="0" xfId="0" applyFont="1" applyAlignment="1">
      <alignment horizontal="center" vertical="center"/>
    </xf>
    <xf numFmtId="0" fontId="158" fillId="84" borderId="18" xfId="0" applyFont="1" applyFill="1" applyBorder="1" applyAlignment="1">
      <alignment vertical="center" wrapText="1"/>
    </xf>
    <xf numFmtId="0" fontId="136" fillId="0" borderId="50" xfId="0" applyFont="1" applyBorder="1" applyAlignment="1">
      <alignment vertical="center"/>
    </xf>
    <xf numFmtId="0" fontId="9" fillId="0" borderId="30" xfId="0" applyFont="1" applyBorder="1" applyAlignment="1">
      <alignment horizontal="center" vertical="center" wrapText="1"/>
    </xf>
    <xf numFmtId="0" fontId="136" fillId="0" borderId="28" xfId="0" applyFont="1" applyBorder="1" applyAlignment="1">
      <alignment horizontal="left" vertical="top"/>
    </xf>
    <xf numFmtId="0" fontId="136" fillId="0" borderId="50" xfId="0" applyFont="1" applyBorder="1" applyAlignment="1">
      <alignment horizontal="center" vertical="center"/>
    </xf>
    <xf numFmtId="0" fontId="136" fillId="0" borderId="49" xfId="0" applyFont="1" applyBorder="1" applyAlignment="1">
      <alignment horizontal="center" vertical="center"/>
    </xf>
    <xf numFmtId="0" fontId="220" fillId="0" borderId="30" xfId="0" applyFont="1" applyBorder="1"/>
    <xf numFmtId="0" fontId="136" fillId="0" borderId="8" xfId="0" applyFont="1" applyBorder="1" applyAlignment="1">
      <alignment vertical="center" wrapText="1"/>
    </xf>
    <xf numFmtId="0" fontId="9" fillId="0" borderId="41" xfId="0" applyFont="1" applyBorder="1" applyAlignment="1">
      <alignment horizontal="center" vertical="center" wrapText="1"/>
    </xf>
    <xf numFmtId="0" fontId="222" fillId="0" borderId="0" xfId="0" applyFont="1"/>
    <xf numFmtId="0" fontId="38" fillId="81" borderId="29" xfId="0" applyFont="1" applyFill="1" applyBorder="1" applyAlignment="1">
      <alignment horizontal="center"/>
    </xf>
    <xf numFmtId="0" fontId="49" fillId="81" borderId="30" xfId="0" applyFont="1" applyFill="1" applyBorder="1" applyAlignment="1">
      <alignment horizontal="center"/>
    </xf>
    <xf numFmtId="0" fontId="38" fillId="81" borderId="30" xfId="0" applyFont="1" applyFill="1" applyBorder="1" applyAlignment="1">
      <alignment horizontal="center"/>
    </xf>
    <xf numFmtId="0" fontId="38" fillId="81" borderId="61" xfId="0" applyFont="1" applyFill="1" applyBorder="1" applyAlignment="1">
      <alignment horizontal="center"/>
    </xf>
    <xf numFmtId="0" fontId="38" fillId="57" borderId="51" xfId="0" applyFont="1" applyFill="1" applyBorder="1" applyAlignment="1">
      <alignment horizontal="center"/>
    </xf>
    <xf numFmtId="0" fontId="38" fillId="57" borderId="30" xfId="0" applyFont="1" applyFill="1" applyBorder="1" applyAlignment="1">
      <alignment horizontal="center"/>
    </xf>
    <xf numFmtId="0" fontId="49" fillId="57" borderId="30" xfId="0" applyFont="1" applyFill="1" applyBorder="1" applyAlignment="1">
      <alignment horizontal="center"/>
    </xf>
    <xf numFmtId="0" fontId="38" fillId="57" borderId="61" xfId="0" applyFont="1" applyFill="1" applyBorder="1" applyAlignment="1">
      <alignment horizontal="center"/>
    </xf>
    <xf numFmtId="0" fontId="49" fillId="81" borderId="51" xfId="0" applyFont="1" applyFill="1" applyBorder="1" applyAlignment="1">
      <alignment horizontal="center"/>
    </xf>
    <xf numFmtId="0" fontId="49" fillId="81" borderId="29" xfId="0" applyFont="1" applyFill="1" applyBorder="1" applyAlignment="1">
      <alignment horizontal="center"/>
    </xf>
    <xf numFmtId="0" fontId="38" fillId="81" borderId="51" xfId="0" applyFont="1" applyFill="1" applyBorder="1" applyAlignment="1">
      <alignment horizontal="center"/>
    </xf>
    <xf numFmtId="0" fontId="38" fillId="81" borderId="42" xfId="0" applyFont="1" applyFill="1" applyBorder="1" applyAlignment="1">
      <alignment horizontal="center"/>
    </xf>
    <xf numFmtId="0" fontId="38" fillId="81" borderId="52" xfId="0" applyFont="1" applyFill="1" applyBorder="1" applyAlignment="1">
      <alignment horizontal="center"/>
    </xf>
    <xf numFmtId="0" fontId="38" fillId="81" borderId="68" xfId="0" applyFont="1" applyFill="1" applyBorder="1" applyAlignment="1">
      <alignment horizontal="center"/>
    </xf>
    <xf numFmtId="0" fontId="38" fillId="57" borderId="69" xfId="0" applyFont="1" applyFill="1" applyBorder="1" applyAlignment="1">
      <alignment horizontal="center"/>
    </xf>
    <xf numFmtId="0" fontId="38" fillId="57" borderId="52" xfId="0" applyFont="1" applyFill="1" applyBorder="1" applyAlignment="1">
      <alignment horizontal="center"/>
    </xf>
    <xf numFmtId="0" fontId="38" fillId="57" borderId="68" xfId="0" applyFont="1" applyFill="1" applyBorder="1" applyAlignment="1">
      <alignment horizontal="center"/>
    </xf>
    <xf numFmtId="0" fontId="38" fillId="81" borderId="69" xfId="0" applyFont="1" applyFill="1" applyBorder="1" applyAlignment="1">
      <alignment horizontal="center"/>
    </xf>
    <xf numFmtId="0" fontId="38" fillId="51" borderId="30" xfId="0" applyFont="1" applyFill="1" applyBorder="1" applyAlignment="1">
      <alignment horizontal="center" vertical="center"/>
    </xf>
    <xf numFmtId="3" fontId="0" fillId="51" borderId="30" xfId="0" applyNumberFormat="1" applyFill="1" applyBorder="1"/>
    <xf numFmtId="170" fontId="0" fillId="51" borderId="30" xfId="0" applyNumberFormat="1" applyFill="1" applyBorder="1" applyAlignment="1">
      <alignment horizontal="center"/>
    </xf>
    <xf numFmtId="3" fontId="0" fillId="51" borderId="30" xfId="0" applyNumberFormat="1" applyFill="1" applyBorder="1" applyAlignment="1">
      <alignment horizontal="center"/>
    </xf>
    <xf numFmtId="0" fontId="0" fillId="51" borderId="30" xfId="0" applyFill="1" applyBorder="1"/>
    <xf numFmtId="0" fontId="38" fillId="51" borderId="30" xfId="0" applyFont="1" applyFill="1" applyBorder="1" applyAlignment="1">
      <alignment horizontal="center"/>
    </xf>
    <xf numFmtId="1" fontId="0" fillId="51" borderId="30" xfId="0" applyNumberFormat="1" applyFill="1" applyBorder="1" applyAlignment="1">
      <alignment horizontal="center"/>
    </xf>
    <xf numFmtId="0" fontId="49" fillId="86" borderId="30" xfId="0" applyFont="1" applyFill="1" applyBorder="1" applyAlignment="1">
      <alignment horizontal="center"/>
    </xf>
    <xf numFmtId="3" fontId="214" fillId="46" borderId="25" xfId="0" applyNumberFormat="1" applyFont="1" applyFill="1" applyBorder="1" applyAlignment="1">
      <alignment horizontal="center" vertical="center" wrapText="1"/>
    </xf>
    <xf numFmtId="3" fontId="118" fillId="86" borderId="37" xfId="0" applyNumberFormat="1" applyFont="1" applyFill="1" applyBorder="1" applyAlignment="1">
      <alignment horizontal="right" vertical="center" wrapText="1"/>
    </xf>
    <xf numFmtId="3" fontId="118" fillId="86" borderId="64" xfId="0" applyNumberFormat="1" applyFont="1" applyFill="1" applyBorder="1" applyAlignment="1">
      <alignment horizontal="right" vertical="center" wrapText="1"/>
    </xf>
    <xf numFmtId="0" fontId="118" fillId="86" borderId="0" xfId="0" applyFont="1" applyFill="1" applyAlignment="1">
      <alignment horizontal="left" vertical="center" wrapText="1"/>
    </xf>
    <xf numFmtId="3" fontId="118" fillId="86" borderId="37" xfId="0" applyNumberFormat="1" applyFont="1" applyFill="1" applyBorder="1" applyAlignment="1">
      <alignment horizontal="center" vertical="center" wrapText="1"/>
    </xf>
    <xf numFmtId="3" fontId="118" fillId="86" borderId="64" xfId="0" applyNumberFormat="1" applyFont="1" applyFill="1" applyBorder="1" applyAlignment="1">
      <alignment horizontal="center" vertical="center" wrapText="1"/>
    </xf>
    <xf numFmtId="1" fontId="118" fillId="86" borderId="37" xfId="0" applyNumberFormat="1" applyFont="1" applyFill="1" applyBorder="1" applyAlignment="1">
      <alignment horizontal="center" vertical="center" wrapText="1"/>
    </xf>
    <xf numFmtId="1" fontId="118" fillId="86" borderId="64" xfId="0" applyNumberFormat="1" applyFont="1" applyFill="1" applyBorder="1" applyAlignment="1">
      <alignment horizontal="center" vertical="center" wrapText="1"/>
    </xf>
    <xf numFmtId="170" fontId="118" fillId="86" borderId="37" xfId="0" applyNumberFormat="1" applyFont="1" applyFill="1" applyBorder="1" applyAlignment="1">
      <alignment horizontal="center" vertical="center" wrapText="1"/>
    </xf>
    <xf numFmtId="0" fontId="118" fillId="86" borderId="44" xfId="0" applyFont="1" applyFill="1" applyBorder="1" applyAlignment="1">
      <alignment horizontal="center" vertical="center" wrapText="1"/>
    </xf>
    <xf numFmtId="0" fontId="118" fillId="86" borderId="52" xfId="0" applyFont="1" applyFill="1" applyBorder="1" applyAlignment="1">
      <alignment horizontal="center" vertical="center" wrapText="1"/>
    </xf>
    <xf numFmtId="170" fontId="118" fillId="86" borderId="44" xfId="0" applyNumberFormat="1" applyFont="1" applyFill="1" applyBorder="1" applyAlignment="1">
      <alignment horizontal="center" vertical="center" wrapText="1"/>
    </xf>
    <xf numFmtId="1" fontId="118" fillId="86" borderId="69" xfId="0" applyNumberFormat="1" applyFont="1" applyFill="1" applyBorder="1" applyAlignment="1">
      <alignment horizontal="center" vertical="center" wrapText="1"/>
    </xf>
    <xf numFmtId="0" fontId="118" fillId="86" borderId="4" xfId="0" applyFont="1" applyFill="1" applyBorder="1" applyAlignment="1">
      <alignment horizontal="center" vertical="center" wrapText="1"/>
    </xf>
    <xf numFmtId="0" fontId="118" fillId="86" borderId="3" xfId="0" applyFont="1" applyFill="1" applyBorder="1" applyAlignment="1">
      <alignment horizontal="center" vertical="center" wrapText="1"/>
    </xf>
    <xf numFmtId="0" fontId="118" fillId="46" borderId="25" xfId="0" applyFont="1" applyFill="1" applyBorder="1" applyAlignment="1">
      <alignment horizontal="center" vertical="center" wrapText="1"/>
    </xf>
    <xf numFmtId="0" fontId="118" fillId="46" borderId="21" xfId="0" applyFont="1" applyFill="1" applyBorder="1" applyAlignment="1">
      <alignment horizontal="center" vertical="center" wrapText="1"/>
    </xf>
    <xf numFmtId="0" fontId="9" fillId="0" borderId="41" xfId="0" applyFont="1" applyBorder="1" applyAlignment="1">
      <alignment vertical="center" wrapText="1"/>
    </xf>
    <xf numFmtId="0" fontId="223" fillId="0" borderId="0" xfId="0" applyFont="1" applyAlignment="1">
      <alignment vertical="center"/>
    </xf>
    <xf numFmtId="0" fontId="208" fillId="0" borderId="14" xfId="0" applyFont="1" applyBorder="1" applyAlignment="1">
      <alignment horizontal="center" vertical="center"/>
    </xf>
    <xf numFmtId="0" fontId="49" fillId="57" borderId="29" xfId="0" applyFont="1" applyFill="1" applyBorder="1" applyAlignment="1">
      <alignment horizontal="center"/>
    </xf>
    <xf numFmtId="0" fontId="49" fillId="57" borderId="31" xfId="0" applyFont="1" applyFill="1" applyBorder="1" applyAlignment="1">
      <alignment horizontal="center"/>
    </xf>
    <xf numFmtId="0" fontId="49" fillId="90" borderId="51" xfId="0" applyFont="1" applyFill="1" applyBorder="1" applyAlignment="1">
      <alignment horizontal="center"/>
    </xf>
    <xf numFmtId="0" fontId="49" fillId="90" borderId="30" xfId="0" applyFont="1" applyFill="1" applyBorder="1" applyAlignment="1">
      <alignment horizontal="center"/>
    </xf>
    <xf numFmtId="0" fontId="49" fillId="86" borderId="29" xfId="0" applyFont="1" applyFill="1" applyBorder="1" applyAlignment="1">
      <alignment horizontal="center"/>
    </xf>
    <xf numFmtId="0" fontId="49" fillId="86" borderId="61" xfId="0" applyFont="1" applyFill="1" applyBorder="1" applyAlignment="1">
      <alignment horizontal="center"/>
    </xf>
    <xf numFmtId="0" fontId="49" fillId="90" borderId="29" xfId="0" applyFont="1" applyFill="1" applyBorder="1" applyAlignment="1">
      <alignment horizontal="center"/>
    </xf>
    <xf numFmtId="0" fontId="49" fillId="57" borderId="61" xfId="0" applyFont="1" applyFill="1" applyBorder="1" applyAlignment="1">
      <alignment horizontal="center"/>
    </xf>
    <xf numFmtId="0" fontId="112" fillId="46" borderId="0" xfId="0" applyFont="1" applyFill="1" applyAlignment="1">
      <alignment horizontal="left" vertical="center" wrapText="1"/>
    </xf>
    <xf numFmtId="0" fontId="116" fillId="45" borderId="30" xfId="0" applyFont="1" applyFill="1" applyBorder="1" applyAlignment="1">
      <alignment horizontal="center" vertical="center"/>
    </xf>
    <xf numFmtId="14" fontId="136" fillId="0" borderId="21" xfId="0" applyNumberFormat="1" applyFont="1" applyBorder="1" applyAlignment="1">
      <alignment horizontal="center" vertical="center"/>
    </xf>
    <xf numFmtId="0" fontId="10" fillId="0" borderId="30" xfId="0" applyFont="1" applyBorder="1" applyAlignment="1">
      <alignment horizontal="left" vertical="center"/>
    </xf>
    <xf numFmtId="0" fontId="10" fillId="0" borderId="14" xfId="0" applyFont="1" applyBorder="1" applyAlignment="1">
      <alignment horizontal="left" vertical="center"/>
    </xf>
    <xf numFmtId="0" fontId="136" fillId="0" borderId="14" xfId="0" applyFont="1" applyBorder="1" applyAlignment="1">
      <alignment horizontal="left" vertical="top"/>
    </xf>
    <xf numFmtId="3" fontId="0" fillId="54" borderId="30" xfId="0" applyNumberFormat="1" applyFill="1" applyBorder="1" applyAlignment="1">
      <alignment horizontal="center" vertical="center"/>
    </xf>
    <xf numFmtId="172" fontId="38" fillId="71" borderId="27" xfId="1" applyNumberFormat="1" applyFont="1" applyFill="1" applyBorder="1"/>
    <xf numFmtId="0" fontId="45" fillId="57" borderId="38" xfId="0" applyFont="1" applyFill="1" applyBorder="1" applyAlignment="1">
      <alignment horizontal="center" vertical="center" textRotation="90"/>
    </xf>
    <xf numFmtId="0" fontId="7" fillId="0" borderId="30" xfId="0" applyFont="1" applyBorder="1" applyAlignment="1">
      <alignment horizontal="center" vertical="center"/>
    </xf>
    <xf numFmtId="0" fontId="7" fillId="0" borderId="30" xfId="0" applyFont="1" applyBorder="1" applyAlignment="1">
      <alignment horizontal="left" vertical="center"/>
    </xf>
    <xf numFmtId="14" fontId="136" fillId="54" borderId="14" xfId="0" applyNumberFormat="1" applyFont="1" applyFill="1" applyBorder="1" applyAlignment="1">
      <alignment horizontal="center" vertical="center"/>
    </xf>
    <xf numFmtId="0" fontId="136" fillId="92" borderId="30" xfId="0" applyFont="1" applyFill="1" applyBorder="1" applyAlignment="1">
      <alignment horizontal="center" vertical="center"/>
    </xf>
    <xf numFmtId="0" fontId="136" fillId="93" borderId="30" xfId="0" applyFont="1" applyFill="1" applyBorder="1" applyAlignment="1">
      <alignment horizontal="left" vertical="center"/>
    </xf>
    <xf numFmtId="0" fontId="38" fillId="46" borderId="66" xfId="0" applyFont="1" applyFill="1" applyBorder="1" applyAlignment="1">
      <alignment horizontal="center"/>
    </xf>
    <xf numFmtId="0" fontId="38" fillId="46" borderId="51" xfId="0" applyFont="1" applyFill="1" applyBorder="1" applyAlignment="1">
      <alignment horizontal="center"/>
    </xf>
    <xf numFmtId="0" fontId="103" fillId="81" borderId="29" xfId="0" applyFont="1" applyFill="1" applyBorder="1" applyAlignment="1">
      <alignment horizontal="center"/>
    </xf>
    <xf numFmtId="171" fontId="38" fillId="0" borderId="0" xfId="0" applyNumberFormat="1" applyFont="1" applyAlignment="1">
      <alignment horizontal="center"/>
    </xf>
    <xf numFmtId="0" fontId="224" fillId="0" borderId="30" xfId="0" applyFont="1" applyBorder="1" applyAlignment="1">
      <alignment horizontal="center" vertical="center" wrapText="1"/>
    </xf>
    <xf numFmtId="0" fontId="224" fillId="70" borderId="30" xfId="0" applyFont="1" applyFill="1" applyBorder="1" applyAlignment="1">
      <alignment horizontal="center" vertical="center" wrapText="1"/>
    </xf>
    <xf numFmtId="14" fontId="224" fillId="70" borderId="30" xfId="0" applyNumberFormat="1" applyFont="1" applyFill="1" applyBorder="1" applyAlignment="1">
      <alignment horizontal="center" vertical="center" wrapText="1"/>
    </xf>
    <xf numFmtId="14" fontId="224" fillId="0" borderId="30" xfId="0" applyNumberFormat="1" applyFont="1" applyBorder="1" applyAlignment="1">
      <alignment horizontal="center" vertical="center" wrapText="1"/>
    </xf>
    <xf numFmtId="0" fontId="224" fillId="70" borderId="30" xfId="0" applyFont="1" applyFill="1" applyBorder="1" applyAlignment="1">
      <alignment horizontal="left" vertical="center" wrapText="1"/>
    </xf>
    <xf numFmtId="0" fontId="224" fillId="0" borderId="30" xfId="0" applyFont="1" applyBorder="1" applyAlignment="1">
      <alignment horizontal="left" vertical="center" wrapText="1"/>
    </xf>
    <xf numFmtId="170" fontId="43" fillId="0" borderId="30" xfId="0" applyNumberFormat="1" applyFont="1" applyBorder="1"/>
    <xf numFmtId="2" fontId="0" fillId="0" borderId="57" xfId="0" applyNumberFormat="1" applyBorder="1" applyAlignment="1">
      <alignment horizontal="center"/>
    </xf>
    <xf numFmtId="2" fontId="0" fillId="0" borderId="57" xfId="0" applyNumberFormat="1" applyBorder="1"/>
    <xf numFmtId="2" fontId="0" fillId="0" borderId="59" xfId="0" applyNumberFormat="1" applyBorder="1"/>
    <xf numFmtId="2" fontId="0" fillId="0" borderId="68" xfId="0" applyNumberFormat="1" applyBorder="1" applyAlignment="1">
      <alignment horizontal="center"/>
    </xf>
    <xf numFmtId="2" fontId="38" fillId="0" borderId="3" xfId="0" applyNumberFormat="1" applyFont="1" applyBorder="1" applyAlignment="1">
      <alignment horizontal="center" vertical="center"/>
    </xf>
    <xf numFmtId="2" fontId="38" fillId="0" borderId="53" xfId="0" applyNumberFormat="1" applyFont="1" applyBorder="1" applyAlignment="1">
      <alignment horizontal="center" vertical="center"/>
    </xf>
    <xf numFmtId="9" fontId="0" fillId="46" borderId="0" xfId="42" applyFont="1" applyFill="1" applyAlignment="1">
      <alignment vertical="center"/>
    </xf>
    <xf numFmtId="2" fontId="0" fillId="0" borderId="66" xfId="0" applyNumberFormat="1" applyBorder="1" applyAlignment="1">
      <alignment horizontal="center"/>
    </xf>
    <xf numFmtId="2" fontId="0" fillId="0" borderId="51" xfId="0" applyNumberFormat="1" applyBorder="1" applyAlignment="1">
      <alignment horizontal="center"/>
    </xf>
    <xf numFmtId="2" fontId="0" fillId="0" borderId="69" xfId="0" applyNumberFormat="1" applyBorder="1" applyAlignment="1">
      <alignment horizontal="center"/>
    </xf>
    <xf numFmtId="0" fontId="158" fillId="0" borderId="0" xfId="0" applyFont="1" applyAlignment="1">
      <alignment horizontal="left" vertical="center"/>
    </xf>
    <xf numFmtId="14" fontId="136" fillId="86" borderId="30" xfId="0" applyNumberFormat="1" applyFont="1" applyFill="1" applyBorder="1" applyAlignment="1">
      <alignment horizontal="center" vertical="center"/>
    </xf>
    <xf numFmtId="14" fontId="136" fillId="86" borderId="30" xfId="0" applyNumberFormat="1" applyFont="1" applyFill="1" applyBorder="1" applyAlignment="1">
      <alignment horizontal="center" vertical="center" wrapText="1"/>
    </xf>
    <xf numFmtId="0" fontId="42" fillId="0" borderId="0" xfId="0" applyFont="1" applyAlignment="1">
      <alignment vertical="center"/>
    </xf>
    <xf numFmtId="3" fontId="103" fillId="50" borderId="1" xfId="0" applyNumberFormat="1" applyFont="1" applyFill="1" applyBorder="1" applyAlignment="1">
      <alignment horizontal="center" vertical="center"/>
    </xf>
    <xf numFmtId="0" fontId="215" fillId="0" borderId="30" xfId="0" applyFont="1" applyBorder="1" applyAlignment="1">
      <alignment horizontal="left" vertical="center"/>
    </xf>
    <xf numFmtId="14" fontId="136" fillId="94" borderId="30" xfId="0" applyNumberFormat="1" applyFont="1" applyFill="1" applyBorder="1" applyAlignment="1">
      <alignment horizontal="center" vertical="center"/>
    </xf>
    <xf numFmtId="0" fontId="161" fillId="0" borderId="0" xfId="0" applyFont="1"/>
    <xf numFmtId="0" fontId="101" fillId="81" borderId="31" xfId="0" applyFont="1" applyFill="1" applyBorder="1" applyAlignment="1">
      <alignment horizontal="center"/>
    </xf>
    <xf numFmtId="0" fontId="101" fillId="57" borderId="29" xfId="0" applyFont="1" applyFill="1" applyBorder="1" applyAlignment="1">
      <alignment horizontal="center"/>
    </xf>
    <xf numFmtId="0" fontId="101" fillId="57" borderId="51" xfId="0" applyFont="1" applyFill="1" applyBorder="1" applyAlignment="1">
      <alignment horizontal="center"/>
    </xf>
    <xf numFmtId="0" fontId="118" fillId="57" borderId="30" xfId="0" applyFont="1" applyFill="1" applyBorder="1" applyAlignment="1">
      <alignment horizontal="center"/>
    </xf>
    <xf numFmtId="0" fontId="118" fillId="57" borderId="31" xfId="0" applyFont="1" applyFill="1" applyBorder="1" applyAlignment="1">
      <alignment horizontal="center"/>
    </xf>
    <xf numFmtId="0" fontId="36" fillId="57" borderId="30" xfId="0" applyFont="1" applyFill="1" applyBorder="1" applyAlignment="1">
      <alignment horizontal="center"/>
    </xf>
    <xf numFmtId="0" fontId="36" fillId="57" borderId="52" xfId="0" applyFont="1" applyFill="1" applyBorder="1" applyAlignment="1">
      <alignment horizontal="center"/>
    </xf>
    <xf numFmtId="0" fontId="36" fillId="57" borderId="68" xfId="0" applyFont="1" applyFill="1" applyBorder="1" applyAlignment="1">
      <alignment horizontal="center"/>
    </xf>
    <xf numFmtId="3" fontId="38" fillId="53" borderId="30" xfId="0" applyNumberFormat="1" applyFont="1" applyFill="1" applyBorder="1" applyAlignment="1">
      <alignment horizontal="center" vertical="center"/>
    </xf>
    <xf numFmtId="0" fontId="101" fillId="81" borderId="52" xfId="0" applyFont="1" applyFill="1" applyBorder="1" applyAlignment="1">
      <alignment horizontal="center"/>
    </xf>
    <xf numFmtId="14" fontId="136" fillId="94" borderId="21" xfId="0" applyNumberFormat="1" applyFont="1" applyFill="1" applyBorder="1" applyAlignment="1">
      <alignment horizontal="center" vertical="center"/>
    </xf>
    <xf numFmtId="0" fontId="136" fillId="0" borderId="21" xfId="0" applyFont="1" applyBorder="1" applyAlignment="1">
      <alignment horizontal="left" vertical="center" wrapText="1"/>
    </xf>
    <xf numFmtId="0" fontId="136" fillId="0" borderId="52" xfId="0" applyFont="1" applyBorder="1" applyAlignment="1">
      <alignment horizontal="left" vertical="center"/>
    </xf>
    <xf numFmtId="0" fontId="136" fillId="0" borderId="52" xfId="0" applyFont="1" applyBorder="1" applyAlignment="1">
      <alignment horizontal="center" vertical="center"/>
    </xf>
    <xf numFmtId="0" fontId="136" fillId="0" borderId="52" xfId="0" applyFont="1" applyBorder="1" applyAlignment="1">
      <alignment vertical="center" wrapText="1"/>
    </xf>
    <xf numFmtId="14" fontId="136" fillId="94" borderId="52" xfId="0" applyNumberFormat="1" applyFont="1" applyFill="1" applyBorder="1" applyAlignment="1">
      <alignment horizontal="center" vertical="center"/>
    </xf>
    <xf numFmtId="0" fontId="136" fillId="0" borderId="52" xfId="0" applyFont="1" applyBorder="1" applyAlignment="1">
      <alignment horizontal="left" vertical="center" wrapText="1"/>
    </xf>
    <xf numFmtId="0" fontId="227" fillId="0" borderId="41" xfId="0" applyFont="1" applyBorder="1" applyAlignment="1">
      <alignment vertical="center" wrapText="1"/>
    </xf>
    <xf numFmtId="0" fontId="227" fillId="0" borderId="0" xfId="0" applyFont="1"/>
    <xf numFmtId="0" fontId="228" fillId="0" borderId="0" xfId="0" applyFont="1" applyAlignment="1">
      <alignment horizontal="center" vertical="center"/>
    </xf>
    <xf numFmtId="0" fontId="103" fillId="81" borderId="52" xfId="0" applyFont="1" applyFill="1" applyBorder="1" applyAlignment="1">
      <alignment horizontal="center"/>
    </xf>
    <xf numFmtId="0" fontId="7" fillId="0" borderId="30" xfId="0" applyFont="1" applyBorder="1"/>
    <xf numFmtId="3" fontId="0" fillId="75" borderId="7" xfId="0" applyNumberFormat="1" applyFill="1" applyBorder="1"/>
    <xf numFmtId="3" fontId="0" fillId="75" borderId="63" xfId="0" applyNumberFormat="1" applyFill="1" applyBorder="1"/>
    <xf numFmtId="3" fontId="0" fillId="75" borderId="0" xfId="0" applyNumberFormat="1" applyFill="1"/>
    <xf numFmtId="3" fontId="0" fillId="75" borderId="31" xfId="0" applyNumberFormat="1" applyFill="1" applyBorder="1"/>
    <xf numFmtId="3" fontId="0" fillId="76" borderId="63" xfId="0" applyNumberFormat="1" applyFill="1" applyBorder="1"/>
    <xf numFmtId="3" fontId="0" fillId="76" borderId="8" xfId="0" applyNumberFormat="1" applyFill="1" applyBorder="1"/>
    <xf numFmtId="3" fontId="0" fillId="76" borderId="15" xfId="0" applyNumberFormat="1" applyFill="1" applyBorder="1"/>
    <xf numFmtId="3" fontId="0" fillId="71" borderId="21" xfId="0" applyNumberFormat="1" applyFill="1" applyBorder="1" applyAlignment="1">
      <alignment horizontal="center"/>
    </xf>
    <xf numFmtId="3" fontId="0" fillId="71" borderId="25" xfId="0" applyNumberFormat="1" applyFill="1" applyBorder="1" applyAlignment="1">
      <alignment horizontal="center"/>
    </xf>
    <xf numFmtId="3" fontId="0" fillId="71" borderId="61" xfId="0" applyNumberFormat="1" applyFill="1" applyBorder="1" applyAlignment="1">
      <alignment horizontal="center"/>
    </xf>
    <xf numFmtId="3" fontId="0" fillId="71" borderId="52" xfId="0" applyNumberFormat="1" applyFill="1" applyBorder="1" applyAlignment="1">
      <alignment horizontal="center"/>
    </xf>
    <xf numFmtId="3" fontId="0" fillId="71" borderId="68" xfId="0" applyNumberFormat="1" applyFill="1" applyBorder="1" applyAlignment="1">
      <alignment horizontal="center"/>
    </xf>
    <xf numFmtId="3" fontId="0" fillId="71" borderId="60" xfId="0" applyNumberFormat="1" applyFill="1" applyBorder="1" applyAlignment="1">
      <alignment horizontal="center"/>
    </xf>
    <xf numFmtId="3" fontId="0" fillId="75" borderId="25" xfId="0" applyNumberFormat="1" applyFill="1" applyBorder="1"/>
    <xf numFmtId="3" fontId="0" fillId="71" borderId="44" xfId="0" applyNumberFormat="1" applyFill="1" applyBorder="1" applyAlignment="1">
      <alignment horizontal="center"/>
    </xf>
    <xf numFmtId="3" fontId="0" fillId="75" borderId="42" xfId="0" applyNumberFormat="1" applyFill="1" applyBorder="1"/>
    <xf numFmtId="3" fontId="0" fillId="75" borderId="93" xfId="0" applyNumberFormat="1" applyFill="1" applyBorder="1"/>
    <xf numFmtId="3" fontId="0" fillId="75" borderId="52" xfId="0" applyNumberFormat="1" applyFill="1" applyBorder="1"/>
    <xf numFmtId="3" fontId="0" fillId="75" borderId="68" xfId="0" applyNumberFormat="1" applyFill="1" applyBorder="1"/>
    <xf numFmtId="3" fontId="0" fillId="75" borderId="69" xfId="0" applyNumberFormat="1" applyFill="1" applyBorder="1"/>
    <xf numFmtId="3" fontId="0" fillId="76" borderId="52" xfId="0" applyNumberFormat="1" applyFill="1" applyBorder="1"/>
    <xf numFmtId="0" fontId="0" fillId="76" borderId="63" xfId="0" applyFill="1" applyBorder="1" applyAlignment="1">
      <alignment horizontal="center"/>
    </xf>
    <xf numFmtId="0" fontId="0" fillId="76" borderId="8" xfId="0" applyFill="1" applyBorder="1" applyAlignment="1">
      <alignment horizontal="center"/>
    </xf>
    <xf numFmtId="0" fontId="0" fillId="76" borderId="15" xfId="0" applyFill="1" applyBorder="1" applyAlignment="1">
      <alignment horizontal="center"/>
    </xf>
    <xf numFmtId="0" fontId="0" fillId="71" borderId="14" xfId="0" applyFill="1" applyBorder="1" applyAlignment="1">
      <alignment horizontal="center"/>
    </xf>
    <xf numFmtId="0" fontId="0" fillId="71" borderId="26" xfId="0" applyFill="1" applyBorder="1" applyAlignment="1">
      <alignment horizontal="center"/>
    </xf>
    <xf numFmtId="0" fontId="0" fillId="76" borderId="32" xfId="0" applyFill="1" applyBorder="1"/>
    <xf numFmtId="0" fontId="0" fillId="76" borderId="60" xfId="0" applyFill="1" applyBorder="1"/>
    <xf numFmtId="0" fontId="0" fillId="71" borderId="52" xfId="0" applyFill="1" applyBorder="1" applyAlignment="1">
      <alignment horizontal="center"/>
    </xf>
    <xf numFmtId="0" fontId="0" fillId="71" borderId="44" xfId="0" applyFill="1" applyBorder="1" applyAlignment="1">
      <alignment horizontal="center"/>
    </xf>
    <xf numFmtId="0" fontId="0" fillId="75" borderId="42" xfId="0" applyFill="1" applyBorder="1" applyAlignment="1">
      <alignment horizontal="center"/>
    </xf>
    <xf numFmtId="0" fontId="0" fillId="76" borderId="33" xfId="0" applyFill="1" applyBorder="1"/>
    <xf numFmtId="0" fontId="0" fillId="76" borderId="36" xfId="0" applyFill="1" applyBorder="1"/>
    <xf numFmtId="0" fontId="0" fillId="76" borderId="37" xfId="0" applyFill="1" applyBorder="1"/>
    <xf numFmtId="170" fontId="0" fillId="0" borderId="0" xfId="0" applyNumberFormat="1" applyAlignment="1">
      <alignment horizontal="right"/>
    </xf>
    <xf numFmtId="1" fontId="38" fillId="46" borderId="63" xfId="0" applyNumberFormat="1" applyFont="1" applyFill="1" applyBorder="1" applyAlignment="1">
      <alignment horizontal="center" vertical="center" wrapText="1"/>
    </xf>
    <xf numFmtId="0" fontId="38" fillId="0" borderId="0" xfId="0" applyFont="1" applyAlignment="1">
      <alignment vertical="center"/>
    </xf>
    <xf numFmtId="0" fontId="38" fillId="56" borderId="0" xfId="0" applyFont="1" applyFill="1" applyAlignment="1">
      <alignment horizontal="center" vertical="center"/>
    </xf>
    <xf numFmtId="3" fontId="49" fillId="86" borderId="2" xfId="0" applyNumberFormat="1" applyFont="1" applyFill="1" applyBorder="1" applyAlignment="1">
      <alignment horizontal="right" vertical="center"/>
    </xf>
    <xf numFmtId="3" fontId="49" fillId="86" borderId="65" xfId="0" applyNumberFormat="1" applyFont="1" applyFill="1" applyBorder="1" applyAlignment="1">
      <alignment vertical="center"/>
    </xf>
    <xf numFmtId="0" fontId="49" fillId="86" borderId="0" xfId="0" applyFont="1" applyFill="1" applyAlignment="1">
      <alignment vertical="center"/>
    </xf>
    <xf numFmtId="3" fontId="49" fillId="86" borderId="4" xfId="0" applyNumberFormat="1" applyFont="1" applyFill="1" applyBorder="1" applyAlignment="1">
      <alignment horizontal="center" vertical="center"/>
    </xf>
    <xf numFmtId="3" fontId="49" fillId="86" borderId="65" xfId="0" applyNumberFormat="1" applyFont="1" applyFill="1" applyBorder="1" applyAlignment="1">
      <alignment horizontal="center" vertical="center"/>
    </xf>
    <xf numFmtId="1" fontId="49" fillId="86" borderId="65" xfId="0" applyNumberFormat="1" applyFont="1" applyFill="1" applyBorder="1" applyAlignment="1">
      <alignment horizontal="center" vertical="center"/>
    </xf>
    <xf numFmtId="0" fontId="0" fillId="46" borderId="0" xfId="0" applyFill="1" applyAlignment="1">
      <alignment vertical="center"/>
    </xf>
    <xf numFmtId="0" fontId="49" fillId="95" borderId="30" xfId="0" applyFont="1" applyFill="1" applyBorder="1"/>
    <xf numFmtId="1" fontId="0" fillId="46" borderId="29" xfId="0" applyNumberFormat="1" applyFill="1" applyBorder="1" applyAlignment="1">
      <alignment horizontal="center"/>
    </xf>
    <xf numFmtId="0" fontId="49" fillId="95" borderId="22" xfId="0" applyFont="1" applyFill="1" applyBorder="1" applyAlignment="1">
      <alignment horizontal="left"/>
    </xf>
    <xf numFmtId="1" fontId="0" fillId="46" borderId="21" xfId="0" applyNumberFormat="1" applyFill="1" applyBorder="1" applyAlignment="1">
      <alignment horizontal="center"/>
    </xf>
    <xf numFmtId="2" fontId="43" fillId="0" borderId="4" xfId="0" applyNumberFormat="1" applyFont="1" applyBorder="1" applyAlignment="1">
      <alignment horizontal="center" vertical="center"/>
    </xf>
    <xf numFmtId="2" fontId="38" fillId="0" borderId="65" xfId="0" applyNumberFormat="1" applyFont="1" applyBorder="1" applyAlignment="1">
      <alignment horizontal="center"/>
    </xf>
    <xf numFmtId="3" fontId="43" fillId="0" borderId="30" xfId="0" applyNumberFormat="1" applyFont="1" applyBorder="1" applyAlignment="1">
      <alignment horizontal="right"/>
    </xf>
    <xf numFmtId="1" fontId="43" fillId="0" borderId="30" xfId="0" applyNumberFormat="1" applyFont="1" applyBorder="1" applyAlignment="1">
      <alignment horizontal="right"/>
    </xf>
    <xf numFmtId="1" fontId="43" fillId="0" borderId="30" xfId="0" applyNumberFormat="1" applyFont="1" applyBorder="1"/>
    <xf numFmtId="3" fontId="43" fillId="0" borderId="30" xfId="0" applyNumberFormat="1" applyFont="1" applyBorder="1" applyAlignment="1">
      <alignment horizontal="center"/>
    </xf>
    <xf numFmtId="3" fontId="49" fillId="0" borderId="0" xfId="0" applyNumberFormat="1" applyFont="1"/>
    <xf numFmtId="2" fontId="0" fillId="0" borderId="51" xfId="0" applyNumberFormat="1" applyBorder="1" applyAlignment="1">
      <alignment horizontal="center" vertical="center"/>
    </xf>
    <xf numFmtId="171" fontId="43" fillId="0" borderId="30" xfId="0" applyNumberFormat="1" applyFont="1" applyBorder="1" applyAlignment="1">
      <alignment horizontal="center"/>
    </xf>
    <xf numFmtId="2" fontId="0" fillId="0" borderId="49" xfId="0" applyNumberFormat="1" applyBorder="1" applyAlignment="1">
      <alignment horizontal="center"/>
    </xf>
    <xf numFmtId="2" fontId="0" fillId="0" borderId="21" xfId="0" applyNumberFormat="1" applyBorder="1"/>
    <xf numFmtId="2" fontId="0" fillId="0" borderId="60" xfId="0" applyNumberFormat="1" applyBorder="1"/>
    <xf numFmtId="2" fontId="0" fillId="0" borderId="21" xfId="0" applyNumberFormat="1" applyBorder="1" applyAlignment="1">
      <alignment horizontal="center"/>
    </xf>
    <xf numFmtId="0" fontId="215" fillId="0" borderId="30" xfId="0" applyFont="1" applyBorder="1" applyAlignment="1">
      <alignment vertical="center" wrapText="1"/>
    </xf>
    <xf numFmtId="0" fontId="49" fillId="82" borderId="30" xfId="0" applyFont="1" applyFill="1" applyBorder="1" applyAlignment="1">
      <alignment horizontal="left"/>
    </xf>
    <xf numFmtId="1" fontId="0" fillId="46" borderId="14" xfId="0" applyNumberFormat="1" applyFill="1" applyBorder="1" applyAlignment="1">
      <alignment horizontal="center"/>
    </xf>
    <xf numFmtId="0" fontId="49" fillId="95" borderId="19" xfId="0" applyFont="1" applyFill="1" applyBorder="1" applyAlignment="1">
      <alignment horizontal="left"/>
    </xf>
    <xf numFmtId="3" fontId="38" fillId="0" borderId="0" xfId="142" applyNumberFormat="1"/>
    <xf numFmtId="0" fontId="128" fillId="70" borderId="88" xfId="0" applyFont="1" applyFill="1" applyBorder="1"/>
    <xf numFmtId="9" fontId="0" fillId="0" borderId="0" xfId="518" applyFont="1"/>
    <xf numFmtId="0" fontId="103" fillId="45" borderId="8" xfId="0" applyFont="1" applyFill="1" applyBorder="1"/>
    <xf numFmtId="0" fontId="101" fillId="45" borderId="30" xfId="0" applyFont="1" applyFill="1" applyBorder="1"/>
    <xf numFmtId="0" fontId="159" fillId="0" borderId="0" xfId="0" applyFont="1"/>
    <xf numFmtId="0" fontId="159" fillId="0" borderId="30" xfId="0" applyFont="1" applyBorder="1"/>
    <xf numFmtId="14" fontId="215" fillId="0" borderId="30" xfId="0" applyNumberFormat="1" applyFont="1" applyBorder="1" applyAlignment="1">
      <alignment horizontal="left" vertical="center"/>
    </xf>
    <xf numFmtId="0" fontId="215" fillId="0" borderId="14" xfId="0" applyFont="1" applyBorder="1" applyAlignment="1">
      <alignment vertical="center" wrapText="1"/>
    </xf>
    <xf numFmtId="0" fontId="215" fillId="0" borderId="30" xfId="0" applyFont="1" applyBorder="1" applyAlignment="1">
      <alignment horizontal="center" vertical="center"/>
    </xf>
    <xf numFmtId="0" fontId="49" fillId="57" borderId="51" xfId="0" applyFont="1" applyFill="1" applyBorder="1" applyAlignment="1">
      <alignment horizontal="center"/>
    </xf>
    <xf numFmtId="0" fontId="38" fillId="86" borderId="29" xfId="0" applyFont="1" applyFill="1" applyBorder="1" applyAlignment="1">
      <alignment horizontal="center"/>
    </xf>
    <xf numFmtId="0" fontId="38" fillId="86" borderId="30" xfId="0" applyFont="1" applyFill="1" applyBorder="1" applyAlignment="1">
      <alignment horizontal="center"/>
    </xf>
    <xf numFmtId="172" fontId="0" fillId="0" borderId="30" xfId="1" applyNumberFormat="1" applyFont="1" applyBorder="1" applyAlignment="1">
      <alignment horizontal="center"/>
    </xf>
    <xf numFmtId="0" fontId="36" fillId="46" borderId="58" xfId="0" applyFont="1" applyFill="1" applyBorder="1" applyAlignment="1">
      <alignment horizontal="center"/>
    </xf>
    <xf numFmtId="0" fontId="36" fillId="46" borderId="57" xfId="0" applyFont="1" applyFill="1" applyBorder="1" applyAlignment="1">
      <alignment horizontal="center"/>
    </xf>
    <xf numFmtId="0" fontId="128" fillId="70" borderId="88" xfId="0" applyFont="1" applyFill="1" applyBorder="1" applyAlignment="1">
      <alignment horizontal="center"/>
    </xf>
    <xf numFmtId="1" fontId="38" fillId="46" borderId="30" xfId="0" applyNumberFormat="1" applyFont="1" applyFill="1" applyBorder="1" applyAlignment="1">
      <alignment horizontal="center" vertical="center"/>
    </xf>
    <xf numFmtId="1" fontId="38" fillId="46" borderId="55" xfId="0" applyNumberFormat="1" applyFont="1" applyFill="1" applyBorder="1" applyAlignment="1">
      <alignment horizontal="center"/>
    </xf>
    <xf numFmtId="1" fontId="38" fillId="46" borderId="14" xfId="0" applyNumberFormat="1" applyFont="1" applyFill="1" applyBorder="1" applyAlignment="1">
      <alignment horizontal="center"/>
    </xf>
    <xf numFmtId="1" fontId="0" fillId="0" borderId="63" xfId="0" applyNumberFormat="1" applyBorder="1" applyAlignment="1">
      <alignment horizontal="center"/>
    </xf>
    <xf numFmtId="2" fontId="43" fillId="0" borderId="7" xfId="0" applyNumberFormat="1" applyFont="1" applyBorder="1" applyAlignment="1">
      <alignment horizontal="center" vertical="center"/>
    </xf>
    <xf numFmtId="2" fontId="43" fillId="0" borderId="8" xfId="0" applyNumberFormat="1" applyFont="1" applyBorder="1" applyAlignment="1">
      <alignment horizontal="center" vertical="center"/>
    </xf>
    <xf numFmtId="2" fontId="43" fillId="0" borderId="90" xfId="0" applyNumberFormat="1" applyFont="1" applyBorder="1" applyAlignment="1">
      <alignment horizontal="center" vertical="center"/>
    </xf>
    <xf numFmtId="0" fontId="38" fillId="0" borderId="63" xfId="142" applyBorder="1" applyAlignment="1">
      <alignment horizontal="center"/>
    </xf>
    <xf numFmtId="0" fontId="38" fillId="0" borderId="15" xfId="142" applyBorder="1" applyAlignment="1">
      <alignment vertical="center"/>
    </xf>
    <xf numFmtId="0" fontId="38" fillId="0" borderId="63" xfId="142" applyBorder="1" applyAlignment="1">
      <alignment vertical="center"/>
    </xf>
    <xf numFmtId="9" fontId="38" fillId="0" borderId="15" xfId="518" applyFont="1" applyBorder="1" applyAlignment="1">
      <alignment horizontal="center" vertical="center"/>
    </xf>
    <xf numFmtId="0" fontId="38" fillId="0" borderId="63" xfId="142" applyBorder="1" applyAlignment="1">
      <alignment horizontal="center" vertical="center"/>
    </xf>
    <xf numFmtId="0" fontId="38" fillId="0" borderId="15" xfId="142" applyBorder="1" applyAlignment="1">
      <alignment horizontal="center" vertical="center"/>
    </xf>
    <xf numFmtId="0" fontId="38" fillId="0" borderId="15" xfId="142" applyBorder="1" applyAlignment="1">
      <alignment horizontal="center"/>
    </xf>
    <xf numFmtId="0" fontId="38" fillId="0" borderId="25" xfId="142" applyBorder="1" applyAlignment="1">
      <alignment horizontal="center"/>
    </xf>
    <xf numFmtId="0" fontId="38" fillId="0" borderId="49" xfId="142" applyBorder="1" applyAlignment="1">
      <alignment horizontal="center"/>
    </xf>
    <xf numFmtId="0" fontId="38" fillId="0" borderId="15" xfId="142" applyBorder="1"/>
    <xf numFmtId="0" fontId="38" fillId="0" borderId="25" xfId="142" applyBorder="1"/>
    <xf numFmtId="3" fontId="38" fillId="51" borderId="11" xfId="0" applyNumberFormat="1" applyFont="1" applyFill="1" applyBorder="1" applyAlignment="1">
      <alignment horizontal="center"/>
    </xf>
    <xf numFmtId="3" fontId="38" fillId="51" borderId="0" xfId="0" applyNumberFormat="1" applyFont="1" applyFill="1" applyAlignment="1">
      <alignment horizontal="center"/>
    </xf>
    <xf numFmtId="1" fontId="0" fillId="51" borderId="21" xfId="0" applyNumberFormat="1" applyFill="1" applyBorder="1" applyAlignment="1">
      <alignment horizontal="center"/>
    </xf>
    <xf numFmtId="1" fontId="214" fillId="46" borderId="0" xfId="0" applyNumberFormat="1" applyFont="1" applyFill="1" applyAlignment="1">
      <alignment horizontal="center" vertical="center" wrapText="1"/>
    </xf>
    <xf numFmtId="0" fontId="118" fillId="46" borderId="0" xfId="0" applyFont="1" applyFill="1" applyAlignment="1">
      <alignment horizontal="center" vertical="center" wrapText="1"/>
    </xf>
    <xf numFmtId="170" fontId="214" fillId="46" borderId="0" xfId="0" applyNumberFormat="1" applyFont="1" applyFill="1" applyAlignment="1">
      <alignment horizontal="center" vertical="center" wrapText="1"/>
    </xf>
    <xf numFmtId="170" fontId="36" fillId="51" borderId="15" xfId="0" applyNumberFormat="1" applyFont="1" applyFill="1" applyBorder="1" applyAlignment="1">
      <alignment horizontal="center" vertical="center" wrapText="1"/>
    </xf>
    <xf numFmtId="1" fontId="0" fillId="51" borderId="32" xfId="0" applyNumberFormat="1" applyFill="1" applyBorder="1" applyAlignment="1">
      <alignment horizontal="center"/>
    </xf>
    <xf numFmtId="170" fontId="38" fillId="0" borderId="30" xfId="0" applyNumberFormat="1" applyFont="1" applyBorder="1" applyAlignment="1">
      <alignment horizontal="center" vertical="center"/>
    </xf>
    <xf numFmtId="171" fontId="38" fillId="0" borderId="30" xfId="0" applyNumberFormat="1" applyFont="1" applyBorder="1" applyAlignment="1">
      <alignment horizontal="center"/>
    </xf>
    <xf numFmtId="171" fontId="0" fillId="0" borderId="0" xfId="1" applyNumberFormat="1" applyFont="1" applyAlignment="1">
      <alignment horizontal="center"/>
    </xf>
    <xf numFmtId="3" fontId="0" fillId="90" borderId="58" xfId="0" applyNumberFormat="1" applyFill="1" applyBorder="1"/>
    <xf numFmtId="3" fontId="0" fillId="90" borderId="57" xfId="0" applyNumberFormat="1" applyFill="1" applyBorder="1"/>
    <xf numFmtId="3" fontId="38" fillId="90" borderId="59" xfId="0" applyNumberFormat="1" applyFont="1" applyFill="1" applyBorder="1"/>
    <xf numFmtId="3" fontId="0" fillId="86" borderId="57" xfId="0" applyNumberFormat="1" applyFill="1" applyBorder="1" applyAlignment="1">
      <alignment horizontal="center" vertical="center"/>
    </xf>
    <xf numFmtId="3" fontId="0" fillId="54" borderId="57" xfId="0" applyNumberFormat="1" applyFill="1" applyBorder="1" applyAlignment="1">
      <alignment horizontal="center"/>
    </xf>
    <xf numFmtId="3" fontId="0" fillId="75" borderId="55" xfId="0" applyNumberFormat="1" applyFill="1" applyBorder="1"/>
    <xf numFmtId="3" fontId="0" fillId="75" borderId="14" xfId="0" applyNumberFormat="1" applyFill="1" applyBorder="1"/>
    <xf numFmtId="3" fontId="0" fillId="75" borderId="26" xfId="0" applyNumberFormat="1" applyFill="1" applyBorder="1"/>
    <xf numFmtId="3" fontId="0" fillId="91" borderId="58" xfId="0" applyNumberFormat="1" applyFill="1" applyBorder="1"/>
    <xf numFmtId="3" fontId="0" fillId="91" borderId="57" xfId="0" applyNumberFormat="1" applyFill="1" applyBorder="1"/>
    <xf numFmtId="3" fontId="0" fillId="91" borderId="59" xfId="0" applyNumberFormat="1" applyFill="1" applyBorder="1"/>
    <xf numFmtId="3" fontId="0" fillId="91" borderId="61" xfId="0" applyNumberFormat="1" applyFill="1" applyBorder="1"/>
    <xf numFmtId="1" fontId="38" fillId="51" borderId="63" xfId="0" applyNumberFormat="1" applyFont="1" applyFill="1" applyBorder="1" applyAlignment="1">
      <alignment horizontal="center" vertical="center" wrapText="1"/>
    </xf>
    <xf numFmtId="3" fontId="0" fillId="86" borderId="21" xfId="0" applyNumberFormat="1" applyFill="1" applyBorder="1"/>
    <xf numFmtId="0" fontId="38" fillId="46" borderId="29" xfId="0" applyFont="1" applyFill="1" applyBorder="1" applyAlignment="1">
      <alignment horizontal="center"/>
    </xf>
    <xf numFmtId="0" fontId="213" fillId="88" borderId="14" xfId="0" applyFont="1" applyFill="1" applyBorder="1" applyAlignment="1">
      <alignment horizontal="left" vertical="center"/>
    </xf>
    <xf numFmtId="0" fontId="0" fillId="46" borderId="0" xfId="0" applyFill="1" applyAlignment="1">
      <alignment horizontal="left" wrapText="1"/>
    </xf>
    <xf numFmtId="0" fontId="118" fillId="86" borderId="36" xfId="0" applyFont="1" applyFill="1" applyBorder="1" applyAlignment="1">
      <alignment horizontal="center" vertical="center" wrapText="1"/>
    </xf>
    <xf numFmtId="0" fontId="49" fillId="86" borderId="4" xfId="0" applyFont="1" applyFill="1" applyBorder="1" applyAlignment="1">
      <alignment horizontal="center" vertical="center"/>
    </xf>
    <xf numFmtId="0" fontId="214" fillId="46" borderId="21" xfId="0" applyFont="1" applyFill="1" applyBorder="1" applyAlignment="1">
      <alignment horizontal="center" vertical="center" wrapText="1"/>
    </xf>
    <xf numFmtId="170" fontId="38" fillId="51" borderId="15" xfId="0" applyNumberFormat="1" applyFont="1" applyFill="1" applyBorder="1" applyAlignment="1">
      <alignment horizontal="center" vertical="center" wrapText="1"/>
    </xf>
    <xf numFmtId="0" fontId="136" fillId="0" borderId="31" xfId="0" applyFont="1" applyBorder="1" applyAlignment="1">
      <alignment vertical="center"/>
    </xf>
    <xf numFmtId="0" fontId="36" fillId="46" borderId="8" xfId="0" applyFont="1" applyFill="1" applyBorder="1" applyAlignment="1">
      <alignment horizontal="left" vertical="center" wrapText="1"/>
    </xf>
    <xf numFmtId="0" fontId="36" fillId="46" borderId="36" xfId="0" applyFont="1" applyFill="1" applyBorder="1" applyAlignment="1">
      <alignment horizontal="left" vertical="center" wrapText="1"/>
    </xf>
    <xf numFmtId="170" fontId="38" fillId="51" borderId="37" xfId="0" applyNumberFormat="1" applyFont="1" applyFill="1" applyBorder="1" applyAlignment="1">
      <alignment horizontal="center" vertical="center" wrapText="1"/>
    </xf>
    <xf numFmtId="0" fontId="0" fillId="75" borderId="14" xfId="0" applyFill="1" applyBorder="1" applyAlignment="1">
      <alignment horizontal="center"/>
    </xf>
    <xf numFmtId="0" fontId="0" fillId="81" borderId="32" xfId="0" applyFill="1" applyBorder="1" applyAlignment="1">
      <alignment horizontal="center"/>
    </xf>
    <xf numFmtId="0" fontId="0" fillId="81" borderId="21" xfId="0" applyFill="1" applyBorder="1" applyAlignment="1">
      <alignment horizontal="center"/>
    </xf>
    <xf numFmtId="0" fontId="0" fillId="81" borderId="25" xfId="0" applyFill="1" applyBorder="1" applyAlignment="1">
      <alignment horizontal="center"/>
    </xf>
    <xf numFmtId="0" fontId="49" fillId="57" borderId="32" xfId="0" applyFont="1" applyFill="1" applyBorder="1" applyAlignment="1">
      <alignment horizontal="center"/>
    </xf>
    <xf numFmtId="0" fontId="49" fillId="57" borderId="21" xfId="0" applyFont="1" applyFill="1" applyBorder="1" applyAlignment="1">
      <alignment horizontal="center"/>
    </xf>
    <xf numFmtId="0" fontId="49" fillId="57" borderId="25" xfId="0" applyFont="1" applyFill="1" applyBorder="1" applyAlignment="1">
      <alignment horizontal="center"/>
    </xf>
    <xf numFmtId="0" fontId="0" fillId="86" borderId="32" xfId="0" applyFill="1" applyBorder="1" applyAlignment="1">
      <alignment horizontal="center"/>
    </xf>
    <xf numFmtId="0" fontId="0" fillId="86" borderId="21" xfId="0" applyFill="1" applyBorder="1" applyAlignment="1">
      <alignment horizontal="center"/>
    </xf>
    <xf numFmtId="0" fontId="49" fillId="86" borderId="21" xfId="0" applyFont="1" applyFill="1" applyBorder="1" applyAlignment="1">
      <alignment horizontal="center"/>
    </xf>
    <xf numFmtId="0" fontId="49" fillId="86" borderId="60" xfId="0" applyFont="1" applyFill="1" applyBorder="1" applyAlignment="1">
      <alignment horizontal="center"/>
    </xf>
    <xf numFmtId="0" fontId="0" fillId="75" borderId="31" xfId="0" applyFill="1" applyBorder="1" applyAlignment="1">
      <alignment horizontal="center"/>
    </xf>
    <xf numFmtId="0" fontId="0" fillId="86" borderId="60" xfId="0" applyFill="1" applyBorder="1" applyAlignment="1">
      <alignment horizontal="center"/>
    </xf>
    <xf numFmtId="0" fontId="0" fillId="90" borderId="32" xfId="0" applyFill="1" applyBorder="1" applyAlignment="1">
      <alignment horizontal="center"/>
    </xf>
    <xf numFmtId="0" fontId="0" fillId="90" borderId="21" xfId="0" applyFill="1" applyBorder="1" applyAlignment="1">
      <alignment horizontal="center"/>
    </xf>
    <xf numFmtId="0" fontId="49" fillId="90" borderId="60" xfId="0" applyFont="1" applyFill="1" applyBorder="1" applyAlignment="1">
      <alignment horizontal="center"/>
    </xf>
    <xf numFmtId="0" fontId="118" fillId="86" borderId="21" xfId="0" applyFont="1" applyFill="1" applyBorder="1" applyAlignment="1">
      <alignment horizontal="center"/>
    </xf>
    <xf numFmtId="3" fontId="96" fillId="46" borderId="0" xfId="0" applyNumberFormat="1" applyFont="1" applyFill="1"/>
    <xf numFmtId="0" fontId="158" fillId="0" borderId="41" xfId="0" applyFont="1" applyBorder="1" applyAlignment="1">
      <alignment horizontal="right" vertical="center"/>
    </xf>
    <xf numFmtId="0" fontId="114" fillId="0" borderId="0" xfId="0" applyFont="1" applyAlignment="1">
      <alignment horizontal="center" vertical="center"/>
    </xf>
    <xf numFmtId="0" fontId="42" fillId="0" borderId="0" xfId="0" applyFont="1" applyAlignment="1" applyProtection="1">
      <alignment horizontal="center" vertical="center"/>
      <protection locked="0"/>
    </xf>
    <xf numFmtId="0" fontId="56" fillId="0" borderId="0" xfId="0" applyFont="1" applyAlignment="1" applyProtection="1">
      <alignment horizontal="center" vertical="center"/>
      <protection locked="0"/>
    </xf>
    <xf numFmtId="0" fontId="57" fillId="0" borderId="0" xfId="0" applyFont="1" applyAlignment="1" applyProtection="1">
      <alignment horizontal="center" vertical="center"/>
      <protection locked="0"/>
    </xf>
    <xf numFmtId="3" fontId="36" fillId="0" borderId="0" xfId="0" applyNumberFormat="1" applyFont="1" applyAlignment="1">
      <alignment horizontal="center"/>
    </xf>
    <xf numFmtId="0" fontId="0" fillId="46" borderId="69" xfId="0" applyFill="1" applyBorder="1" applyAlignment="1">
      <alignment horizontal="center"/>
    </xf>
    <xf numFmtId="1" fontId="0" fillId="51" borderId="14" xfId="0" applyNumberFormat="1" applyFill="1" applyBorder="1" applyAlignment="1">
      <alignment horizontal="center"/>
    </xf>
    <xf numFmtId="0" fontId="0" fillId="51" borderId="61" xfId="0" applyFill="1" applyBorder="1" applyAlignment="1">
      <alignment horizontal="center"/>
    </xf>
    <xf numFmtId="0" fontId="49" fillId="51" borderId="31" xfId="0" applyFont="1" applyFill="1" applyBorder="1" applyAlignment="1">
      <alignment horizontal="center"/>
    </xf>
    <xf numFmtId="9" fontId="120" fillId="46" borderId="0" xfId="42" applyFont="1" applyFill="1"/>
    <xf numFmtId="0" fontId="96" fillId="46" borderId="0" xfId="0" applyFont="1" applyFill="1"/>
    <xf numFmtId="1" fontId="229" fillId="46" borderId="49" xfId="0" applyNumberFormat="1" applyFont="1" applyFill="1" applyBorder="1" applyAlignment="1">
      <alignment horizontal="center" vertical="center" wrapText="1"/>
    </xf>
    <xf numFmtId="1" fontId="120" fillId="86" borderId="64" xfId="0" applyNumberFormat="1" applyFont="1" applyFill="1" applyBorder="1" applyAlignment="1">
      <alignment horizontal="center" vertical="center" wrapText="1"/>
    </xf>
    <xf numFmtId="0" fontId="38" fillId="46" borderId="30" xfId="0" applyFont="1" applyFill="1" applyBorder="1" applyAlignment="1">
      <alignment horizontal="center" vertical="center"/>
    </xf>
    <xf numFmtId="3" fontId="51" fillId="0" borderId="0" xfId="0" applyNumberFormat="1" applyFont="1" applyAlignment="1">
      <alignment horizontal="center"/>
    </xf>
    <xf numFmtId="0" fontId="49" fillId="46" borderId="0" xfId="0" applyFont="1" applyFill="1" applyAlignment="1">
      <alignment horizontal="center"/>
    </xf>
    <xf numFmtId="0" fontId="51" fillId="46" borderId="0" xfId="0" applyFont="1" applyFill="1" applyAlignment="1">
      <alignment horizontal="center"/>
    </xf>
    <xf numFmtId="3" fontId="38" fillId="51" borderId="0" xfId="0" applyNumberFormat="1" applyFont="1" applyFill="1"/>
    <xf numFmtId="0" fontId="150" fillId="46" borderId="0" xfId="0" applyFont="1" applyFill="1" applyAlignment="1">
      <alignment horizontal="center" vertical="center" wrapText="1"/>
    </xf>
    <xf numFmtId="9" fontId="38" fillId="46" borderId="0" xfId="42" applyFont="1" applyFill="1"/>
    <xf numFmtId="1" fontId="232" fillId="46" borderId="0" xfId="0" applyNumberFormat="1" applyFont="1" applyFill="1" applyAlignment="1">
      <alignment horizontal="center"/>
    </xf>
    <xf numFmtId="1" fontId="233" fillId="0" borderId="0" xfId="0" applyNumberFormat="1" applyFont="1" applyAlignment="1">
      <alignment horizontal="center"/>
    </xf>
    <xf numFmtId="0" fontId="231" fillId="51" borderId="5" xfId="0" applyFont="1" applyFill="1" applyBorder="1" applyAlignment="1">
      <alignment horizontal="center" vertical="center"/>
    </xf>
    <xf numFmtId="0" fontId="231" fillId="51" borderId="2" xfId="0" applyFont="1" applyFill="1" applyBorder="1" applyAlignment="1">
      <alignment horizontal="center" vertical="center" wrapText="1"/>
    </xf>
    <xf numFmtId="170" fontId="237" fillId="86" borderId="11" xfId="0" applyNumberFormat="1" applyFont="1" applyFill="1" applyBorder="1" applyAlignment="1" applyProtection="1">
      <alignment horizontal="center" vertical="center" wrapText="1"/>
      <protection locked="0"/>
    </xf>
    <xf numFmtId="1" fontId="238" fillId="94" borderId="8" xfId="0" applyNumberFormat="1" applyFont="1" applyFill="1" applyBorder="1" applyAlignment="1">
      <alignment horizontal="center"/>
    </xf>
    <xf numFmtId="170" fontId="238" fillId="0" borderId="0" xfId="0" applyNumberFormat="1" applyFont="1" applyAlignment="1" applyProtection="1">
      <alignment horizontal="center" vertical="center" wrapText="1"/>
      <protection locked="0"/>
    </xf>
    <xf numFmtId="170" fontId="237" fillId="86" borderId="34" xfId="0" applyNumberFormat="1" applyFont="1" applyFill="1" applyBorder="1" applyAlignment="1" applyProtection="1">
      <alignment horizontal="center" vertical="center" wrapText="1"/>
      <protection locked="0"/>
    </xf>
    <xf numFmtId="170" fontId="238" fillId="46" borderId="0" xfId="0" applyNumberFormat="1" applyFont="1" applyFill="1" applyAlignment="1" applyProtection="1">
      <alignment horizontal="center" vertical="center" wrapText="1"/>
      <protection locked="0"/>
    </xf>
    <xf numFmtId="171" fontId="238" fillId="94" borderId="14" xfId="0" applyNumberFormat="1" applyFont="1" applyFill="1" applyBorder="1" applyAlignment="1" applyProtection="1">
      <alignment horizontal="center" vertical="center" wrapText="1"/>
      <protection locked="0"/>
    </xf>
    <xf numFmtId="0" fontId="241" fillId="0" borderId="69" xfId="0" applyFont="1" applyBorder="1" applyAlignment="1">
      <alignment horizontal="center" vertical="center"/>
    </xf>
    <xf numFmtId="0" fontId="241" fillId="0" borderId="52" xfId="0" applyFont="1" applyBorder="1" applyAlignment="1">
      <alignment horizontal="center" vertical="center"/>
    </xf>
    <xf numFmtId="0" fontId="241" fillId="0" borderId="68" xfId="0" applyFont="1" applyBorder="1" applyAlignment="1">
      <alignment horizontal="center" vertical="center"/>
    </xf>
    <xf numFmtId="0" fontId="242" fillId="0" borderId="32" xfId="0" applyFont="1" applyBorder="1" applyAlignment="1" applyProtection="1">
      <alignment vertical="center"/>
      <protection locked="0"/>
    </xf>
    <xf numFmtId="3" fontId="232" fillId="0" borderId="21" xfId="0" applyNumberFormat="1" applyFont="1" applyBorder="1" applyAlignment="1" applyProtection="1">
      <alignment horizontal="right" vertical="center"/>
      <protection locked="0"/>
    </xf>
    <xf numFmtId="166" fontId="232" fillId="0" borderId="21" xfId="0" applyNumberFormat="1" applyFont="1" applyBorder="1" applyAlignment="1" applyProtection="1">
      <alignment horizontal="right" vertical="center"/>
      <protection locked="0"/>
    </xf>
    <xf numFmtId="167" fontId="232" fillId="0" borderId="21" xfId="0" applyNumberFormat="1" applyFont="1" applyBorder="1" applyAlignment="1" applyProtection="1">
      <alignment horizontal="right" vertical="center"/>
      <protection locked="0"/>
    </xf>
    <xf numFmtId="171" fontId="243" fillId="46" borderId="21" xfId="0" applyNumberFormat="1" applyFont="1" applyFill="1" applyBorder="1" applyAlignment="1" applyProtection="1">
      <alignment horizontal="center" vertical="center"/>
      <protection locked="0"/>
    </xf>
    <xf numFmtId="1" fontId="243" fillId="46" borderId="21" xfId="0" applyNumberFormat="1" applyFont="1" applyFill="1" applyBorder="1" applyAlignment="1" applyProtection="1">
      <alignment horizontal="center" vertical="center"/>
      <protection locked="0"/>
    </xf>
    <xf numFmtId="170" fontId="232" fillId="46" borderId="21" xfId="0" applyNumberFormat="1" applyFont="1" applyFill="1" applyBorder="1" applyAlignment="1" applyProtection="1">
      <alignment horizontal="center" vertical="center"/>
      <protection locked="0"/>
    </xf>
    <xf numFmtId="4" fontId="232" fillId="46" borderId="21" xfId="0" applyNumberFormat="1" applyFont="1" applyFill="1" applyBorder="1" applyAlignment="1" applyProtection="1">
      <alignment horizontal="center" vertical="top"/>
      <protection locked="0"/>
    </xf>
    <xf numFmtId="4" fontId="231" fillId="46" borderId="0" xfId="0" applyNumberFormat="1" applyFont="1" applyFill="1" applyAlignment="1" applyProtection="1">
      <alignment horizontal="center" vertical="top"/>
      <protection locked="0"/>
    </xf>
    <xf numFmtId="3" fontId="232" fillId="0" borderId="21" xfId="0" applyNumberFormat="1" applyFont="1" applyBorder="1" applyAlignment="1" applyProtection="1">
      <alignment horizontal="center" vertical="center"/>
      <protection locked="0"/>
    </xf>
    <xf numFmtId="1" fontId="232" fillId="0" borderId="21" xfId="0" applyNumberFormat="1" applyFont="1" applyBorder="1" applyAlignment="1" applyProtection="1">
      <alignment horizontal="center" vertical="center"/>
      <protection locked="0"/>
    </xf>
    <xf numFmtId="171" fontId="232" fillId="46" borderId="21" xfId="0" applyNumberFormat="1" applyFont="1" applyFill="1" applyBorder="1" applyAlignment="1" applyProtection="1">
      <alignment horizontal="center" vertical="top"/>
      <protection locked="0"/>
    </xf>
    <xf numFmtId="3" fontId="232" fillId="46" borderId="21" xfId="0" applyNumberFormat="1" applyFont="1" applyFill="1" applyBorder="1" applyAlignment="1" applyProtection="1">
      <alignment horizontal="center" vertical="center"/>
      <protection locked="0"/>
    </xf>
    <xf numFmtId="4" fontId="232" fillId="51" borderId="60" xfId="0" applyNumberFormat="1" applyFont="1" applyFill="1" applyBorder="1" applyAlignment="1" applyProtection="1">
      <alignment horizontal="center" vertical="top"/>
      <protection locked="0"/>
    </xf>
    <xf numFmtId="170" fontId="244" fillId="46" borderId="0" xfId="0" applyNumberFormat="1" applyFont="1" applyFill="1" applyAlignment="1" applyProtection="1">
      <alignment horizontal="center" vertical="center"/>
      <protection locked="0"/>
    </xf>
    <xf numFmtId="3" fontId="232" fillId="0" borderId="29" xfId="0" applyNumberFormat="1" applyFont="1" applyBorder="1" applyAlignment="1" applyProtection="1">
      <alignment horizontal="right" vertical="center"/>
      <protection locked="0"/>
    </xf>
    <xf numFmtId="171" fontId="244" fillId="0" borderId="30" xfId="0" applyNumberFormat="1" applyFont="1" applyBorder="1" applyAlignment="1" applyProtection="1">
      <alignment horizontal="center" vertical="center"/>
      <protection locked="0"/>
    </xf>
    <xf numFmtId="171" fontId="232" fillId="46" borderId="30" xfId="0" applyNumberFormat="1" applyFont="1" applyFill="1" applyBorder="1" applyAlignment="1" applyProtection="1">
      <alignment horizontal="center" vertical="center"/>
      <protection locked="0"/>
    </xf>
    <xf numFmtId="3" fontId="232" fillId="46" borderId="61" xfId="0" applyNumberFormat="1" applyFont="1" applyFill="1" applyBorder="1" applyAlignment="1" applyProtection="1">
      <alignment horizontal="center" vertical="center"/>
      <protection locked="0"/>
    </xf>
    <xf numFmtId="4" fontId="243" fillId="0" borderId="49" xfId="0" applyNumberFormat="1" applyFont="1" applyBorder="1" applyAlignment="1" applyProtection="1">
      <alignment horizontal="center" vertical="center"/>
      <protection locked="0"/>
    </xf>
    <xf numFmtId="171" fontId="232" fillId="0" borderId="21" xfId="0" applyNumberFormat="1" applyFont="1" applyBorder="1" applyAlignment="1" applyProtection="1">
      <alignment horizontal="center" vertical="center"/>
      <protection locked="0"/>
    </xf>
    <xf numFmtId="171" fontId="232" fillId="0" borderId="0" xfId="0" applyNumberFormat="1" applyFont="1" applyAlignment="1" applyProtection="1">
      <alignment horizontal="center" vertical="center"/>
      <protection locked="0"/>
    </xf>
    <xf numFmtId="1" fontId="232" fillId="0" borderId="58" xfId="0" applyNumberFormat="1" applyFont="1" applyBorder="1" applyAlignment="1">
      <alignment horizontal="center" vertical="center"/>
    </xf>
    <xf numFmtId="170" fontId="232" fillId="0" borderId="58" xfId="0" applyNumberFormat="1" applyFont="1" applyBorder="1" applyAlignment="1">
      <alignment horizontal="center" vertical="center"/>
    </xf>
    <xf numFmtId="170" fontId="232" fillId="0" borderId="57" xfId="0" applyNumberFormat="1" applyFont="1" applyBorder="1" applyAlignment="1">
      <alignment horizontal="center" vertical="center"/>
    </xf>
    <xf numFmtId="170" fontId="232" fillId="0" borderId="59" xfId="0" applyNumberFormat="1" applyFont="1" applyBorder="1" applyAlignment="1">
      <alignment horizontal="center" vertical="center"/>
    </xf>
    <xf numFmtId="1" fontId="232" fillId="0" borderId="49" xfId="0" applyNumberFormat="1" applyFont="1" applyBorder="1" applyAlignment="1">
      <alignment horizontal="center" vertical="center"/>
    </xf>
    <xf numFmtId="1" fontId="232" fillId="0" borderId="21" xfId="0" applyNumberFormat="1" applyFont="1" applyBorder="1" applyAlignment="1">
      <alignment horizontal="center" vertical="center"/>
    </xf>
    <xf numFmtId="1" fontId="232" fillId="0" borderId="60" xfId="0" applyNumberFormat="1" applyFont="1" applyBorder="1" applyAlignment="1">
      <alignment horizontal="center" vertical="center"/>
    </xf>
    <xf numFmtId="0" fontId="242" fillId="0" borderId="29" xfId="0" applyFont="1" applyBorder="1" applyAlignment="1" applyProtection="1">
      <alignment vertical="center"/>
      <protection locked="0"/>
    </xf>
    <xf numFmtId="3" fontId="232" fillId="0" borderId="30" xfId="0" applyNumberFormat="1" applyFont="1" applyBorder="1" applyAlignment="1" applyProtection="1">
      <alignment horizontal="right" vertical="center"/>
      <protection locked="0"/>
    </xf>
    <xf numFmtId="166" fontId="232" fillId="0" borderId="30" xfId="0" applyNumberFormat="1" applyFont="1" applyBorder="1" applyAlignment="1" applyProtection="1">
      <alignment horizontal="right" vertical="center"/>
      <protection locked="0"/>
    </xf>
    <xf numFmtId="3" fontId="232" fillId="46" borderId="30" xfId="0" applyNumberFormat="1" applyFont="1" applyFill="1" applyBorder="1" applyAlignment="1" applyProtection="1">
      <alignment horizontal="center" vertical="center"/>
      <protection locked="0"/>
    </xf>
    <xf numFmtId="3" fontId="232" fillId="0" borderId="30" xfId="0" applyNumberFormat="1" applyFont="1" applyBorder="1" applyAlignment="1" applyProtection="1">
      <alignment horizontal="center" vertical="center"/>
      <protection locked="0"/>
    </xf>
    <xf numFmtId="1" fontId="232" fillId="0" borderId="30" xfId="0" applyNumberFormat="1" applyFont="1" applyBorder="1" applyAlignment="1" applyProtection="1">
      <alignment horizontal="center" vertical="center"/>
      <protection locked="0"/>
    </xf>
    <xf numFmtId="171" fontId="243" fillId="46" borderId="30" xfId="0" applyNumberFormat="1" applyFont="1" applyFill="1" applyBorder="1" applyAlignment="1" applyProtection="1">
      <alignment horizontal="center" vertical="center"/>
      <protection locked="0"/>
    </xf>
    <xf numFmtId="3" fontId="243" fillId="46" borderId="30" xfId="0" applyNumberFormat="1" applyFont="1" applyFill="1" applyBorder="1" applyAlignment="1" applyProtection="1">
      <alignment horizontal="center" vertical="center"/>
      <protection locked="0"/>
    </xf>
    <xf numFmtId="170" fontId="243" fillId="46" borderId="30" xfId="0" applyNumberFormat="1" applyFont="1" applyFill="1" applyBorder="1" applyAlignment="1" applyProtection="1">
      <alignment horizontal="center" vertical="center"/>
      <protection locked="0"/>
    </xf>
    <xf numFmtId="4" fontId="232" fillId="51" borderId="61" xfId="0" applyNumberFormat="1" applyFont="1" applyFill="1" applyBorder="1" applyAlignment="1" applyProtection="1">
      <alignment horizontal="center" vertical="top"/>
      <protection locked="0"/>
    </xf>
    <xf numFmtId="171" fontId="232" fillId="0" borderId="30" xfId="0" applyNumberFormat="1" applyFont="1" applyBorder="1" applyAlignment="1" applyProtection="1">
      <alignment horizontal="center" vertical="center"/>
      <protection locked="0"/>
    </xf>
    <xf numFmtId="3" fontId="243" fillId="46" borderId="61" xfId="0" applyNumberFormat="1" applyFont="1" applyFill="1" applyBorder="1" applyAlignment="1" applyProtection="1">
      <alignment horizontal="center" vertical="center"/>
      <protection locked="0"/>
    </xf>
    <xf numFmtId="4" fontId="243" fillId="46" borderId="51" xfId="0" applyNumberFormat="1" applyFont="1" applyFill="1" applyBorder="1" applyAlignment="1" applyProtection="1">
      <alignment horizontal="center" vertical="center"/>
      <protection locked="0"/>
    </xf>
    <xf numFmtId="170" fontId="232" fillId="0" borderId="30" xfId="0" applyNumberFormat="1" applyFont="1" applyBorder="1" applyAlignment="1" applyProtection="1">
      <alignment horizontal="center" vertical="center"/>
      <protection locked="0"/>
    </xf>
    <xf numFmtId="170" fontId="232" fillId="0" borderId="0" xfId="0" applyNumberFormat="1" applyFont="1" applyAlignment="1" applyProtection="1">
      <alignment horizontal="center" vertical="center"/>
      <protection locked="0"/>
    </xf>
    <xf numFmtId="1" fontId="232" fillId="0" borderId="29" xfId="0" applyNumberFormat="1" applyFont="1" applyBorder="1" applyAlignment="1">
      <alignment horizontal="center" vertical="center"/>
    </xf>
    <xf numFmtId="170" fontId="232" fillId="0" borderId="29" xfId="0" applyNumberFormat="1" applyFont="1" applyBorder="1" applyAlignment="1">
      <alignment horizontal="center" vertical="center"/>
    </xf>
    <xf numFmtId="170" fontId="232" fillId="0" borderId="30" xfId="0" applyNumberFormat="1" applyFont="1" applyBorder="1" applyAlignment="1">
      <alignment horizontal="center" vertical="center"/>
    </xf>
    <xf numFmtId="170" fontId="232" fillId="0" borderId="61" xfId="0" applyNumberFormat="1" applyFont="1" applyBorder="1" applyAlignment="1">
      <alignment horizontal="center" vertical="center"/>
    </xf>
    <xf numFmtId="1" fontId="232" fillId="0" borderId="51" xfId="0" applyNumberFormat="1" applyFont="1" applyBorder="1" applyAlignment="1">
      <alignment horizontal="center" vertical="center"/>
    </xf>
    <xf numFmtId="1" fontId="232" fillId="0" borderId="30" xfId="0" applyNumberFormat="1" applyFont="1" applyBorder="1" applyAlignment="1">
      <alignment horizontal="center" vertical="center"/>
    </xf>
    <xf numFmtId="1" fontId="232" fillId="0" borderId="61" xfId="0" applyNumberFormat="1" applyFont="1" applyBorder="1" applyAlignment="1">
      <alignment horizontal="center" vertical="center"/>
    </xf>
    <xf numFmtId="0" fontId="242" fillId="0" borderId="42" xfId="0" applyFont="1" applyBorder="1" applyAlignment="1" applyProtection="1">
      <alignment vertical="center"/>
      <protection locked="0"/>
    </xf>
    <xf numFmtId="3" fontId="232" fillId="0" borderId="52" xfId="0" applyNumberFormat="1" applyFont="1" applyBorder="1" applyAlignment="1" applyProtection="1">
      <alignment horizontal="right" vertical="center"/>
      <protection locked="0"/>
    </xf>
    <xf numFmtId="166" fontId="232" fillId="0" borderId="52" xfId="0" applyNumberFormat="1" applyFont="1" applyBorder="1" applyAlignment="1" applyProtection="1">
      <alignment horizontal="right" vertical="center"/>
      <protection locked="0"/>
    </xf>
    <xf numFmtId="167" fontId="232" fillId="0" borderId="52" xfId="0" applyNumberFormat="1" applyFont="1" applyBorder="1" applyAlignment="1" applyProtection="1">
      <alignment horizontal="right" vertical="center"/>
      <protection locked="0"/>
    </xf>
    <xf numFmtId="171" fontId="232" fillId="51" borderId="52" xfId="0" applyNumberFormat="1" applyFont="1" applyFill="1" applyBorder="1" applyAlignment="1" applyProtection="1">
      <alignment horizontal="center" vertical="center"/>
      <protection locked="0"/>
    </xf>
    <xf numFmtId="3" fontId="232" fillId="51" borderId="52" xfId="0" applyNumberFormat="1" applyFont="1" applyFill="1" applyBorder="1" applyAlignment="1" applyProtection="1">
      <alignment horizontal="center" vertical="center"/>
      <protection locked="0"/>
    </xf>
    <xf numFmtId="171" fontId="232" fillId="46" borderId="52" xfId="0" applyNumberFormat="1" applyFont="1" applyFill="1" applyBorder="1" applyAlignment="1" applyProtection="1">
      <alignment horizontal="center" vertical="center"/>
      <protection locked="0"/>
    </xf>
    <xf numFmtId="3" fontId="232" fillId="0" borderId="52" xfId="0" applyNumberFormat="1" applyFont="1" applyBorder="1" applyAlignment="1" applyProtection="1">
      <alignment horizontal="center" vertical="center"/>
      <protection locked="0"/>
    </xf>
    <xf numFmtId="1" fontId="232" fillId="0" borderId="52" xfId="0" applyNumberFormat="1" applyFont="1" applyBorder="1" applyAlignment="1" applyProtection="1">
      <alignment horizontal="center" vertical="center"/>
      <protection locked="0"/>
    </xf>
    <xf numFmtId="1" fontId="245" fillId="0" borderId="52" xfId="0" applyNumberFormat="1" applyFont="1" applyBorder="1" applyAlignment="1" applyProtection="1">
      <alignment horizontal="center" vertical="center"/>
      <protection locked="0"/>
    </xf>
    <xf numFmtId="171" fontId="243" fillId="46" borderId="52" xfId="0" applyNumberFormat="1" applyFont="1" applyFill="1" applyBorder="1" applyAlignment="1" applyProtection="1">
      <alignment horizontal="center" vertical="center"/>
      <protection locked="0"/>
    </xf>
    <xf numFmtId="3" fontId="243" fillId="46" borderId="52" xfId="0" applyNumberFormat="1" applyFont="1" applyFill="1" applyBorder="1" applyAlignment="1" applyProtection="1">
      <alignment horizontal="center" vertical="center"/>
      <protection locked="0"/>
    </xf>
    <xf numFmtId="170" fontId="232" fillId="46" borderId="52" xfId="0" applyNumberFormat="1" applyFont="1" applyFill="1" applyBorder="1" applyAlignment="1" applyProtection="1">
      <alignment horizontal="center" vertical="center"/>
      <protection locked="0"/>
    </xf>
    <xf numFmtId="4" fontId="232" fillId="46" borderId="68" xfId="0" applyNumberFormat="1" applyFont="1" applyFill="1" applyBorder="1" applyAlignment="1" applyProtection="1">
      <alignment horizontal="center" vertical="top"/>
      <protection locked="0"/>
    </xf>
    <xf numFmtId="170" fontId="244" fillId="46" borderId="34" xfId="0" applyNumberFormat="1" applyFont="1" applyFill="1" applyBorder="1" applyAlignment="1" applyProtection="1">
      <alignment horizontal="center" vertical="center"/>
      <protection locked="0"/>
    </xf>
    <xf numFmtId="3" fontId="232" fillId="0" borderId="42" xfId="0" applyNumberFormat="1" applyFont="1" applyBorder="1" applyAlignment="1" applyProtection="1">
      <alignment horizontal="right" vertical="center"/>
      <protection locked="0"/>
    </xf>
    <xf numFmtId="171" fontId="232" fillId="0" borderId="52" xfId="0" applyNumberFormat="1" applyFont="1" applyBorder="1" applyAlignment="1" applyProtection="1">
      <alignment horizontal="center" vertical="center"/>
      <protection locked="0"/>
    </xf>
    <xf numFmtId="3" fontId="243" fillId="46" borderId="68" xfId="0" applyNumberFormat="1" applyFont="1" applyFill="1" applyBorder="1" applyAlignment="1" applyProtection="1">
      <alignment horizontal="center" vertical="center"/>
      <protection locked="0"/>
    </xf>
    <xf numFmtId="4" fontId="232" fillId="0" borderId="69" xfId="0" applyNumberFormat="1" applyFont="1" applyBorder="1" applyAlignment="1" applyProtection="1">
      <alignment horizontal="center" vertical="center"/>
      <protection locked="0"/>
    </xf>
    <xf numFmtId="170" fontId="232" fillId="0" borderId="52" xfId="0" applyNumberFormat="1" applyFont="1" applyBorder="1" applyAlignment="1" applyProtection="1">
      <alignment horizontal="center" vertical="center"/>
      <protection locked="0"/>
    </xf>
    <xf numFmtId="170" fontId="232" fillId="0" borderId="34" xfId="0" applyNumberFormat="1" applyFont="1" applyBorder="1" applyAlignment="1" applyProtection="1">
      <alignment horizontal="center" vertical="center"/>
      <protection locked="0"/>
    </xf>
    <xf numFmtId="1" fontId="232" fillId="0" borderId="42" xfId="0" applyNumberFormat="1" applyFont="1" applyBorder="1" applyAlignment="1">
      <alignment horizontal="center" vertical="center"/>
    </xf>
    <xf numFmtId="170" fontId="232" fillId="0" borderId="42" xfId="0" applyNumberFormat="1" applyFont="1" applyBorder="1" applyAlignment="1">
      <alignment horizontal="center" vertical="center"/>
    </xf>
    <xf numFmtId="170" fontId="232" fillId="0" borderId="52" xfId="0" applyNumberFormat="1" applyFont="1" applyBorder="1" applyAlignment="1">
      <alignment horizontal="center" vertical="center"/>
    </xf>
    <xf numFmtId="170" fontId="232" fillId="0" borderId="68" xfId="0" applyNumberFormat="1" applyFont="1" applyBorder="1" applyAlignment="1">
      <alignment horizontal="center" vertical="center"/>
    </xf>
    <xf numFmtId="1" fontId="232" fillId="0" borderId="69" xfId="0" applyNumberFormat="1" applyFont="1" applyBorder="1" applyAlignment="1">
      <alignment horizontal="center" vertical="center"/>
    </xf>
    <xf numFmtId="1" fontId="232" fillId="0" borderId="52" xfId="0" applyNumberFormat="1" applyFont="1" applyBorder="1" applyAlignment="1">
      <alignment horizontal="center" vertical="center"/>
    </xf>
    <xf numFmtId="1" fontId="232" fillId="0" borderId="68" xfId="0" applyNumberFormat="1" applyFont="1" applyBorder="1" applyAlignment="1">
      <alignment horizontal="center" vertical="center"/>
    </xf>
    <xf numFmtId="171" fontId="232" fillId="46" borderId="21" xfId="0" applyNumberFormat="1" applyFont="1" applyFill="1" applyBorder="1" applyAlignment="1" applyProtection="1">
      <alignment horizontal="center" vertical="center"/>
      <protection locked="0"/>
    </xf>
    <xf numFmtId="1" fontId="232" fillId="46" borderId="21" xfId="0" applyNumberFormat="1" applyFont="1" applyFill="1" applyBorder="1" applyAlignment="1" applyProtection="1">
      <alignment horizontal="center" vertical="center"/>
      <protection locked="0"/>
    </xf>
    <xf numFmtId="3" fontId="232" fillId="46" borderId="52" xfId="0" applyNumberFormat="1" applyFont="1" applyFill="1" applyBorder="1" applyAlignment="1" applyProtection="1">
      <alignment horizontal="center" vertical="center"/>
      <protection locked="0"/>
    </xf>
    <xf numFmtId="3" fontId="232" fillId="46" borderId="21" xfId="0" applyNumberFormat="1" applyFont="1" applyFill="1" applyBorder="1" applyAlignment="1" applyProtection="1">
      <alignment horizontal="right" vertical="center"/>
      <protection locked="0"/>
    </xf>
    <xf numFmtId="3" fontId="232" fillId="0" borderId="32" xfId="0" applyNumberFormat="1" applyFont="1" applyBorder="1" applyAlignment="1" applyProtection="1">
      <alignment horizontal="right" vertical="center"/>
      <protection locked="0"/>
    </xf>
    <xf numFmtId="3" fontId="232" fillId="46" borderId="60" xfId="0" applyNumberFormat="1" applyFont="1" applyFill="1" applyBorder="1" applyAlignment="1" applyProtection="1">
      <alignment horizontal="center" vertical="center"/>
      <protection locked="0"/>
    </xf>
    <xf numFmtId="4" fontId="232" fillId="0" borderId="49" xfId="0" applyNumberFormat="1" applyFont="1" applyBorder="1" applyAlignment="1" applyProtection="1">
      <alignment horizontal="center" vertical="center"/>
      <protection locked="0"/>
    </xf>
    <xf numFmtId="1" fontId="232" fillId="0" borderId="32" xfId="0" applyNumberFormat="1" applyFont="1" applyBorder="1" applyAlignment="1">
      <alignment horizontal="center" vertical="center"/>
    </xf>
    <xf numFmtId="170" fontId="232" fillId="0" borderId="32" xfId="0" applyNumberFormat="1" applyFont="1" applyBorder="1" applyAlignment="1">
      <alignment horizontal="center" vertical="center"/>
    </xf>
    <xf numFmtId="170" fontId="232" fillId="0" borderId="21" xfId="0" applyNumberFormat="1" applyFont="1" applyBorder="1" applyAlignment="1">
      <alignment horizontal="center" vertical="center"/>
    </xf>
    <xf numFmtId="170" fontId="232" fillId="0" borderId="60" xfId="0" applyNumberFormat="1" applyFont="1" applyBorder="1" applyAlignment="1">
      <alignment horizontal="center" vertical="center"/>
    </xf>
    <xf numFmtId="4" fontId="232" fillId="46" borderId="52" xfId="0" applyNumberFormat="1" applyFont="1" applyFill="1" applyBorder="1" applyAlignment="1" applyProtection="1">
      <alignment horizontal="center" vertical="top"/>
      <protection locked="0"/>
    </xf>
    <xf numFmtId="4" fontId="232" fillId="46" borderId="0" xfId="0" applyNumberFormat="1" applyFont="1" applyFill="1" applyAlignment="1" applyProtection="1">
      <alignment horizontal="center" vertical="top"/>
      <protection locked="0"/>
    </xf>
    <xf numFmtId="3" fontId="232" fillId="46" borderId="57" xfId="0" applyNumberFormat="1" applyFont="1" applyFill="1" applyBorder="1" applyAlignment="1" applyProtection="1">
      <alignment horizontal="center" vertical="center"/>
      <protection locked="0"/>
    </xf>
    <xf numFmtId="170" fontId="243" fillId="46" borderId="57" xfId="0" applyNumberFormat="1" applyFont="1" applyFill="1" applyBorder="1" applyAlignment="1" applyProtection="1">
      <alignment horizontal="center" vertical="center"/>
      <protection locked="0"/>
    </xf>
    <xf numFmtId="4" fontId="245" fillId="46" borderId="59" xfId="0" applyNumberFormat="1" applyFont="1" applyFill="1" applyBorder="1" applyAlignment="1" applyProtection="1">
      <alignment horizontal="center" vertical="top"/>
      <protection locked="0"/>
    </xf>
    <xf numFmtId="4" fontId="245" fillId="46" borderId="69" xfId="0" applyNumberFormat="1" applyFont="1" applyFill="1" applyBorder="1" applyAlignment="1" applyProtection="1">
      <alignment horizontal="center" vertical="center"/>
      <protection locked="0"/>
    </xf>
    <xf numFmtId="171" fontId="232" fillId="0" borderId="34" xfId="0" applyNumberFormat="1" applyFont="1" applyBorder="1" applyAlignment="1" applyProtection="1">
      <alignment horizontal="center" vertical="center"/>
      <protection locked="0"/>
    </xf>
    <xf numFmtId="0" fontId="242" fillId="0" borderId="58" xfId="0" applyFont="1" applyBorder="1" applyAlignment="1" applyProtection="1">
      <alignment vertical="center"/>
      <protection locked="0"/>
    </xf>
    <xf numFmtId="1" fontId="232" fillId="46" borderId="57" xfId="0" applyNumberFormat="1" applyFont="1" applyFill="1" applyBorder="1" applyAlignment="1" applyProtection="1">
      <alignment horizontal="center" vertical="center"/>
      <protection locked="0"/>
    </xf>
    <xf numFmtId="170" fontId="232" fillId="46" borderId="57" xfId="0" applyNumberFormat="1" applyFont="1" applyFill="1" applyBorder="1" applyAlignment="1" applyProtection="1">
      <alignment horizontal="center" vertical="center"/>
      <protection locked="0"/>
    </xf>
    <xf numFmtId="4" fontId="232" fillId="46" borderId="57" xfId="0" applyNumberFormat="1" applyFont="1" applyFill="1" applyBorder="1" applyAlignment="1" applyProtection="1">
      <alignment horizontal="center" vertical="top"/>
      <protection locked="0"/>
    </xf>
    <xf numFmtId="4" fontId="232" fillId="46" borderId="59" xfId="0" applyNumberFormat="1" applyFont="1" applyFill="1" applyBorder="1" applyAlignment="1" applyProtection="1">
      <alignment horizontal="center" vertical="top"/>
      <protection locked="0"/>
    </xf>
    <xf numFmtId="170" fontId="244" fillId="46" borderId="11" xfId="0" applyNumberFormat="1" applyFont="1" applyFill="1" applyBorder="1" applyAlignment="1" applyProtection="1">
      <alignment horizontal="center" vertical="center"/>
      <protection locked="0"/>
    </xf>
    <xf numFmtId="4" fontId="232" fillId="51" borderId="66" xfId="0" applyNumberFormat="1" applyFont="1" applyFill="1" applyBorder="1" applyAlignment="1" applyProtection="1">
      <alignment horizontal="center" vertical="center"/>
      <protection locked="0"/>
    </xf>
    <xf numFmtId="171" fontId="232" fillId="0" borderId="57" xfId="0" applyNumberFormat="1" applyFont="1" applyBorder="1" applyAlignment="1" applyProtection="1">
      <alignment horizontal="center" vertical="center"/>
      <protection locked="0"/>
    </xf>
    <xf numFmtId="171" fontId="232" fillId="0" borderId="11" xfId="0" applyNumberFormat="1" applyFont="1" applyBorder="1" applyAlignment="1" applyProtection="1">
      <alignment horizontal="center" vertical="center"/>
      <protection locked="0"/>
    </xf>
    <xf numFmtId="1" fontId="232" fillId="0" borderId="66" xfId="0" applyNumberFormat="1" applyFont="1" applyBorder="1" applyAlignment="1">
      <alignment horizontal="center" vertical="center"/>
    </xf>
    <xf numFmtId="1" fontId="232" fillId="0" borderId="57" xfId="0" applyNumberFormat="1" applyFont="1" applyBorder="1" applyAlignment="1">
      <alignment horizontal="center" vertical="center"/>
    </xf>
    <xf numFmtId="1" fontId="232" fillId="0" borderId="59" xfId="0" applyNumberFormat="1" applyFont="1" applyBorder="1" applyAlignment="1">
      <alignment horizontal="center" vertical="center"/>
    </xf>
    <xf numFmtId="4" fontId="232" fillId="46" borderId="36" xfId="0" applyNumberFormat="1" applyFont="1" applyFill="1" applyBorder="1" applyAlignment="1" applyProtection="1">
      <alignment horizontal="center" vertical="center"/>
      <protection locked="0"/>
    </xf>
    <xf numFmtId="3" fontId="232" fillId="0" borderId="8" xfId="0" applyNumberFormat="1" applyFont="1" applyBorder="1" applyAlignment="1" applyProtection="1">
      <alignment horizontal="center" vertical="center"/>
      <protection locked="0"/>
    </xf>
    <xf numFmtId="3" fontId="232" fillId="46" borderId="8" xfId="0" applyNumberFormat="1" applyFont="1" applyFill="1" applyBorder="1" applyAlignment="1" applyProtection="1">
      <alignment horizontal="center" vertical="center"/>
      <protection locked="0"/>
    </xf>
    <xf numFmtId="4" fontId="232" fillId="46" borderId="69" xfId="0" applyNumberFormat="1" applyFont="1" applyFill="1" applyBorder="1" applyAlignment="1" applyProtection="1">
      <alignment horizontal="center" vertical="center"/>
      <protection locked="0"/>
    </xf>
    <xf numFmtId="0" fontId="232" fillId="0" borderId="0" xfId="0" applyFont="1" applyAlignment="1">
      <alignment vertical="center"/>
    </xf>
    <xf numFmtId="3" fontId="232" fillId="51" borderId="30" xfId="0" applyNumberFormat="1" applyFont="1" applyFill="1" applyBorder="1" applyAlignment="1" applyProtection="1">
      <alignment horizontal="center" vertical="center"/>
      <protection locked="0"/>
    </xf>
    <xf numFmtId="4" fontId="232" fillId="46" borderId="60" xfId="0" applyNumberFormat="1" applyFont="1" applyFill="1" applyBorder="1" applyAlignment="1" applyProtection="1">
      <alignment horizontal="center" vertical="top"/>
      <protection locked="0"/>
    </xf>
    <xf numFmtId="171" fontId="232" fillId="51" borderId="30" xfId="0" applyNumberFormat="1" applyFont="1" applyFill="1" applyBorder="1" applyAlignment="1" applyProtection="1">
      <alignment horizontal="center" vertical="center"/>
      <protection locked="0"/>
    </xf>
    <xf numFmtId="4" fontId="245" fillId="46" borderId="49" xfId="0" applyNumberFormat="1" applyFont="1" applyFill="1" applyBorder="1" applyAlignment="1" applyProtection="1">
      <alignment horizontal="center" vertical="center"/>
      <protection locked="0"/>
    </xf>
    <xf numFmtId="170" fontId="232" fillId="0" borderId="21" xfId="0" applyNumberFormat="1" applyFont="1" applyBorder="1" applyAlignment="1" applyProtection="1">
      <alignment horizontal="center" vertical="center"/>
      <protection locked="0"/>
    </xf>
    <xf numFmtId="170" fontId="232" fillId="46" borderId="30" xfId="0" applyNumberFormat="1" applyFont="1" applyFill="1" applyBorder="1" applyAlignment="1" applyProtection="1">
      <alignment horizontal="center" vertical="center"/>
      <protection locked="0"/>
    </xf>
    <xf numFmtId="4" fontId="232" fillId="46" borderId="30" xfId="0" applyNumberFormat="1" applyFont="1" applyFill="1" applyBorder="1" applyAlignment="1" applyProtection="1">
      <alignment horizontal="center" vertical="top"/>
      <protection locked="0"/>
    </xf>
    <xf numFmtId="4" fontId="232" fillId="46" borderId="0" xfId="0" applyNumberFormat="1" applyFont="1" applyFill="1" applyAlignment="1" applyProtection="1">
      <alignment horizontal="center" vertical="center"/>
      <protection locked="0"/>
    </xf>
    <xf numFmtId="4" fontId="232" fillId="46" borderId="61" xfId="0" applyNumberFormat="1" applyFont="1" applyFill="1" applyBorder="1" applyAlignment="1" applyProtection="1">
      <alignment horizontal="center" vertical="top"/>
      <protection locked="0"/>
    </xf>
    <xf numFmtId="4" fontId="232" fillId="46" borderId="51" xfId="0" applyNumberFormat="1" applyFont="1" applyFill="1" applyBorder="1" applyAlignment="1" applyProtection="1">
      <alignment horizontal="center" vertical="center"/>
      <protection locked="0"/>
    </xf>
    <xf numFmtId="167" fontId="232" fillId="0" borderId="30" xfId="0" applyNumberFormat="1" applyFont="1" applyBorder="1" applyAlignment="1" applyProtection="1">
      <alignment horizontal="right" vertical="center"/>
      <protection locked="0"/>
    </xf>
    <xf numFmtId="4" fontId="245" fillId="51" borderId="61" xfId="0" applyNumberFormat="1" applyFont="1" applyFill="1" applyBorder="1" applyAlignment="1" applyProtection="1">
      <alignment horizontal="center" vertical="top"/>
      <protection locked="0"/>
    </xf>
    <xf numFmtId="1" fontId="232" fillId="0" borderId="0" xfId="0" applyNumberFormat="1" applyFont="1" applyAlignment="1">
      <alignment horizontal="center"/>
    </xf>
    <xf numFmtId="4" fontId="232" fillId="46" borderId="68" xfId="0" applyNumberFormat="1" applyFont="1" applyFill="1" applyBorder="1" applyAlignment="1" applyProtection="1">
      <alignment horizontal="center" vertical="center"/>
      <protection locked="0"/>
    </xf>
    <xf numFmtId="3" fontId="232" fillId="46" borderId="68" xfId="0" applyNumberFormat="1" applyFont="1" applyFill="1" applyBorder="1" applyAlignment="1" applyProtection="1">
      <alignment horizontal="center" vertical="center"/>
      <protection locked="0"/>
    </xf>
    <xf numFmtId="171" fontId="232" fillId="51" borderId="21" xfId="0" applyNumberFormat="1" applyFont="1" applyFill="1" applyBorder="1" applyAlignment="1" applyProtection="1">
      <alignment horizontal="center" vertical="center"/>
      <protection locked="0"/>
    </xf>
    <xf numFmtId="4" fontId="243" fillId="46" borderId="60" xfId="0" applyNumberFormat="1" applyFont="1" applyFill="1" applyBorder="1" applyAlignment="1" applyProtection="1">
      <alignment horizontal="center" vertical="top"/>
      <protection locked="0"/>
    </xf>
    <xf numFmtId="4" fontId="232" fillId="46" borderId="49" xfId="0" applyNumberFormat="1" applyFont="1" applyFill="1" applyBorder="1" applyAlignment="1" applyProtection="1">
      <alignment horizontal="center" vertical="center"/>
      <protection locked="0"/>
    </xf>
    <xf numFmtId="1" fontId="232" fillId="46" borderId="52" xfId="0" applyNumberFormat="1" applyFont="1" applyFill="1" applyBorder="1" applyAlignment="1" applyProtection="1">
      <alignment horizontal="center" vertical="center"/>
      <protection locked="0"/>
    </xf>
    <xf numFmtId="4" fontId="243" fillId="46" borderId="68" xfId="0" applyNumberFormat="1" applyFont="1" applyFill="1" applyBorder="1" applyAlignment="1" applyProtection="1">
      <alignment horizontal="center" vertical="top"/>
      <protection locked="0"/>
    </xf>
    <xf numFmtId="167" fontId="231" fillId="0" borderId="21" xfId="0" applyNumberFormat="1" applyFont="1" applyBorder="1" applyAlignment="1" applyProtection="1">
      <alignment horizontal="right" vertical="center"/>
      <protection locked="0"/>
    </xf>
    <xf numFmtId="3" fontId="232" fillId="51" borderId="60" xfId="0" applyNumberFormat="1" applyFont="1" applyFill="1" applyBorder="1" applyAlignment="1" applyProtection="1">
      <alignment horizontal="center" vertical="center"/>
      <protection locked="0"/>
    </xf>
    <xf numFmtId="4" fontId="232" fillId="51" borderId="49" xfId="0" applyNumberFormat="1" applyFont="1" applyFill="1" applyBorder="1" applyAlignment="1" applyProtection="1">
      <alignment horizontal="center" vertical="center"/>
      <protection locked="0"/>
    </xf>
    <xf numFmtId="0" fontId="242" fillId="0" borderId="55" xfId="0" applyFont="1" applyBorder="1" applyAlignment="1" applyProtection="1">
      <alignment vertical="center"/>
      <protection locked="0"/>
    </xf>
    <xf numFmtId="3" fontId="232" fillId="0" borderId="14" xfId="0" applyNumberFormat="1" applyFont="1" applyBorder="1" applyAlignment="1" applyProtection="1">
      <alignment horizontal="right" vertical="center"/>
      <protection locked="0"/>
    </xf>
    <xf numFmtId="4" fontId="232" fillId="46" borderId="14" xfId="0" applyNumberFormat="1" applyFont="1" applyFill="1" applyBorder="1" applyAlignment="1" applyProtection="1">
      <alignment horizontal="center" vertical="top"/>
      <protection locked="0"/>
    </xf>
    <xf numFmtId="3" fontId="232" fillId="0" borderId="14" xfId="0" applyNumberFormat="1" applyFont="1" applyBorder="1" applyAlignment="1" applyProtection="1">
      <alignment horizontal="center" vertical="center"/>
      <protection locked="0"/>
    </xf>
    <xf numFmtId="1" fontId="232" fillId="0" borderId="14" xfId="0" applyNumberFormat="1" applyFont="1" applyBorder="1" applyAlignment="1" applyProtection="1">
      <alignment horizontal="center" vertical="center"/>
      <protection locked="0"/>
    </xf>
    <xf numFmtId="4" fontId="232" fillId="46" borderId="54" xfId="0" applyNumberFormat="1" applyFont="1" applyFill="1" applyBorder="1" applyAlignment="1" applyProtection="1">
      <alignment horizontal="center" vertical="top"/>
      <protection locked="0"/>
    </xf>
    <xf numFmtId="3" fontId="232" fillId="51" borderId="61" xfId="0" applyNumberFormat="1" applyFont="1" applyFill="1" applyBorder="1" applyAlignment="1" applyProtection="1">
      <alignment horizontal="center" vertical="center"/>
      <protection locked="0"/>
    </xf>
    <xf numFmtId="1" fontId="232" fillId="0" borderId="55" xfId="0" applyNumberFormat="1" applyFont="1" applyBorder="1" applyAlignment="1">
      <alignment horizontal="center" vertical="center"/>
    </xf>
    <xf numFmtId="170" fontId="232" fillId="0" borderId="55" xfId="0" applyNumberFormat="1" applyFont="1" applyBorder="1" applyAlignment="1">
      <alignment horizontal="center" vertical="center"/>
    </xf>
    <xf numFmtId="170" fontId="232" fillId="0" borderId="14" xfId="0" applyNumberFormat="1" applyFont="1" applyBorder="1" applyAlignment="1">
      <alignment horizontal="center" vertical="center"/>
    </xf>
    <xf numFmtId="170" fontId="232" fillId="0" borderId="54" xfId="0" applyNumberFormat="1" applyFont="1" applyBorder="1" applyAlignment="1">
      <alignment horizontal="center" vertical="center"/>
    </xf>
    <xf numFmtId="1" fontId="232" fillId="0" borderId="50" xfId="0" applyNumberFormat="1" applyFont="1" applyBorder="1" applyAlignment="1">
      <alignment horizontal="center" vertical="center"/>
    </xf>
    <xf numFmtId="1" fontId="232" fillId="0" borderId="14" xfId="0" applyNumberFormat="1" applyFont="1" applyBorder="1" applyAlignment="1">
      <alignment horizontal="center" vertical="center"/>
    </xf>
    <xf numFmtId="1" fontId="232" fillId="0" borderId="54" xfId="0" applyNumberFormat="1" applyFont="1" applyBorder="1" applyAlignment="1">
      <alignment horizontal="center" vertical="center"/>
    </xf>
    <xf numFmtId="4" fontId="232" fillId="51" borderId="52" xfId="0" applyNumberFormat="1" applyFont="1" applyFill="1" applyBorder="1" applyAlignment="1" applyProtection="1">
      <alignment horizontal="center" vertical="top"/>
      <protection locked="0"/>
    </xf>
    <xf numFmtId="0" fontId="242" fillId="0" borderId="33" xfId="0" applyFont="1" applyBorder="1" applyAlignment="1" applyProtection="1">
      <alignment vertical="center"/>
      <protection locked="0"/>
    </xf>
    <xf numFmtId="3" fontId="232" fillId="0" borderId="36" xfId="0" applyNumberFormat="1" applyFont="1" applyBorder="1" applyAlignment="1" applyProtection="1">
      <alignment horizontal="right" vertical="center"/>
      <protection locked="0"/>
    </xf>
    <xf numFmtId="166" fontId="232" fillId="0" borderId="36" xfId="0" applyNumberFormat="1" applyFont="1" applyBorder="1" applyAlignment="1" applyProtection="1">
      <alignment horizontal="right" vertical="center"/>
      <protection locked="0"/>
    </xf>
    <xf numFmtId="3" fontId="232" fillId="0" borderId="36" xfId="0" applyNumberFormat="1" applyFont="1" applyBorder="1" applyAlignment="1" applyProtection="1">
      <alignment horizontal="center" vertical="center"/>
      <protection locked="0"/>
    </xf>
    <xf numFmtId="1" fontId="232" fillId="0" borderId="36" xfId="0" applyNumberFormat="1" applyFont="1" applyBorder="1" applyAlignment="1" applyProtection="1">
      <alignment horizontal="center" vertical="center"/>
      <protection locked="0"/>
    </xf>
    <xf numFmtId="3" fontId="232" fillId="0" borderId="1" xfId="0" applyNumberFormat="1" applyFont="1" applyBorder="1" applyAlignment="1" applyProtection="1">
      <alignment horizontal="right" vertical="center"/>
      <protection locked="0"/>
    </xf>
    <xf numFmtId="171" fontId="232" fillId="0" borderId="3" xfId="0" applyNumberFormat="1" applyFont="1" applyBorder="1" applyAlignment="1" applyProtection="1">
      <alignment horizontal="center" vertical="center"/>
      <protection locked="0"/>
    </xf>
    <xf numFmtId="171" fontId="232" fillId="46" borderId="3" xfId="0" applyNumberFormat="1" applyFont="1" applyFill="1" applyBorder="1" applyAlignment="1" applyProtection="1">
      <alignment horizontal="center" vertical="center"/>
      <protection locked="0"/>
    </xf>
    <xf numFmtId="3" fontId="232" fillId="46" borderId="53" xfId="0" applyNumberFormat="1" applyFont="1" applyFill="1" applyBorder="1" applyAlignment="1" applyProtection="1">
      <alignment horizontal="center" vertical="center"/>
      <protection locked="0"/>
    </xf>
    <xf numFmtId="1" fontId="232" fillId="0" borderId="33" xfId="0" applyNumberFormat="1" applyFont="1" applyBorder="1" applyAlignment="1">
      <alignment horizontal="center" vertical="center"/>
    </xf>
    <xf numFmtId="170" fontId="232" fillId="0" borderId="33" xfId="0" applyNumberFormat="1" applyFont="1" applyBorder="1" applyAlignment="1">
      <alignment horizontal="center" vertical="center"/>
    </xf>
    <xf numFmtId="170" fontId="232" fillId="0" borderId="36" xfId="0" applyNumberFormat="1" applyFont="1" applyBorder="1" applyAlignment="1">
      <alignment horizontal="center" vertical="center"/>
    </xf>
    <xf numFmtId="170" fontId="232" fillId="0" borderId="62" xfId="0" applyNumberFormat="1" applyFont="1" applyBorder="1" applyAlignment="1">
      <alignment horizontal="center" vertical="center"/>
    </xf>
    <xf numFmtId="1" fontId="232" fillId="0" borderId="64" xfId="0" applyNumberFormat="1" applyFont="1" applyBorder="1" applyAlignment="1">
      <alignment horizontal="center" vertical="center"/>
    </xf>
    <xf numFmtId="1" fontId="232" fillId="0" borderId="36" xfId="0" applyNumberFormat="1" applyFont="1" applyBorder="1" applyAlignment="1">
      <alignment horizontal="center" vertical="center"/>
    </xf>
    <xf numFmtId="1" fontId="232" fillId="0" borderId="62" xfId="0" applyNumberFormat="1" applyFont="1" applyBorder="1" applyAlignment="1">
      <alignment horizontal="center" vertical="center"/>
    </xf>
    <xf numFmtId="0" fontId="242" fillId="0" borderId="7" xfId="0" applyFont="1" applyBorder="1" applyAlignment="1" applyProtection="1">
      <alignment vertical="center"/>
      <protection locked="0"/>
    </xf>
    <xf numFmtId="3" fontId="232" fillId="0" borderId="8" xfId="0" applyNumberFormat="1" applyFont="1" applyBorder="1" applyAlignment="1" applyProtection="1">
      <alignment horizontal="right" vertical="center"/>
      <protection locked="0"/>
    </xf>
    <xf numFmtId="166" fontId="232" fillId="0" borderId="8" xfId="0" applyNumberFormat="1" applyFont="1" applyBorder="1" applyAlignment="1" applyProtection="1">
      <alignment horizontal="right" vertical="center"/>
      <protection locked="0"/>
    </xf>
    <xf numFmtId="171" fontId="232" fillId="46" borderId="8" xfId="0" applyNumberFormat="1" applyFont="1" applyFill="1" applyBorder="1" applyAlignment="1" applyProtection="1">
      <alignment horizontal="center" vertical="center"/>
      <protection locked="0"/>
    </xf>
    <xf numFmtId="170" fontId="232" fillId="46" borderId="8" xfId="0" applyNumberFormat="1" applyFont="1" applyFill="1" applyBorder="1" applyAlignment="1" applyProtection="1">
      <alignment horizontal="center" vertical="center"/>
      <protection locked="0"/>
    </xf>
    <xf numFmtId="4" fontId="232" fillId="46" borderId="8" xfId="0" applyNumberFormat="1" applyFont="1" applyFill="1" applyBorder="1" applyAlignment="1" applyProtection="1">
      <alignment horizontal="center" vertical="top"/>
      <protection locked="0"/>
    </xf>
    <xf numFmtId="1" fontId="232" fillId="0" borderId="8" xfId="0" applyNumberFormat="1" applyFont="1" applyBorder="1" applyAlignment="1" applyProtection="1">
      <alignment horizontal="center" vertical="center"/>
      <protection locked="0"/>
    </xf>
    <xf numFmtId="3" fontId="232" fillId="0" borderId="7" xfId="0" applyNumberFormat="1" applyFont="1" applyBorder="1" applyAlignment="1" applyProtection="1">
      <alignment horizontal="right" vertical="center"/>
      <protection locked="0"/>
    </xf>
    <xf numFmtId="171" fontId="232" fillId="0" borderId="8" xfId="0" applyNumberFormat="1" applyFont="1" applyBorder="1" applyAlignment="1" applyProtection="1">
      <alignment horizontal="center" vertical="center"/>
      <protection locked="0"/>
    </xf>
    <xf numFmtId="3" fontId="232" fillId="46" borderId="90" xfId="0" applyNumberFormat="1" applyFont="1" applyFill="1" applyBorder="1" applyAlignment="1" applyProtection="1">
      <alignment horizontal="center" vertical="center"/>
      <protection locked="0"/>
    </xf>
    <xf numFmtId="1" fontId="232" fillId="0" borderId="7" xfId="0" applyNumberFormat="1" applyFont="1" applyBorder="1" applyAlignment="1">
      <alignment horizontal="center" vertical="center"/>
    </xf>
    <xf numFmtId="170" fontId="232" fillId="0" borderId="7" xfId="0" applyNumberFormat="1" applyFont="1" applyBorder="1" applyAlignment="1">
      <alignment horizontal="center" vertical="center"/>
    </xf>
    <xf numFmtId="170" fontId="232" fillId="0" borderId="8" xfId="0" applyNumberFormat="1" applyFont="1" applyBorder="1" applyAlignment="1">
      <alignment horizontal="center" vertical="center"/>
    </xf>
    <xf numFmtId="170" fontId="232" fillId="0" borderId="15" xfId="0" applyNumberFormat="1" applyFont="1" applyBorder="1" applyAlignment="1">
      <alignment horizontal="center" vertical="center"/>
    </xf>
    <xf numFmtId="1" fontId="232" fillId="0" borderId="63" xfId="0" applyNumberFormat="1" applyFont="1" applyBorder="1" applyAlignment="1">
      <alignment horizontal="center" vertical="center"/>
    </xf>
    <xf numFmtId="1" fontId="232" fillId="0" borderId="8" xfId="0" applyNumberFormat="1" applyFont="1" applyBorder="1" applyAlignment="1">
      <alignment horizontal="center" vertical="center"/>
    </xf>
    <xf numFmtId="1" fontId="232" fillId="0" borderId="90" xfId="0" applyNumberFormat="1" applyFont="1" applyBorder="1" applyAlignment="1">
      <alignment horizontal="center" vertical="center"/>
    </xf>
    <xf numFmtId="0" fontId="246" fillId="0" borderId="32" xfId="0" applyFont="1" applyBorder="1" applyAlignment="1" applyProtection="1">
      <alignment vertical="center"/>
      <protection locked="0"/>
    </xf>
    <xf numFmtId="1" fontId="232" fillId="46" borderId="21" xfId="0" applyNumberFormat="1" applyFont="1" applyFill="1" applyBorder="1" applyAlignment="1" applyProtection="1">
      <alignment horizontal="right" vertical="center"/>
      <protection locked="0"/>
    </xf>
    <xf numFmtId="4" fontId="232" fillId="46" borderId="21" xfId="0" applyNumberFormat="1" applyFont="1" applyFill="1" applyBorder="1" applyAlignment="1" applyProtection="1">
      <alignment horizontal="center" vertical="center"/>
      <protection locked="0"/>
    </xf>
    <xf numFmtId="4" fontId="232" fillId="46" borderId="61" xfId="0" applyNumberFormat="1" applyFont="1" applyFill="1" applyBorder="1" applyAlignment="1" applyProtection="1">
      <alignment horizontal="center" vertical="center"/>
      <protection locked="0"/>
    </xf>
    <xf numFmtId="3" fontId="232" fillId="46" borderId="14" xfId="0" applyNumberFormat="1" applyFont="1" applyFill="1" applyBorder="1" applyAlignment="1" applyProtection="1">
      <alignment horizontal="right" vertical="center"/>
      <protection locked="0"/>
    </xf>
    <xf numFmtId="1" fontId="232" fillId="46" borderId="14" xfId="0" applyNumberFormat="1" applyFont="1" applyFill="1" applyBorder="1" applyAlignment="1" applyProtection="1">
      <alignment horizontal="right" vertical="center"/>
      <protection locked="0"/>
    </xf>
    <xf numFmtId="170" fontId="232" fillId="46" borderId="14" xfId="0" applyNumberFormat="1" applyFont="1" applyFill="1" applyBorder="1" applyAlignment="1" applyProtection="1">
      <alignment horizontal="center" vertical="center"/>
      <protection locked="0"/>
    </xf>
    <xf numFmtId="1" fontId="232" fillId="46" borderId="14" xfId="0" applyNumberFormat="1" applyFont="1" applyFill="1" applyBorder="1" applyAlignment="1" applyProtection="1">
      <alignment horizontal="center" vertical="center"/>
      <protection locked="0"/>
    </xf>
    <xf numFmtId="4" fontId="232" fillId="46" borderId="14" xfId="0" applyNumberFormat="1" applyFont="1" applyFill="1" applyBorder="1" applyAlignment="1" applyProtection="1">
      <alignment horizontal="center" vertical="center"/>
      <protection locked="0"/>
    </xf>
    <xf numFmtId="3" fontId="232" fillId="46" borderId="14" xfId="0" applyNumberFormat="1" applyFont="1" applyFill="1" applyBorder="1" applyAlignment="1" applyProtection="1">
      <alignment horizontal="center" vertical="center"/>
      <protection locked="0"/>
    </xf>
    <xf numFmtId="171" fontId="232" fillId="46" borderId="14" xfId="0" applyNumberFormat="1" applyFont="1" applyFill="1" applyBorder="1" applyAlignment="1" applyProtection="1">
      <alignment horizontal="center" vertical="center"/>
      <protection locked="0"/>
    </xf>
    <xf numFmtId="4" fontId="232" fillId="51" borderId="54" xfId="0" applyNumberFormat="1" applyFont="1" applyFill="1" applyBorder="1" applyAlignment="1" applyProtection="1">
      <alignment horizontal="center" vertical="center"/>
      <protection locked="0"/>
    </xf>
    <xf numFmtId="3" fontId="232" fillId="46" borderId="30" xfId="0" applyNumberFormat="1" applyFont="1" applyFill="1" applyBorder="1" applyAlignment="1" applyProtection="1">
      <alignment horizontal="right" vertical="center"/>
      <protection locked="0"/>
    </xf>
    <xf numFmtId="1" fontId="232" fillId="46" borderId="30" xfId="0" applyNumberFormat="1" applyFont="1" applyFill="1" applyBorder="1" applyAlignment="1" applyProtection="1">
      <alignment horizontal="center" vertical="center"/>
      <protection locked="0"/>
    </xf>
    <xf numFmtId="4" fontId="232" fillId="46" borderId="30" xfId="0" applyNumberFormat="1" applyFont="1" applyFill="1" applyBorder="1" applyAlignment="1" applyProtection="1">
      <alignment horizontal="center" vertical="center"/>
      <protection locked="0"/>
    </xf>
    <xf numFmtId="4" fontId="232" fillId="46" borderId="50" xfId="0" applyNumberFormat="1" applyFont="1" applyFill="1" applyBorder="1" applyAlignment="1" applyProtection="1">
      <alignment horizontal="center" vertical="center"/>
      <protection locked="0"/>
    </xf>
    <xf numFmtId="170" fontId="232" fillId="0" borderId="14" xfId="0" applyNumberFormat="1" applyFont="1" applyBorder="1" applyAlignment="1" applyProtection="1">
      <alignment horizontal="center" vertical="center"/>
      <protection locked="0"/>
    </xf>
    <xf numFmtId="0" fontId="242" fillId="0" borderId="47" xfId="0" applyFont="1" applyBorder="1" applyAlignment="1" applyProtection="1">
      <alignment vertical="center"/>
      <protection locked="0"/>
    </xf>
    <xf numFmtId="3" fontId="232" fillId="0" borderId="48" xfId="0" applyNumberFormat="1" applyFont="1" applyBorder="1" applyAlignment="1">
      <alignment horizontal="right"/>
    </xf>
    <xf numFmtId="170" fontId="232" fillId="51" borderId="48" xfId="0" applyNumberFormat="1" applyFont="1" applyFill="1" applyBorder="1" applyAlignment="1">
      <alignment horizontal="center"/>
    </xf>
    <xf numFmtId="1" fontId="245" fillId="46" borderId="48" xfId="0" applyNumberFormat="1" applyFont="1" applyFill="1" applyBorder="1" applyAlignment="1">
      <alignment horizontal="center"/>
    </xf>
    <xf numFmtId="170" fontId="245" fillId="46" borderId="48" xfId="0" applyNumberFormat="1" applyFont="1" applyFill="1" applyBorder="1"/>
    <xf numFmtId="4" fontId="245" fillId="46" borderId="94" xfId="0" applyNumberFormat="1" applyFont="1" applyFill="1" applyBorder="1" applyAlignment="1" applyProtection="1">
      <alignment horizontal="center" vertical="top"/>
      <protection locked="0"/>
    </xf>
    <xf numFmtId="0" fontId="232" fillId="0" borderId="11" xfId="0" applyFont="1" applyBorder="1" applyAlignment="1">
      <alignment horizontal="center"/>
    </xf>
    <xf numFmtId="3" fontId="232" fillId="0" borderId="48" xfId="0" applyNumberFormat="1" applyFont="1" applyBorder="1" applyAlignment="1">
      <alignment horizontal="center"/>
    </xf>
    <xf numFmtId="1" fontId="232" fillId="0" borderId="48" xfId="0" applyNumberFormat="1" applyFont="1" applyBorder="1" applyAlignment="1">
      <alignment horizontal="center"/>
    </xf>
    <xf numFmtId="3" fontId="232" fillId="51" borderId="48" xfId="0" applyNumberFormat="1" applyFont="1" applyFill="1" applyBorder="1" applyAlignment="1">
      <alignment horizontal="center"/>
    </xf>
    <xf numFmtId="170" fontId="232" fillId="46" borderId="57" xfId="0" applyNumberFormat="1" applyFont="1" applyFill="1" applyBorder="1"/>
    <xf numFmtId="170" fontId="232" fillId="0" borderId="57" xfId="0" applyNumberFormat="1" applyFont="1" applyBorder="1" applyAlignment="1">
      <alignment horizontal="center"/>
    </xf>
    <xf numFmtId="170" fontId="232" fillId="0" borderId="59" xfId="0" applyNumberFormat="1" applyFont="1" applyBorder="1" applyAlignment="1">
      <alignment horizontal="center"/>
    </xf>
    <xf numFmtId="1" fontId="232" fillId="0" borderId="57" xfId="0" applyNumberFormat="1" applyFont="1" applyBorder="1" applyAlignment="1">
      <alignment horizontal="center"/>
    </xf>
    <xf numFmtId="1" fontId="232" fillId="0" borderId="59" xfId="0" applyNumberFormat="1" applyFont="1" applyBorder="1" applyAlignment="1">
      <alignment horizontal="center"/>
    </xf>
    <xf numFmtId="3" fontId="232" fillId="0" borderId="30" xfId="0" applyNumberFormat="1" applyFont="1" applyBorder="1" applyAlignment="1">
      <alignment horizontal="right"/>
    </xf>
    <xf numFmtId="171" fontId="245" fillId="46" borderId="30" xfId="0" applyNumberFormat="1" applyFont="1" applyFill="1" applyBorder="1" applyAlignment="1">
      <alignment horizontal="center"/>
    </xf>
    <xf numFmtId="3" fontId="245" fillId="46" borderId="30" xfId="0" applyNumberFormat="1" applyFont="1" applyFill="1" applyBorder="1" applyAlignment="1">
      <alignment horizontal="center"/>
    </xf>
    <xf numFmtId="170" fontId="245" fillId="46" borderId="30" xfId="0" applyNumberFormat="1" applyFont="1" applyFill="1" applyBorder="1"/>
    <xf numFmtId="4" fontId="245" fillId="46" borderId="30" xfId="0" applyNumberFormat="1" applyFont="1" applyFill="1" applyBorder="1" applyAlignment="1" applyProtection="1">
      <alignment horizontal="center" vertical="top"/>
      <protection locked="0"/>
    </xf>
    <xf numFmtId="0" fontId="232" fillId="0" borderId="30" xfId="0" applyFont="1" applyBorder="1" applyAlignment="1">
      <alignment horizontal="center"/>
    </xf>
    <xf numFmtId="3" fontId="232" fillId="0" borderId="30" xfId="0" applyNumberFormat="1" applyFont="1" applyBorder="1" applyAlignment="1">
      <alignment horizontal="center"/>
    </xf>
    <xf numFmtId="1" fontId="232" fillId="0" borderId="30" xfId="0" applyNumberFormat="1" applyFont="1" applyBorder="1" applyAlignment="1">
      <alignment horizontal="center"/>
    </xf>
    <xf numFmtId="171" fontId="232" fillId="46" borderId="30" xfId="0" applyNumberFormat="1" applyFont="1" applyFill="1" applyBorder="1" applyAlignment="1">
      <alignment horizontal="center"/>
    </xf>
    <xf numFmtId="3" fontId="232" fillId="46" borderId="30" xfId="0" applyNumberFormat="1" applyFont="1" applyFill="1" applyBorder="1" applyAlignment="1">
      <alignment horizontal="center"/>
    </xf>
    <xf numFmtId="170" fontId="232" fillId="46" borderId="30" xfId="0" applyNumberFormat="1" applyFont="1" applyFill="1" applyBorder="1"/>
    <xf numFmtId="170" fontId="231" fillId="46" borderId="0" xfId="0" applyNumberFormat="1" applyFont="1" applyFill="1" applyAlignment="1" applyProtection="1">
      <alignment horizontal="center" vertical="center"/>
      <protection locked="0"/>
    </xf>
    <xf numFmtId="170" fontId="232" fillId="0" borderId="30" xfId="0" applyNumberFormat="1" applyFont="1" applyBorder="1" applyAlignment="1">
      <alignment horizontal="center"/>
    </xf>
    <xf numFmtId="170" fontId="232" fillId="46" borderId="30" xfId="0" applyNumberFormat="1" applyFont="1" applyFill="1" applyBorder="1" applyAlignment="1">
      <alignment horizontal="center"/>
    </xf>
    <xf numFmtId="1" fontId="232" fillId="46" borderId="61" xfId="0" applyNumberFormat="1" applyFont="1" applyFill="1" applyBorder="1" applyAlignment="1">
      <alignment horizontal="center"/>
    </xf>
    <xf numFmtId="2" fontId="232" fillId="46" borderId="84" xfId="0" applyNumberFormat="1" applyFont="1" applyFill="1" applyBorder="1" applyAlignment="1">
      <alignment horizontal="center"/>
    </xf>
    <xf numFmtId="170" fontId="232" fillId="0" borderId="84" xfId="0" applyNumberFormat="1" applyFont="1" applyBorder="1"/>
    <xf numFmtId="170" fontId="232" fillId="0" borderId="0" xfId="0" applyNumberFormat="1" applyFont="1"/>
    <xf numFmtId="0" fontId="232" fillId="0" borderId="61" xfId="0" applyFont="1" applyBorder="1" applyAlignment="1">
      <alignment horizontal="center"/>
    </xf>
    <xf numFmtId="0" fontId="233" fillId="0" borderId="35" xfId="0" applyFont="1" applyBorder="1" applyAlignment="1" applyProtection="1">
      <alignment vertical="center"/>
      <protection locked="0"/>
    </xf>
    <xf numFmtId="3" fontId="231" fillId="0" borderId="36" xfId="0" applyNumberFormat="1" applyFont="1" applyBorder="1" applyAlignment="1" applyProtection="1">
      <alignment horizontal="right" vertical="center"/>
      <protection locked="0"/>
    </xf>
    <xf numFmtId="3" fontId="231" fillId="0" borderId="64" xfId="0" applyNumberFormat="1" applyFont="1" applyBorder="1" applyAlignment="1" applyProtection="1">
      <alignment horizontal="right" vertical="center"/>
      <protection locked="0"/>
    </xf>
    <xf numFmtId="171" fontId="231" fillId="46" borderId="71" xfId="0" applyNumberFormat="1" applyFont="1" applyFill="1" applyBorder="1" applyAlignment="1" applyProtection="1">
      <alignment horizontal="center" vertical="center"/>
      <protection locked="0"/>
    </xf>
    <xf numFmtId="3" fontId="247" fillId="46" borderId="36" xfId="0" applyNumberFormat="1" applyFont="1" applyFill="1" applyBorder="1" applyAlignment="1" applyProtection="1">
      <alignment horizontal="center" vertical="center"/>
      <protection locked="0"/>
    </xf>
    <xf numFmtId="170" fontId="247" fillId="46" borderId="62" xfId="0" applyNumberFormat="1" applyFont="1" applyFill="1" applyBorder="1" applyAlignment="1" applyProtection="1">
      <alignment horizontal="center" vertical="center"/>
      <protection locked="0"/>
    </xf>
    <xf numFmtId="4" fontId="247" fillId="46" borderId="33" xfId="0" applyNumberFormat="1" applyFont="1" applyFill="1" applyBorder="1" applyAlignment="1">
      <alignment horizontal="center"/>
    </xf>
    <xf numFmtId="4" fontId="232" fillId="46" borderId="34" xfId="0" applyNumberFormat="1" applyFont="1" applyFill="1" applyBorder="1" applyAlignment="1" applyProtection="1">
      <alignment horizontal="center" vertical="top"/>
      <protection locked="0"/>
    </xf>
    <xf numFmtId="3" fontId="231" fillId="0" borderId="36" xfId="0" applyNumberFormat="1" applyFont="1" applyBorder="1" applyAlignment="1" applyProtection="1">
      <alignment horizontal="center" vertical="center"/>
      <protection locked="0"/>
    </xf>
    <xf numFmtId="171" fontId="232" fillId="46" borderId="36" xfId="0" applyNumberFormat="1" applyFont="1" applyFill="1" applyBorder="1" applyAlignment="1" applyProtection="1">
      <alignment horizontal="center" vertical="center"/>
      <protection locked="0"/>
    </xf>
    <xf numFmtId="3" fontId="232" fillId="46" borderId="62" xfId="0" applyNumberFormat="1" applyFont="1" applyFill="1" applyBorder="1" applyAlignment="1" applyProtection="1">
      <alignment horizontal="center" vertical="center"/>
      <protection locked="0"/>
    </xf>
    <xf numFmtId="170" fontId="232" fillId="46" borderId="41" xfId="0" applyNumberFormat="1" applyFont="1" applyFill="1" applyBorder="1" applyAlignment="1" applyProtection="1">
      <alignment horizontal="center" vertical="center"/>
      <protection locked="0"/>
    </xf>
    <xf numFmtId="4" fontId="232" fillId="46" borderId="35" xfId="0" applyNumberFormat="1" applyFont="1" applyFill="1" applyBorder="1" applyAlignment="1">
      <alignment horizontal="center"/>
    </xf>
    <xf numFmtId="170" fontId="232" fillId="46" borderId="0" xfId="0" applyNumberFormat="1" applyFont="1" applyFill="1"/>
    <xf numFmtId="171" fontId="243" fillId="46" borderId="8" xfId="0" applyNumberFormat="1" applyFont="1" applyFill="1" applyBorder="1" applyAlignment="1" applyProtection="1">
      <alignment horizontal="center" vertical="center"/>
      <protection locked="0"/>
    </xf>
    <xf numFmtId="3" fontId="243" fillId="46" borderId="8" xfId="0" applyNumberFormat="1" applyFont="1" applyFill="1" applyBorder="1" applyAlignment="1" applyProtection="1">
      <alignment horizontal="center" vertical="center"/>
      <protection locked="0"/>
    </xf>
    <xf numFmtId="170" fontId="245" fillId="46" borderId="8" xfId="0" applyNumberFormat="1" applyFont="1" applyFill="1" applyBorder="1" applyAlignment="1" applyProtection="1">
      <alignment horizontal="center" vertical="center"/>
      <protection locked="0"/>
    </xf>
    <xf numFmtId="4" fontId="245" fillId="46" borderId="8" xfId="0" applyNumberFormat="1" applyFont="1" applyFill="1" applyBorder="1" applyAlignment="1">
      <alignment horizontal="center"/>
    </xf>
    <xf numFmtId="4" fontId="232" fillId="46" borderId="54" xfId="0" applyNumberFormat="1" applyFont="1" applyFill="1" applyBorder="1" applyAlignment="1">
      <alignment horizontal="center"/>
    </xf>
    <xf numFmtId="1" fontId="232" fillId="0" borderId="1" xfId="0" applyNumberFormat="1" applyFont="1" applyBorder="1" applyAlignment="1">
      <alignment horizontal="center" vertical="center"/>
    </xf>
    <xf numFmtId="170" fontId="232" fillId="0" borderId="1" xfId="0" applyNumberFormat="1" applyFont="1" applyBorder="1" applyAlignment="1">
      <alignment horizontal="center" vertical="center"/>
    </xf>
    <xf numFmtId="170" fontId="232" fillId="0" borderId="3" xfId="0" applyNumberFormat="1" applyFont="1" applyBorder="1" applyAlignment="1">
      <alignment horizontal="center"/>
    </xf>
    <xf numFmtId="0" fontId="232" fillId="0" borderId="3" xfId="0" applyFont="1" applyBorder="1" applyAlignment="1">
      <alignment horizontal="center"/>
    </xf>
    <xf numFmtId="0" fontId="232" fillId="0" borderId="53" xfId="0" applyFont="1" applyBorder="1" applyAlignment="1">
      <alignment horizontal="center"/>
    </xf>
    <xf numFmtId="1" fontId="232" fillId="0" borderId="65" xfId="0" applyNumberFormat="1" applyFont="1" applyBorder="1" applyAlignment="1">
      <alignment horizontal="center" vertical="center"/>
    </xf>
    <xf numFmtId="1" fontId="232" fillId="0" borderId="3" xfId="0" applyNumberFormat="1" applyFont="1" applyBorder="1" applyAlignment="1">
      <alignment horizontal="center"/>
    </xf>
    <xf numFmtId="1" fontId="232" fillId="0" borderId="53" xfId="0" applyNumberFormat="1" applyFont="1" applyBorder="1" applyAlignment="1">
      <alignment horizontal="center"/>
    </xf>
    <xf numFmtId="0" fontId="242" fillId="0" borderId="1" xfId="0" applyFont="1" applyBorder="1" applyAlignment="1" applyProtection="1">
      <alignment vertical="center"/>
      <protection locked="0"/>
    </xf>
    <xf numFmtId="3" fontId="232" fillId="0" borderId="3" xfId="0" applyNumberFormat="1" applyFont="1" applyBorder="1" applyAlignment="1" applyProtection="1">
      <alignment horizontal="right" vertical="center"/>
      <protection locked="0"/>
    </xf>
    <xf numFmtId="171" fontId="232" fillId="51" borderId="3" xfId="0" applyNumberFormat="1" applyFont="1" applyFill="1" applyBorder="1" applyAlignment="1" applyProtection="1">
      <alignment horizontal="center" vertical="center"/>
      <protection locked="0"/>
    </xf>
    <xf numFmtId="3" fontId="245" fillId="46" borderId="3" xfId="0" applyNumberFormat="1" applyFont="1" applyFill="1" applyBorder="1" applyAlignment="1" applyProtection="1">
      <alignment horizontal="center" vertical="center"/>
      <protection locked="0"/>
    </xf>
    <xf numFmtId="170" fontId="247" fillId="46" borderId="3" xfId="0" applyNumberFormat="1" applyFont="1" applyFill="1" applyBorder="1" applyAlignment="1" applyProtection="1">
      <alignment horizontal="center" vertical="center"/>
      <protection locked="0"/>
    </xf>
    <xf numFmtId="4" fontId="245" fillId="46" borderId="3" xfId="0" applyNumberFormat="1" applyFont="1" applyFill="1" applyBorder="1" applyAlignment="1">
      <alignment horizontal="center"/>
    </xf>
    <xf numFmtId="4" fontId="232" fillId="46" borderId="3" xfId="0" applyNumberFormat="1" applyFont="1" applyFill="1" applyBorder="1" applyAlignment="1" applyProtection="1">
      <alignment horizontal="center" vertical="top"/>
      <protection locked="0"/>
    </xf>
    <xf numFmtId="3" fontId="232" fillId="0" borderId="3" xfId="0" applyNumberFormat="1" applyFont="1" applyBorder="1" applyAlignment="1" applyProtection="1">
      <alignment horizontal="center" vertical="center"/>
      <protection locked="0"/>
    </xf>
    <xf numFmtId="1" fontId="232" fillId="0" borderId="3" xfId="0" applyNumberFormat="1" applyFont="1" applyBorder="1" applyAlignment="1" applyProtection="1">
      <alignment horizontal="center" vertical="center"/>
      <protection locked="0"/>
    </xf>
    <xf numFmtId="170" fontId="231" fillId="46" borderId="6" xfId="0" applyNumberFormat="1" applyFont="1" applyFill="1" applyBorder="1" applyAlignment="1" applyProtection="1">
      <alignment horizontal="center" vertical="center"/>
      <protection locked="0"/>
    </xf>
    <xf numFmtId="4" fontId="243" fillId="46" borderId="5" xfId="0" applyNumberFormat="1" applyFont="1" applyFill="1" applyBorder="1" applyAlignment="1">
      <alignment horizontal="center" vertical="center"/>
    </xf>
    <xf numFmtId="4" fontId="232" fillId="51" borderId="51" xfId="0" applyNumberFormat="1" applyFont="1" applyFill="1" applyBorder="1" applyAlignment="1" applyProtection="1">
      <alignment horizontal="center" vertical="center"/>
      <protection locked="0"/>
    </xf>
    <xf numFmtId="170" fontId="232" fillId="0" borderId="3" xfId="0" applyNumberFormat="1" applyFont="1" applyBorder="1" applyAlignment="1">
      <alignment horizontal="center" vertical="center"/>
    </xf>
    <xf numFmtId="170" fontId="232" fillId="0" borderId="53" xfId="0" applyNumberFormat="1" applyFont="1" applyBorder="1" applyAlignment="1">
      <alignment horizontal="center" vertical="center"/>
    </xf>
    <xf numFmtId="1" fontId="232" fillId="0" borderId="3" xfId="0" applyNumberFormat="1" applyFont="1" applyBorder="1" applyAlignment="1">
      <alignment horizontal="center" vertical="center"/>
    </xf>
    <xf numFmtId="1" fontId="232" fillId="0" borderId="53" xfId="0" applyNumberFormat="1" applyFont="1" applyBorder="1" applyAlignment="1">
      <alignment horizontal="center" vertical="center"/>
    </xf>
    <xf numFmtId="0" fontId="232" fillId="0" borderId="0" xfId="0" applyFont="1"/>
    <xf numFmtId="0" fontId="232" fillId="0" borderId="0" xfId="0" applyFont="1" applyAlignment="1">
      <alignment horizontal="right"/>
    </xf>
    <xf numFmtId="0" fontId="245" fillId="46" borderId="0" xfId="0" applyFont="1" applyFill="1"/>
    <xf numFmtId="0" fontId="232" fillId="0" borderId="0" xfId="0" applyFont="1" applyAlignment="1">
      <alignment horizontal="center"/>
    </xf>
    <xf numFmtId="0" fontId="232" fillId="46" borderId="0" xfId="0" applyFont="1" applyFill="1"/>
    <xf numFmtId="1" fontId="232" fillId="0" borderId="0" xfId="0" applyNumberFormat="1" applyFont="1" applyAlignment="1">
      <alignment vertical="center"/>
    </xf>
    <xf numFmtId="0" fontId="233" fillId="56" borderId="5" xfId="0" applyFont="1" applyFill="1" applyBorder="1" applyAlignment="1" applyProtection="1">
      <alignment vertical="center"/>
      <protection locked="0"/>
    </xf>
    <xf numFmtId="3" fontId="231" fillId="56" borderId="3" xfId="0" applyNumberFormat="1" applyFont="1" applyFill="1" applyBorder="1" applyAlignment="1" applyProtection="1">
      <alignment horizontal="right" vertical="center"/>
      <protection locked="0"/>
    </xf>
    <xf numFmtId="3" fontId="231" fillId="56" borderId="65" xfId="0" applyNumberFormat="1" applyFont="1" applyFill="1" applyBorder="1" applyAlignment="1" applyProtection="1">
      <alignment horizontal="right" vertical="center"/>
      <protection locked="0"/>
    </xf>
    <xf numFmtId="171" fontId="231" fillId="56" borderId="56" xfId="0" applyNumberFormat="1" applyFont="1" applyFill="1" applyBorder="1" applyAlignment="1" applyProtection="1">
      <alignment horizontal="center" vertical="center"/>
      <protection locked="0"/>
    </xf>
    <xf numFmtId="3" fontId="243" fillId="56" borderId="3" xfId="0" applyNumberFormat="1" applyFont="1" applyFill="1" applyBorder="1" applyAlignment="1" applyProtection="1">
      <alignment horizontal="center" vertical="center"/>
      <protection locked="0"/>
    </xf>
    <xf numFmtId="170" fontId="247" fillId="56" borderId="53" xfId="0" applyNumberFormat="1" applyFont="1" applyFill="1" applyBorder="1" applyAlignment="1" applyProtection="1">
      <alignment horizontal="center" vertical="center"/>
      <protection locked="0"/>
    </xf>
    <xf numFmtId="4" fontId="247" fillId="56" borderId="1" xfId="0" applyNumberFormat="1" applyFont="1" applyFill="1" applyBorder="1" applyAlignment="1">
      <alignment horizontal="center"/>
    </xf>
    <xf numFmtId="4" fontId="232" fillId="56" borderId="34" xfId="0" applyNumberFormat="1" applyFont="1" applyFill="1" applyBorder="1" applyAlignment="1" applyProtection="1">
      <alignment horizontal="center" vertical="top"/>
      <protection locked="0"/>
    </xf>
    <xf numFmtId="3" fontId="231" fillId="56" borderId="3" xfId="0" applyNumberFormat="1" applyFont="1" applyFill="1" applyBorder="1" applyAlignment="1" applyProtection="1">
      <alignment horizontal="center" vertical="center"/>
      <protection locked="0"/>
    </xf>
    <xf numFmtId="3" fontId="231" fillId="56" borderId="65" xfId="0" applyNumberFormat="1" applyFont="1" applyFill="1" applyBorder="1" applyAlignment="1" applyProtection="1">
      <alignment horizontal="center" vertical="center"/>
      <protection locked="0"/>
    </xf>
    <xf numFmtId="171" fontId="243" fillId="56" borderId="56" xfId="0" applyNumberFormat="1" applyFont="1" applyFill="1" applyBorder="1" applyAlignment="1" applyProtection="1">
      <alignment horizontal="center" vertical="center"/>
      <protection locked="0"/>
    </xf>
    <xf numFmtId="170" fontId="232" fillId="46" borderId="53" xfId="0" applyNumberFormat="1" applyFont="1" applyFill="1" applyBorder="1" applyAlignment="1" applyProtection="1">
      <alignment horizontal="center" vertical="center"/>
      <protection locked="0"/>
    </xf>
    <xf numFmtId="4" fontId="231" fillId="46" borderId="1" xfId="0" applyNumberFormat="1" applyFont="1" applyFill="1" applyBorder="1" applyAlignment="1">
      <alignment horizontal="center" vertical="center"/>
    </xf>
    <xf numFmtId="3" fontId="231" fillId="56" borderId="1" xfId="0" applyNumberFormat="1" applyFont="1" applyFill="1" applyBorder="1" applyAlignment="1" applyProtection="1">
      <alignment horizontal="right" vertical="center"/>
      <protection locked="0"/>
    </xf>
    <xf numFmtId="171" fontId="232" fillId="56" borderId="3" xfId="0" applyNumberFormat="1" applyFont="1" applyFill="1" applyBorder="1" applyAlignment="1" applyProtection="1">
      <alignment horizontal="center" vertical="center"/>
      <protection locked="0"/>
    </xf>
    <xf numFmtId="171" fontId="231" fillId="51" borderId="3" xfId="0" applyNumberFormat="1" applyFont="1" applyFill="1" applyBorder="1" applyAlignment="1" applyProtection="1">
      <alignment horizontal="center" vertical="center"/>
      <protection locked="0"/>
    </xf>
    <xf numFmtId="3" fontId="243" fillId="56" borderId="53" xfId="0" applyNumberFormat="1" applyFont="1" applyFill="1" applyBorder="1" applyAlignment="1" applyProtection="1">
      <alignment horizontal="center" vertical="center"/>
      <protection locked="0"/>
    </xf>
    <xf numFmtId="171" fontId="245" fillId="0" borderId="30" xfId="0" applyNumberFormat="1" applyFont="1" applyBorder="1" applyAlignment="1" applyProtection="1">
      <alignment horizontal="center" vertical="center"/>
      <protection locked="0"/>
    </xf>
    <xf numFmtId="171" fontId="245" fillId="0" borderId="0" xfId="0" applyNumberFormat="1" applyFont="1" applyAlignment="1" applyProtection="1">
      <alignment horizontal="center" vertical="center"/>
      <protection locked="0"/>
    </xf>
    <xf numFmtId="1" fontId="231" fillId="0" borderId="1" xfId="0" applyNumberFormat="1" applyFont="1" applyBorder="1" applyAlignment="1">
      <alignment horizontal="center" vertical="center"/>
    </xf>
    <xf numFmtId="170" fontId="231" fillId="56" borderId="1" xfId="0" applyNumberFormat="1" applyFont="1" applyFill="1" applyBorder="1" applyAlignment="1">
      <alignment horizontal="center" vertical="center"/>
    </xf>
    <xf numFmtId="170" fontId="231" fillId="56" borderId="3" xfId="0" applyNumberFormat="1" applyFont="1" applyFill="1" applyBorder="1" applyAlignment="1">
      <alignment horizontal="center" vertical="center"/>
    </xf>
    <xf numFmtId="170" fontId="231" fillId="56" borderId="53" xfId="0" applyNumberFormat="1" applyFont="1" applyFill="1" applyBorder="1" applyAlignment="1">
      <alignment horizontal="center" vertical="center"/>
    </xf>
    <xf numFmtId="1" fontId="231" fillId="56" borderId="65" xfId="0" applyNumberFormat="1" applyFont="1" applyFill="1" applyBorder="1" applyAlignment="1">
      <alignment horizontal="center" vertical="center"/>
    </xf>
    <xf numFmtId="1" fontId="231" fillId="56" borderId="3" xfId="0" applyNumberFormat="1" applyFont="1" applyFill="1" applyBorder="1" applyAlignment="1">
      <alignment horizontal="center" vertical="center"/>
    </xf>
    <xf numFmtId="1" fontId="231" fillId="56" borderId="53" xfId="0" applyNumberFormat="1" applyFont="1" applyFill="1" applyBorder="1" applyAlignment="1">
      <alignment horizontal="center" vertical="center"/>
    </xf>
    <xf numFmtId="170" fontId="232" fillId="46" borderId="94" xfId="0" applyNumberFormat="1" applyFont="1" applyFill="1" applyBorder="1" applyAlignment="1" applyProtection="1">
      <alignment horizontal="center" vertical="center"/>
      <protection locked="0"/>
    </xf>
    <xf numFmtId="3" fontId="232" fillId="0" borderId="57" xfId="0" applyNumberFormat="1" applyFont="1" applyBorder="1" applyAlignment="1" applyProtection="1">
      <alignment horizontal="right" vertical="center"/>
      <protection locked="0"/>
    </xf>
    <xf numFmtId="171" fontId="232" fillId="46" borderId="57" xfId="0" applyNumberFormat="1" applyFont="1" applyFill="1" applyBorder="1" applyAlignment="1" applyProtection="1">
      <alignment horizontal="center" vertical="center"/>
      <protection locked="0"/>
    </xf>
    <xf numFmtId="3" fontId="245" fillId="46" borderId="57" xfId="0" applyNumberFormat="1" applyFont="1" applyFill="1" applyBorder="1" applyAlignment="1" applyProtection="1">
      <alignment horizontal="center" vertical="center"/>
      <protection locked="0"/>
    </xf>
    <xf numFmtId="170" fontId="247" fillId="46" borderId="57" xfId="0" applyNumberFormat="1" applyFont="1" applyFill="1" applyBorder="1" applyAlignment="1" applyProtection="1">
      <alignment horizontal="center" vertical="center"/>
      <protection locked="0"/>
    </xf>
    <xf numFmtId="4" fontId="245" fillId="46" borderId="57" xfId="0" applyNumberFormat="1" applyFont="1" applyFill="1" applyBorder="1" applyAlignment="1">
      <alignment horizontal="center"/>
    </xf>
    <xf numFmtId="3" fontId="232" fillId="0" borderId="57" xfId="0" applyNumberFormat="1" applyFont="1" applyBorder="1" applyAlignment="1">
      <alignment horizontal="right"/>
    </xf>
    <xf numFmtId="3" fontId="232" fillId="0" borderId="57" xfId="0" applyNumberFormat="1" applyFont="1" applyBorder="1" applyAlignment="1">
      <alignment horizontal="center"/>
    </xf>
    <xf numFmtId="1" fontId="232" fillId="0" borderId="57" xfId="0" applyNumberFormat="1" applyFont="1" applyBorder="1" applyAlignment="1">
      <alignment horizontal="right"/>
    </xf>
    <xf numFmtId="171" fontId="232" fillId="0" borderId="57" xfId="0" applyNumberFormat="1" applyFont="1" applyBorder="1" applyAlignment="1">
      <alignment horizontal="center"/>
    </xf>
    <xf numFmtId="3" fontId="232" fillId="0" borderId="59" xfId="0" applyNumberFormat="1" applyFont="1" applyBorder="1" applyAlignment="1">
      <alignment horizontal="center"/>
    </xf>
    <xf numFmtId="170" fontId="232" fillId="46" borderId="46" xfId="0" applyNumberFormat="1" applyFont="1" applyFill="1" applyBorder="1" applyAlignment="1" applyProtection="1">
      <alignment horizontal="center" vertical="center"/>
      <protection locked="0"/>
    </xf>
    <xf numFmtId="4" fontId="232" fillId="51" borderId="12" xfId="0" applyNumberFormat="1" applyFont="1" applyFill="1" applyBorder="1" applyAlignment="1">
      <alignment horizontal="center"/>
    </xf>
    <xf numFmtId="170" fontId="232" fillId="46" borderId="11" xfId="0" applyNumberFormat="1" applyFont="1" applyFill="1" applyBorder="1"/>
    <xf numFmtId="3" fontId="232" fillId="0" borderId="47" xfId="0" applyNumberFormat="1" applyFont="1" applyBorder="1" applyAlignment="1" applyProtection="1">
      <alignment horizontal="right" vertical="center"/>
      <protection locked="0"/>
    </xf>
    <xf numFmtId="171" fontId="232" fillId="0" borderId="48" xfId="0" applyNumberFormat="1" applyFont="1" applyBorder="1" applyAlignment="1" applyProtection="1">
      <alignment horizontal="center" vertical="center"/>
      <protection locked="0"/>
    </xf>
    <xf numFmtId="171" fontId="232" fillId="46" borderId="48" xfId="0" applyNumberFormat="1" applyFont="1" applyFill="1" applyBorder="1" applyAlignment="1" applyProtection="1">
      <alignment horizontal="center" vertical="center"/>
      <protection locked="0"/>
    </xf>
    <xf numFmtId="3" fontId="232" fillId="46" borderId="48" xfId="0" applyNumberFormat="1" applyFont="1" applyFill="1" applyBorder="1" applyAlignment="1" applyProtection="1">
      <alignment horizontal="center" vertical="center"/>
      <protection locked="0"/>
    </xf>
    <xf numFmtId="4" fontId="243" fillId="46" borderId="57" xfId="0" applyNumberFormat="1" applyFont="1" applyFill="1" applyBorder="1" applyAlignment="1" applyProtection="1">
      <alignment horizontal="center" vertical="center"/>
      <protection locked="0"/>
    </xf>
    <xf numFmtId="1" fontId="232" fillId="0" borderId="56" xfId="0" applyNumberFormat="1" applyFont="1" applyBorder="1" applyAlignment="1">
      <alignment horizontal="center" vertical="center"/>
    </xf>
    <xf numFmtId="3" fontId="245" fillId="46" borderId="30" xfId="0" applyNumberFormat="1" applyFont="1" applyFill="1" applyBorder="1" applyAlignment="1" applyProtection="1">
      <alignment horizontal="center" vertical="center"/>
      <protection locked="0"/>
    </xf>
    <xf numFmtId="170" fontId="247" fillId="46" borderId="30" xfId="0" applyNumberFormat="1" applyFont="1" applyFill="1" applyBorder="1" applyAlignment="1" applyProtection="1">
      <alignment horizontal="center" vertical="center"/>
      <protection locked="0"/>
    </xf>
    <xf numFmtId="4" fontId="245" fillId="46" borderId="30" xfId="0" applyNumberFormat="1" applyFont="1" applyFill="1" applyBorder="1" applyAlignment="1">
      <alignment horizontal="center"/>
    </xf>
    <xf numFmtId="4" fontId="232" fillId="46" borderId="31" xfId="0" applyNumberFormat="1" applyFont="1" applyFill="1" applyBorder="1" applyAlignment="1" applyProtection="1">
      <alignment horizontal="center" vertical="top"/>
      <protection locked="0"/>
    </xf>
    <xf numFmtId="171" fontId="245" fillId="46" borderId="30" xfId="0" applyNumberFormat="1" applyFont="1" applyFill="1" applyBorder="1" applyAlignment="1" applyProtection="1">
      <alignment horizontal="center" vertical="center"/>
      <protection locked="0"/>
    </xf>
    <xf numFmtId="170" fontId="232" fillId="46" borderId="51" xfId="0" applyNumberFormat="1" applyFont="1" applyFill="1" applyBorder="1" applyAlignment="1" applyProtection="1">
      <alignment horizontal="center" vertical="center"/>
      <protection locked="0"/>
    </xf>
    <xf numFmtId="4" fontId="232" fillId="51" borderId="30" xfId="0" applyNumberFormat="1" applyFont="1" applyFill="1" applyBorder="1" applyAlignment="1">
      <alignment horizontal="center"/>
    </xf>
    <xf numFmtId="4" fontId="243" fillId="46" borderId="30" xfId="0" applyNumberFormat="1" applyFont="1" applyFill="1" applyBorder="1" applyAlignment="1" applyProtection="1">
      <alignment horizontal="center" vertical="center"/>
      <protection locked="0"/>
    </xf>
    <xf numFmtId="1" fontId="232" fillId="0" borderId="31" xfId="0" applyNumberFormat="1" applyFont="1" applyBorder="1" applyAlignment="1">
      <alignment horizontal="center" vertical="center"/>
    </xf>
    <xf numFmtId="1" fontId="232" fillId="0" borderId="61" xfId="0" applyNumberFormat="1" applyFont="1" applyBorder="1" applyAlignment="1">
      <alignment horizontal="center"/>
    </xf>
    <xf numFmtId="3" fontId="245" fillId="46" borderId="52" xfId="0" applyNumberFormat="1" applyFont="1" applyFill="1" applyBorder="1" applyAlignment="1" applyProtection="1">
      <alignment horizontal="center" vertical="center"/>
      <protection locked="0"/>
    </xf>
    <xf numFmtId="170" fontId="247" fillId="46" borderId="52" xfId="0" applyNumberFormat="1" applyFont="1" applyFill="1" applyBorder="1" applyAlignment="1" applyProtection="1">
      <alignment horizontal="center" vertical="center"/>
      <protection locked="0"/>
    </xf>
    <xf numFmtId="4" fontId="245" fillId="46" borderId="52" xfId="0" applyNumberFormat="1" applyFont="1" applyFill="1" applyBorder="1" applyAlignment="1">
      <alignment horizontal="center"/>
    </xf>
    <xf numFmtId="4" fontId="232" fillId="46" borderId="44" xfId="0" applyNumberFormat="1" applyFont="1" applyFill="1" applyBorder="1" applyAlignment="1" applyProtection="1">
      <alignment horizontal="center" vertical="top"/>
      <protection locked="0"/>
    </xf>
    <xf numFmtId="171" fontId="245" fillId="46" borderId="52" xfId="0" applyNumberFormat="1" applyFont="1" applyFill="1" applyBorder="1" applyAlignment="1" applyProtection="1">
      <alignment horizontal="center" vertical="center"/>
      <protection locked="0"/>
    </xf>
    <xf numFmtId="170" fontId="232" fillId="46" borderId="69" xfId="0" applyNumberFormat="1" applyFont="1" applyFill="1" applyBorder="1" applyAlignment="1" applyProtection="1">
      <alignment horizontal="center" vertical="center"/>
      <protection locked="0"/>
    </xf>
    <xf numFmtId="4" fontId="232" fillId="51" borderId="52" xfId="0" applyNumberFormat="1" applyFont="1" applyFill="1" applyBorder="1" applyAlignment="1">
      <alignment horizontal="center"/>
    </xf>
    <xf numFmtId="170" fontId="232" fillId="46" borderId="52" xfId="0" applyNumberFormat="1" applyFont="1" applyFill="1" applyBorder="1"/>
    <xf numFmtId="4" fontId="243" fillId="46" borderId="52" xfId="0" applyNumberFormat="1" applyFont="1" applyFill="1" applyBorder="1" applyAlignment="1" applyProtection="1">
      <alignment horizontal="center" vertical="center"/>
      <protection locked="0"/>
    </xf>
    <xf numFmtId="1" fontId="232" fillId="0" borderId="44" xfId="0" applyNumberFormat="1" applyFont="1" applyBorder="1" applyAlignment="1">
      <alignment horizontal="center" vertical="center"/>
    </xf>
    <xf numFmtId="170" fontId="232" fillId="0" borderId="52" xfId="0" applyNumberFormat="1" applyFont="1" applyBorder="1" applyAlignment="1">
      <alignment horizontal="center"/>
    </xf>
    <xf numFmtId="1" fontId="232" fillId="0" borderId="52" xfId="0" applyNumberFormat="1" applyFont="1" applyBorder="1" applyAlignment="1">
      <alignment horizontal="center"/>
    </xf>
    <xf numFmtId="1" fontId="232" fillId="0" borderId="68" xfId="0" applyNumberFormat="1" applyFont="1" applyBorder="1" applyAlignment="1">
      <alignment horizontal="center"/>
    </xf>
    <xf numFmtId="0" fontId="233" fillId="0" borderId="5" xfId="0" applyFont="1" applyBorder="1" applyAlignment="1" applyProtection="1">
      <alignment vertical="center"/>
      <protection locked="0"/>
    </xf>
    <xf numFmtId="3" fontId="231" fillId="0" borderId="3" xfId="0" applyNumberFormat="1" applyFont="1" applyBorder="1" applyAlignment="1" applyProtection="1">
      <alignment horizontal="right" vertical="center"/>
      <protection locked="0"/>
    </xf>
    <xf numFmtId="3" fontId="231" fillId="0" borderId="65" xfId="0" applyNumberFormat="1" applyFont="1" applyBorder="1" applyAlignment="1" applyProtection="1">
      <alignment horizontal="right" vertical="center"/>
      <protection locked="0"/>
    </xf>
    <xf numFmtId="171" fontId="231" fillId="46" borderId="56" xfId="0" applyNumberFormat="1" applyFont="1" applyFill="1" applyBorder="1" applyAlignment="1" applyProtection="1">
      <alignment horizontal="center" vertical="center"/>
      <protection locked="0"/>
    </xf>
    <xf numFmtId="3" fontId="243" fillId="46" borderId="3" xfId="0" applyNumberFormat="1" applyFont="1" applyFill="1" applyBorder="1" applyAlignment="1" applyProtection="1">
      <alignment horizontal="center" vertical="center"/>
      <protection locked="0"/>
    </xf>
    <xf numFmtId="170" fontId="247" fillId="46" borderId="53" xfId="0" applyNumberFormat="1" applyFont="1" applyFill="1" applyBorder="1" applyAlignment="1" applyProtection="1">
      <alignment horizontal="center" vertical="center"/>
      <protection locked="0"/>
    </xf>
    <xf numFmtId="4" fontId="247" fillId="46" borderId="1" xfId="0" applyNumberFormat="1" applyFont="1" applyFill="1" applyBorder="1" applyAlignment="1">
      <alignment horizontal="center"/>
    </xf>
    <xf numFmtId="4" fontId="232" fillId="46" borderId="2" xfId="0" applyNumberFormat="1" applyFont="1" applyFill="1" applyBorder="1" applyAlignment="1" applyProtection="1">
      <alignment horizontal="center" vertical="top"/>
      <protection locked="0"/>
    </xf>
    <xf numFmtId="3" fontId="231" fillId="0" borderId="1" xfId="0" applyNumberFormat="1" applyFont="1" applyBorder="1" applyAlignment="1" applyProtection="1">
      <alignment horizontal="right" vertical="center"/>
      <protection locked="0"/>
    </xf>
    <xf numFmtId="3" fontId="231" fillId="0" borderId="3" xfId="0" applyNumberFormat="1" applyFont="1" applyBorder="1" applyAlignment="1" applyProtection="1">
      <alignment horizontal="center" vertical="center"/>
      <protection locked="0"/>
    </xf>
    <xf numFmtId="1" fontId="231" fillId="0" borderId="3" xfId="0" applyNumberFormat="1" applyFont="1" applyBorder="1" applyAlignment="1" applyProtection="1">
      <alignment horizontal="center" vertical="center"/>
      <protection locked="0"/>
    </xf>
    <xf numFmtId="171" fontId="231" fillId="46" borderId="3" xfId="0" applyNumberFormat="1" applyFont="1" applyFill="1" applyBorder="1" applyAlignment="1" applyProtection="1">
      <alignment horizontal="center" vertical="center"/>
      <protection locked="0"/>
    </xf>
    <xf numFmtId="4" fontId="231" fillId="46" borderId="33" xfId="0" applyNumberFormat="1" applyFont="1" applyFill="1" applyBorder="1" applyAlignment="1">
      <alignment horizontal="center" vertical="center"/>
    </xf>
    <xf numFmtId="3" fontId="231" fillId="0" borderId="33" xfId="0" applyNumberFormat="1" applyFont="1" applyBorder="1" applyAlignment="1" applyProtection="1">
      <alignment horizontal="right" vertical="center"/>
      <protection locked="0"/>
    </xf>
    <xf numFmtId="171" fontId="232" fillId="0" borderId="36" xfId="0" applyNumberFormat="1" applyFont="1" applyBorder="1" applyAlignment="1" applyProtection="1">
      <alignment horizontal="center" vertical="center"/>
      <protection locked="0"/>
    </xf>
    <xf numFmtId="171" fontId="231" fillId="46" borderId="36" xfId="0" applyNumberFormat="1" applyFont="1" applyFill="1" applyBorder="1" applyAlignment="1" applyProtection="1">
      <alignment horizontal="center" vertical="center"/>
      <protection locked="0"/>
    </xf>
    <xf numFmtId="4" fontId="243" fillId="46" borderId="49" xfId="0" applyNumberFormat="1" applyFont="1" applyFill="1" applyBorder="1" applyAlignment="1" applyProtection="1">
      <alignment horizontal="center" vertical="center"/>
      <protection locked="0"/>
    </xf>
    <xf numFmtId="171" fontId="245" fillId="0" borderId="21" xfId="0" applyNumberFormat="1" applyFont="1" applyBorder="1" applyAlignment="1" applyProtection="1">
      <alignment horizontal="center" vertical="center"/>
      <protection locked="0"/>
    </xf>
    <xf numFmtId="1" fontId="231" fillId="0" borderId="33" xfId="0" applyNumberFormat="1" applyFont="1" applyBorder="1" applyAlignment="1">
      <alignment horizontal="center" vertical="center"/>
    </xf>
    <xf numFmtId="1" fontId="231" fillId="0" borderId="71" xfId="0" applyNumberFormat="1" applyFont="1" applyBorder="1" applyAlignment="1">
      <alignment horizontal="center" vertical="center"/>
    </xf>
    <xf numFmtId="170" fontId="231" fillId="0" borderId="58" xfId="0" applyNumberFormat="1" applyFont="1" applyBorder="1" applyAlignment="1">
      <alignment horizontal="center" vertical="center"/>
    </xf>
    <xf numFmtId="170" fontId="231" fillId="0" borderId="57" xfId="0" applyNumberFormat="1" applyFont="1" applyBorder="1" applyAlignment="1">
      <alignment horizontal="center"/>
    </xf>
    <xf numFmtId="1" fontId="231" fillId="0" borderId="57" xfId="0" applyNumberFormat="1" applyFont="1" applyBorder="1" applyAlignment="1">
      <alignment horizontal="center" vertical="center"/>
    </xf>
    <xf numFmtId="1" fontId="231" fillId="0" borderId="57" xfId="0" applyNumberFormat="1" applyFont="1" applyBorder="1" applyAlignment="1">
      <alignment horizontal="center"/>
    </xf>
    <xf numFmtId="1" fontId="231" fillId="0" borderId="59" xfId="0" applyNumberFormat="1" applyFont="1" applyBorder="1" applyAlignment="1">
      <alignment horizontal="center"/>
    </xf>
    <xf numFmtId="0" fontId="242" fillId="0" borderId="0" xfId="0" applyFont="1" applyAlignment="1" applyProtection="1">
      <alignment vertical="center"/>
      <protection locked="0"/>
    </xf>
    <xf numFmtId="3" fontId="232" fillId="0" borderId="0" xfId="0" applyNumberFormat="1" applyFont="1" applyAlignment="1" applyProtection="1">
      <alignment horizontal="right" vertical="center"/>
      <protection locked="0"/>
    </xf>
    <xf numFmtId="171" fontId="232" fillId="46" borderId="0" xfId="0" applyNumberFormat="1" applyFont="1" applyFill="1" applyAlignment="1" applyProtection="1">
      <alignment horizontal="center" vertical="center"/>
      <protection locked="0"/>
    </xf>
    <xf numFmtId="3" fontId="245" fillId="46" borderId="0" xfId="0" applyNumberFormat="1" applyFont="1" applyFill="1" applyAlignment="1" applyProtection="1">
      <alignment horizontal="center" vertical="center"/>
      <protection locked="0"/>
    </xf>
    <xf numFmtId="170" fontId="247" fillId="46" borderId="0" xfId="0" applyNumberFormat="1" applyFont="1" applyFill="1" applyAlignment="1" applyProtection="1">
      <alignment horizontal="center" vertical="center"/>
      <protection locked="0"/>
    </xf>
    <xf numFmtId="4" fontId="245" fillId="46" borderId="0" xfId="0" applyNumberFormat="1" applyFont="1" applyFill="1" applyAlignment="1">
      <alignment horizontal="center"/>
    </xf>
    <xf numFmtId="3" fontId="232" fillId="0" borderId="0" xfId="0" applyNumberFormat="1" applyFont="1" applyAlignment="1" applyProtection="1">
      <alignment horizontal="center" vertical="center"/>
      <protection locked="0"/>
    </xf>
    <xf numFmtId="1" fontId="232" fillId="0" borderId="0" xfId="0" applyNumberFormat="1" applyFont="1" applyAlignment="1" applyProtection="1">
      <alignment horizontal="center" vertical="center"/>
      <protection locked="0"/>
    </xf>
    <xf numFmtId="171" fontId="243" fillId="46" borderId="0" xfId="0" applyNumberFormat="1" applyFont="1" applyFill="1" applyAlignment="1" applyProtection="1">
      <alignment horizontal="center" vertical="center"/>
      <protection locked="0"/>
    </xf>
    <xf numFmtId="3" fontId="232" fillId="46" borderId="0" xfId="0" applyNumberFormat="1" applyFont="1" applyFill="1" applyAlignment="1" applyProtection="1">
      <alignment horizontal="center" vertical="center"/>
      <protection locked="0"/>
    </xf>
    <xf numFmtId="170" fontId="232" fillId="46" borderId="0" xfId="0" applyNumberFormat="1" applyFont="1" applyFill="1" applyAlignment="1" applyProtection="1">
      <alignment horizontal="center" vertical="center"/>
      <protection locked="0"/>
    </xf>
    <xf numFmtId="4" fontId="232" fillId="51" borderId="0" xfId="0" applyNumberFormat="1" applyFont="1" applyFill="1" applyAlignment="1">
      <alignment horizontal="center"/>
    </xf>
    <xf numFmtId="3" fontId="232" fillId="0" borderId="2" xfId="0" applyNumberFormat="1" applyFont="1" applyBorder="1" applyAlignment="1" applyProtection="1">
      <alignment horizontal="right" vertical="center"/>
      <protection locked="0"/>
    </xf>
    <xf numFmtId="171" fontId="232" fillId="0" borderId="2" xfId="0" applyNumberFormat="1" applyFont="1" applyBorder="1" applyAlignment="1" applyProtection="1">
      <alignment horizontal="center" vertical="center"/>
      <protection locked="0"/>
    </xf>
    <xf numFmtId="171" fontId="232" fillId="46" borderId="2" xfId="0" applyNumberFormat="1" applyFont="1" applyFill="1" applyBorder="1" applyAlignment="1" applyProtection="1">
      <alignment horizontal="center" vertical="center"/>
      <protection locked="0"/>
    </xf>
    <xf numFmtId="4" fontId="243" fillId="46" borderId="0" xfId="0" applyNumberFormat="1" applyFont="1" applyFill="1" applyAlignment="1" applyProtection="1">
      <alignment horizontal="center" vertical="center"/>
      <protection locked="0"/>
    </xf>
    <xf numFmtId="1" fontId="232" fillId="0" borderId="0" xfId="0" applyNumberFormat="1" applyFont="1" applyAlignment="1">
      <alignment horizontal="center" vertical="center"/>
    </xf>
    <xf numFmtId="170" fontId="232" fillId="0" borderId="0" xfId="0" applyNumberFormat="1" applyFont="1" applyAlignment="1">
      <alignment horizontal="center" vertical="center"/>
    </xf>
    <xf numFmtId="170" fontId="232" fillId="0" borderId="0" xfId="0" applyNumberFormat="1" applyFont="1" applyAlignment="1">
      <alignment horizontal="center"/>
    </xf>
    <xf numFmtId="0" fontId="233" fillId="54" borderId="5" xfId="0" applyFont="1" applyFill="1" applyBorder="1" applyAlignment="1" applyProtection="1">
      <alignment vertical="center"/>
      <protection locked="0"/>
    </xf>
    <xf numFmtId="3" fontId="231" fillId="54" borderId="3" xfId="0" applyNumberFormat="1" applyFont="1" applyFill="1" applyBorder="1" applyAlignment="1" applyProtection="1">
      <alignment horizontal="right" vertical="center"/>
      <protection locked="0"/>
    </xf>
    <xf numFmtId="0" fontId="242" fillId="54" borderId="3" xfId="0" applyFont="1" applyFill="1" applyBorder="1" applyAlignment="1" applyProtection="1">
      <alignment vertical="center"/>
      <protection locked="0"/>
    </xf>
    <xf numFmtId="171" fontId="231" fillId="54" borderId="56" xfId="0" applyNumberFormat="1" applyFont="1" applyFill="1" applyBorder="1" applyAlignment="1" applyProtection="1">
      <alignment horizontal="center" vertical="center"/>
      <protection locked="0"/>
    </xf>
    <xf numFmtId="3" fontId="243" fillId="54" borderId="3" xfId="0" applyNumberFormat="1" applyFont="1" applyFill="1" applyBorder="1" applyAlignment="1" applyProtection="1">
      <alignment horizontal="center" vertical="center"/>
      <protection locked="0"/>
    </xf>
    <xf numFmtId="4" fontId="247" fillId="54" borderId="3" xfId="0" applyNumberFormat="1" applyFont="1" applyFill="1" applyBorder="1" applyAlignment="1" applyProtection="1">
      <alignment horizontal="center" vertical="center"/>
      <protection locked="0"/>
    </xf>
    <xf numFmtId="0" fontId="242" fillId="54" borderId="2" xfId="0" applyFont="1" applyFill="1" applyBorder="1" applyAlignment="1" applyProtection="1">
      <alignment vertical="center"/>
      <protection locked="0"/>
    </xf>
    <xf numFmtId="3" fontId="231" fillId="54" borderId="3" xfId="0" applyNumberFormat="1" applyFont="1" applyFill="1" applyBorder="1" applyAlignment="1" applyProtection="1">
      <alignment horizontal="center" vertical="center"/>
      <protection locked="0"/>
    </xf>
    <xf numFmtId="3" fontId="243" fillId="54" borderId="53" xfId="0" applyNumberFormat="1" applyFont="1" applyFill="1" applyBorder="1" applyAlignment="1" applyProtection="1">
      <alignment horizontal="center" vertical="center"/>
      <protection locked="0"/>
    </xf>
    <xf numFmtId="3" fontId="231" fillId="46" borderId="64" xfId="0" applyNumberFormat="1" applyFont="1" applyFill="1" applyBorder="1" applyAlignment="1" applyProtection="1">
      <alignment horizontal="center" vertical="center"/>
      <protection locked="0"/>
    </xf>
    <xf numFmtId="4" fontId="231" fillId="46" borderId="36" xfId="0" applyNumberFormat="1" applyFont="1" applyFill="1" applyBorder="1" applyAlignment="1" applyProtection="1">
      <alignment horizontal="center" vertical="center"/>
      <protection locked="0"/>
    </xf>
    <xf numFmtId="3" fontId="231" fillId="54" borderId="33" xfId="0" applyNumberFormat="1" applyFont="1" applyFill="1" applyBorder="1" applyAlignment="1" applyProtection="1">
      <alignment horizontal="right" vertical="center"/>
      <protection locked="0"/>
    </xf>
    <xf numFmtId="171" fontId="231" fillId="54" borderId="36" xfId="0" applyNumberFormat="1" applyFont="1" applyFill="1" applyBorder="1" applyAlignment="1" applyProtection="1">
      <alignment horizontal="center" vertical="center"/>
      <protection locked="0"/>
    </xf>
    <xf numFmtId="3" fontId="243" fillId="54" borderId="62" xfId="0" applyNumberFormat="1" applyFont="1" applyFill="1" applyBorder="1" applyAlignment="1" applyProtection="1">
      <alignment horizontal="center" vertical="center"/>
      <protection locked="0"/>
    </xf>
    <xf numFmtId="170" fontId="231" fillId="54" borderId="1" xfId="0" applyNumberFormat="1" applyFont="1" applyFill="1" applyBorder="1" applyAlignment="1">
      <alignment horizontal="center" vertical="center"/>
    </xf>
    <xf numFmtId="170" fontId="231" fillId="54" borderId="3" xfId="0" applyNumberFormat="1" applyFont="1" applyFill="1" applyBorder="1" applyAlignment="1">
      <alignment horizontal="center" vertical="center"/>
    </xf>
    <xf numFmtId="170" fontId="231" fillId="54" borderId="53" xfId="0" applyNumberFormat="1" applyFont="1" applyFill="1" applyBorder="1" applyAlignment="1">
      <alignment horizontal="center" vertical="center"/>
    </xf>
    <xf numFmtId="1" fontId="231" fillId="54" borderId="1" xfId="0" applyNumberFormat="1" applyFont="1" applyFill="1" applyBorder="1" applyAlignment="1">
      <alignment horizontal="center" vertical="center"/>
    </xf>
    <xf numFmtId="1" fontId="232" fillId="54" borderId="3" xfId="0" applyNumberFormat="1" applyFont="1" applyFill="1" applyBorder="1" applyAlignment="1">
      <alignment horizontal="center" vertical="center"/>
    </xf>
    <xf numFmtId="1" fontId="232" fillId="54" borderId="53" xfId="0" applyNumberFormat="1" applyFont="1" applyFill="1" applyBorder="1" applyAlignment="1">
      <alignment horizontal="center" vertical="center"/>
    </xf>
    <xf numFmtId="3" fontId="232" fillId="0" borderId="0" xfId="0" applyNumberFormat="1" applyFont="1" applyAlignment="1">
      <alignment horizontal="right"/>
    </xf>
    <xf numFmtId="1" fontId="232" fillId="0" borderId="0" xfId="0" applyNumberFormat="1" applyFont="1" applyAlignment="1">
      <alignment horizontal="right"/>
    </xf>
    <xf numFmtId="1" fontId="232" fillId="0" borderId="0" xfId="0" applyNumberFormat="1" applyFont="1"/>
    <xf numFmtId="3" fontId="232" fillId="0" borderId="0" xfId="0" applyNumberFormat="1" applyFont="1" applyAlignment="1">
      <alignment horizontal="center"/>
    </xf>
    <xf numFmtId="171" fontId="232" fillId="46" borderId="0" xfId="0" applyNumberFormat="1" applyFont="1" applyFill="1"/>
    <xf numFmtId="3" fontId="232" fillId="46" borderId="0" xfId="0" applyNumberFormat="1" applyFont="1" applyFill="1"/>
    <xf numFmtId="0" fontId="232" fillId="0" borderId="0" xfId="0" applyFont="1" applyAlignment="1">
      <alignment horizontal="center" vertical="center"/>
    </xf>
    <xf numFmtId="3" fontId="232" fillId="46" borderId="57" xfId="0" applyNumberFormat="1" applyFont="1" applyFill="1" applyBorder="1" applyAlignment="1" applyProtection="1">
      <alignment horizontal="right" vertical="center"/>
      <protection locked="0"/>
    </xf>
    <xf numFmtId="171" fontId="232" fillId="51" borderId="57" xfId="0" applyNumberFormat="1" applyFont="1" applyFill="1" applyBorder="1" applyAlignment="1" applyProtection="1">
      <alignment horizontal="center" vertical="center"/>
      <protection locked="0"/>
    </xf>
    <xf numFmtId="170" fontId="232" fillId="0" borderId="51" xfId="0" applyNumberFormat="1" applyFont="1" applyBorder="1"/>
    <xf numFmtId="170" fontId="232" fillId="0" borderId="30" xfId="0" applyNumberFormat="1" applyFont="1" applyBorder="1"/>
    <xf numFmtId="1" fontId="232" fillId="0" borderId="30" xfId="0" applyNumberFormat="1" applyFont="1" applyBorder="1" applyAlignment="1">
      <alignment horizontal="right"/>
    </xf>
    <xf numFmtId="0" fontId="232" fillId="0" borderId="30" xfId="0" applyFont="1" applyBorder="1"/>
    <xf numFmtId="0" fontId="232" fillId="0" borderId="31" xfId="0" applyFont="1" applyBorder="1"/>
    <xf numFmtId="3" fontId="232" fillId="46" borderId="52" xfId="0" applyNumberFormat="1" applyFont="1" applyFill="1" applyBorder="1" applyAlignment="1" applyProtection="1">
      <alignment horizontal="right" vertical="center"/>
      <protection locked="0"/>
    </xf>
    <xf numFmtId="171" fontId="232" fillId="46" borderId="51" xfId="0" applyNumberFormat="1" applyFont="1" applyFill="1" applyBorder="1" applyAlignment="1" applyProtection="1">
      <alignment horizontal="center" vertical="center"/>
      <protection locked="0"/>
    </xf>
    <xf numFmtId="170" fontId="232" fillId="0" borderId="68" xfId="0" applyNumberFormat="1" applyFont="1" applyBorder="1" applyAlignment="1">
      <alignment horizontal="center"/>
    </xf>
    <xf numFmtId="171" fontId="232" fillId="46" borderId="64" xfId="0" applyNumberFormat="1" applyFont="1" applyFill="1" applyBorder="1" applyAlignment="1" applyProtection="1">
      <alignment horizontal="center" vertical="center"/>
      <protection locked="0"/>
    </xf>
    <xf numFmtId="171" fontId="232" fillId="51" borderId="36" xfId="0" applyNumberFormat="1" applyFont="1" applyFill="1" applyBorder="1" applyAlignment="1" applyProtection="1">
      <alignment horizontal="center" vertical="center"/>
      <protection locked="0"/>
    </xf>
    <xf numFmtId="170" fontId="232" fillId="0" borderId="21" xfId="0" applyNumberFormat="1" applyFont="1" applyBorder="1" applyAlignment="1">
      <alignment horizontal="center"/>
    </xf>
    <xf numFmtId="170" fontId="232" fillId="0" borderId="60" xfId="0" applyNumberFormat="1" applyFont="1" applyBorder="1" applyAlignment="1">
      <alignment horizontal="center"/>
    </xf>
    <xf numFmtId="1" fontId="232" fillId="0" borderId="21" xfId="0" applyNumberFormat="1" applyFont="1" applyBorder="1" applyAlignment="1">
      <alignment horizontal="center"/>
    </xf>
    <xf numFmtId="1" fontId="232" fillId="0" borderId="60" xfId="0" applyNumberFormat="1" applyFont="1" applyBorder="1" applyAlignment="1">
      <alignment horizontal="center"/>
    </xf>
    <xf numFmtId="3" fontId="232" fillId="0" borderId="30" xfId="0" applyNumberFormat="1" applyFont="1" applyBorder="1" applyAlignment="1" applyProtection="1">
      <alignment horizontal="right" vertical="center" wrapText="1"/>
      <protection locked="0"/>
    </xf>
    <xf numFmtId="3" fontId="232" fillId="0" borderId="30" xfId="0" applyNumberFormat="1" applyFont="1" applyBorder="1" applyAlignment="1" applyProtection="1">
      <alignment horizontal="center" vertical="center" wrapText="1"/>
      <protection locked="0"/>
    </xf>
    <xf numFmtId="3" fontId="231" fillId="46" borderId="61" xfId="0" applyNumberFormat="1" applyFont="1" applyFill="1" applyBorder="1" applyAlignment="1" applyProtection="1">
      <alignment horizontal="center" vertical="center"/>
      <protection locked="0"/>
    </xf>
    <xf numFmtId="170" fontId="232" fillId="46" borderId="65" xfId="0" applyNumberFormat="1" applyFont="1" applyFill="1" applyBorder="1" applyAlignment="1" applyProtection="1">
      <alignment horizontal="center" vertical="center"/>
      <protection locked="0"/>
    </xf>
    <xf numFmtId="170" fontId="232" fillId="0" borderId="61" xfId="0" applyNumberFormat="1" applyFont="1" applyBorder="1" applyAlignment="1">
      <alignment horizontal="center"/>
    </xf>
    <xf numFmtId="4" fontId="232" fillId="46" borderId="30" xfId="0" applyNumberFormat="1" applyFont="1" applyFill="1" applyBorder="1" applyAlignment="1">
      <alignment horizontal="center"/>
    </xf>
    <xf numFmtId="4" fontId="232" fillId="46" borderId="3" xfId="0" applyNumberFormat="1" applyFont="1" applyFill="1" applyBorder="1" applyAlignment="1">
      <alignment horizontal="center"/>
    </xf>
    <xf numFmtId="170" fontId="232" fillId="46" borderId="49" xfId="0" applyNumberFormat="1" applyFont="1" applyFill="1" applyBorder="1" applyAlignment="1" applyProtection="1">
      <alignment horizontal="center" vertical="center"/>
      <protection locked="0"/>
    </xf>
    <xf numFmtId="4" fontId="232" fillId="46" borderId="21" xfId="0" applyNumberFormat="1" applyFont="1" applyFill="1" applyBorder="1" applyAlignment="1">
      <alignment horizontal="center"/>
    </xf>
    <xf numFmtId="4" fontId="232" fillId="46" borderId="52" xfId="0" applyNumberFormat="1" applyFont="1" applyFill="1" applyBorder="1" applyAlignment="1">
      <alignment horizontal="center"/>
    </xf>
    <xf numFmtId="4" fontId="232" fillId="46" borderId="3" xfId="0" applyNumberFormat="1" applyFont="1" applyFill="1" applyBorder="1" applyAlignment="1" applyProtection="1">
      <alignment horizontal="center" vertical="center"/>
      <protection locked="0"/>
    </xf>
    <xf numFmtId="0" fontId="232" fillId="0" borderId="30" xfId="0" applyFont="1" applyBorder="1" applyAlignment="1">
      <alignment horizontal="right"/>
    </xf>
    <xf numFmtId="0" fontId="232" fillId="46" borderId="30" xfId="0" applyFont="1" applyFill="1" applyBorder="1" applyAlignment="1">
      <alignment horizontal="center"/>
    </xf>
    <xf numFmtId="0" fontId="232" fillId="46" borderId="61" xfId="0" applyFont="1" applyFill="1" applyBorder="1" applyAlignment="1">
      <alignment horizontal="center"/>
    </xf>
    <xf numFmtId="3" fontId="231" fillId="46" borderId="11" xfId="0" applyNumberFormat="1" applyFont="1" applyFill="1" applyBorder="1" applyAlignment="1" applyProtection="1">
      <alignment horizontal="right" vertical="center"/>
      <protection locked="0"/>
    </xf>
    <xf numFmtId="0" fontId="232" fillId="46" borderId="0" xfId="0" applyFont="1" applyFill="1" applyAlignment="1">
      <alignment horizontal="center"/>
    </xf>
    <xf numFmtId="3" fontId="232" fillId="46" borderId="30" xfId="0" applyNumberFormat="1" applyFont="1" applyFill="1" applyBorder="1" applyAlignment="1" applyProtection="1">
      <alignment horizontal="right" vertical="center" wrapText="1"/>
      <protection locked="0"/>
    </xf>
    <xf numFmtId="3" fontId="232" fillId="0" borderId="30" xfId="0" applyNumberFormat="1" applyFont="1" applyBorder="1"/>
    <xf numFmtId="3" fontId="232" fillId="46" borderId="30" xfId="0" applyNumberFormat="1" applyFont="1" applyFill="1" applyBorder="1" applyAlignment="1" applyProtection="1">
      <alignment horizontal="center" vertical="center" wrapText="1"/>
      <protection locked="0"/>
    </xf>
    <xf numFmtId="171" fontId="232" fillId="46" borderId="69" xfId="0" applyNumberFormat="1" applyFont="1" applyFill="1" applyBorder="1" applyAlignment="1" applyProtection="1">
      <alignment horizontal="center" vertical="center"/>
      <protection locked="0"/>
    </xf>
    <xf numFmtId="3" fontId="231" fillId="46" borderId="30" xfId="0" applyNumberFormat="1" applyFont="1" applyFill="1" applyBorder="1" applyAlignment="1" applyProtection="1">
      <alignment horizontal="right" vertical="center"/>
      <protection locked="0"/>
    </xf>
    <xf numFmtId="0" fontId="231" fillId="0" borderId="30" xfId="0" applyFont="1" applyBorder="1"/>
    <xf numFmtId="171" fontId="231" fillId="46" borderId="30" xfId="0" applyNumberFormat="1" applyFont="1" applyFill="1" applyBorder="1" applyAlignment="1" applyProtection="1">
      <alignment horizontal="center" vertical="center"/>
      <protection locked="0"/>
    </xf>
    <xf numFmtId="3" fontId="231" fillId="46" borderId="30" xfId="0" applyNumberFormat="1" applyFont="1" applyFill="1" applyBorder="1" applyAlignment="1" applyProtection="1">
      <alignment horizontal="center" vertical="center"/>
      <protection locked="0"/>
    </xf>
    <xf numFmtId="1" fontId="231" fillId="46" borderId="30" xfId="0" applyNumberFormat="1" applyFont="1" applyFill="1" applyBorder="1" applyAlignment="1" applyProtection="1">
      <alignment horizontal="center" vertical="center"/>
      <protection locked="0"/>
    </xf>
    <xf numFmtId="171" fontId="231" fillId="46" borderId="49" xfId="0" applyNumberFormat="1" applyFont="1" applyFill="1" applyBorder="1" applyAlignment="1" applyProtection="1">
      <alignment horizontal="center" vertical="center"/>
      <protection locked="0"/>
    </xf>
    <xf numFmtId="171" fontId="231" fillId="46" borderId="21" xfId="0" applyNumberFormat="1" applyFont="1" applyFill="1" applyBorder="1" applyAlignment="1" applyProtection="1">
      <alignment horizontal="center" vertical="center"/>
      <protection locked="0"/>
    </xf>
    <xf numFmtId="0" fontId="232" fillId="0" borderId="52" xfId="0" applyFont="1" applyBorder="1"/>
    <xf numFmtId="3" fontId="232" fillId="0" borderId="52" xfId="0" applyNumberFormat="1" applyFont="1" applyBorder="1"/>
    <xf numFmtId="3" fontId="232" fillId="51" borderId="68" xfId="0" applyNumberFormat="1" applyFont="1" applyFill="1" applyBorder="1" applyAlignment="1" applyProtection="1">
      <alignment horizontal="center" vertical="center"/>
      <protection locked="0"/>
    </xf>
    <xf numFmtId="171" fontId="245" fillId="51" borderId="30" xfId="0" applyNumberFormat="1" applyFont="1" applyFill="1" applyBorder="1" applyAlignment="1" applyProtection="1">
      <alignment horizontal="center" vertical="center"/>
      <protection locked="0"/>
    </xf>
    <xf numFmtId="0" fontId="231" fillId="0" borderId="0" xfId="0" applyFont="1"/>
    <xf numFmtId="3" fontId="231" fillId="46" borderId="0" xfId="0" applyNumberFormat="1" applyFont="1" applyFill="1" applyAlignment="1" applyProtection="1">
      <alignment horizontal="right" vertical="center"/>
      <protection locked="0"/>
    </xf>
    <xf numFmtId="171" fontId="231" fillId="46" borderId="0" xfId="0" applyNumberFormat="1" applyFont="1" applyFill="1" applyAlignment="1" applyProtection="1">
      <alignment horizontal="center" vertical="center"/>
      <protection locked="0"/>
    </xf>
    <xf numFmtId="3" fontId="231" fillId="46" borderId="0" xfId="0" applyNumberFormat="1" applyFont="1" applyFill="1" applyAlignment="1" applyProtection="1">
      <alignment horizontal="center" vertical="center"/>
      <protection locked="0"/>
    </xf>
    <xf numFmtId="1" fontId="231" fillId="46" borderId="0" xfId="0" applyNumberFormat="1" applyFont="1" applyFill="1" applyAlignment="1" applyProtection="1">
      <alignment horizontal="center" vertical="center"/>
      <protection locked="0"/>
    </xf>
    <xf numFmtId="1" fontId="232" fillId="46" borderId="0" xfId="0" applyNumberFormat="1" applyFont="1" applyFill="1" applyAlignment="1">
      <alignment horizontal="right"/>
    </xf>
    <xf numFmtId="170" fontId="232" fillId="46" borderId="0" xfId="0" applyNumberFormat="1" applyFont="1" applyFill="1" applyAlignment="1">
      <alignment horizontal="center"/>
    </xf>
    <xf numFmtId="1" fontId="232" fillId="46" borderId="0" xfId="0" applyNumberFormat="1" applyFont="1" applyFill="1" applyAlignment="1">
      <alignment horizontal="center" vertical="center"/>
    </xf>
    <xf numFmtId="170" fontId="232" fillId="46" borderId="0" xfId="0" applyNumberFormat="1" applyFont="1" applyFill="1" applyAlignment="1">
      <alignment horizontal="center" vertical="center"/>
    </xf>
    <xf numFmtId="4" fontId="231" fillId="54" borderId="56" xfId="0" applyNumberFormat="1" applyFont="1" applyFill="1" applyBorder="1" applyAlignment="1">
      <alignment horizontal="left" vertical="center"/>
    </xf>
    <xf numFmtId="3" fontId="231" fillId="54" borderId="2" xfId="0" applyNumberFormat="1" applyFont="1" applyFill="1" applyBorder="1" applyAlignment="1" applyProtection="1">
      <alignment horizontal="right" vertical="center"/>
      <protection locked="0"/>
    </xf>
    <xf numFmtId="171" fontId="231" fillId="54" borderId="3" xfId="0" applyNumberFormat="1" applyFont="1" applyFill="1" applyBorder="1" applyAlignment="1" applyProtection="1">
      <alignment horizontal="center" vertical="center"/>
      <protection locked="0"/>
    </xf>
    <xf numFmtId="170" fontId="231" fillId="54" borderId="53" xfId="0" applyNumberFormat="1" applyFont="1" applyFill="1" applyBorder="1" applyAlignment="1" applyProtection="1">
      <alignment horizontal="center" vertical="center"/>
      <protection locked="0"/>
    </xf>
    <xf numFmtId="4" fontId="243" fillId="54" borderId="3" xfId="0" applyNumberFormat="1" applyFont="1" applyFill="1" applyBorder="1" applyAlignment="1" applyProtection="1">
      <alignment horizontal="center" vertical="center"/>
      <protection locked="0"/>
    </xf>
    <xf numFmtId="4" fontId="232" fillId="54" borderId="2" xfId="0" applyNumberFormat="1" applyFont="1" applyFill="1" applyBorder="1" applyAlignment="1" applyProtection="1">
      <alignment horizontal="center" vertical="top"/>
      <protection locked="0"/>
    </xf>
    <xf numFmtId="3" fontId="231" fillId="54" borderId="5" xfId="0" applyNumberFormat="1" applyFont="1" applyFill="1" applyBorder="1" applyAlignment="1" applyProtection="1">
      <alignment horizontal="right" vertical="center"/>
      <protection locked="0"/>
    </xf>
    <xf numFmtId="3" fontId="231" fillId="54" borderId="5" xfId="0" applyNumberFormat="1" applyFont="1" applyFill="1" applyBorder="1" applyAlignment="1" applyProtection="1">
      <alignment horizontal="center" vertical="center"/>
      <protection locked="0"/>
    </xf>
    <xf numFmtId="170" fontId="231" fillId="51" borderId="53" xfId="0" applyNumberFormat="1" applyFont="1" applyFill="1" applyBorder="1" applyAlignment="1" applyProtection="1">
      <alignment horizontal="center" vertical="center"/>
      <protection locked="0"/>
    </xf>
    <xf numFmtId="4" fontId="247" fillId="51" borderId="53" xfId="0" applyNumberFormat="1" applyFont="1" applyFill="1" applyBorder="1" applyAlignment="1" applyProtection="1">
      <alignment horizontal="center" vertical="center"/>
      <protection locked="0"/>
    </xf>
    <xf numFmtId="3" fontId="231" fillId="54" borderId="1" xfId="0" applyNumberFormat="1" applyFont="1" applyFill="1" applyBorder="1" applyAlignment="1" applyProtection="1">
      <alignment horizontal="right" vertical="center"/>
      <protection locked="0"/>
    </xf>
    <xf numFmtId="3" fontId="231" fillId="54" borderId="53" xfId="0" applyNumberFormat="1" applyFont="1" applyFill="1" applyBorder="1" applyAlignment="1" applyProtection="1">
      <alignment horizontal="center" vertical="center"/>
      <protection locked="0"/>
    </xf>
    <xf numFmtId="1" fontId="231" fillId="54" borderId="3" xfId="0" applyNumberFormat="1" applyFont="1" applyFill="1" applyBorder="1" applyAlignment="1">
      <alignment horizontal="center" vertical="center"/>
    </xf>
    <xf numFmtId="1" fontId="231" fillId="54" borderId="53" xfId="0" applyNumberFormat="1" applyFont="1" applyFill="1" applyBorder="1" applyAlignment="1">
      <alignment horizontal="center" vertical="center"/>
    </xf>
    <xf numFmtId="171" fontId="231" fillId="51" borderId="30" xfId="0" applyNumberFormat="1" applyFont="1" applyFill="1" applyBorder="1" applyAlignment="1" applyProtection="1">
      <alignment horizontal="center" vertical="center"/>
      <protection locked="0"/>
    </xf>
    <xf numFmtId="0" fontId="231" fillId="0" borderId="14" xfId="0" applyFont="1" applyBorder="1"/>
    <xf numFmtId="0" fontId="232" fillId="46" borderId="0" xfId="0" applyFont="1" applyFill="1" applyAlignment="1">
      <alignment horizontal="center" vertical="center"/>
    </xf>
    <xf numFmtId="0" fontId="231" fillId="86" borderId="1" xfId="0" applyFont="1" applyFill="1" applyBorder="1" applyAlignment="1">
      <alignment vertical="center"/>
    </xf>
    <xf numFmtId="3" fontId="231" fillId="86" borderId="3" xfId="0" applyNumberFormat="1" applyFont="1" applyFill="1" applyBorder="1" applyAlignment="1" applyProtection="1">
      <alignment horizontal="right" vertical="center"/>
      <protection locked="0"/>
    </xf>
    <xf numFmtId="0" fontId="231" fillId="86" borderId="3" xfId="0" applyFont="1" applyFill="1" applyBorder="1"/>
    <xf numFmtId="171" fontId="231" fillId="86" borderId="3" xfId="0" applyNumberFormat="1" applyFont="1" applyFill="1" applyBorder="1" applyAlignment="1" applyProtection="1">
      <alignment horizontal="center" vertical="center"/>
      <protection locked="0"/>
    </xf>
    <xf numFmtId="3" fontId="243" fillId="86" borderId="3" xfId="0" applyNumberFormat="1" applyFont="1" applyFill="1" applyBorder="1" applyAlignment="1" applyProtection="1">
      <alignment horizontal="center" vertical="center"/>
      <protection locked="0"/>
    </xf>
    <xf numFmtId="171" fontId="243" fillId="86" borderId="3" xfId="0" applyNumberFormat="1" applyFont="1" applyFill="1" applyBorder="1" applyAlignment="1" applyProtection="1">
      <alignment horizontal="center" vertical="center"/>
      <protection locked="0"/>
    </xf>
    <xf numFmtId="0" fontId="242" fillId="86" borderId="2" xfId="0" applyFont="1" applyFill="1" applyBorder="1"/>
    <xf numFmtId="3" fontId="231" fillId="86" borderId="3" xfId="0" applyNumberFormat="1" applyFont="1" applyFill="1" applyBorder="1" applyAlignment="1" applyProtection="1">
      <alignment horizontal="center" vertical="center"/>
      <protection locked="0"/>
    </xf>
    <xf numFmtId="1" fontId="231" fillId="86" borderId="3" xfId="0" applyNumberFormat="1" applyFont="1" applyFill="1" applyBorder="1" applyAlignment="1" applyProtection="1">
      <alignment horizontal="center" vertical="center"/>
      <protection locked="0"/>
    </xf>
    <xf numFmtId="3" fontId="243" fillId="86" borderId="53" xfId="0" applyNumberFormat="1" applyFont="1" applyFill="1" applyBorder="1" applyAlignment="1" applyProtection="1">
      <alignment horizontal="center" vertical="center"/>
      <protection locked="0"/>
    </xf>
    <xf numFmtId="171" fontId="231" fillId="46" borderId="51" xfId="0" applyNumberFormat="1" applyFont="1" applyFill="1" applyBorder="1" applyAlignment="1" applyProtection="1">
      <alignment horizontal="center" vertical="center"/>
      <protection locked="0"/>
    </xf>
    <xf numFmtId="3" fontId="231" fillId="86" borderId="1" xfId="0" applyNumberFormat="1" applyFont="1" applyFill="1" applyBorder="1" applyAlignment="1" applyProtection="1">
      <alignment horizontal="right" vertical="center"/>
      <protection locked="0"/>
    </xf>
    <xf numFmtId="1" fontId="231" fillId="0" borderId="30" xfId="0" applyNumberFormat="1" applyFont="1" applyBorder="1" applyAlignment="1">
      <alignment horizontal="center" vertical="center"/>
    </xf>
    <xf numFmtId="1" fontId="231" fillId="0" borderId="31" xfId="0" applyNumberFormat="1" applyFont="1" applyBorder="1" applyAlignment="1">
      <alignment horizontal="center" vertical="center"/>
    </xf>
    <xf numFmtId="170" fontId="231" fillId="86" borderId="1" xfId="0" applyNumberFormat="1" applyFont="1" applyFill="1" applyBorder="1" applyAlignment="1">
      <alignment horizontal="center" vertical="center"/>
    </xf>
    <xf numFmtId="170" fontId="231" fillId="86" borderId="3" xfId="0" applyNumberFormat="1" applyFont="1" applyFill="1" applyBorder="1" applyAlignment="1">
      <alignment horizontal="center" vertical="center"/>
    </xf>
    <xf numFmtId="1" fontId="231" fillId="86" borderId="3" xfId="0" applyNumberFormat="1" applyFont="1" applyFill="1" applyBorder="1" applyAlignment="1">
      <alignment horizontal="center" vertical="center"/>
    </xf>
    <xf numFmtId="1" fontId="231" fillId="86" borderId="53" xfId="0" applyNumberFormat="1" applyFont="1" applyFill="1" applyBorder="1" applyAlignment="1">
      <alignment horizontal="center" vertical="center"/>
    </xf>
    <xf numFmtId="4" fontId="232" fillId="0" borderId="58" xfId="0" applyNumberFormat="1" applyFont="1" applyBorder="1" applyAlignment="1">
      <alignment horizontal="left" vertical="center"/>
    </xf>
    <xf numFmtId="4" fontId="232" fillId="0" borderId="42" xfId="0" applyNumberFormat="1" applyFont="1" applyBorder="1" applyAlignment="1">
      <alignment horizontal="left" vertical="center"/>
    </xf>
    <xf numFmtId="4" fontId="232" fillId="0" borderId="32" xfId="0" applyNumberFormat="1" applyFont="1" applyBorder="1" applyAlignment="1">
      <alignment horizontal="left" vertical="center"/>
    </xf>
    <xf numFmtId="4" fontId="232" fillId="0" borderId="29" xfId="0" applyNumberFormat="1" applyFont="1" applyBorder="1" applyAlignment="1">
      <alignment horizontal="left" vertical="center"/>
    </xf>
    <xf numFmtId="4" fontId="232" fillId="0" borderId="29" xfId="0" applyNumberFormat="1" applyFont="1" applyBorder="1" applyAlignment="1">
      <alignment horizontal="right" vertical="center"/>
    </xf>
    <xf numFmtId="4" fontId="245" fillId="0" borderId="29" xfId="0" applyNumberFormat="1" applyFont="1" applyBorder="1" applyAlignment="1">
      <alignment horizontal="left" vertical="center"/>
    </xf>
    <xf numFmtId="0" fontId="232" fillId="0" borderId="29" xfId="0" applyFont="1" applyBorder="1" applyAlignment="1">
      <alignment horizontal="center" vertical="center"/>
    </xf>
    <xf numFmtId="0" fontId="232" fillId="0" borderId="29" xfId="0" applyFont="1" applyBorder="1" applyAlignment="1">
      <alignment vertical="center"/>
    </xf>
    <xf numFmtId="0" fontId="231" fillId="0" borderId="29" xfId="0" applyFont="1" applyBorder="1" applyAlignment="1">
      <alignment vertical="center"/>
    </xf>
    <xf numFmtId="0" fontId="248" fillId="46" borderId="0" xfId="0" applyFont="1" applyFill="1" applyAlignment="1">
      <alignment horizontal="center" vertical="center" wrapText="1"/>
    </xf>
    <xf numFmtId="3" fontId="55" fillId="0" borderId="0" xfId="0" applyNumberFormat="1" applyFont="1" applyAlignment="1">
      <alignment horizontal="center" vertical="center"/>
    </xf>
    <xf numFmtId="1" fontId="55" fillId="0" borderId="0" xfId="0" applyNumberFormat="1" applyFont="1" applyAlignment="1">
      <alignment horizontal="center" vertical="center"/>
    </xf>
    <xf numFmtId="0" fontId="0" fillId="53" borderId="29" xfId="0" applyFill="1" applyBorder="1" applyAlignment="1">
      <alignment horizontal="center" vertical="center"/>
    </xf>
    <xf numFmtId="0" fontId="0" fillId="0" borderId="32" xfId="0" applyBorder="1"/>
    <xf numFmtId="0" fontId="38" fillId="0" borderId="29" xfId="0" applyFont="1" applyBorder="1" applyAlignment="1">
      <alignment vertical="center"/>
    </xf>
    <xf numFmtId="0" fontId="36" fillId="0" borderId="29" xfId="0" applyFont="1" applyBorder="1" applyAlignment="1">
      <alignment vertical="center"/>
    </xf>
    <xf numFmtId="0" fontId="36" fillId="0" borderId="42" xfId="0" applyFont="1" applyBorder="1" applyAlignment="1">
      <alignment vertical="center"/>
    </xf>
    <xf numFmtId="171" fontId="0" fillId="0" borderId="52" xfId="0" applyNumberFormat="1" applyBorder="1" applyAlignment="1">
      <alignment horizontal="center" vertical="center"/>
    </xf>
    <xf numFmtId="1" fontId="0" fillId="0" borderId="68" xfId="0" applyNumberFormat="1" applyBorder="1" applyAlignment="1">
      <alignment horizontal="center" vertical="center"/>
    </xf>
    <xf numFmtId="171" fontId="0" fillId="0" borderId="42" xfId="0" applyNumberFormat="1" applyBorder="1" applyAlignment="1">
      <alignment horizontal="center" vertical="center"/>
    </xf>
    <xf numFmtId="0" fontId="36" fillId="53" borderId="32" xfId="0" applyFont="1" applyFill="1" applyBorder="1" applyAlignment="1">
      <alignment horizontal="center" vertical="center"/>
    </xf>
    <xf numFmtId="0" fontId="38" fillId="53" borderId="42" xfId="0" applyFont="1" applyFill="1" applyBorder="1" applyAlignment="1">
      <alignment horizontal="center" vertical="center"/>
    </xf>
    <xf numFmtId="3" fontId="0" fillId="53" borderId="52" xfId="0" applyNumberFormat="1" applyFill="1" applyBorder="1" applyAlignment="1">
      <alignment horizontal="center" vertical="center"/>
    </xf>
    <xf numFmtId="170" fontId="36" fillId="53" borderId="52" xfId="0" applyNumberFormat="1" applyFont="1" applyFill="1" applyBorder="1" applyAlignment="1">
      <alignment horizontal="center" vertical="center"/>
    </xf>
    <xf numFmtId="1" fontId="36" fillId="53" borderId="68" xfId="0" applyNumberFormat="1" applyFont="1" applyFill="1" applyBorder="1" applyAlignment="1">
      <alignment horizontal="center" vertical="center"/>
    </xf>
    <xf numFmtId="170" fontId="36" fillId="53" borderId="42" xfId="0" applyNumberFormat="1" applyFont="1" applyFill="1" applyBorder="1" applyAlignment="1">
      <alignment horizontal="center" vertical="center"/>
    </xf>
    <xf numFmtId="0" fontId="49" fillId="56" borderId="21" xfId="0" applyFont="1" applyFill="1" applyBorder="1" applyAlignment="1">
      <alignment horizontal="center" vertical="center"/>
    </xf>
    <xf numFmtId="0" fontId="49" fillId="56" borderId="60" xfId="0" applyFont="1" applyFill="1" applyBorder="1" applyAlignment="1">
      <alignment horizontal="center" vertical="center"/>
    </xf>
    <xf numFmtId="0" fontId="49" fillId="56" borderId="32" xfId="0" applyFont="1" applyFill="1" applyBorder="1" applyAlignment="1">
      <alignment horizontal="center" vertical="center"/>
    </xf>
    <xf numFmtId="17" fontId="0" fillId="46" borderId="0" xfId="0" applyNumberFormat="1" applyFill="1" applyAlignment="1">
      <alignment vertical="center"/>
    </xf>
    <xf numFmtId="3" fontId="49" fillId="53" borderId="21" xfId="0" applyNumberFormat="1" applyFont="1" applyFill="1" applyBorder="1" applyAlignment="1">
      <alignment horizontal="center" vertical="center"/>
    </xf>
    <xf numFmtId="170" fontId="118" fillId="53" borderId="21" xfId="0" applyNumberFormat="1" applyFont="1" applyFill="1" applyBorder="1" applyAlignment="1">
      <alignment horizontal="center" vertical="center"/>
    </xf>
    <xf numFmtId="1" fontId="118" fillId="53" borderId="60" xfId="0" applyNumberFormat="1" applyFont="1" applyFill="1" applyBorder="1" applyAlignment="1">
      <alignment horizontal="center" vertical="center"/>
    </xf>
    <xf numFmtId="170" fontId="118" fillId="53" borderId="32" xfId="0" applyNumberFormat="1" applyFont="1" applyFill="1" applyBorder="1" applyAlignment="1">
      <alignment horizontal="center" vertical="center"/>
    </xf>
    <xf numFmtId="0" fontId="249" fillId="0" borderId="30" xfId="0" applyFont="1" applyBorder="1" applyAlignment="1">
      <alignment horizontal="center" vertical="center"/>
    </xf>
    <xf numFmtId="0" fontId="0" fillId="0" borderId="57" xfId="0" applyBorder="1" applyAlignment="1">
      <alignment horizontal="center"/>
    </xf>
    <xf numFmtId="0" fontId="158" fillId="0" borderId="31" xfId="0" applyFont="1" applyBorder="1" applyAlignment="1">
      <alignment vertical="center"/>
    </xf>
    <xf numFmtId="0" fontId="136" fillId="0" borderId="26" xfId="0" applyFont="1" applyBorder="1" applyAlignment="1">
      <alignment vertical="center"/>
    </xf>
    <xf numFmtId="0" fontId="158" fillId="0" borderId="31" xfId="0" applyFont="1" applyBorder="1" applyAlignment="1">
      <alignment vertical="center" wrapText="1"/>
    </xf>
    <xf numFmtId="0" fontId="136" fillId="0" borderId="25" xfId="0" applyFont="1" applyBorder="1" applyAlignment="1">
      <alignment vertical="center"/>
    </xf>
    <xf numFmtId="0" fontId="9" fillId="0" borderId="26" xfId="0" applyFont="1" applyBorder="1" applyAlignment="1">
      <alignment horizontal="left" vertical="center"/>
    </xf>
    <xf numFmtId="0" fontId="136" fillId="93" borderId="31" xfId="0" applyFont="1" applyFill="1" applyBorder="1" applyAlignment="1">
      <alignment vertical="center"/>
    </xf>
    <xf numFmtId="0" fontId="224" fillId="70" borderId="31" xfId="0" applyFont="1" applyFill="1" applyBorder="1" applyAlignment="1">
      <alignment horizontal="left" vertical="center" wrapText="1"/>
    </xf>
    <xf numFmtId="0" fontId="224" fillId="0" borderId="31" xfId="0" applyFont="1" applyBorder="1" applyAlignment="1">
      <alignment horizontal="left" vertical="center" wrapText="1"/>
    </xf>
    <xf numFmtId="0" fontId="136" fillId="0" borderId="31" xfId="0" applyFont="1" applyBorder="1" applyAlignment="1">
      <alignment vertical="center" wrapText="1"/>
    </xf>
    <xf numFmtId="0" fontId="136" fillId="0" borderId="44" xfId="0" applyFont="1" applyBorder="1" applyAlignment="1">
      <alignment vertical="center"/>
    </xf>
    <xf numFmtId="0" fontId="136" fillId="0" borderId="50" xfId="0" applyFont="1" applyBorder="1" applyAlignment="1">
      <alignment horizontal="left" vertical="center"/>
    </xf>
    <xf numFmtId="0" fontId="136" fillId="0" borderId="49" xfId="0" applyFont="1" applyBorder="1" applyAlignment="1">
      <alignment horizontal="left" vertical="center"/>
    </xf>
    <xf numFmtId="0" fontId="9" fillId="0" borderId="51" xfId="0" applyFont="1" applyBorder="1"/>
    <xf numFmtId="0" fontId="158" fillId="0" borderId="51" xfId="0" applyFont="1" applyBorder="1" applyAlignment="1">
      <alignment vertical="center" wrapText="1"/>
    </xf>
    <xf numFmtId="0" fontId="9" fillId="0" borderId="51" xfId="0" applyFont="1" applyBorder="1" applyAlignment="1">
      <alignment vertical="center"/>
    </xf>
    <xf numFmtId="0" fontId="162" fillId="0" borderId="51" xfId="0" applyFont="1" applyBorder="1"/>
    <xf numFmtId="0" fontId="136" fillId="0" borderId="51" xfId="0" applyFont="1" applyBorder="1" applyAlignment="1">
      <alignment horizontal="left" vertical="center" wrapText="1"/>
    </xf>
    <xf numFmtId="0" fontId="7" fillId="0" borderId="51" xfId="0" applyFont="1" applyBorder="1" applyAlignment="1">
      <alignment horizontal="left" vertical="center"/>
    </xf>
    <xf numFmtId="0" fontId="7" fillId="0" borderId="50" xfId="0" applyFont="1" applyBorder="1" applyAlignment="1">
      <alignment horizontal="left" vertical="center"/>
    </xf>
    <xf numFmtId="0" fontId="224" fillId="70" borderId="51" xfId="0" applyFont="1" applyFill="1" applyBorder="1" applyAlignment="1">
      <alignment horizontal="left" vertical="center" wrapText="1"/>
    </xf>
    <xf numFmtId="0" fontId="224" fillId="0" borderId="51" xfId="0" applyFont="1" applyBorder="1" applyAlignment="1">
      <alignment horizontal="left" vertical="center" wrapText="1"/>
    </xf>
    <xf numFmtId="0" fontId="136" fillId="0" borderId="69" xfId="0" applyFont="1" applyBorder="1" applyAlignment="1">
      <alignment horizontal="left" vertical="center"/>
    </xf>
    <xf numFmtId="0" fontId="136" fillId="96" borderId="30" xfId="0" applyFont="1" applyFill="1" applyBorder="1" applyAlignment="1">
      <alignment horizontal="left" vertical="center"/>
    </xf>
    <xf numFmtId="0" fontId="136" fillId="45" borderId="30" xfId="0" applyFont="1" applyFill="1" applyBorder="1" applyAlignment="1">
      <alignment vertical="center"/>
    </xf>
    <xf numFmtId="0" fontId="180" fillId="0" borderId="21" xfId="0" applyFont="1" applyBorder="1" applyAlignment="1">
      <alignment horizontal="left" vertical="center" wrapText="1"/>
    </xf>
    <xf numFmtId="0" fontId="130" fillId="0" borderId="21" xfId="0" applyFont="1" applyBorder="1" applyAlignment="1">
      <alignment vertical="center" wrapText="1"/>
    </xf>
    <xf numFmtId="14" fontId="136" fillId="0" borderId="30" xfId="0" applyNumberFormat="1" applyFont="1" applyBorder="1"/>
    <xf numFmtId="0" fontId="136" fillId="97" borderId="30" xfId="0" applyFont="1" applyFill="1" applyBorder="1" applyAlignment="1">
      <alignment horizontal="center" vertical="center"/>
    </xf>
    <xf numFmtId="0" fontId="136" fillId="97" borderId="30" xfId="0" applyFont="1" applyFill="1" applyBorder="1" applyAlignment="1">
      <alignment horizontal="center" vertical="center" wrapText="1"/>
    </xf>
    <xf numFmtId="0" fontId="136" fillId="97" borderId="21" xfId="0" applyFont="1" applyFill="1" applyBorder="1" applyAlignment="1">
      <alignment horizontal="center" vertical="center"/>
    </xf>
    <xf numFmtId="0" fontId="136" fillId="97" borderId="30" xfId="0" applyFont="1" applyFill="1" applyBorder="1" applyAlignment="1">
      <alignment horizontal="left" vertical="center"/>
    </xf>
    <xf numFmtId="0" fontId="184" fillId="97" borderId="30" xfId="0" applyFont="1" applyFill="1" applyBorder="1" applyAlignment="1">
      <alignment horizontal="left" vertical="center" wrapText="1"/>
    </xf>
    <xf numFmtId="14" fontId="136" fillId="97" borderId="30" xfId="0" applyNumberFormat="1" applyFont="1" applyFill="1" applyBorder="1" applyAlignment="1">
      <alignment horizontal="center" vertical="center"/>
    </xf>
    <xf numFmtId="0" fontId="136" fillId="97" borderId="30" xfId="0" applyFont="1" applyFill="1" applyBorder="1" applyAlignment="1">
      <alignment horizontal="left" vertical="center" wrapText="1"/>
    </xf>
    <xf numFmtId="0" fontId="136" fillId="97" borderId="31" xfId="0" applyFont="1" applyFill="1" applyBorder="1" applyAlignment="1">
      <alignment horizontal="center" vertical="center"/>
    </xf>
    <xf numFmtId="0" fontId="136" fillId="97" borderId="30" xfId="0" applyFont="1" applyFill="1" applyBorder="1" applyAlignment="1">
      <alignment vertical="center"/>
    </xf>
    <xf numFmtId="0" fontId="136" fillId="97" borderId="0" xfId="0" applyFont="1" applyFill="1" applyAlignment="1">
      <alignment horizontal="left" vertical="center"/>
    </xf>
    <xf numFmtId="0" fontId="224" fillId="97" borderId="96" xfId="0" applyFont="1" applyFill="1" applyBorder="1" applyAlignment="1">
      <alignment horizontal="center" vertical="center" wrapText="1"/>
    </xf>
    <xf numFmtId="0" fontId="250" fillId="97" borderId="96" xfId="0" applyFont="1" applyFill="1" applyBorder="1" applyAlignment="1">
      <alignment horizontal="left" vertical="center" wrapText="1"/>
    </xf>
    <xf numFmtId="14" fontId="224" fillId="97" borderId="96" xfId="0" applyNumberFormat="1" applyFont="1" applyFill="1" applyBorder="1" applyAlignment="1">
      <alignment horizontal="center" vertical="center" wrapText="1"/>
    </xf>
    <xf numFmtId="0" fontId="136" fillId="97" borderId="0" xfId="0" applyFont="1" applyFill="1" applyAlignment="1">
      <alignment horizontal="center" vertical="center"/>
    </xf>
    <xf numFmtId="0" fontId="136" fillId="97" borderId="0" xfId="0" applyFont="1" applyFill="1" applyAlignment="1">
      <alignment vertical="center"/>
    </xf>
    <xf numFmtId="0" fontId="136" fillId="97" borderId="21" xfId="0" applyFont="1" applyFill="1" applyBorder="1" applyAlignment="1">
      <alignment horizontal="left" vertical="center"/>
    </xf>
    <xf numFmtId="0" fontId="184" fillId="97" borderId="21" xfId="0" applyFont="1" applyFill="1" applyBorder="1" applyAlignment="1">
      <alignment horizontal="left" vertical="center" wrapText="1"/>
    </xf>
    <xf numFmtId="14" fontId="136" fillId="97" borderId="21" xfId="0" applyNumberFormat="1" applyFont="1" applyFill="1" applyBorder="1" applyAlignment="1">
      <alignment horizontal="center" vertical="center"/>
    </xf>
    <xf numFmtId="0" fontId="136" fillId="97" borderId="21" xfId="0" applyFont="1" applyFill="1" applyBorder="1" applyAlignment="1">
      <alignment horizontal="left" vertical="center" wrapText="1"/>
    </xf>
    <xf numFmtId="0" fontId="136" fillId="97" borderId="25" xfId="0" applyFont="1" applyFill="1" applyBorder="1" applyAlignment="1">
      <alignment horizontal="center" vertical="center"/>
    </xf>
    <xf numFmtId="0" fontId="184" fillId="90" borderId="30" xfId="0" applyFont="1" applyFill="1" applyBorder="1" applyAlignment="1">
      <alignment horizontal="center" vertical="center"/>
    </xf>
    <xf numFmtId="0" fontId="184" fillId="90" borderId="30" xfId="0" applyFont="1" applyFill="1" applyBorder="1" applyAlignment="1">
      <alignment horizontal="left" vertical="center"/>
    </xf>
    <xf numFmtId="0" fontId="184" fillId="90" borderId="30" xfId="0" applyFont="1" applyFill="1" applyBorder="1" applyAlignment="1">
      <alignment vertical="center" wrapText="1"/>
    </xf>
    <xf numFmtId="14" fontId="184" fillId="90" borderId="30" xfId="0" applyNumberFormat="1" applyFont="1" applyFill="1" applyBorder="1" applyAlignment="1">
      <alignment horizontal="center" vertical="center"/>
    </xf>
    <xf numFmtId="0" fontId="184" fillId="90" borderId="30" xfId="0" applyFont="1" applyFill="1" applyBorder="1" applyAlignment="1">
      <alignment vertical="center"/>
    </xf>
    <xf numFmtId="0" fontId="184" fillId="90" borderId="30" xfId="0" applyFont="1" applyFill="1" applyBorder="1" applyAlignment="1">
      <alignment horizontal="left" vertical="center" wrapText="1"/>
    </xf>
    <xf numFmtId="0" fontId="184" fillId="97" borderId="30" xfId="0" applyFont="1" applyFill="1" applyBorder="1" applyAlignment="1">
      <alignment horizontal="center" vertical="center"/>
    </xf>
    <xf numFmtId="0" fontId="184" fillId="97" borderId="21" xfId="0" applyFont="1" applyFill="1" applyBorder="1" applyAlignment="1">
      <alignment horizontal="center" vertical="center"/>
    </xf>
    <xf numFmtId="0" fontId="184" fillId="97" borderId="30" xfId="0" applyFont="1" applyFill="1" applyBorder="1" applyAlignment="1">
      <alignment horizontal="left" vertical="center"/>
    </xf>
    <xf numFmtId="0" fontId="184" fillId="97" borderId="30" xfId="0" applyFont="1" applyFill="1" applyBorder="1" applyAlignment="1">
      <alignment vertical="center" wrapText="1"/>
    </xf>
    <xf numFmtId="14" fontId="184" fillId="97" borderId="30" xfId="0" applyNumberFormat="1" applyFont="1" applyFill="1" applyBorder="1" applyAlignment="1">
      <alignment horizontal="center" vertical="center"/>
    </xf>
    <xf numFmtId="0" fontId="184" fillId="97" borderId="30" xfId="0" applyFont="1" applyFill="1" applyBorder="1" applyAlignment="1">
      <alignment vertical="center"/>
    </xf>
    <xf numFmtId="0" fontId="184" fillId="97" borderId="31" xfId="0" applyFont="1" applyFill="1" applyBorder="1" applyAlignment="1">
      <alignment horizontal="center" vertical="center"/>
    </xf>
    <xf numFmtId="0" fontId="184" fillId="97" borderId="30" xfId="0" applyFont="1" applyFill="1" applyBorder="1"/>
    <xf numFmtId="14" fontId="184" fillId="97" borderId="21" xfId="0" applyNumberFormat="1" applyFont="1" applyFill="1" applyBorder="1" applyAlignment="1">
      <alignment horizontal="center" vertical="center"/>
    </xf>
    <xf numFmtId="0" fontId="184" fillId="97" borderId="21" xfId="0" applyFont="1" applyFill="1" applyBorder="1" applyAlignment="1">
      <alignment vertical="center"/>
    </xf>
    <xf numFmtId="0" fontId="184" fillId="97" borderId="21" xfId="0" applyFont="1" applyFill="1" applyBorder="1" applyAlignment="1">
      <alignment horizontal="left" vertical="center"/>
    </xf>
    <xf numFmtId="0" fontId="184" fillId="97" borderId="25" xfId="0" applyFont="1" applyFill="1" applyBorder="1" applyAlignment="1">
      <alignment horizontal="center" vertical="center"/>
    </xf>
    <xf numFmtId="0" fontId="136" fillId="90" borderId="30" xfId="0" applyFont="1" applyFill="1" applyBorder="1" applyAlignment="1">
      <alignment horizontal="center" vertical="center"/>
    </xf>
    <xf numFmtId="14" fontId="136" fillId="90" borderId="30" xfId="0" applyNumberFormat="1" applyFont="1" applyFill="1" applyBorder="1" applyAlignment="1">
      <alignment horizontal="center" vertical="center"/>
    </xf>
    <xf numFmtId="0" fontId="136" fillId="90" borderId="30" xfId="0" applyFont="1" applyFill="1" applyBorder="1" applyAlignment="1">
      <alignment horizontal="left" vertical="center" wrapText="1"/>
    </xf>
    <xf numFmtId="0" fontId="136" fillId="90" borderId="30" xfId="0" applyFont="1" applyFill="1" applyBorder="1" applyAlignment="1">
      <alignment vertical="center"/>
    </xf>
    <xf numFmtId="0" fontId="136" fillId="90" borderId="30" xfId="0" applyFont="1" applyFill="1" applyBorder="1" applyAlignment="1">
      <alignment horizontal="left" vertical="center"/>
    </xf>
    <xf numFmtId="0" fontId="136" fillId="90" borderId="30" xfId="0" applyFont="1" applyFill="1" applyBorder="1" applyAlignment="1">
      <alignment vertical="center" wrapText="1"/>
    </xf>
    <xf numFmtId="0" fontId="184" fillId="90" borderId="14" xfId="0" applyFont="1" applyFill="1" applyBorder="1" applyAlignment="1">
      <alignment horizontal="center" vertical="center"/>
    </xf>
    <xf numFmtId="0" fontId="184" fillId="90" borderId="31" xfId="0" applyFont="1" applyFill="1" applyBorder="1" applyAlignment="1">
      <alignment vertical="center"/>
    </xf>
    <xf numFmtId="0" fontId="184" fillId="90" borderId="31" xfId="0" applyFont="1" applyFill="1" applyBorder="1" applyAlignment="1">
      <alignment horizontal="center" vertical="center"/>
    </xf>
    <xf numFmtId="0" fontId="252" fillId="90" borderId="30" xfId="0" applyFont="1" applyFill="1" applyBorder="1"/>
    <xf numFmtId="0" fontId="184" fillId="90" borderId="21" xfId="0" applyFont="1" applyFill="1" applyBorder="1" applyAlignment="1">
      <alignment horizontal="center" vertical="center"/>
    </xf>
    <xf numFmtId="0" fontId="253" fillId="90" borderId="30" xfId="0" applyFont="1" applyFill="1" applyBorder="1"/>
    <xf numFmtId="0" fontId="184" fillId="90" borderId="14" xfId="0" applyFont="1" applyFill="1" applyBorder="1" applyAlignment="1">
      <alignment horizontal="left" vertical="center"/>
    </xf>
    <xf numFmtId="0" fontId="36" fillId="90" borderId="97" xfId="0" applyFont="1" applyFill="1" applyBorder="1" applyAlignment="1">
      <alignment vertical="center" wrapText="1"/>
    </xf>
    <xf numFmtId="0" fontId="253" fillId="90" borderId="18" xfId="0" applyFont="1" applyFill="1" applyBorder="1" applyAlignment="1">
      <alignment vertical="center" wrapText="1"/>
    </xf>
    <xf numFmtId="0" fontId="184" fillId="98" borderId="30" xfId="0" applyFont="1" applyFill="1" applyBorder="1" applyAlignment="1">
      <alignment horizontal="center" vertical="center"/>
    </xf>
    <xf numFmtId="0" fontId="184" fillId="98" borderId="30" xfId="0" applyFont="1" applyFill="1" applyBorder="1" applyAlignment="1">
      <alignment horizontal="left" vertical="center"/>
    </xf>
    <xf numFmtId="0" fontId="184" fillId="98" borderId="30" xfId="0" applyFont="1" applyFill="1" applyBorder="1" applyAlignment="1">
      <alignment vertical="center" wrapText="1"/>
    </xf>
    <xf numFmtId="14" fontId="184" fillId="98" borderId="30" xfId="0" applyNumberFormat="1" applyFont="1" applyFill="1" applyBorder="1" applyAlignment="1">
      <alignment horizontal="center" vertical="center"/>
    </xf>
    <xf numFmtId="0" fontId="184" fillId="98" borderId="30" xfId="0" applyFont="1" applyFill="1" applyBorder="1" applyAlignment="1">
      <alignment horizontal="left" vertical="center" wrapText="1"/>
    </xf>
    <xf numFmtId="0" fontId="184" fillId="98" borderId="30" xfId="0" applyFont="1" applyFill="1" applyBorder="1" applyAlignment="1">
      <alignment vertical="center"/>
    </xf>
    <xf numFmtId="0" fontId="253" fillId="98" borderId="30" xfId="0" applyFont="1" applyFill="1" applyBorder="1" applyAlignment="1">
      <alignment horizontal="center" vertical="center"/>
    </xf>
    <xf numFmtId="0" fontId="136" fillId="98" borderId="30" xfId="0" applyFont="1" applyFill="1" applyBorder="1" applyAlignment="1">
      <alignment horizontal="center" vertical="center"/>
    </xf>
    <xf numFmtId="0" fontId="136" fillId="98" borderId="30" xfId="0" applyFont="1" applyFill="1" applyBorder="1" applyAlignment="1">
      <alignment horizontal="left" vertical="center"/>
    </xf>
    <xf numFmtId="0" fontId="136" fillId="98" borderId="30" xfId="0" applyFont="1" applyFill="1" applyBorder="1" applyAlignment="1">
      <alignment vertical="center" wrapText="1"/>
    </xf>
    <xf numFmtId="14" fontId="136" fillId="98" borderId="30" xfId="0" applyNumberFormat="1" applyFont="1" applyFill="1" applyBorder="1" applyAlignment="1">
      <alignment horizontal="center" vertical="center"/>
    </xf>
    <xf numFmtId="0" fontId="136" fillId="98" borderId="30" xfId="0" applyFont="1" applyFill="1" applyBorder="1" applyAlignment="1">
      <alignment horizontal="left" vertical="center" wrapText="1"/>
    </xf>
    <xf numFmtId="0" fontId="136" fillId="98" borderId="30" xfId="0" applyFont="1" applyFill="1" applyBorder="1" applyAlignment="1">
      <alignment vertical="center"/>
    </xf>
    <xf numFmtId="0" fontId="136" fillId="54" borderId="28" xfId="0" applyFont="1" applyFill="1" applyBorder="1" applyAlignment="1">
      <alignment vertical="center"/>
    </xf>
    <xf numFmtId="0" fontId="251" fillId="98" borderId="30" xfId="0" applyFont="1" applyFill="1" applyBorder="1"/>
    <xf numFmtId="0" fontId="252" fillId="98" borderId="30" xfId="0" applyFont="1" applyFill="1" applyBorder="1" applyAlignment="1">
      <alignment vertical="center" wrapText="1"/>
    </xf>
    <xf numFmtId="0" fontId="252" fillId="98" borderId="30" xfId="0" applyFont="1" applyFill="1" applyBorder="1" applyAlignment="1">
      <alignment vertical="center"/>
    </xf>
    <xf numFmtId="0" fontId="252" fillId="98" borderId="30" xfId="0" applyFont="1" applyFill="1" applyBorder="1" applyAlignment="1">
      <alignment horizontal="center" vertical="center"/>
    </xf>
    <xf numFmtId="0" fontId="136" fillId="90" borderId="30" xfId="0" applyFont="1" applyFill="1" applyBorder="1" applyAlignment="1">
      <alignment horizontal="center" vertical="center" wrapText="1"/>
    </xf>
    <xf numFmtId="0" fontId="136" fillId="98" borderId="30" xfId="0" applyFont="1" applyFill="1" applyBorder="1" applyAlignment="1">
      <alignment horizontal="center" vertical="center" wrapText="1"/>
    </xf>
    <xf numFmtId="0" fontId="158" fillId="90" borderId="30" xfId="0" applyFont="1" applyFill="1" applyBorder="1" applyAlignment="1">
      <alignment horizontal="left" vertical="center"/>
    </xf>
    <xf numFmtId="0" fontId="136" fillId="90" borderId="51" xfId="0" applyFont="1" applyFill="1" applyBorder="1" applyAlignment="1">
      <alignment horizontal="left" vertical="center" wrapText="1"/>
    </xf>
    <xf numFmtId="0" fontId="221" fillId="0" borderId="0" xfId="0" applyFont="1" applyAlignment="1">
      <alignment horizontal="center" vertical="center"/>
    </xf>
    <xf numFmtId="0" fontId="221" fillId="0" borderId="30" xfId="0" applyFont="1" applyBorder="1" applyAlignment="1">
      <alignment horizontal="center" vertical="center"/>
    </xf>
    <xf numFmtId="19" fontId="38" fillId="0" borderId="30" xfId="0" applyNumberFormat="1" applyFont="1" applyBorder="1" applyAlignment="1">
      <alignment horizontal="center" vertical="center" wrapText="1"/>
    </xf>
    <xf numFmtId="19" fontId="38" fillId="0" borderId="14" xfId="0" applyNumberFormat="1" applyFont="1" applyBorder="1" applyAlignment="1">
      <alignment horizontal="center" vertical="center" wrapText="1"/>
    </xf>
    <xf numFmtId="0" fontId="136" fillId="0" borderId="14" xfId="0" applyFont="1" applyBorder="1" applyAlignment="1">
      <alignment horizontal="center" vertical="center" wrapText="1"/>
    </xf>
    <xf numFmtId="0" fontId="149" fillId="0" borderId="30" xfId="0" applyFont="1" applyBorder="1" applyAlignment="1">
      <alignment horizontal="left"/>
    </xf>
    <xf numFmtId="0" fontId="196" fillId="0" borderId="0" xfId="0" applyFont="1" applyAlignment="1">
      <alignment horizontal="left"/>
    </xf>
    <xf numFmtId="0" fontId="196" fillId="0" borderId="0" xfId="0" applyFont="1"/>
    <xf numFmtId="0" fontId="196" fillId="0" borderId="30" xfId="0" applyFont="1" applyBorder="1" applyAlignment="1">
      <alignment horizontal="left"/>
    </xf>
    <xf numFmtId="14" fontId="136" fillId="0" borderId="14" xfId="0" applyNumberFormat="1" applyFont="1" applyBorder="1" applyAlignment="1">
      <alignment horizontal="center" vertical="center" wrapText="1"/>
    </xf>
    <xf numFmtId="0" fontId="196" fillId="0" borderId="0" xfId="0" applyFont="1" applyAlignment="1">
      <alignment vertical="center"/>
    </xf>
    <xf numFmtId="0" fontId="184" fillId="0" borderId="30" xfId="0" applyFont="1" applyBorder="1" applyAlignment="1">
      <alignment vertical="center"/>
    </xf>
    <xf numFmtId="0" fontId="136" fillId="0" borderId="14" xfId="0" applyFont="1" applyBorder="1"/>
    <xf numFmtId="0" fontId="136" fillId="0" borderId="21" xfId="0" applyFont="1" applyBorder="1"/>
    <xf numFmtId="171" fontId="254" fillId="46" borderId="52" xfId="0" applyNumberFormat="1" applyFont="1" applyFill="1" applyBorder="1" applyAlignment="1" applyProtection="1">
      <alignment horizontal="center" vertical="center"/>
      <protection locked="0"/>
    </xf>
    <xf numFmtId="3" fontId="254" fillId="46" borderId="52" xfId="0" applyNumberFormat="1" applyFont="1" applyFill="1" applyBorder="1" applyAlignment="1" applyProtection="1">
      <alignment horizontal="center" vertical="center"/>
      <protection locked="0"/>
    </xf>
    <xf numFmtId="3" fontId="255" fillId="51" borderId="21" xfId="0" applyNumberFormat="1" applyFont="1" applyFill="1" applyBorder="1" applyAlignment="1" applyProtection="1">
      <alignment horizontal="center" vertical="center"/>
      <protection locked="0"/>
    </xf>
    <xf numFmtId="171" fontId="255" fillId="51" borderId="30" xfId="0" applyNumberFormat="1" applyFont="1" applyFill="1" applyBorder="1" applyAlignment="1" applyProtection="1">
      <alignment horizontal="center" vertical="center"/>
      <protection locked="0"/>
    </xf>
    <xf numFmtId="3" fontId="232" fillId="51" borderId="59" xfId="0" applyNumberFormat="1" applyFont="1" applyFill="1" applyBorder="1" applyAlignment="1" applyProtection="1">
      <alignment horizontal="center" vertical="center"/>
      <protection locked="0"/>
    </xf>
    <xf numFmtId="0" fontId="256" fillId="88" borderId="31" xfId="0" applyFont="1" applyFill="1" applyBorder="1" applyAlignment="1">
      <alignment vertical="center"/>
    </xf>
    <xf numFmtId="0" fontId="256" fillId="88" borderId="51" xfId="0" applyFont="1" applyFill="1" applyBorder="1" applyAlignment="1">
      <alignment vertical="center"/>
    </xf>
    <xf numFmtId="0" fontId="49" fillId="51" borderId="29" xfId="0" applyFont="1" applyFill="1" applyBorder="1" applyAlignment="1">
      <alignment horizontal="center"/>
    </xf>
    <xf numFmtId="0" fontId="256" fillId="88" borderId="63" xfId="0" applyFont="1" applyFill="1" applyBorder="1" applyAlignment="1">
      <alignment horizontal="center" vertical="center" wrapText="1"/>
    </xf>
    <xf numFmtId="0" fontId="55" fillId="46" borderId="0" xfId="0" applyFont="1" applyFill="1"/>
    <xf numFmtId="0" fontId="256" fillId="88" borderId="26" xfId="0" applyFont="1" applyFill="1" applyBorder="1" applyAlignment="1">
      <alignment horizontal="center" vertical="center"/>
    </xf>
    <xf numFmtId="0" fontId="256" fillId="88" borderId="50" xfId="0" applyFont="1" applyFill="1" applyBorder="1" applyAlignment="1">
      <alignment horizontal="center" vertical="center"/>
    </xf>
    <xf numFmtId="0" fontId="257" fillId="46" borderId="0" xfId="0" applyFont="1" applyFill="1" applyAlignment="1">
      <alignment horizontal="left" vertical="center" wrapText="1"/>
    </xf>
    <xf numFmtId="0" fontId="256" fillId="88" borderId="15" xfId="0" applyFont="1" applyFill="1" applyBorder="1" applyAlignment="1">
      <alignment horizontal="center" vertical="center"/>
    </xf>
    <xf numFmtId="0" fontId="256" fillId="88" borderId="63" xfId="0" applyFont="1" applyFill="1" applyBorder="1" applyAlignment="1">
      <alignment horizontal="center" vertical="center"/>
    </xf>
    <xf numFmtId="0" fontId="256" fillId="88" borderId="15" xfId="0" applyFont="1" applyFill="1" applyBorder="1" applyAlignment="1">
      <alignment horizontal="center" vertical="center" wrapText="1"/>
    </xf>
    <xf numFmtId="0" fontId="256" fillId="45" borderId="30" xfId="0" applyFont="1" applyFill="1" applyBorder="1" applyAlignment="1">
      <alignment horizontal="center" vertical="center" wrapText="1"/>
    </xf>
    <xf numFmtId="0" fontId="258" fillId="54" borderId="30" xfId="0" applyFont="1" applyFill="1" applyBorder="1" applyAlignment="1">
      <alignment horizontal="center" vertical="center" wrapText="1"/>
    </xf>
    <xf numFmtId="1" fontId="36" fillId="51" borderId="63" xfId="0" applyNumberFormat="1" applyFont="1" applyFill="1" applyBorder="1" applyAlignment="1">
      <alignment horizontal="center" vertical="center" wrapText="1"/>
    </xf>
    <xf numFmtId="1" fontId="120" fillId="46" borderId="64" xfId="0" applyNumberFormat="1" applyFont="1" applyFill="1" applyBorder="1" applyAlignment="1">
      <alignment horizontal="center" vertical="center" wrapText="1"/>
    </xf>
    <xf numFmtId="3" fontId="254" fillId="46" borderId="68" xfId="0" applyNumberFormat="1" applyFont="1" applyFill="1" applyBorder="1" applyAlignment="1" applyProtection="1">
      <alignment horizontal="center" vertical="center"/>
      <protection locked="0"/>
    </xf>
    <xf numFmtId="170" fontId="243" fillId="56" borderId="3" xfId="0" applyNumberFormat="1" applyFont="1" applyFill="1" applyBorder="1" applyAlignment="1">
      <alignment horizontal="center" vertical="center"/>
    </xf>
    <xf numFmtId="3" fontId="231" fillId="51" borderId="62" xfId="0" applyNumberFormat="1" applyFont="1" applyFill="1" applyBorder="1" applyAlignment="1" applyProtection="1">
      <alignment horizontal="center" vertical="center"/>
      <protection locked="0"/>
    </xf>
    <xf numFmtId="0" fontId="49" fillId="81" borderId="61" xfId="0" applyFont="1" applyFill="1" applyBorder="1" applyAlignment="1">
      <alignment horizontal="center"/>
    </xf>
    <xf numFmtId="0" fontId="49" fillId="81" borderId="31" xfId="0" applyFont="1" applyFill="1" applyBorder="1" applyAlignment="1">
      <alignment horizontal="center"/>
    </xf>
    <xf numFmtId="0" fontId="103" fillId="81" borderId="31" xfId="0" applyFont="1" applyFill="1" applyBorder="1" applyAlignment="1">
      <alignment horizontal="center"/>
    </xf>
    <xf numFmtId="0" fontId="49" fillId="81" borderId="21" xfId="0" applyFont="1" applyFill="1" applyBorder="1" applyAlignment="1">
      <alignment horizontal="center"/>
    </xf>
    <xf numFmtId="171" fontId="259" fillId="51" borderId="48" xfId="0" applyNumberFormat="1" applyFont="1" applyFill="1" applyBorder="1" applyAlignment="1">
      <alignment horizontal="center"/>
    </xf>
    <xf numFmtId="3" fontId="260" fillId="46" borderId="68" xfId="0" applyNumberFormat="1" applyFont="1" applyFill="1" applyBorder="1" applyAlignment="1" applyProtection="1">
      <alignment horizontal="center" vertical="center"/>
      <protection locked="0"/>
    </xf>
    <xf numFmtId="171" fontId="261" fillId="51" borderId="3" xfId="0" applyNumberFormat="1" applyFont="1" applyFill="1" applyBorder="1" applyAlignment="1" applyProtection="1">
      <alignment horizontal="center" vertical="center"/>
      <protection locked="0"/>
    </xf>
    <xf numFmtId="171" fontId="260" fillId="46" borderId="30" xfId="0" applyNumberFormat="1" applyFont="1" applyFill="1" applyBorder="1" applyAlignment="1" applyProtection="1">
      <alignment horizontal="center" vertical="center"/>
      <protection locked="0"/>
    </xf>
    <xf numFmtId="171" fontId="259" fillId="51" borderId="52" xfId="0" applyNumberFormat="1" applyFont="1" applyFill="1" applyBorder="1" applyAlignment="1" applyProtection="1">
      <alignment horizontal="center" vertical="center"/>
      <protection locked="0"/>
    </xf>
    <xf numFmtId="170" fontId="38" fillId="46" borderId="0" xfId="0" applyNumberFormat="1" applyFont="1" applyFill="1"/>
    <xf numFmtId="0" fontId="0" fillId="51" borderId="57" xfId="0" applyFill="1" applyBorder="1" applyAlignment="1">
      <alignment horizontal="center"/>
    </xf>
    <xf numFmtId="3" fontId="231" fillId="51" borderId="53" xfId="0" applyNumberFormat="1" applyFont="1" applyFill="1" applyBorder="1" applyAlignment="1" applyProtection="1">
      <alignment horizontal="center" vertical="center"/>
      <protection locked="0"/>
    </xf>
    <xf numFmtId="171" fontId="262" fillId="51" borderId="30" xfId="0" applyNumberFormat="1" applyFont="1" applyFill="1" applyBorder="1" applyAlignment="1" applyProtection="1">
      <alignment horizontal="center" vertical="center"/>
      <protection locked="0"/>
    </xf>
    <xf numFmtId="0" fontId="150" fillId="46" borderId="0" xfId="0" applyFont="1" applyFill="1" applyAlignment="1">
      <alignment wrapText="1"/>
    </xf>
    <xf numFmtId="170" fontId="49" fillId="86" borderId="37" xfId="0" applyNumberFormat="1" applyFont="1" applyFill="1" applyBorder="1" applyAlignment="1">
      <alignment horizontal="center" vertical="center" wrapText="1"/>
    </xf>
    <xf numFmtId="170" fontId="49" fillId="51" borderId="4" xfId="0" applyNumberFormat="1" applyFont="1" applyFill="1" applyBorder="1" applyAlignment="1">
      <alignment horizontal="center" vertical="center"/>
    </xf>
    <xf numFmtId="170" fontId="87" fillId="51" borderId="25" xfId="0" applyNumberFormat="1" applyFont="1" applyFill="1" applyBorder="1" applyAlignment="1">
      <alignment horizontal="center" vertical="center" wrapText="1"/>
    </xf>
    <xf numFmtId="4" fontId="199" fillId="0" borderId="0" xfId="0" applyNumberFormat="1" applyFont="1"/>
    <xf numFmtId="3" fontId="0" fillId="54" borderId="52" xfId="0" applyNumberFormat="1" applyFill="1" applyBorder="1" applyAlignment="1">
      <alignment horizontal="center"/>
    </xf>
    <xf numFmtId="3" fontId="0" fillId="54" borderId="68" xfId="0" applyNumberFormat="1" applyFill="1" applyBorder="1"/>
    <xf numFmtId="3" fontId="0" fillId="91" borderId="52" xfId="0" applyNumberFormat="1" applyFill="1" applyBorder="1"/>
    <xf numFmtId="3" fontId="0" fillId="90" borderId="42" xfId="0" applyNumberFormat="1" applyFill="1" applyBorder="1"/>
    <xf numFmtId="0" fontId="263" fillId="84" borderId="98" xfId="0" applyFont="1" applyFill="1" applyBorder="1" applyAlignment="1">
      <alignment horizontal="center" vertical="center"/>
    </xf>
    <xf numFmtId="2" fontId="263" fillId="84" borderId="98" xfId="0" applyNumberFormat="1" applyFont="1" applyFill="1" applyBorder="1" applyAlignment="1">
      <alignment horizontal="center" vertical="center"/>
    </xf>
    <xf numFmtId="0" fontId="263" fillId="84" borderId="98" xfId="0" applyFont="1" applyFill="1" applyBorder="1" applyAlignment="1">
      <alignment horizontal="right" vertical="center"/>
    </xf>
    <xf numFmtId="0" fontId="49" fillId="86" borderId="52" xfId="0" applyFont="1" applyFill="1" applyBorder="1" applyAlignment="1">
      <alignment horizontal="center"/>
    </xf>
    <xf numFmtId="3" fontId="0" fillId="90" borderId="68" xfId="0" applyNumberFormat="1" applyFill="1" applyBorder="1"/>
    <xf numFmtId="3" fontId="0" fillId="86" borderId="58" xfId="0" applyNumberFormat="1" applyFill="1" applyBorder="1" applyAlignment="1">
      <alignment horizontal="center" vertical="center"/>
    </xf>
    <xf numFmtId="3" fontId="0" fillId="86" borderId="29" xfId="0" applyNumberFormat="1" applyFill="1" applyBorder="1" applyAlignment="1">
      <alignment horizontal="center" vertical="center"/>
    </xf>
    <xf numFmtId="3" fontId="0" fillId="86" borderId="42" xfId="0" applyNumberFormat="1" applyFill="1" applyBorder="1" applyAlignment="1">
      <alignment horizontal="center" vertical="center"/>
    </xf>
    <xf numFmtId="3" fontId="0" fillId="86" borderId="68" xfId="0" applyNumberFormat="1" applyFill="1" applyBorder="1" applyAlignment="1">
      <alignment horizontal="center" vertical="center"/>
    </xf>
    <xf numFmtId="3" fontId="0" fillId="86" borderId="58" xfId="0" applyNumberFormat="1" applyFill="1" applyBorder="1"/>
    <xf numFmtId="3" fontId="0" fillId="86" borderId="59" xfId="0" applyNumberFormat="1" applyFill="1" applyBorder="1"/>
    <xf numFmtId="3" fontId="0" fillId="86" borderId="29" xfId="0" applyNumberFormat="1" applyFill="1" applyBorder="1"/>
    <xf numFmtId="3" fontId="0" fillId="86" borderId="61" xfId="0" applyNumberFormat="1" applyFill="1" applyBorder="1"/>
    <xf numFmtId="3" fontId="0" fillId="86" borderId="42" xfId="0" applyNumberFormat="1" applyFill="1" applyBorder="1"/>
    <xf numFmtId="3" fontId="0" fillId="86" borderId="68" xfId="0" applyNumberFormat="1" applyFill="1" applyBorder="1"/>
    <xf numFmtId="3" fontId="0" fillId="91" borderId="42" xfId="0" applyNumberFormat="1" applyFill="1" applyBorder="1"/>
    <xf numFmtId="3" fontId="0" fillId="91" borderId="68" xfId="0" applyNumberFormat="1" applyFill="1" applyBorder="1"/>
    <xf numFmtId="0" fontId="234" fillId="45" borderId="56" xfId="0" applyFont="1" applyFill="1" applyBorder="1" applyAlignment="1">
      <alignment vertical="center"/>
    </xf>
    <xf numFmtId="3" fontId="87" fillId="0" borderId="0" xfId="0" applyNumberFormat="1" applyFont="1" applyAlignment="1">
      <alignment horizontal="center"/>
    </xf>
    <xf numFmtId="0" fontId="46" fillId="12" borderId="5" xfId="0" applyFont="1" applyFill="1" applyBorder="1" applyAlignment="1">
      <alignment horizontal="center"/>
    </xf>
    <xf numFmtId="0" fontId="46" fillId="12" borderId="94" xfId="0" applyFont="1" applyFill="1" applyBorder="1" applyAlignment="1">
      <alignment horizontal="center"/>
    </xf>
    <xf numFmtId="0" fontId="264" fillId="3" borderId="24" xfId="0" quotePrefix="1" applyFont="1" applyFill="1" applyBorder="1" applyAlignment="1">
      <alignment horizontal="left" vertical="center"/>
    </xf>
    <xf numFmtId="172" fontId="38" fillId="99" borderId="9" xfId="1" applyNumberFormat="1" applyFont="1" applyFill="1" applyBorder="1"/>
    <xf numFmtId="172" fontId="38" fillId="99" borderId="99" xfId="1" applyNumberFormat="1" applyFont="1" applyFill="1" applyBorder="1"/>
    <xf numFmtId="172" fontId="38" fillId="0" borderId="10" xfId="1" applyNumberFormat="1" applyFont="1" applyFill="1" applyBorder="1"/>
    <xf numFmtId="172" fontId="38" fillId="0" borderId="9" xfId="1" applyNumberFormat="1" applyFont="1" applyFill="1" applyBorder="1"/>
    <xf numFmtId="0" fontId="264" fillId="3" borderId="92" xfId="0" quotePrefix="1" applyFont="1" applyFill="1" applyBorder="1" applyAlignment="1">
      <alignment horizontal="left" vertical="center"/>
    </xf>
    <xf numFmtId="172" fontId="38" fillId="99" borderId="27" xfId="1" applyNumberFormat="1" applyFont="1" applyFill="1" applyBorder="1"/>
    <xf numFmtId="172" fontId="38" fillId="99" borderId="92" xfId="1" applyNumberFormat="1" applyFont="1" applyFill="1" applyBorder="1"/>
    <xf numFmtId="3" fontId="0" fillId="99" borderId="27" xfId="0" applyNumberFormat="1" applyFill="1" applyBorder="1"/>
    <xf numFmtId="172" fontId="38" fillId="0" borderId="40" xfId="1" applyNumberFormat="1" applyFont="1" applyFill="1" applyBorder="1"/>
    <xf numFmtId="172" fontId="38" fillId="0" borderId="27" xfId="1" applyNumberFormat="1" applyFont="1" applyFill="1" applyBorder="1"/>
    <xf numFmtId="3" fontId="38" fillId="99" borderId="27" xfId="1" applyNumberFormat="1" applyFont="1" applyFill="1" applyBorder="1"/>
    <xf numFmtId="172" fontId="38" fillId="0" borderId="49" xfId="1" applyNumberFormat="1" applyFont="1" applyFill="1" applyBorder="1"/>
    <xf numFmtId="172" fontId="38" fillId="0" borderId="32" xfId="1" applyNumberFormat="1" applyFont="1" applyFill="1" applyBorder="1"/>
    <xf numFmtId="172" fontId="38" fillId="0" borderId="22" xfId="1" applyNumberFormat="1" applyFont="1" applyFill="1" applyBorder="1"/>
    <xf numFmtId="0" fontId="264" fillId="3" borderId="92" xfId="0" applyFont="1" applyFill="1" applyBorder="1" applyAlignment="1">
      <alignment horizontal="left" vertical="center"/>
    </xf>
    <xf numFmtId="0" fontId="264" fillId="3" borderId="92" xfId="0" applyFont="1" applyFill="1" applyBorder="1" applyAlignment="1">
      <alignment vertical="center"/>
    </xf>
    <xf numFmtId="3" fontId="38" fillId="99" borderId="27" xfId="0" applyNumberFormat="1" applyFont="1" applyFill="1" applyBorder="1"/>
    <xf numFmtId="0" fontId="264" fillId="3" borderId="93" xfId="0" applyFont="1" applyFill="1" applyBorder="1" applyAlignment="1">
      <alignment horizontal="left" vertical="center"/>
    </xf>
    <xf numFmtId="172" fontId="38" fillId="99" borderId="19" xfId="1" applyNumberFormat="1" applyFont="1" applyFill="1" applyBorder="1"/>
    <xf numFmtId="172" fontId="38" fillId="99" borderId="91" xfId="1" applyNumberFormat="1" applyFont="1" applyFill="1" applyBorder="1"/>
    <xf numFmtId="3" fontId="0" fillId="99" borderId="19" xfId="0" applyNumberFormat="1" applyFill="1" applyBorder="1"/>
    <xf numFmtId="172" fontId="38" fillId="0" borderId="63" xfId="1" applyNumberFormat="1" applyFont="1" applyFill="1" applyBorder="1"/>
    <xf numFmtId="172" fontId="38" fillId="0" borderId="7" xfId="1" applyNumberFormat="1" applyFont="1" applyFill="1" applyBorder="1"/>
    <xf numFmtId="172" fontId="38" fillId="0" borderId="16" xfId="1" applyNumberFormat="1" applyFont="1" applyFill="1" applyBorder="1"/>
    <xf numFmtId="3" fontId="64" fillId="99" borderId="1" xfId="0" applyNumberFormat="1" applyFont="1" applyFill="1" applyBorder="1"/>
    <xf numFmtId="3" fontId="64" fillId="99" borderId="3" xfId="0" applyNumberFormat="1" applyFont="1" applyFill="1" applyBorder="1"/>
    <xf numFmtId="3" fontId="64" fillId="0" borderId="3" xfId="0" applyNumberFormat="1" applyFont="1" applyBorder="1"/>
    <xf numFmtId="3" fontId="64" fillId="0" borderId="53" xfId="0" applyNumberFormat="1" applyFont="1" applyBorder="1"/>
    <xf numFmtId="0" fontId="42" fillId="51" borderId="30" xfId="0" applyFont="1" applyFill="1" applyBorder="1" applyAlignment="1">
      <alignment horizontal="center" vertical="center" textRotation="90"/>
    </xf>
    <xf numFmtId="3" fontId="0" fillId="51" borderId="0" xfId="0" applyNumberFormat="1" applyFill="1" applyAlignment="1">
      <alignment horizontal="center"/>
    </xf>
    <xf numFmtId="0" fontId="42" fillId="82" borderId="30" xfId="0" applyFont="1" applyFill="1" applyBorder="1" applyAlignment="1">
      <alignment horizontal="center" vertical="center" textRotation="90"/>
    </xf>
    <xf numFmtId="0" fontId="0" fillId="82" borderId="30" xfId="0" applyFill="1" applyBorder="1" applyAlignment="1">
      <alignment horizontal="center"/>
    </xf>
    <xf numFmtId="3" fontId="0" fillId="82" borderId="0" xfId="0" applyNumberFormat="1" applyFill="1" applyAlignment="1">
      <alignment horizontal="center"/>
    </xf>
    <xf numFmtId="0" fontId="0" fillId="82" borderId="0" xfId="0" applyFill="1" applyAlignment="1">
      <alignment horizontal="center"/>
    </xf>
    <xf numFmtId="0" fontId="42" fillId="100" borderId="30" xfId="0" applyFont="1" applyFill="1" applyBorder="1" applyAlignment="1">
      <alignment horizontal="center" vertical="center" textRotation="90"/>
    </xf>
    <xf numFmtId="0" fontId="0" fillId="100" borderId="30" xfId="0" applyFill="1" applyBorder="1" applyAlignment="1">
      <alignment horizontal="center"/>
    </xf>
    <xf numFmtId="3" fontId="0" fillId="100" borderId="0" xfId="0" applyNumberFormat="1" applyFill="1" applyAlignment="1">
      <alignment horizontal="center"/>
    </xf>
    <xf numFmtId="0" fontId="0" fillId="100" borderId="0" xfId="0" applyFill="1" applyAlignment="1">
      <alignment horizontal="center"/>
    </xf>
    <xf numFmtId="17" fontId="231" fillId="0" borderId="56" xfId="0" applyNumberFormat="1" applyFont="1" applyBorder="1" applyAlignment="1">
      <alignment horizontal="center" vertical="center"/>
    </xf>
    <xf numFmtId="0" fontId="231" fillId="0" borderId="2" xfId="0" applyFont="1" applyBorder="1" applyAlignment="1">
      <alignment horizontal="center" vertical="center"/>
    </xf>
    <xf numFmtId="0" fontId="231" fillId="0" borderId="6" xfId="0" applyFont="1" applyBorder="1" applyAlignment="1">
      <alignment horizontal="center" vertical="center"/>
    </xf>
    <xf numFmtId="0" fontId="235" fillId="86" borderId="47" xfId="0" applyFont="1" applyFill="1" applyBorder="1" applyAlignment="1" applyProtection="1">
      <alignment horizontal="center" vertical="center"/>
      <protection locked="0"/>
    </xf>
    <xf numFmtId="0" fontId="235" fillId="86" borderId="33" xfId="0" applyFont="1" applyFill="1" applyBorder="1" applyAlignment="1" applyProtection="1">
      <alignment horizontal="center" vertical="center"/>
      <protection locked="0"/>
    </xf>
    <xf numFmtId="1" fontId="237" fillId="86" borderId="48" xfId="0" applyNumberFormat="1" applyFont="1" applyFill="1" applyBorder="1" applyAlignment="1" applyProtection="1">
      <alignment horizontal="center" vertical="center" wrapText="1"/>
      <protection locked="0"/>
    </xf>
    <xf numFmtId="1" fontId="237" fillId="86" borderId="36" xfId="0" applyNumberFormat="1" applyFont="1" applyFill="1" applyBorder="1" applyAlignment="1" applyProtection="1">
      <alignment horizontal="center" vertical="center" wrapText="1"/>
      <protection locked="0"/>
    </xf>
    <xf numFmtId="1" fontId="236" fillId="86" borderId="48" xfId="0" applyNumberFormat="1" applyFont="1" applyFill="1" applyBorder="1" applyAlignment="1" applyProtection="1">
      <alignment horizontal="center" vertical="center" wrapText="1"/>
      <protection locked="0"/>
    </xf>
    <xf numFmtId="1" fontId="236" fillId="86" borderId="36" xfId="0" applyNumberFormat="1" applyFont="1" applyFill="1" applyBorder="1" applyAlignment="1" applyProtection="1">
      <alignment horizontal="center" vertical="center" wrapText="1"/>
      <protection locked="0"/>
    </xf>
    <xf numFmtId="171" fontId="236" fillId="86" borderId="48" xfId="0" applyNumberFormat="1" applyFont="1" applyFill="1" applyBorder="1" applyAlignment="1" applyProtection="1">
      <alignment horizontal="center" vertical="center" wrapText="1"/>
      <protection locked="0"/>
    </xf>
    <xf numFmtId="171" fontId="236" fillId="86" borderId="36" xfId="0" applyNumberFormat="1" applyFont="1" applyFill="1" applyBorder="1" applyAlignment="1" applyProtection="1">
      <alignment horizontal="center" vertical="center" wrapText="1"/>
      <protection locked="0"/>
    </xf>
    <xf numFmtId="3" fontId="236" fillId="86" borderId="48" xfId="0" applyNumberFormat="1" applyFont="1" applyFill="1" applyBorder="1" applyAlignment="1" applyProtection="1">
      <alignment horizontal="center" vertical="center" wrapText="1"/>
      <protection locked="0"/>
    </xf>
    <xf numFmtId="3" fontId="236" fillId="86" borderId="36" xfId="0" applyNumberFormat="1" applyFont="1" applyFill="1" applyBorder="1" applyAlignment="1" applyProtection="1">
      <alignment horizontal="center" vertical="center" wrapText="1"/>
      <protection locked="0"/>
    </xf>
    <xf numFmtId="170" fontId="237" fillId="86" borderId="48" xfId="0" applyNumberFormat="1" applyFont="1" applyFill="1" applyBorder="1" applyAlignment="1" applyProtection="1">
      <alignment horizontal="center" vertical="center" wrapText="1"/>
      <protection locked="0"/>
    </xf>
    <xf numFmtId="170" fontId="237" fillId="86" borderId="36" xfId="0" applyNumberFormat="1" applyFont="1" applyFill="1" applyBorder="1" applyAlignment="1" applyProtection="1">
      <alignment horizontal="center" vertical="center" wrapText="1"/>
      <protection locked="0"/>
    </xf>
    <xf numFmtId="170" fontId="236" fillId="86" borderId="48" xfId="0" applyNumberFormat="1" applyFont="1" applyFill="1" applyBorder="1" applyAlignment="1" applyProtection="1">
      <alignment horizontal="center" vertical="center" wrapText="1"/>
      <protection locked="0"/>
    </xf>
    <xf numFmtId="170" fontId="236" fillId="86" borderId="36" xfId="0" applyNumberFormat="1" applyFont="1" applyFill="1" applyBorder="1" applyAlignment="1" applyProtection="1">
      <alignment horizontal="center" vertical="center" wrapText="1"/>
      <protection locked="0"/>
    </xf>
    <xf numFmtId="3" fontId="237" fillId="86" borderId="48" xfId="0" applyNumberFormat="1" applyFont="1" applyFill="1" applyBorder="1" applyAlignment="1" applyProtection="1">
      <alignment horizontal="center" vertical="center" wrapText="1"/>
      <protection locked="0"/>
    </xf>
    <xf numFmtId="3" fontId="237" fillId="86" borderId="36" xfId="0" applyNumberFormat="1" applyFont="1" applyFill="1" applyBorder="1" applyAlignment="1" applyProtection="1">
      <alignment horizontal="center" vertical="center" wrapText="1"/>
      <protection locked="0"/>
    </xf>
    <xf numFmtId="1" fontId="237" fillId="86" borderId="48" xfId="0" applyNumberFormat="1" applyFont="1" applyFill="1" applyBorder="1" applyAlignment="1" applyProtection="1">
      <alignment horizontal="right" vertical="center" wrapText="1"/>
      <protection locked="0"/>
    </xf>
    <xf numFmtId="1" fontId="237" fillId="86" borderId="36" xfId="0" applyNumberFormat="1" applyFont="1" applyFill="1" applyBorder="1" applyAlignment="1" applyProtection="1">
      <alignment horizontal="right" vertical="center" wrapText="1"/>
      <protection locked="0"/>
    </xf>
    <xf numFmtId="0" fontId="113" fillId="45" borderId="70" xfId="0" applyFont="1" applyFill="1" applyBorder="1" applyAlignment="1">
      <alignment horizontal="center"/>
    </xf>
    <xf numFmtId="0" fontId="113" fillId="45" borderId="11" xfId="0" applyFont="1" applyFill="1" applyBorder="1" applyAlignment="1">
      <alignment horizontal="center"/>
    </xf>
    <xf numFmtId="0" fontId="113" fillId="45" borderId="46" xfId="0" applyFont="1" applyFill="1" applyBorder="1" applyAlignment="1">
      <alignment horizontal="center"/>
    </xf>
    <xf numFmtId="171" fontId="237" fillId="86" borderId="48" xfId="0" applyNumberFormat="1" applyFont="1" applyFill="1" applyBorder="1" applyAlignment="1" applyProtection="1">
      <alignment horizontal="center" vertical="center" wrapText="1"/>
      <protection locked="0"/>
    </xf>
    <xf numFmtId="171" fontId="237" fillId="86" borderId="36" xfId="0" applyNumberFormat="1" applyFont="1" applyFill="1" applyBorder="1" applyAlignment="1" applyProtection="1">
      <alignment horizontal="center" vertical="center" wrapText="1"/>
      <protection locked="0"/>
    </xf>
    <xf numFmtId="170" fontId="237" fillId="86" borderId="8" xfId="0" applyNumberFormat="1" applyFont="1" applyFill="1" applyBorder="1" applyAlignment="1" applyProtection="1">
      <alignment horizontal="center" vertical="center" wrapText="1"/>
      <protection locked="0"/>
    </xf>
    <xf numFmtId="1" fontId="238" fillId="94" borderId="7" xfId="0" applyNumberFormat="1" applyFont="1" applyFill="1" applyBorder="1" applyAlignment="1" applyProtection="1">
      <alignment horizontal="center" vertical="center" wrapText="1"/>
      <protection locked="0"/>
    </xf>
    <xf numFmtId="171" fontId="238" fillId="94" borderId="8" xfId="0" applyNumberFormat="1" applyFont="1" applyFill="1" applyBorder="1" applyAlignment="1" applyProtection="1">
      <alignment horizontal="center" vertical="center" wrapText="1"/>
      <protection locked="0"/>
    </xf>
    <xf numFmtId="1" fontId="233" fillId="0" borderId="1" xfId="0" applyNumberFormat="1" applyFont="1" applyBorder="1" applyAlignment="1">
      <alignment horizontal="center" wrapText="1"/>
    </xf>
    <xf numFmtId="1" fontId="233" fillId="0" borderId="3" xfId="0" applyNumberFormat="1" applyFont="1" applyBorder="1" applyAlignment="1">
      <alignment horizontal="center"/>
    </xf>
    <xf numFmtId="1" fontId="233" fillId="0" borderId="53" xfId="0" applyNumberFormat="1" applyFont="1" applyBorder="1" applyAlignment="1">
      <alignment horizontal="center"/>
    </xf>
    <xf numFmtId="3" fontId="238" fillId="94" borderId="90" xfId="0" applyNumberFormat="1" applyFont="1" applyFill="1" applyBorder="1" applyAlignment="1" applyProtection="1">
      <alignment horizontal="center" vertical="center" wrapText="1"/>
      <protection locked="0"/>
    </xf>
    <xf numFmtId="170" fontId="238" fillId="0" borderId="8" xfId="0" applyNumberFormat="1" applyFont="1" applyBorder="1" applyAlignment="1" applyProtection="1">
      <alignment horizontal="center" vertical="center" wrapText="1"/>
      <protection locked="0"/>
    </xf>
    <xf numFmtId="170" fontId="238" fillId="0" borderId="36" xfId="0" applyNumberFormat="1" applyFont="1" applyBorder="1" applyAlignment="1" applyProtection="1">
      <alignment horizontal="center" vertical="center" wrapText="1"/>
      <protection locked="0"/>
    </xf>
    <xf numFmtId="170" fontId="239" fillId="0" borderId="63" xfId="0" applyNumberFormat="1" applyFont="1" applyBorder="1" applyAlignment="1" applyProtection="1">
      <alignment horizontal="center" vertical="center" wrapText="1"/>
      <protection locked="0"/>
    </xf>
    <xf numFmtId="170" fontId="239" fillId="0" borderId="64" xfId="0" applyNumberFormat="1" applyFont="1" applyBorder="1" applyAlignment="1" applyProtection="1">
      <alignment horizontal="center" vertical="center" wrapText="1"/>
      <protection locked="0"/>
    </xf>
    <xf numFmtId="0" fontId="234" fillId="45" borderId="56" xfId="0" applyFont="1" applyFill="1" applyBorder="1" applyAlignment="1">
      <alignment horizontal="center" vertical="center" wrapText="1"/>
    </xf>
    <xf numFmtId="0" fontId="234" fillId="45" borderId="2" xfId="0" applyFont="1" applyFill="1" applyBorder="1" applyAlignment="1">
      <alignment horizontal="center" vertical="center" wrapText="1"/>
    </xf>
    <xf numFmtId="0" fontId="234" fillId="45" borderId="6" xfId="0" applyFont="1" applyFill="1" applyBorder="1" applyAlignment="1">
      <alignment horizontal="center" vertical="center" wrapText="1"/>
    </xf>
    <xf numFmtId="0" fontId="234" fillId="45" borderId="56" xfId="0" applyFont="1" applyFill="1" applyBorder="1" applyAlignment="1">
      <alignment horizontal="center" vertical="center"/>
    </xf>
    <xf numFmtId="0" fontId="234" fillId="45" borderId="2" xfId="0" applyFont="1" applyFill="1" applyBorder="1" applyAlignment="1">
      <alignment horizontal="center" vertical="center"/>
    </xf>
    <xf numFmtId="0" fontId="234" fillId="45" borderId="6" xfId="0" applyFont="1" applyFill="1" applyBorder="1" applyAlignment="1">
      <alignment horizontal="center" vertical="center"/>
    </xf>
    <xf numFmtId="170" fontId="237" fillId="86" borderId="90" xfId="0" applyNumberFormat="1" applyFont="1" applyFill="1" applyBorder="1" applyAlignment="1" applyProtection="1">
      <alignment horizontal="center" vertical="center" wrapText="1"/>
      <protection locked="0"/>
    </xf>
    <xf numFmtId="170" fontId="237" fillId="86" borderId="62" xfId="0" applyNumberFormat="1" applyFont="1" applyFill="1" applyBorder="1" applyAlignment="1" applyProtection="1">
      <alignment horizontal="center" vertical="center" wrapText="1"/>
      <protection locked="0"/>
    </xf>
    <xf numFmtId="0" fontId="240" fillId="0" borderId="39" xfId="0" applyFont="1" applyBorder="1" applyAlignment="1">
      <alignment horizontal="center" wrapText="1"/>
    </xf>
    <xf numFmtId="0" fontId="240" fillId="0" borderId="10" xfId="0" applyFont="1" applyBorder="1" applyAlignment="1">
      <alignment horizontal="center" wrapText="1"/>
    </xf>
    <xf numFmtId="0" fontId="240" fillId="0" borderId="47" xfId="0" applyFont="1" applyBorder="1" applyAlignment="1">
      <alignment horizontal="center" vertical="center" wrapText="1"/>
    </xf>
    <xf numFmtId="0" fontId="240" fillId="0" borderId="33" xfId="0" applyFont="1" applyBorder="1" applyAlignment="1">
      <alignment horizontal="center" vertical="center" wrapText="1"/>
    </xf>
    <xf numFmtId="0" fontId="62" fillId="0" borderId="47" xfId="0" applyFont="1" applyBorder="1" applyAlignment="1">
      <alignment horizontal="center" vertical="center" wrapText="1"/>
    </xf>
    <xf numFmtId="0" fontId="62" fillId="0" borderId="33" xfId="0" applyFont="1" applyBorder="1" applyAlignment="1">
      <alignment horizontal="center" vertical="center" wrapText="1"/>
    </xf>
    <xf numFmtId="171" fontId="96" fillId="0" borderId="0" xfId="0" applyNumberFormat="1" applyFont="1" applyAlignment="1">
      <alignment horizontal="center"/>
    </xf>
    <xf numFmtId="0" fontId="62" fillId="0" borderId="39" xfId="0" applyFont="1" applyBorder="1" applyAlignment="1">
      <alignment horizontal="center" wrapText="1"/>
    </xf>
    <xf numFmtId="0" fontId="62" fillId="0" borderId="10" xfId="0" applyFont="1" applyBorder="1" applyAlignment="1">
      <alignment horizontal="center" wrapText="1"/>
    </xf>
    <xf numFmtId="14" fontId="61" fillId="2" borderId="30" xfId="0" applyNumberFormat="1" applyFont="1" applyFill="1" applyBorder="1" applyAlignment="1">
      <alignment horizontal="center" vertical="center"/>
    </xf>
    <xf numFmtId="14" fontId="42" fillId="2" borderId="30" xfId="0" applyNumberFormat="1" applyFont="1" applyFill="1" applyBorder="1" applyAlignment="1">
      <alignment horizontal="center" vertical="center"/>
    </xf>
    <xf numFmtId="9" fontId="42" fillId="2" borderId="30" xfId="0" applyNumberFormat="1" applyFont="1" applyFill="1" applyBorder="1" applyAlignment="1">
      <alignment horizontal="center" vertical="center"/>
    </xf>
    <xf numFmtId="14" fontId="61" fillId="2" borderId="30" xfId="0" applyNumberFormat="1" applyFont="1" applyFill="1" applyBorder="1" applyAlignment="1">
      <alignment horizontal="left" vertical="center" wrapText="1" indent="2"/>
    </xf>
    <xf numFmtId="14" fontId="42" fillId="2" borderId="14" xfId="0" applyNumberFormat="1" applyFont="1" applyFill="1" applyBorder="1" applyAlignment="1">
      <alignment horizontal="center" vertical="center" wrapText="1"/>
    </xf>
    <xf numFmtId="14" fontId="42" fillId="2" borderId="21" xfId="0" applyNumberFormat="1" applyFont="1" applyFill="1" applyBorder="1" applyAlignment="1">
      <alignment horizontal="center" vertical="center" wrapText="1"/>
    </xf>
    <xf numFmtId="0" fontId="42" fillId="0" borderId="50" xfId="0" applyFont="1" applyBorder="1" applyAlignment="1">
      <alignment horizontal="center" vertical="center"/>
    </xf>
    <xf numFmtId="0" fontId="42" fillId="0" borderId="63" xfId="0" applyFont="1" applyBorder="1" applyAlignment="1">
      <alignment horizontal="center" vertical="center"/>
    </xf>
    <xf numFmtId="0" fontId="45" fillId="0" borderId="14" xfId="0" applyFont="1" applyBorder="1" applyAlignment="1">
      <alignment horizontal="left" vertical="center" wrapText="1"/>
    </xf>
    <xf numFmtId="0" fontId="45" fillId="0" borderId="21" xfId="0" applyFont="1" applyBorder="1" applyAlignment="1">
      <alignment horizontal="left" vertical="center" wrapText="1"/>
    </xf>
    <xf numFmtId="0" fontId="42" fillId="0" borderId="14" xfId="0" applyFont="1" applyBorder="1" applyAlignment="1">
      <alignment horizontal="center" vertical="center"/>
    </xf>
    <xf numFmtId="0" fontId="42" fillId="0" borderId="8" xfId="0" applyFont="1" applyBorder="1" applyAlignment="1">
      <alignment horizontal="center" vertical="center"/>
    </xf>
    <xf numFmtId="0" fontId="42" fillId="0" borderId="21" xfId="0" applyFont="1" applyBorder="1" applyAlignment="1">
      <alignment horizontal="center" vertical="center"/>
    </xf>
    <xf numFmtId="0" fontId="42" fillId="0" borderId="14"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30" xfId="0" applyFont="1" applyBorder="1" applyAlignment="1">
      <alignment horizontal="left" vertical="center" wrapText="1" indent="2"/>
    </xf>
    <xf numFmtId="0" fontId="42" fillId="0" borderId="14" xfId="0" applyFont="1" applyBorder="1" applyAlignment="1">
      <alignment horizontal="left" vertical="center" wrapText="1" indent="2"/>
    </xf>
    <xf numFmtId="0" fontId="42" fillId="0" borderId="21" xfId="0" applyFont="1" applyBorder="1" applyAlignment="1">
      <alignment horizontal="left" vertical="center" wrapText="1" indent="2"/>
    </xf>
    <xf numFmtId="9" fontId="42" fillId="0" borderId="14" xfId="0" applyNumberFormat="1" applyFont="1" applyBorder="1" applyAlignment="1">
      <alignment horizontal="center" vertical="center" wrapText="1"/>
    </xf>
    <xf numFmtId="9" fontId="42" fillId="0" borderId="21" xfId="0" applyNumberFormat="1" applyFont="1" applyBorder="1" applyAlignment="1">
      <alignment horizontal="center" vertical="center" wrapText="1"/>
    </xf>
    <xf numFmtId="0" fontId="42" fillId="0" borderId="30" xfId="0" applyFont="1" applyBorder="1" applyAlignment="1">
      <alignment horizontal="center" vertical="center"/>
    </xf>
    <xf numFmtId="9" fontId="42" fillId="0" borderId="30" xfId="0" applyNumberFormat="1" applyFont="1" applyBorder="1" applyAlignment="1">
      <alignment horizontal="left" vertical="center" wrapText="1" indent="2"/>
    </xf>
    <xf numFmtId="9" fontId="42" fillId="2" borderId="14" xfId="0" applyNumberFormat="1" applyFont="1" applyFill="1" applyBorder="1" applyAlignment="1">
      <alignment horizontal="center" vertical="center" wrapText="1"/>
    </xf>
    <xf numFmtId="9" fontId="42" fillId="2" borderId="21" xfId="0" applyNumberFormat="1" applyFont="1" applyFill="1" applyBorder="1" applyAlignment="1">
      <alignment horizontal="center" vertical="center" wrapText="1"/>
    </xf>
    <xf numFmtId="9" fontId="42" fillId="0" borderId="14" xfId="0" applyNumberFormat="1" applyFont="1" applyBorder="1" applyAlignment="1">
      <alignment horizontal="center" vertical="center"/>
    </xf>
    <xf numFmtId="9" fontId="42" fillId="0" borderId="21" xfId="0" applyNumberFormat="1" applyFont="1" applyBorder="1" applyAlignment="1">
      <alignment horizontal="center" vertical="center"/>
    </xf>
    <xf numFmtId="0" fontId="42" fillId="0" borderId="50" xfId="0" applyFont="1" applyBorder="1" applyAlignment="1">
      <alignment horizontal="center" vertical="center" wrapText="1"/>
    </xf>
    <xf numFmtId="0" fontId="42" fillId="0" borderId="63" xfId="0" applyFont="1" applyBorder="1" applyAlignment="1">
      <alignment horizontal="center" vertical="center" wrapText="1"/>
    </xf>
    <xf numFmtId="0" fontId="42" fillId="0" borderId="49" xfId="0" applyFont="1" applyBorder="1" applyAlignment="1">
      <alignment horizontal="center" vertical="center" wrapText="1"/>
    </xf>
    <xf numFmtId="9" fontId="42" fillId="0" borderId="30" xfId="0" applyNumberFormat="1" applyFont="1" applyBorder="1" applyAlignment="1">
      <alignment horizontal="center" vertical="center" wrapText="1"/>
    </xf>
    <xf numFmtId="9" fontId="42" fillId="0" borderId="30" xfId="0" applyNumberFormat="1" applyFont="1" applyBorder="1" applyAlignment="1">
      <alignment horizontal="left" vertical="center" wrapText="1"/>
    </xf>
    <xf numFmtId="0" fontId="42" fillId="0" borderId="14" xfId="0" applyFont="1" applyBorder="1" applyAlignment="1">
      <alignment horizontal="center"/>
    </xf>
    <xf numFmtId="0" fontId="42" fillId="0" borderId="21" xfId="0" applyFont="1" applyBorder="1" applyAlignment="1">
      <alignment horizontal="center"/>
    </xf>
    <xf numFmtId="0" fontId="42" fillId="0" borderId="30" xfId="0" applyFont="1" applyBorder="1" applyAlignment="1">
      <alignment horizontal="center" vertical="center" wrapText="1"/>
    </xf>
    <xf numFmtId="0" fontId="42" fillId="0" borderId="14" xfId="0" applyFont="1" applyBorder="1" applyAlignment="1">
      <alignment horizontal="left" vertical="center" wrapText="1"/>
    </xf>
    <xf numFmtId="0" fontId="42" fillId="0" borderId="8" xfId="0" applyFont="1" applyBorder="1" applyAlignment="1">
      <alignment horizontal="left" vertical="center" wrapText="1"/>
    </xf>
    <xf numFmtId="0" fontId="42" fillId="0" borderId="21" xfId="0" applyFont="1" applyBorder="1" applyAlignment="1">
      <alignment horizontal="left" vertical="center" wrapText="1"/>
    </xf>
    <xf numFmtId="0" fontId="42" fillId="0" borderId="8" xfId="0" applyFont="1" applyBorder="1" applyAlignment="1">
      <alignment horizontal="center" vertical="center" wrapText="1"/>
    </xf>
    <xf numFmtId="0" fontId="45" fillId="0" borderId="14" xfId="0" applyFont="1" applyBorder="1" applyAlignment="1">
      <alignment horizontal="left" wrapText="1"/>
    </xf>
    <xf numFmtId="0" fontId="45" fillId="0" borderId="21" xfId="0" applyFont="1" applyBorder="1" applyAlignment="1">
      <alignment horizontal="left" wrapText="1"/>
    </xf>
    <xf numFmtId="14" fontId="61" fillId="2" borderId="14" xfId="0" applyNumberFormat="1" applyFont="1" applyFill="1" applyBorder="1" applyAlignment="1">
      <alignment horizontal="center" vertical="center"/>
    </xf>
    <xf numFmtId="14" fontId="61" fillId="2" borderId="21" xfId="0" applyNumberFormat="1" applyFont="1" applyFill="1" applyBorder="1" applyAlignment="1">
      <alignment horizontal="center" vertical="center"/>
    </xf>
    <xf numFmtId="14" fontId="62" fillId="2" borderId="14" xfId="0" applyNumberFormat="1" applyFont="1" applyFill="1" applyBorder="1" applyAlignment="1">
      <alignment horizontal="left" vertical="center" wrapText="1"/>
    </xf>
    <xf numFmtId="14" fontId="62" fillId="2" borderId="21" xfId="0" applyNumberFormat="1" applyFont="1" applyFill="1" applyBorder="1" applyAlignment="1">
      <alignment horizontal="left" vertical="center" wrapText="1"/>
    </xf>
    <xf numFmtId="9" fontId="42" fillId="2" borderId="14" xfId="0" applyNumberFormat="1" applyFont="1" applyFill="1" applyBorder="1" applyAlignment="1">
      <alignment horizontal="center" vertical="center"/>
    </xf>
    <xf numFmtId="9" fontId="42" fillId="2" borderId="21" xfId="0" applyNumberFormat="1" applyFont="1" applyFill="1" applyBorder="1" applyAlignment="1">
      <alignment horizontal="center" vertical="center"/>
    </xf>
    <xf numFmtId="0" fontId="55" fillId="0" borderId="14" xfId="0" applyFont="1" applyBorder="1" applyAlignment="1">
      <alignment horizontal="center" wrapText="1"/>
    </xf>
    <xf numFmtId="0" fontId="55" fillId="0" borderId="21" xfId="0" applyFont="1" applyBorder="1" applyAlignment="1">
      <alignment horizontal="center" wrapText="1"/>
    </xf>
    <xf numFmtId="14" fontId="42" fillId="2" borderId="14" xfId="0" applyNumberFormat="1" applyFont="1" applyFill="1" applyBorder="1" applyAlignment="1">
      <alignment horizontal="center" vertical="center"/>
    </xf>
    <xf numFmtId="14" fontId="42" fillId="2" borderId="21" xfId="0" applyNumberFormat="1" applyFont="1" applyFill="1" applyBorder="1" applyAlignment="1">
      <alignment horizontal="center" vertical="center"/>
    </xf>
    <xf numFmtId="0" fontId="0" fillId="0" borderId="55" xfId="0" applyBorder="1" applyAlignment="1">
      <alignment horizontal="center" vertical="center"/>
    </xf>
    <xf numFmtId="0" fontId="0" fillId="0" borderId="32" xfId="0" applyBorder="1" applyAlignment="1">
      <alignment horizontal="center" vertical="center"/>
    </xf>
    <xf numFmtId="0" fontId="0" fillId="0" borderId="7" xfId="0" applyBorder="1" applyAlignment="1">
      <alignment horizontal="center" vertical="center"/>
    </xf>
    <xf numFmtId="2" fontId="0" fillId="0" borderId="55" xfId="0" applyNumberFormat="1" applyBorder="1" applyAlignment="1">
      <alignment horizontal="center" vertical="center"/>
    </xf>
    <xf numFmtId="2" fontId="0" fillId="0" borderId="7" xfId="0" applyNumberFormat="1" applyBorder="1" applyAlignment="1">
      <alignment horizontal="center" vertical="center"/>
    </xf>
    <xf numFmtId="2" fontId="0" fillId="0" borderId="32" xfId="0" applyNumberFormat="1" applyBorder="1" applyAlignment="1">
      <alignment horizontal="center" vertical="center"/>
    </xf>
    <xf numFmtId="2" fontId="0" fillId="0" borderId="29" xfId="0" applyNumberFormat="1" applyBorder="1" applyAlignment="1">
      <alignment horizontal="center" vertical="center"/>
    </xf>
    <xf numFmtId="0" fontId="61" fillId="2" borderId="30" xfId="0" applyFont="1" applyFill="1" applyBorder="1" applyAlignment="1">
      <alignment horizontal="center"/>
    </xf>
    <xf numFmtId="0" fontId="56" fillId="0" borderId="8" xfId="0" applyFont="1" applyBorder="1" applyAlignment="1" applyProtection="1">
      <alignment horizontal="center" vertical="center"/>
      <protection locked="0"/>
    </xf>
    <xf numFmtId="0" fontId="56" fillId="0" borderId="21" xfId="0" applyFont="1" applyBorder="1" applyAlignment="1" applyProtection="1">
      <alignment horizontal="center" vertical="center"/>
      <protection locked="0"/>
    </xf>
    <xf numFmtId="168" fontId="68" fillId="2" borderId="26" xfId="0" applyNumberFormat="1" applyFont="1" applyFill="1" applyBorder="1" applyAlignment="1" applyProtection="1">
      <alignment horizontal="center" vertical="center"/>
      <protection locked="0"/>
    </xf>
    <xf numFmtId="168" fontId="68" fillId="2" borderId="13" xfId="0" applyNumberFormat="1" applyFont="1" applyFill="1" applyBorder="1" applyAlignment="1" applyProtection="1">
      <alignment horizontal="center" vertical="center"/>
      <protection locked="0"/>
    </xf>
    <xf numFmtId="168" fontId="68" fillId="2" borderId="50" xfId="0" applyNumberFormat="1" applyFont="1" applyFill="1" applyBorder="1" applyAlignment="1" applyProtection="1">
      <alignment horizontal="center" vertical="center"/>
      <protection locked="0"/>
    </xf>
    <xf numFmtId="168" fontId="68" fillId="2" borderId="25" xfId="0" applyNumberFormat="1" applyFont="1" applyFill="1" applyBorder="1" applyAlignment="1" applyProtection="1">
      <alignment horizontal="center" vertical="center"/>
      <protection locked="0"/>
    </xf>
    <xf numFmtId="168" fontId="68" fillId="2" borderId="20" xfId="0" applyNumberFormat="1" applyFont="1" applyFill="1" applyBorder="1" applyAlignment="1" applyProtection="1">
      <alignment horizontal="center" vertical="center"/>
      <protection locked="0"/>
    </xf>
    <xf numFmtId="168" fontId="68" fillId="2" borderId="49" xfId="0" applyNumberFormat="1" applyFont="1" applyFill="1" applyBorder="1" applyAlignment="1" applyProtection="1">
      <alignment horizontal="center" vertical="center"/>
      <protection locked="0"/>
    </xf>
    <xf numFmtId="0" fontId="56" fillId="0" borderId="30" xfId="0" applyFont="1" applyBorder="1" applyAlignment="1" applyProtection="1">
      <alignment horizontal="center" vertical="center"/>
      <protection locked="0"/>
    </xf>
    <xf numFmtId="0" fontId="57" fillId="0" borderId="30" xfId="0" applyFont="1" applyBorder="1" applyAlignment="1" applyProtection="1">
      <alignment horizontal="center" vertical="center" wrapText="1"/>
      <protection locked="0"/>
    </xf>
    <xf numFmtId="0" fontId="49" fillId="0" borderId="0" xfId="0" applyFont="1" applyAlignment="1">
      <alignment horizontal="center" vertical="center"/>
    </xf>
    <xf numFmtId="3" fontId="49" fillId="0" borderId="0" xfId="0" applyNumberFormat="1" applyFont="1" applyAlignment="1">
      <alignment horizontal="center" vertical="center"/>
    </xf>
    <xf numFmtId="0" fontId="49" fillId="0" borderId="67" xfId="0" applyFont="1" applyBorder="1" applyAlignment="1">
      <alignment horizontal="center" vertical="center"/>
    </xf>
    <xf numFmtId="0" fontId="103" fillId="81" borderId="30" xfId="0" applyFont="1" applyFill="1" applyBorder="1" applyAlignment="1">
      <alignment horizontal="center" vertical="center"/>
    </xf>
    <xf numFmtId="0" fontId="116" fillId="87" borderId="14" xfId="0" applyFont="1" applyFill="1" applyBorder="1" applyAlignment="1">
      <alignment horizontal="center" vertical="center"/>
    </xf>
    <xf numFmtId="0" fontId="49" fillId="51" borderId="26" xfId="0" applyFont="1" applyFill="1" applyBorder="1" applyAlignment="1">
      <alignment horizontal="center" vertical="center"/>
    </xf>
    <xf numFmtId="0" fontId="49" fillId="51" borderId="13" xfId="0" applyFont="1" applyFill="1" applyBorder="1" applyAlignment="1">
      <alignment horizontal="center" vertical="center"/>
    </xf>
    <xf numFmtId="0" fontId="49" fillId="51" borderId="50" xfId="0" applyFont="1" applyFill="1" applyBorder="1" applyAlignment="1">
      <alignment horizontal="center" vertical="center"/>
    </xf>
    <xf numFmtId="0" fontId="49" fillId="71" borderId="30" xfId="0" applyFont="1" applyFill="1" applyBorder="1" applyAlignment="1">
      <alignment horizontal="center"/>
    </xf>
    <xf numFmtId="0" fontId="103" fillId="87" borderId="14" xfId="0" applyFont="1" applyFill="1" applyBorder="1" applyAlignment="1">
      <alignment horizontal="center" vertical="center"/>
    </xf>
    <xf numFmtId="0" fontId="49" fillId="51" borderId="14" xfId="0" applyFont="1" applyFill="1" applyBorder="1" applyAlignment="1">
      <alignment horizontal="center" vertical="center"/>
    </xf>
    <xf numFmtId="0" fontId="103" fillId="87" borderId="14" xfId="0" applyFont="1" applyFill="1" applyBorder="1" applyAlignment="1">
      <alignment horizontal="center"/>
    </xf>
    <xf numFmtId="0" fontId="49" fillId="81" borderId="14" xfId="0" applyFont="1" applyFill="1" applyBorder="1" applyAlignment="1">
      <alignment horizontal="center"/>
    </xf>
    <xf numFmtId="0" fontId="49" fillId="71" borderId="30" xfId="0" applyFont="1" applyFill="1" applyBorder="1" applyAlignment="1">
      <alignment horizontal="center" vertical="center"/>
    </xf>
    <xf numFmtId="0" fontId="103" fillId="81" borderId="14" xfId="0" applyFont="1" applyFill="1" applyBorder="1" applyAlignment="1">
      <alignment horizontal="center" vertical="center"/>
    </xf>
    <xf numFmtId="1" fontId="36" fillId="46" borderId="0" xfId="0" applyNumberFormat="1" applyFont="1" applyFill="1" applyAlignment="1">
      <alignment horizontal="center" vertical="center" wrapText="1"/>
    </xf>
    <xf numFmtId="0" fontId="150" fillId="46" borderId="0" xfId="0" applyFont="1" applyFill="1" applyAlignment="1">
      <alignment horizontal="left" vertical="top" wrapText="1"/>
    </xf>
    <xf numFmtId="0" fontId="256" fillId="45" borderId="30" xfId="0" applyFont="1" applyFill="1" applyBorder="1" applyAlignment="1">
      <alignment horizontal="center" vertical="center" wrapText="1"/>
    </xf>
    <xf numFmtId="0" fontId="256" fillId="88" borderId="31" xfId="0" applyFont="1" applyFill="1" applyBorder="1" applyAlignment="1">
      <alignment horizontal="center" vertical="center"/>
    </xf>
    <xf numFmtId="0" fontId="256" fillId="88" borderId="51" xfId="0" applyFont="1" applyFill="1" applyBorder="1" applyAlignment="1">
      <alignment horizontal="center" vertical="center"/>
    </xf>
    <xf numFmtId="0" fontId="248" fillId="46" borderId="13" xfId="0" applyFont="1" applyFill="1" applyBorder="1" applyAlignment="1">
      <alignment horizontal="center" vertical="center" wrapText="1"/>
    </xf>
    <xf numFmtId="0" fontId="258" fillId="54" borderId="30" xfId="0" applyFont="1" applyFill="1" applyBorder="1" applyAlignment="1">
      <alignment horizontal="center" vertical="center" wrapText="1"/>
    </xf>
    <xf numFmtId="17" fontId="256" fillId="88" borderId="31" xfId="0" applyNumberFormat="1" applyFont="1" applyFill="1" applyBorder="1" applyAlignment="1">
      <alignment horizontal="center" vertical="center" wrapText="1"/>
    </xf>
    <xf numFmtId="0" fontId="256" fillId="88" borderId="51" xfId="0" applyFont="1" applyFill="1" applyBorder="1" applyAlignment="1">
      <alignment horizontal="center" vertical="center" wrapText="1"/>
    </xf>
    <xf numFmtId="0" fontId="134" fillId="0" borderId="48" xfId="0" applyFont="1" applyBorder="1" applyAlignment="1">
      <alignment horizontal="center" vertical="center" wrapText="1"/>
    </xf>
    <xf numFmtId="0" fontId="134" fillId="0" borderId="8" xfId="0" applyFont="1" applyBorder="1" applyAlignment="1">
      <alignment horizontal="center" vertical="center" wrapText="1"/>
    </xf>
    <xf numFmtId="0" fontId="134" fillId="0" borderId="36" xfId="0" applyFont="1" applyBorder="1" applyAlignment="1">
      <alignment horizontal="center" vertical="center" wrapText="1"/>
    </xf>
    <xf numFmtId="0" fontId="133" fillId="51" borderId="14" xfId="0" applyFont="1" applyFill="1" applyBorder="1" applyAlignment="1">
      <alignment horizontal="center" vertical="center"/>
    </xf>
    <xf numFmtId="0" fontId="133" fillId="51" borderId="8" xfId="0" applyFont="1" applyFill="1" applyBorder="1" applyAlignment="1">
      <alignment horizontal="center" vertical="center"/>
    </xf>
    <xf numFmtId="0" fontId="133" fillId="51" borderId="21" xfId="0" applyFont="1" applyFill="1" applyBorder="1" applyAlignment="1">
      <alignment horizontal="center" vertical="center"/>
    </xf>
    <xf numFmtId="0" fontId="133" fillId="0" borderId="30" xfId="0" applyFont="1" applyBorder="1" applyAlignment="1">
      <alignment horizontal="center" vertical="center" wrapText="1"/>
    </xf>
    <xf numFmtId="0" fontId="134" fillId="0" borderId="14" xfId="0" applyFont="1" applyBorder="1" applyAlignment="1">
      <alignment horizontal="center" vertical="center" wrapText="1"/>
    </xf>
    <xf numFmtId="9" fontId="0" fillId="2" borderId="0" xfId="0" applyNumberFormat="1" applyFill="1" applyAlignment="1">
      <alignment horizontal="center" vertical="center" wrapText="1"/>
    </xf>
    <xf numFmtId="3" fontId="82" fillId="0" borderId="31" xfId="0" applyNumberFormat="1" applyFont="1" applyBorder="1" applyAlignment="1">
      <alignment horizontal="left"/>
    </xf>
    <xf numFmtId="3" fontId="82" fillId="0" borderId="28" xfId="0" applyNumberFormat="1" applyFont="1" applyBorder="1" applyAlignment="1">
      <alignment horizontal="left"/>
    </xf>
    <xf numFmtId="3" fontId="82" fillId="0" borderId="51" xfId="0" applyNumberFormat="1" applyFont="1" applyBorder="1" applyAlignment="1">
      <alignment horizontal="left"/>
    </xf>
    <xf numFmtId="3" fontId="82" fillId="0" borderId="30" xfId="0" applyNumberFormat="1" applyFont="1" applyBorder="1" applyAlignment="1">
      <alignment horizontal="left"/>
    </xf>
    <xf numFmtId="3" fontId="38" fillId="0" borderId="30" xfId="0" applyNumberFormat="1" applyFont="1" applyBorder="1" applyAlignment="1">
      <alignment horizontal="center"/>
    </xf>
    <xf numFmtId="0" fontId="45" fillId="2" borderId="0" xfId="0" applyFont="1" applyFill="1" applyAlignment="1">
      <alignment horizontal="left"/>
    </xf>
    <xf numFmtId="9" fontId="85" fillId="2" borderId="0" xfId="0" applyNumberFormat="1" applyFont="1" applyFill="1" applyAlignment="1">
      <alignment horizontal="center" vertical="center" wrapText="1"/>
    </xf>
    <xf numFmtId="0" fontId="0" fillId="0" borderId="0" xfId="0" applyAlignment="1">
      <alignment horizontal="center"/>
    </xf>
    <xf numFmtId="0" fontId="0" fillId="0" borderId="20" xfId="0" applyBorder="1" applyAlignment="1">
      <alignment horizontal="center"/>
    </xf>
    <xf numFmtId="0" fontId="57" fillId="0" borderId="22" xfId="0" applyFont="1" applyBorder="1" applyAlignment="1">
      <alignment horizontal="center" vertical="center" wrapText="1"/>
    </xf>
    <xf numFmtId="0" fontId="57" fillId="0" borderId="27" xfId="0" applyFont="1" applyBorder="1" applyAlignment="1">
      <alignment horizontal="center" vertical="center" wrapText="1"/>
    </xf>
    <xf numFmtId="0" fontId="57" fillId="0" borderId="19" xfId="0" applyFont="1" applyBorder="1" applyAlignment="1">
      <alignment horizontal="center" vertical="center" wrapText="1"/>
    </xf>
    <xf numFmtId="0" fontId="57" fillId="0" borderId="45" xfId="0" applyFont="1" applyBorder="1" applyAlignment="1">
      <alignment horizontal="center" vertical="center" wrapText="1"/>
    </xf>
    <xf numFmtId="0" fontId="57" fillId="0" borderId="9" xfId="0" applyFont="1" applyBorder="1" applyAlignment="1">
      <alignment horizontal="center" vertical="center" wrapText="1"/>
    </xf>
    <xf numFmtId="0" fontId="49" fillId="0" borderId="1" xfId="0" applyFont="1" applyBorder="1" applyAlignment="1">
      <alignment horizontal="left" indent="15"/>
    </xf>
    <xf numFmtId="0" fontId="49" fillId="0" borderId="53" xfId="0" applyFont="1" applyBorder="1" applyAlignment="1">
      <alignment horizontal="left" indent="15"/>
    </xf>
    <xf numFmtId="0" fontId="57" fillId="0" borderId="70" xfId="0" applyFont="1" applyBorder="1" applyAlignment="1">
      <alignment horizontal="center" vertical="center" wrapText="1"/>
    </xf>
    <xf numFmtId="0" fontId="57" fillId="0" borderId="67" xfId="0" applyFont="1" applyBorder="1" applyAlignment="1">
      <alignment horizontal="center" vertical="center" wrapText="1"/>
    </xf>
    <xf numFmtId="0" fontId="57" fillId="0" borderId="71" xfId="0" applyFont="1" applyBorder="1" applyAlignment="1">
      <alignment horizontal="center" vertical="center" wrapText="1"/>
    </xf>
    <xf numFmtId="0" fontId="0" fillId="0" borderId="56" xfId="0" applyBorder="1" applyAlignment="1">
      <alignment horizontal="center"/>
    </xf>
    <xf numFmtId="0" fontId="0" fillId="0" borderId="2" xfId="0" applyBorder="1" applyAlignment="1">
      <alignment horizontal="center"/>
    </xf>
    <xf numFmtId="0" fontId="0" fillId="0" borderId="6" xfId="0" applyBorder="1" applyAlignment="1">
      <alignment horizontal="center"/>
    </xf>
    <xf numFmtId="0" fontId="0" fillId="2" borderId="14" xfId="0" applyFill="1" applyBorder="1" applyAlignment="1">
      <alignment horizontal="center" vertical="center"/>
    </xf>
    <xf numFmtId="0" fontId="0" fillId="2" borderId="21" xfId="0" applyFill="1" applyBorder="1" applyAlignment="1">
      <alignment horizontal="center" vertical="center"/>
    </xf>
    <xf numFmtId="0" fontId="0" fillId="2" borderId="8" xfId="0" applyFill="1" applyBorder="1" applyAlignment="1">
      <alignment horizontal="center" vertical="center"/>
    </xf>
    <xf numFmtId="0" fontId="0" fillId="79" borderId="30" xfId="0" applyFill="1" applyBorder="1" applyAlignment="1">
      <alignment horizontal="center"/>
    </xf>
    <xf numFmtId="0" fontId="38" fillId="79" borderId="30" xfId="0" applyFont="1" applyFill="1" applyBorder="1" applyAlignment="1">
      <alignment horizontal="center"/>
    </xf>
    <xf numFmtId="0" fontId="0" fillId="79" borderId="31" xfId="0" applyFill="1" applyBorder="1" applyAlignment="1">
      <alignment horizontal="center"/>
    </xf>
    <xf numFmtId="0" fontId="0" fillId="79" borderId="28" xfId="0" applyFill="1" applyBorder="1" applyAlignment="1">
      <alignment horizontal="center"/>
    </xf>
    <xf numFmtId="0" fontId="0" fillId="79" borderId="51" xfId="0" applyFill="1" applyBorder="1" applyAlignment="1">
      <alignment horizontal="center"/>
    </xf>
    <xf numFmtId="0" fontId="49" fillId="80" borderId="56" xfId="0" applyFont="1" applyFill="1" applyBorder="1" applyAlignment="1">
      <alignment horizontal="center" vertical="center"/>
    </xf>
    <xf numFmtId="0" fontId="49" fillId="80" borderId="2" xfId="0" applyFont="1" applyFill="1" applyBorder="1" applyAlignment="1">
      <alignment horizontal="center" vertical="center"/>
    </xf>
    <xf numFmtId="0" fontId="49" fillId="80" borderId="6" xfId="0" applyFont="1" applyFill="1" applyBorder="1" applyAlignment="1">
      <alignment horizontal="center" vertical="center"/>
    </xf>
    <xf numFmtId="0" fontId="49" fillId="0" borderId="1" xfId="0" applyFont="1" applyBorder="1" applyAlignment="1">
      <alignment horizontal="center" vertical="center"/>
    </xf>
    <xf numFmtId="0" fontId="49" fillId="0" borderId="53" xfId="0" applyFont="1" applyBorder="1" applyAlignment="1">
      <alignment horizontal="center" vertical="center"/>
    </xf>
    <xf numFmtId="0" fontId="38" fillId="0" borderId="0" xfId="0" applyFont="1" applyAlignment="1">
      <alignment horizontal="center"/>
    </xf>
    <xf numFmtId="0" fontId="0" fillId="0" borderId="63" xfId="0" applyBorder="1" applyAlignment="1">
      <alignment horizontal="center"/>
    </xf>
    <xf numFmtId="0" fontId="51" fillId="0" borderId="0" xfId="0" quotePrefix="1" applyFont="1" applyAlignment="1">
      <alignment horizontal="center"/>
    </xf>
    <xf numFmtId="0" fontId="49" fillId="0" borderId="34" xfId="0" quotePrefix="1" applyFont="1" applyBorder="1" applyAlignment="1">
      <alignment horizontal="left"/>
    </xf>
    <xf numFmtId="0" fontId="42" fillId="46" borderId="31" xfId="0" applyFont="1" applyFill="1" applyBorder="1" applyAlignment="1">
      <alignment horizontal="center" vertical="center" wrapText="1"/>
    </xf>
    <xf numFmtId="0" fontId="42" fillId="46" borderId="51" xfId="0" applyFont="1" applyFill="1" applyBorder="1" applyAlignment="1">
      <alignment horizontal="center" vertical="center" wrapText="1"/>
    </xf>
    <xf numFmtId="0" fontId="42" fillId="46" borderId="30" xfId="0" applyFont="1" applyFill="1" applyBorder="1" applyAlignment="1">
      <alignment horizontal="center" vertical="center" wrapText="1"/>
    </xf>
    <xf numFmtId="3" fontId="56" fillId="0" borderId="0" xfId="0" applyNumberFormat="1" applyFont="1" applyAlignment="1">
      <alignment horizontal="left" vertical="center" wrapText="1"/>
    </xf>
    <xf numFmtId="0" fontId="42" fillId="46" borderId="28" xfId="0" applyFont="1" applyFill="1" applyBorder="1" applyAlignment="1">
      <alignment horizontal="center" vertical="center" wrapText="1"/>
    </xf>
    <xf numFmtId="0" fontId="42" fillId="46" borderId="52" xfId="0" applyFont="1" applyFill="1" applyBorder="1" applyAlignment="1">
      <alignment horizontal="center" vertical="center" wrapText="1"/>
    </xf>
    <xf numFmtId="0" fontId="42" fillId="46" borderId="13" xfId="0" quotePrefix="1" applyFont="1" applyFill="1" applyBorder="1" applyAlignment="1">
      <alignment horizontal="left" vertical="top" wrapText="1"/>
    </xf>
    <xf numFmtId="0" fontId="56" fillId="0" borderId="57" xfId="0" applyFont="1" applyBorder="1" applyAlignment="1">
      <alignment horizontal="center" vertical="center" wrapText="1"/>
    </xf>
    <xf numFmtId="0" fontId="56" fillId="0" borderId="30" xfId="0" applyFont="1" applyBorder="1" applyAlignment="1">
      <alignment horizontal="center" vertical="center" wrapText="1"/>
    </xf>
    <xf numFmtId="0" fontId="56" fillId="0" borderId="52" xfId="0" applyFont="1" applyBorder="1" applyAlignment="1">
      <alignment horizontal="center" vertical="center" wrapText="1"/>
    </xf>
    <xf numFmtId="0" fontId="49" fillId="51" borderId="30" xfId="0" applyFont="1" applyFill="1" applyBorder="1" applyAlignment="1">
      <alignment horizontal="center"/>
    </xf>
    <xf numFmtId="0" fontId="42" fillId="0" borderId="36" xfId="0" applyFont="1" applyBorder="1" applyAlignment="1">
      <alignment horizontal="center" vertical="center" wrapText="1"/>
    </xf>
    <xf numFmtId="0" fontId="42" fillId="0" borderId="30" xfId="0" applyFont="1" applyBorder="1" applyAlignment="1">
      <alignment horizontal="center" wrapText="1"/>
    </xf>
    <xf numFmtId="0" fontId="42" fillId="0" borderId="52" xfId="0" applyFont="1" applyBorder="1" applyAlignment="1">
      <alignment horizontal="center" wrapText="1"/>
    </xf>
    <xf numFmtId="0" fontId="49" fillId="0" borderId="63" xfId="0" applyFont="1" applyBorder="1" applyAlignment="1">
      <alignment horizontal="center" vertical="center"/>
    </xf>
    <xf numFmtId="0" fontId="49" fillId="0" borderId="64" xfId="0" applyFont="1" applyBorder="1" applyAlignment="1">
      <alignment horizontal="center" vertical="center"/>
    </xf>
    <xf numFmtId="0" fontId="135" fillId="0" borderId="85" xfId="0" applyFont="1" applyBorder="1" applyAlignment="1">
      <alignment horizontal="center"/>
    </xf>
    <xf numFmtId="0" fontId="135" fillId="0" borderId="86" xfId="0" applyFont="1" applyBorder="1" applyAlignment="1">
      <alignment horizontal="center"/>
    </xf>
    <xf numFmtId="0" fontId="135" fillId="0" borderId="87" xfId="0" applyFont="1" applyBorder="1" applyAlignment="1">
      <alignment horizontal="center"/>
    </xf>
    <xf numFmtId="0" fontId="129" fillId="45" borderId="58" xfId="0" applyFont="1" applyFill="1" applyBorder="1" applyAlignment="1">
      <alignment horizontal="center"/>
    </xf>
    <xf numFmtId="0" fontId="129" fillId="45" borderId="57" xfId="0" applyFont="1" applyFill="1" applyBorder="1" applyAlignment="1">
      <alignment horizontal="center"/>
    </xf>
    <xf numFmtId="0" fontId="129" fillId="45" borderId="59" xfId="0" applyFont="1" applyFill="1" applyBorder="1" applyAlignment="1">
      <alignment horizontal="center"/>
    </xf>
    <xf numFmtId="0" fontId="128" fillId="54" borderId="54" xfId="0" applyFont="1" applyFill="1" applyBorder="1" applyAlignment="1">
      <alignment horizontal="center" vertical="center"/>
    </xf>
    <xf numFmtId="0" fontId="128" fillId="54" borderId="60" xfId="0" applyFont="1" applyFill="1" applyBorder="1" applyAlignment="1">
      <alignment horizontal="center" vertical="center"/>
    </xf>
    <xf numFmtId="0" fontId="96" fillId="0" borderId="0" xfId="0" applyFont="1" applyAlignment="1">
      <alignment horizontal="center"/>
    </xf>
    <xf numFmtId="0" fontId="38" fillId="0" borderId="14" xfId="0" applyFont="1" applyBorder="1" applyAlignment="1">
      <alignment horizontal="left" vertical="center"/>
    </xf>
    <xf numFmtId="0" fontId="38" fillId="0" borderId="21" xfId="0" applyFont="1" applyBorder="1" applyAlignment="1">
      <alignment horizontal="left" vertical="center"/>
    </xf>
    <xf numFmtId="0" fontId="38" fillId="0" borderId="30" xfId="0" applyFont="1" applyBorder="1" applyAlignment="1">
      <alignment horizontal="left" vertical="center"/>
    </xf>
    <xf numFmtId="0" fontId="38" fillId="0" borderId="30" xfId="0" applyFont="1" applyBorder="1" applyAlignment="1">
      <alignment horizontal="left" vertical="center" wrapText="1"/>
    </xf>
    <xf numFmtId="0" fontId="0" fillId="61" borderId="31" xfId="0" applyFill="1" applyBorder="1" applyAlignment="1">
      <alignment horizontal="center" vertical="center"/>
    </xf>
    <xf numFmtId="0" fontId="0" fillId="61" borderId="28" xfId="0" applyFill="1" applyBorder="1" applyAlignment="1">
      <alignment horizontal="center" vertical="center"/>
    </xf>
    <xf numFmtId="0" fontId="0" fillId="61" borderId="51" xfId="0" applyFill="1" applyBorder="1" applyAlignment="1">
      <alignment horizontal="center" vertical="center"/>
    </xf>
    <xf numFmtId="0" fontId="38" fillId="0" borderId="14" xfId="0" applyFont="1" applyBorder="1" applyAlignment="1">
      <alignment horizontal="center" vertical="center"/>
    </xf>
    <xf numFmtId="0" fontId="38" fillId="0" borderId="8" xfId="0" applyFont="1" applyBorder="1" applyAlignment="1">
      <alignment horizontal="center" vertical="center"/>
    </xf>
    <xf numFmtId="0" fontId="38" fillId="0" borderId="21" xfId="0" applyFont="1" applyBorder="1" applyAlignment="1">
      <alignment horizontal="center" vertical="center"/>
    </xf>
    <xf numFmtId="0" fontId="0" fillId="86" borderId="31" xfId="0" applyFill="1" applyBorder="1" applyAlignment="1">
      <alignment horizontal="center"/>
    </xf>
    <xf numFmtId="0" fontId="0" fillId="86" borderId="51" xfId="0" applyFill="1" applyBorder="1" applyAlignment="1">
      <alignment horizontal="center"/>
    </xf>
    <xf numFmtId="0" fontId="38" fillId="0" borderId="26" xfId="142" applyBorder="1" applyAlignment="1">
      <alignment horizontal="center"/>
    </xf>
    <xf numFmtId="0" fontId="38" fillId="0" borderId="50" xfId="142" applyBorder="1" applyAlignment="1">
      <alignment horizontal="center"/>
    </xf>
    <xf numFmtId="0" fontId="194" fillId="50" borderId="20" xfId="274" applyFont="1" applyFill="1" applyBorder="1" applyAlignment="1">
      <alignment horizontal="center" vertical="center" wrapText="1"/>
    </xf>
    <xf numFmtId="0" fontId="194" fillId="50" borderId="49" xfId="274" applyFont="1" applyFill="1" applyBorder="1" applyAlignment="1">
      <alignment horizontal="center" vertical="center" wrapText="1"/>
    </xf>
    <xf numFmtId="0" fontId="0" fillId="69" borderId="30" xfId="0" applyFill="1" applyBorder="1" applyAlignment="1">
      <alignment horizontal="center"/>
    </xf>
    <xf numFmtId="0" fontId="182" fillId="45" borderId="24" xfId="0" applyFont="1" applyFill="1" applyBorder="1" applyAlignment="1">
      <alignment horizontal="center" vertical="center" wrapText="1"/>
    </xf>
    <xf numFmtId="0" fontId="182" fillId="45" borderId="20" xfId="0" applyFont="1" applyFill="1" applyBorder="1" applyAlignment="1">
      <alignment horizontal="center" vertical="center" wrapText="1"/>
    </xf>
    <xf numFmtId="0" fontId="128" fillId="0" borderId="0" xfId="0" applyFont="1" applyAlignment="1">
      <alignment horizontal="center" vertical="center"/>
    </xf>
    <xf numFmtId="0" fontId="193" fillId="51" borderId="24" xfId="0" applyFont="1" applyFill="1" applyBorder="1" applyAlignment="1">
      <alignment horizontal="center" vertical="center" wrapText="1"/>
    </xf>
    <xf numFmtId="0" fontId="193" fillId="51" borderId="20" xfId="0" applyFont="1" applyFill="1" applyBorder="1" applyAlignment="1">
      <alignment horizontal="center" vertical="center" wrapText="1"/>
    </xf>
    <xf numFmtId="0" fontId="149" fillId="82" borderId="92" xfId="0" applyFont="1" applyFill="1" applyBorder="1" applyAlignment="1">
      <alignment horizontal="center" vertical="center"/>
    </xf>
    <xf numFmtId="0" fontId="149" fillId="82" borderId="51" xfId="0" applyFont="1" applyFill="1" applyBorder="1" applyAlignment="1">
      <alignment horizontal="center" vertical="center"/>
    </xf>
    <xf numFmtId="0" fontId="149" fillId="82" borderId="31" xfId="0" applyFont="1" applyFill="1" applyBorder="1" applyAlignment="1">
      <alignment horizontal="center" vertical="center"/>
    </xf>
    <xf numFmtId="0" fontId="0" fillId="46" borderId="56" xfId="0" applyFill="1" applyBorder="1" applyAlignment="1">
      <alignment horizontal="center"/>
    </xf>
    <xf numFmtId="0" fontId="0" fillId="46" borderId="2" xfId="0" applyFill="1" applyBorder="1" applyAlignment="1">
      <alignment horizontal="center"/>
    </xf>
    <xf numFmtId="0" fontId="0" fillId="46" borderId="6" xfId="0" applyFill="1" applyBorder="1" applyAlignment="1">
      <alignment horizontal="center"/>
    </xf>
    <xf numFmtId="0" fontId="184" fillId="46" borderId="1" xfId="0" applyFont="1" applyFill="1" applyBorder="1" applyAlignment="1">
      <alignment horizontal="center"/>
    </xf>
    <xf numFmtId="0" fontId="184" fillId="46" borderId="3" xfId="0" applyFont="1" applyFill="1" applyBorder="1" applyAlignment="1">
      <alignment horizontal="center"/>
    </xf>
    <xf numFmtId="0" fontId="184" fillId="46" borderId="53" xfId="0" applyFont="1" applyFill="1" applyBorder="1" applyAlignment="1">
      <alignment horizontal="center"/>
    </xf>
    <xf numFmtId="0" fontId="166" fillId="0" borderId="91" xfId="145" applyFont="1" applyBorder="1" applyAlignment="1">
      <alignment horizontal="center" vertical="center"/>
    </xf>
    <xf numFmtId="0" fontId="166" fillId="0" borderId="24" xfId="145" applyFont="1" applyBorder="1" applyAlignment="1">
      <alignment horizontal="center" vertical="center"/>
    </xf>
    <xf numFmtId="0" fontId="166" fillId="0" borderId="30" xfId="145" applyFont="1" applyBorder="1" applyAlignment="1">
      <alignment horizontal="center" vertical="center"/>
    </xf>
    <xf numFmtId="0" fontId="167" fillId="0" borderId="54" xfId="145" applyFont="1" applyBorder="1" applyAlignment="1">
      <alignment horizontal="center" vertical="center"/>
    </xf>
    <xf numFmtId="0" fontId="167" fillId="0" borderId="60" xfId="145" applyFont="1" applyBorder="1" applyAlignment="1">
      <alignment horizontal="center" vertical="center"/>
    </xf>
    <xf numFmtId="0" fontId="166" fillId="0" borderId="55" xfId="145" applyFont="1" applyBorder="1" applyAlignment="1">
      <alignment horizontal="center" vertical="center"/>
    </xf>
    <xf numFmtId="0" fontId="166" fillId="0" borderId="7" xfId="145" applyFont="1" applyBorder="1" applyAlignment="1">
      <alignment horizontal="center" vertical="center"/>
    </xf>
    <xf numFmtId="0" fontId="166" fillId="0" borderId="32" xfId="145" applyFont="1" applyBorder="1" applyAlignment="1">
      <alignment horizontal="center" vertical="center"/>
    </xf>
    <xf numFmtId="0" fontId="166" fillId="0" borderId="14" xfId="145" applyFont="1" applyBorder="1" applyAlignment="1">
      <alignment horizontal="center" vertical="center"/>
    </xf>
    <xf numFmtId="0" fontId="166" fillId="0" borderId="8" xfId="145" applyFont="1" applyBorder="1" applyAlignment="1">
      <alignment horizontal="center" vertical="center"/>
    </xf>
    <xf numFmtId="0" fontId="166" fillId="0" borderId="21" xfId="145" applyFont="1" applyBorder="1" applyAlignment="1">
      <alignment horizontal="center" vertical="center"/>
    </xf>
    <xf numFmtId="0" fontId="167" fillId="0" borderId="90" xfId="145" applyFont="1" applyBorder="1" applyAlignment="1">
      <alignment horizontal="center" vertical="center"/>
    </xf>
    <xf numFmtId="0" fontId="0" fillId="0" borderId="21" xfId="0" applyBorder="1" applyAlignment="1">
      <alignment horizontal="center" vertical="center"/>
    </xf>
    <xf numFmtId="0" fontId="0" fillId="0" borderId="30" xfId="0" applyBorder="1" applyAlignment="1">
      <alignment horizontal="center" vertical="center"/>
    </xf>
    <xf numFmtId="0" fontId="0" fillId="0" borderId="52" xfId="0" applyBorder="1" applyAlignment="1">
      <alignment horizontal="center" vertical="center"/>
    </xf>
    <xf numFmtId="0" fontId="0" fillId="0" borderId="57" xfId="0" applyBorder="1" applyAlignment="1">
      <alignment horizontal="center" vertical="center"/>
    </xf>
    <xf numFmtId="0" fontId="38" fillId="0" borderId="63" xfId="0" applyFont="1" applyBorder="1" applyAlignment="1">
      <alignment horizontal="center" vertical="center" wrapText="1"/>
    </xf>
    <xf numFmtId="0" fontId="0" fillId="0" borderId="63" xfId="0" applyBorder="1" applyAlignment="1">
      <alignment horizontal="center" vertical="center" wrapText="1"/>
    </xf>
    <xf numFmtId="0" fontId="0" fillId="0" borderId="64" xfId="0" applyBorder="1" applyAlignment="1">
      <alignment horizontal="center" vertical="center" wrapText="1"/>
    </xf>
    <xf numFmtId="0" fontId="38"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36" xfId="0" applyBorder="1" applyAlignment="1">
      <alignment horizontal="center" vertical="center" wrapText="1"/>
    </xf>
    <xf numFmtId="0" fontId="158" fillId="0" borderId="57" xfId="0" applyFont="1" applyBorder="1" applyAlignment="1">
      <alignment horizontal="center" vertical="center"/>
    </xf>
    <xf numFmtId="0" fontId="158" fillId="0" borderId="30" xfId="0" applyFont="1" applyBorder="1" applyAlignment="1">
      <alignment horizontal="center" vertical="center"/>
    </xf>
    <xf numFmtId="0" fontId="158" fillId="0" borderId="52" xfId="0" applyFont="1" applyBorder="1" applyAlignment="1">
      <alignment horizontal="center" vertical="center"/>
    </xf>
    <xf numFmtId="0" fontId="38" fillId="0" borderId="57" xfId="0" applyFont="1" applyBorder="1" applyAlignment="1">
      <alignment horizontal="center" vertical="center"/>
    </xf>
    <xf numFmtId="0" fontId="158" fillId="0" borderId="57" xfId="0" applyFont="1" applyBorder="1" applyAlignment="1">
      <alignment horizontal="center" vertical="center" wrapText="1"/>
    </xf>
    <xf numFmtId="0" fontId="158" fillId="0" borderId="30" xfId="0" applyFont="1" applyBorder="1" applyAlignment="1">
      <alignment horizontal="center" vertical="center" wrapText="1"/>
    </xf>
    <xf numFmtId="0" fontId="158" fillId="0" borderId="52" xfId="0" applyFont="1" applyBorder="1" applyAlignment="1">
      <alignment horizontal="center" vertical="center" wrapText="1"/>
    </xf>
    <xf numFmtId="0" fontId="160" fillId="0" borderId="57" xfId="0" applyFont="1" applyBorder="1" applyAlignment="1">
      <alignment horizontal="center" vertical="center"/>
    </xf>
    <xf numFmtId="0" fontId="160" fillId="0" borderId="30" xfId="0" applyFont="1" applyBorder="1" applyAlignment="1">
      <alignment horizontal="center" vertical="center"/>
    </xf>
    <xf numFmtId="0" fontId="160" fillId="0" borderId="52" xfId="0" applyFont="1" applyBorder="1" applyAlignment="1">
      <alignment horizontal="center" vertical="center"/>
    </xf>
    <xf numFmtId="0" fontId="161" fillId="0" borderId="57" xfId="0" applyFont="1" applyBorder="1" applyAlignment="1">
      <alignment horizontal="center" vertical="center" wrapText="1"/>
    </xf>
    <xf numFmtId="0" fontId="161" fillId="0" borderId="30" xfId="0" applyFont="1" applyBorder="1" applyAlignment="1">
      <alignment horizontal="center" vertical="center" wrapText="1"/>
    </xf>
    <xf numFmtId="0" fontId="161" fillId="0" borderId="52" xfId="0" applyFont="1" applyBorder="1" applyAlignment="1">
      <alignment horizontal="center" vertical="center" wrapText="1"/>
    </xf>
    <xf numFmtId="0" fontId="175" fillId="56" borderId="30" xfId="0" applyFont="1" applyFill="1" applyBorder="1" applyAlignment="1">
      <alignment horizontal="center"/>
    </xf>
    <xf numFmtId="0" fontId="176" fillId="45" borderId="30" xfId="0" applyFont="1" applyFill="1" applyBorder="1" applyAlignment="1">
      <alignment horizontal="center"/>
    </xf>
    <xf numFmtId="0" fontId="175" fillId="51" borderId="30" xfId="0" applyFont="1" applyFill="1" applyBorder="1" applyAlignment="1">
      <alignment horizontal="center"/>
    </xf>
    <xf numFmtId="0" fontId="101" fillId="45" borderId="30" xfId="0" applyFont="1" applyFill="1" applyBorder="1" applyAlignment="1">
      <alignment horizontal="center" vertical="center"/>
    </xf>
    <xf numFmtId="0" fontId="0" fillId="46" borderId="0" xfId="0" applyFill="1" applyAlignment="1">
      <alignment horizontal="center"/>
    </xf>
    <xf numFmtId="0" fontId="101" fillId="45" borderId="51" xfId="0" applyFont="1" applyFill="1" applyBorder="1" applyAlignment="1">
      <alignment horizontal="center"/>
    </xf>
    <xf numFmtId="0" fontId="101" fillId="45" borderId="30" xfId="0" applyFont="1" applyFill="1" applyBorder="1" applyAlignment="1">
      <alignment horizontal="center"/>
    </xf>
  </cellXfs>
  <cellStyles count="2868">
    <cellStyle name="20% - Énfasis1" xfId="3" builtinId="30" customBuiltin="1"/>
    <cellStyle name="20% - Énfasis1 10" xfId="1004" xr:uid="{E5E6CC96-B2BB-41A5-8DDF-45E3C678C926}"/>
    <cellStyle name="20% - Énfasis1 10 2" xfId="1604" xr:uid="{C896B15E-DAD8-49B0-864C-855DFABC775F}"/>
    <cellStyle name="20% - Énfasis1 10 2 2" xfId="2773" xr:uid="{66A464EF-F7D5-48D8-BB12-64E758C1F914}"/>
    <cellStyle name="20% - Énfasis1 10 3" xfId="2185" xr:uid="{6271FC1B-52A2-40AF-9128-2505E3089C7F}"/>
    <cellStyle name="20% - Énfasis1 11" xfId="1008" xr:uid="{129BC2BF-C75D-45BE-8EDF-66BD8674E0F2}"/>
    <cellStyle name="20% - Énfasis1 12" xfId="2808" xr:uid="{4C4A8A70-5DFD-435C-969E-3970034A8BB5}"/>
    <cellStyle name="20% - Énfasis1 2" xfId="47" xr:uid="{00000000-0005-0000-0000-000001000000}"/>
    <cellStyle name="20% - Énfasis1 2 2" xfId="149" xr:uid="{00000000-0005-0000-0000-000002000000}"/>
    <cellStyle name="20% - Énfasis1 2 2 2" xfId="276" xr:uid="{00000000-0005-0000-0000-000003000000}"/>
    <cellStyle name="20% - Énfasis1 2 2 2 2" xfId="623" xr:uid="{00000000-0005-0000-0000-000004000000}"/>
    <cellStyle name="20% - Énfasis1 2 2 2 2 2" xfId="1381" xr:uid="{49A93291-B702-4FD6-9F57-8279B4BD4175}"/>
    <cellStyle name="20% - Énfasis1 2 2 2 2 2 2" xfId="2550" xr:uid="{A3383048-7AFA-4F08-BFFF-D498129BC092}"/>
    <cellStyle name="20% - Énfasis1 2 2 2 2 3" xfId="1962" xr:uid="{1CFACB3A-6694-49F2-A6F6-7F78ADC9A8DB}"/>
    <cellStyle name="20% - Énfasis1 2 2 2 3" xfId="1118" xr:uid="{A71AC28D-5E57-4812-9065-F39944700DE6}"/>
    <cellStyle name="20% - Énfasis1 2 2 2 3 2" xfId="2287" xr:uid="{FA6287CD-F21C-41FA-918E-C7CD3D0CF3F7}"/>
    <cellStyle name="20% - Énfasis1 2 2 2 4" xfId="1703" xr:uid="{1731C5F3-67D3-477A-816D-E15039A4D386}"/>
    <cellStyle name="20% - Énfasis1 2 2 2_VOLUMENES PRODUCCION" xfId="782" xr:uid="{00000000-0005-0000-0000-000005000000}"/>
    <cellStyle name="20% - Énfasis1 2 2 3" xfId="558" xr:uid="{00000000-0005-0000-0000-000006000000}"/>
    <cellStyle name="20% - Énfasis1 2 2 3 2" xfId="1321" xr:uid="{270E8E39-0727-45F0-8D0E-E8E273F63291}"/>
    <cellStyle name="20% - Énfasis1 2 2 3 2 2" xfId="2490" xr:uid="{6AB536BC-8E74-4A9D-8D62-7A9887910B40}"/>
    <cellStyle name="20% - Énfasis1 2 2 3 3" xfId="1903" xr:uid="{8F684C6D-0639-41C2-8E6F-010AA6C1B539}"/>
    <cellStyle name="20% - Énfasis1 2 2 4" xfId="1053" xr:uid="{732ED4BB-02F0-4E65-9BB6-91F113087B2A}"/>
    <cellStyle name="20% - Énfasis1 2 2 4 2" xfId="2222" xr:uid="{55020A3A-01B0-4903-86C5-03F3E8CD7052}"/>
    <cellStyle name="20% - Énfasis1 2 2 5" xfId="1642" xr:uid="{83390E44-91F7-4B4B-9D9F-B60C616744D3}"/>
    <cellStyle name="20% - Énfasis1 2 2_JABONERIA" xfId="275" xr:uid="{00000000-0005-0000-0000-000007000000}"/>
    <cellStyle name="20% - Énfasis1 2 3" xfId="277" xr:uid="{00000000-0005-0000-0000-000008000000}"/>
    <cellStyle name="20% - Énfasis1 2 3 2" xfId="624" xr:uid="{00000000-0005-0000-0000-000009000000}"/>
    <cellStyle name="20% - Énfasis1 2 3 2 2" xfId="1382" xr:uid="{D7C11A8E-4B57-4D9F-9CAC-31CF45A59170}"/>
    <cellStyle name="20% - Énfasis1 2 3 2 2 2" xfId="2551" xr:uid="{4C1AFDA2-EC51-4C9E-95BB-219A9EFB9B92}"/>
    <cellStyle name="20% - Énfasis1 2 3 2 3" xfId="1963" xr:uid="{E3617CC4-EEE7-4245-A86E-3DCE0B93F06B}"/>
    <cellStyle name="20% - Énfasis1 2 3 3" xfId="1119" xr:uid="{F479B0B9-11FD-41DF-A019-D5E6E2AC85B1}"/>
    <cellStyle name="20% - Énfasis1 2 3 3 2" xfId="2288" xr:uid="{5FA42576-2A58-42F9-B738-29D462371B7F}"/>
    <cellStyle name="20% - Énfasis1 2 3 4" xfId="1704" xr:uid="{ADD0D4EF-A94E-43DD-84AF-EEC74B3D75C2}"/>
    <cellStyle name="20% - Énfasis1 2 3_VOLUMENES PRODUCCION" xfId="783" xr:uid="{00000000-0005-0000-0000-00000A000000}"/>
    <cellStyle name="20% - Énfasis1 2 4" xfId="522" xr:uid="{00000000-0005-0000-0000-00000B000000}"/>
    <cellStyle name="20% - Énfasis1 2 4 2" xfId="1291" xr:uid="{B3B8317E-5BED-4030-9E38-CFE7E359AC6F}"/>
    <cellStyle name="20% - Énfasis1 2 4 2 2" xfId="2460" xr:uid="{882E331B-5F7F-48B9-BAB8-3462DD77A522}"/>
    <cellStyle name="20% - Énfasis1 2 4 3" xfId="1873" xr:uid="{3628990B-36AF-46D7-A4F0-7CDA82CAC9E6}"/>
    <cellStyle name="20% - Énfasis1 2 5" xfId="1023" xr:uid="{9482A82E-E294-431F-A020-BFFC62AAAA68}"/>
    <cellStyle name="20% - Énfasis1 2 5 2" xfId="2192" xr:uid="{834A19EA-B4C8-4601-903E-87E2F2D6060F}"/>
    <cellStyle name="20% - Énfasis1 2 6" xfId="1613" xr:uid="{F94F32D4-649E-438E-B43C-7D02130E8C1D}"/>
    <cellStyle name="20% - Énfasis1 2_Descarga" xfId="249" xr:uid="{00000000-0005-0000-0000-00000C000000}"/>
    <cellStyle name="20% - Énfasis1 3" xfId="48" xr:uid="{00000000-0005-0000-0000-00000D000000}"/>
    <cellStyle name="20% - Énfasis1 3 2" xfId="150" xr:uid="{00000000-0005-0000-0000-00000E000000}"/>
    <cellStyle name="20% - Énfasis1 3 2 2" xfId="559" xr:uid="{00000000-0005-0000-0000-00000F000000}"/>
    <cellStyle name="20% - Énfasis1 3 2 2 2" xfId="1322" xr:uid="{2CAC2E5D-3338-4E76-A7DA-15F928A4E1F9}"/>
    <cellStyle name="20% - Énfasis1 3 2 2 2 2" xfId="2491" xr:uid="{D5FEA355-C204-44FD-B592-F1561824DE33}"/>
    <cellStyle name="20% - Énfasis1 3 2 2 3" xfId="1904" xr:uid="{0A4EAD4C-A9C1-4F36-8F64-C73A42B8E2F1}"/>
    <cellStyle name="20% - Énfasis1 3 2 3" xfId="1054" xr:uid="{CCA2DE0E-76BB-4DED-852A-DD064582C3B3}"/>
    <cellStyle name="20% - Énfasis1 3 2 3 2" xfId="2223" xr:uid="{59F7DE61-5C68-4C6D-B37F-8C922F1744F4}"/>
    <cellStyle name="20% - Énfasis1 3 2 4" xfId="1643" xr:uid="{CE235953-0A10-41B8-90B9-25AF51FB7E6B}"/>
    <cellStyle name="20% - Énfasis1 3 2_VOLUMENES PRODUCCION" xfId="784" xr:uid="{00000000-0005-0000-0000-000010000000}"/>
    <cellStyle name="20% - Énfasis1 3 3" xfId="523" xr:uid="{00000000-0005-0000-0000-000011000000}"/>
    <cellStyle name="20% - Énfasis1 3 3 2" xfId="1292" xr:uid="{29A55D20-7C9E-4DF4-B013-291C9B637DF2}"/>
    <cellStyle name="20% - Énfasis1 3 3 2 2" xfId="2461" xr:uid="{8590A90D-9C9D-405A-BE5D-32A4FEEB834E}"/>
    <cellStyle name="20% - Énfasis1 3 3 3" xfId="1874" xr:uid="{7BBFA2EE-F172-4F79-90F4-B3608358A298}"/>
    <cellStyle name="20% - Énfasis1 3 4" xfId="1024" xr:uid="{D21D29FC-BDB6-40AC-8F6E-BBB3CBDC7B2E}"/>
    <cellStyle name="20% - Énfasis1 3 4 2" xfId="2193" xr:uid="{39E87426-FB87-4751-9B7F-C2DC0E772E2E}"/>
    <cellStyle name="20% - Énfasis1 3 5" xfId="1614" xr:uid="{183421D1-21FB-4B40-BF90-D228DF8402B8}"/>
    <cellStyle name="20% - Énfasis1 3_Descarga" xfId="250" xr:uid="{00000000-0005-0000-0000-000012000000}"/>
    <cellStyle name="20% - Énfasis1 4" xfId="151" xr:uid="{00000000-0005-0000-0000-000013000000}"/>
    <cellStyle name="20% - Énfasis1 4 2" xfId="560" xr:uid="{00000000-0005-0000-0000-000014000000}"/>
    <cellStyle name="20% - Énfasis1 4 2 2" xfId="1323" xr:uid="{EB21A453-FCCD-47A5-9223-98319F15F314}"/>
    <cellStyle name="20% - Énfasis1 4 2 2 2" xfId="2492" xr:uid="{435CB5E6-0546-4B03-84D3-613EA9A7BEA1}"/>
    <cellStyle name="20% - Énfasis1 4 2 3" xfId="1905" xr:uid="{3A3F9722-3408-444A-B711-2C6D0290BD2B}"/>
    <cellStyle name="20% - Énfasis1 4 3" xfId="1055" xr:uid="{7373FF03-2AC9-4273-AD0B-92880920696A}"/>
    <cellStyle name="20% - Énfasis1 4 3 2" xfId="2224" xr:uid="{282CB70A-FA53-42F9-A82F-11C1644580AC}"/>
    <cellStyle name="20% - Énfasis1 4 4" xfId="1644" xr:uid="{1FF39322-1CC7-425E-AC83-AD76FDE08886}"/>
    <cellStyle name="20% - Énfasis1 4_VOLUMENES PRODUCCION" xfId="785" xr:uid="{00000000-0005-0000-0000-000015000000}"/>
    <cellStyle name="20% - Énfasis1 5" xfId="148" xr:uid="{00000000-0005-0000-0000-000016000000}"/>
    <cellStyle name="20% - Énfasis1 5 2" xfId="557" xr:uid="{00000000-0005-0000-0000-000017000000}"/>
    <cellStyle name="20% - Énfasis1 5 2 2" xfId="1320" xr:uid="{0B1D2D63-250A-490B-8F1A-6A0493B0965A}"/>
    <cellStyle name="20% - Énfasis1 5 2 2 2" xfId="2489" xr:uid="{03C17E51-357B-4F95-8822-649F50701CCE}"/>
    <cellStyle name="20% - Énfasis1 5 2 3" xfId="1902" xr:uid="{C5860450-2E37-4931-8B70-45E35CD5DB24}"/>
    <cellStyle name="20% - Énfasis1 5 3" xfId="1052" xr:uid="{EB235A5F-059C-4250-85D6-481974DC1DBD}"/>
    <cellStyle name="20% - Énfasis1 5 3 2" xfId="2221" xr:uid="{AE44D2B9-9916-403E-8B4B-33E27D3EF449}"/>
    <cellStyle name="20% - Énfasis1 5 4" xfId="1641" xr:uid="{3D531C06-A127-4170-8093-D8CF6B7BC140}"/>
    <cellStyle name="20% - Énfasis1 5_VOLUMENES PRODUCCION" xfId="786" xr:uid="{00000000-0005-0000-0000-000018000000}"/>
    <cellStyle name="20% - Énfasis1 6" xfId="229" xr:uid="{00000000-0005-0000-0000-000019000000}"/>
    <cellStyle name="20% - Énfasis1 6 2" xfId="605" xr:uid="{00000000-0005-0000-0000-00001A000000}"/>
    <cellStyle name="20% - Énfasis1 6 2 2" xfId="1366" xr:uid="{0C51BB53-B953-42DA-9CA0-E05264C0D3C5}"/>
    <cellStyle name="20% - Énfasis1 6 2 2 2" xfId="2535" xr:uid="{9EF51CB5-9E94-43FE-A6DB-73D1055CDA86}"/>
    <cellStyle name="20% - Énfasis1 6 2 3" xfId="1947" xr:uid="{5EE02154-AF29-415F-9A00-68168EEA45E7}"/>
    <cellStyle name="20% - Énfasis1 6 3" xfId="1101" xr:uid="{7C7CCD3B-5208-4ABE-895F-9410C4C3F072}"/>
    <cellStyle name="20% - Énfasis1 6 3 2" xfId="2270" xr:uid="{1E443677-2642-4397-902B-4C83DF0A7EEB}"/>
    <cellStyle name="20% - Énfasis1 6 4" xfId="1686" xr:uid="{08606A77-C93F-4416-9C5F-B125B6378E88}"/>
    <cellStyle name="20% - Énfasis1 6_VOLUMENES PRODUCCION" xfId="787" xr:uid="{00000000-0005-0000-0000-00001B000000}"/>
    <cellStyle name="20% - Énfasis1 7" xfId="506" xr:uid="{00000000-0005-0000-0000-00001C000000}"/>
    <cellStyle name="20% - Énfasis1 8" xfId="778" xr:uid="{00000000-0005-0000-0000-00001D000000}"/>
    <cellStyle name="20% - Énfasis1 9" xfId="978" xr:uid="{314BCBE7-6CC3-445E-A30E-45D740DD8842}"/>
    <cellStyle name="20% - Énfasis1 9 2" xfId="1578" xr:uid="{3DD7FAD6-E211-4E30-BDDB-AA2B58B8C1DD}"/>
    <cellStyle name="20% - Énfasis1 9 2 2" xfId="2747" xr:uid="{A759B3CC-C324-455D-8B4D-ED2582510DCA}"/>
    <cellStyle name="20% - Énfasis1 9 3" xfId="2159" xr:uid="{30093755-B080-4A3B-A572-BF54A9A9734E}"/>
    <cellStyle name="20% - Énfasis2" xfId="4" builtinId="34" customBuiltin="1"/>
    <cellStyle name="20% - Énfasis2 10" xfId="1003" xr:uid="{D159EECF-6387-4AD5-B1DE-4CA7B918FEBF}"/>
    <cellStyle name="20% - Énfasis2 10 2" xfId="1603" xr:uid="{4985544A-CCCB-4F8B-81C8-B3D84D0BC0AF}"/>
    <cellStyle name="20% - Énfasis2 10 2 2" xfId="2772" xr:uid="{446CCF38-C654-4799-8A97-13B3165EEF29}"/>
    <cellStyle name="20% - Énfasis2 10 3" xfId="2184" xr:uid="{E1937BC2-9F58-4C85-A5C5-73D9CB483F2C}"/>
    <cellStyle name="20% - Énfasis2 11" xfId="1009" xr:uid="{A30C7778-19DF-4351-BFF3-7ED37EBB7E3D}"/>
    <cellStyle name="20% - Énfasis2 12" xfId="2810" xr:uid="{D3C574B4-06FD-4D70-92EA-CE3B74785E7F}"/>
    <cellStyle name="20% - Énfasis2 2" xfId="49" xr:uid="{00000000-0005-0000-0000-00001F000000}"/>
    <cellStyle name="20% - Énfasis2 2 2" xfId="153" xr:uid="{00000000-0005-0000-0000-000020000000}"/>
    <cellStyle name="20% - Énfasis2 2 2 2" xfId="279" xr:uid="{00000000-0005-0000-0000-000021000000}"/>
    <cellStyle name="20% - Énfasis2 2 2 2 2" xfId="625" xr:uid="{00000000-0005-0000-0000-000022000000}"/>
    <cellStyle name="20% - Énfasis2 2 2 2 2 2" xfId="1383" xr:uid="{637E0B45-832C-4909-8456-8DE1D16E75EF}"/>
    <cellStyle name="20% - Énfasis2 2 2 2 2 2 2" xfId="2552" xr:uid="{77F13B5B-F3CF-460D-8BF5-D85E258D4822}"/>
    <cellStyle name="20% - Énfasis2 2 2 2 2 3" xfId="1964" xr:uid="{6807C590-723C-4D8A-B6B7-7CC5823CE390}"/>
    <cellStyle name="20% - Énfasis2 2 2 2 3" xfId="1120" xr:uid="{825AF4A7-BFA3-42F4-99B0-2270BC0BA2AA}"/>
    <cellStyle name="20% - Énfasis2 2 2 2 3 2" xfId="2289" xr:uid="{C6A6DAEB-71CD-46C9-8BA3-FE39882AD514}"/>
    <cellStyle name="20% - Énfasis2 2 2 2 4" xfId="1705" xr:uid="{3C5DB4B8-C618-4274-B9CD-612B42E97F9C}"/>
    <cellStyle name="20% - Énfasis2 2 2 2_VOLUMENES PRODUCCION" xfId="788" xr:uid="{00000000-0005-0000-0000-000023000000}"/>
    <cellStyle name="20% - Énfasis2 2 2 3" xfId="562" xr:uid="{00000000-0005-0000-0000-000024000000}"/>
    <cellStyle name="20% - Énfasis2 2 2 3 2" xfId="1325" xr:uid="{9B56FC06-130F-4AEA-8866-5414719B31F8}"/>
    <cellStyle name="20% - Énfasis2 2 2 3 2 2" xfId="2494" xr:uid="{7D001FAE-8865-4661-9AAB-E10DACE07E1B}"/>
    <cellStyle name="20% - Énfasis2 2 2 3 3" xfId="1907" xr:uid="{6FE0F70B-8E56-428B-8744-1CA1B0427F66}"/>
    <cellStyle name="20% - Énfasis2 2 2 4" xfId="1057" xr:uid="{6E96937B-BEBF-4641-BF58-F2A04FC58AAD}"/>
    <cellStyle name="20% - Énfasis2 2 2 4 2" xfId="2226" xr:uid="{AB24948A-950F-4A39-BA71-2EA24923E888}"/>
    <cellStyle name="20% - Énfasis2 2 2 5" xfId="1646" xr:uid="{A5524E39-D09E-4F7B-9F4A-068DE55F4987}"/>
    <cellStyle name="20% - Énfasis2 2 2_JABONERIA" xfId="278" xr:uid="{00000000-0005-0000-0000-000025000000}"/>
    <cellStyle name="20% - Énfasis2 2 3" xfId="280" xr:uid="{00000000-0005-0000-0000-000026000000}"/>
    <cellStyle name="20% - Énfasis2 2 3 2" xfId="626" xr:uid="{00000000-0005-0000-0000-000027000000}"/>
    <cellStyle name="20% - Énfasis2 2 3 2 2" xfId="1384" xr:uid="{F9B26130-86FD-4696-84CB-CE63C67F1A93}"/>
    <cellStyle name="20% - Énfasis2 2 3 2 2 2" xfId="2553" xr:uid="{203E189B-7DBD-4530-B434-22AFFB48CAD9}"/>
    <cellStyle name="20% - Énfasis2 2 3 2 3" xfId="1965" xr:uid="{6AF88022-96B5-44C3-B49F-ADDF561A3CF5}"/>
    <cellStyle name="20% - Énfasis2 2 3 3" xfId="1121" xr:uid="{6E0E1F90-B985-4931-9567-82A559C9EA5B}"/>
    <cellStyle name="20% - Énfasis2 2 3 3 2" xfId="2290" xr:uid="{27006116-B955-4837-956E-C8854A441E0E}"/>
    <cellStyle name="20% - Énfasis2 2 3 4" xfId="1706" xr:uid="{F936A1BF-7990-4684-A09A-5FA84F7DE755}"/>
    <cellStyle name="20% - Énfasis2 2 3_VOLUMENES PRODUCCION" xfId="789" xr:uid="{00000000-0005-0000-0000-000028000000}"/>
    <cellStyle name="20% - Énfasis2 2 4" xfId="524" xr:uid="{00000000-0005-0000-0000-000029000000}"/>
    <cellStyle name="20% - Énfasis2 2 4 2" xfId="1293" xr:uid="{79F6A88B-B727-44E8-8BAF-26F3E9714D10}"/>
    <cellStyle name="20% - Énfasis2 2 4 2 2" xfId="2462" xr:uid="{9316F501-30FB-4C2D-95AA-7D47B9F5398B}"/>
    <cellStyle name="20% - Énfasis2 2 4 3" xfId="1875" xr:uid="{1FF8FC6E-9852-440D-A913-2B76B4670E46}"/>
    <cellStyle name="20% - Énfasis2 2 5" xfId="1025" xr:uid="{C7948B13-EA45-44A6-A882-D189446F7A41}"/>
    <cellStyle name="20% - Énfasis2 2 5 2" xfId="2194" xr:uid="{CAD1876F-C5BF-4464-9539-38B10F450A89}"/>
    <cellStyle name="20% - Énfasis2 2 6" xfId="1615" xr:uid="{457006D5-B8E2-48F3-B8FB-9F1D5409B474}"/>
    <cellStyle name="20% - Énfasis2 2_Descarga" xfId="251" xr:uid="{00000000-0005-0000-0000-00002A000000}"/>
    <cellStyle name="20% - Énfasis2 3" xfId="50" xr:uid="{00000000-0005-0000-0000-00002B000000}"/>
    <cellStyle name="20% - Énfasis2 3 2" xfId="154" xr:uid="{00000000-0005-0000-0000-00002C000000}"/>
    <cellStyle name="20% - Énfasis2 3 2 2" xfId="563" xr:uid="{00000000-0005-0000-0000-00002D000000}"/>
    <cellStyle name="20% - Énfasis2 3 2 2 2" xfId="1326" xr:uid="{1B48DAB4-CF0F-4A79-9E93-25F360738308}"/>
    <cellStyle name="20% - Énfasis2 3 2 2 2 2" xfId="2495" xr:uid="{37B72285-80C5-40D6-B029-CD1F3FA6AE11}"/>
    <cellStyle name="20% - Énfasis2 3 2 2 3" xfId="1908" xr:uid="{82B44CB2-511B-4338-83D8-6B4DF71EDAEE}"/>
    <cellStyle name="20% - Énfasis2 3 2 3" xfId="1058" xr:uid="{71A1A7A8-57A0-4F81-A917-42563C04C288}"/>
    <cellStyle name="20% - Énfasis2 3 2 3 2" xfId="2227" xr:uid="{AD082085-F8D3-4E62-9C3D-8128A195BB88}"/>
    <cellStyle name="20% - Énfasis2 3 2 4" xfId="1647" xr:uid="{6D22E4AF-3A85-4EE5-8FCB-3ACD6471541C}"/>
    <cellStyle name="20% - Énfasis2 3 2_VOLUMENES PRODUCCION" xfId="790" xr:uid="{00000000-0005-0000-0000-00002E000000}"/>
    <cellStyle name="20% - Énfasis2 3 3" xfId="525" xr:uid="{00000000-0005-0000-0000-00002F000000}"/>
    <cellStyle name="20% - Énfasis2 3 3 2" xfId="1294" xr:uid="{39B15E3C-8997-461D-BF67-647C13346BB8}"/>
    <cellStyle name="20% - Énfasis2 3 3 2 2" xfId="2463" xr:uid="{0E528D82-A2BC-4A6C-B55A-6DF06919BFFB}"/>
    <cellStyle name="20% - Énfasis2 3 3 3" xfId="1876" xr:uid="{20D26784-C9EB-4615-AA75-CCE11B873226}"/>
    <cellStyle name="20% - Énfasis2 3 4" xfId="1026" xr:uid="{943DFF23-166C-44F5-B61B-46DD499D995F}"/>
    <cellStyle name="20% - Énfasis2 3 4 2" xfId="2195" xr:uid="{471B11D3-21BA-40B3-81C8-5EB9DB852D6E}"/>
    <cellStyle name="20% - Énfasis2 3 5" xfId="1616" xr:uid="{5CA5C609-02CC-4719-8F6C-76B09F672C4B}"/>
    <cellStyle name="20% - Énfasis2 3_Descarga" xfId="252" xr:uid="{00000000-0005-0000-0000-000030000000}"/>
    <cellStyle name="20% - Énfasis2 4" xfId="155" xr:uid="{00000000-0005-0000-0000-000031000000}"/>
    <cellStyle name="20% - Énfasis2 4 2" xfId="564" xr:uid="{00000000-0005-0000-0000-000032000000}"/>
    <cellStyle name="20% - Énfasis2 4 2 2" xfId="1327" xr:uid="{E6338FBD-BA26-46E6-A872-1EC2AC3AF3CC}"/>
    <cellStyle name="20% - Énfasis2 4 2 2 2" xfId="2496" xr:uid="{FC7527D4-16B3-4A38-AC90-AF5E33C1ECF9}"/>
    <cellStyle name="20% - Énfasis2 4 2 3" xfId="1909" xr:uid="{B6090D16-E110-4E58-9B51-562B043356D0}"/>
    <cellStyle name="20% - Énfasis2 4 3" xfId="1059" xr:uid="{453CA49C-3B90-44F5-B265-24613B18901A}"/>
    <cellStyle name="20% - Énfasis2 4 3 2" xfId="2228" xr:uid="{91C3BE26-649C-4DE0-AA1A-3F7385254C94}"/>
    <cellStyle name="20% - Énfasis2 4 4" xfId="1648" xr:uid="{7391925D-5552-454E-9DC8-CFB3B6259E4F}"/>
    <cellStyle name="20% - Énfasis2 4_VOLUMENES PRODUCCION" xfId="791" xr:uid="{00000000-0005-0000-0000-000033000000}"/>
    <cellStyle name="20% - Énfasis2 5" xfId="152" xr:uid="{00000000-0005-0000-0000-000034000000}"/>
    <cellStyle name="20% - Énfasis2 5 2" xfId="561" xr:uid="{00000000-0005-0000-0000-000035000000}"/>
    <cellStyle name="20% - Énfasis2 5 2 2" xfId="1324" xr:uid="{F215D157-2494-49DF-9542-1F245ABA6528}"/>
    <cellStyle name="20% - Énfasis2 5 2 2 2" xfId="2493" xr:uid="{EC444F9C-E85A-4413-B2F2-9D1323548DBF}"/>
    <cellStyle name="20% - Énfasis2 5 2 3" xfId="1906" xr:uid="{68CDD647-129D-4830-9860-BA03A0D8D48F}"/>
    <cellStyle name="20% - Énfasis2 5 3" xfId="1056" xr:uid="{BA4C06DA-F345-4FBA-AEF4-162DEB7792E1}"/>
    <cellStyle name="20% - Énfasis2 5 3 2" xfId="2225" xr:uid="{4A432B9A-6A9A-4181-8906-A144F6E5CFE0}"/>
    <cellStyle name="20% - Énfasis2 5 4" xfId="1645" xr:uid="{35CB7C59-FB24-408D-B520-7CA482106838}"/>
    <cellStyle name="20% - Énfasis2 5_VOLUMENES PRODUCCION" xfId="792" xr:uid="{00000000-0005-0000-0000-000036000000}"/>
    <cellStyle name="20% - Énfasis2 6" xfId="230" xr:uid="{00000000-0005-0000-0000-000037000000}"/>
    <cellStyle name="20% - Énfasis2 6 2" xfId="606" xr:uid="{00000000-0005-0000-0000-000038000000}"/>
    <cellStyle name="20% - Énfasis2 6 2 2" xfId="1367" xr:uid="{EB821882-A681-4616-B0A4-E2F9A5D78EA8}"/>
    <cellStyle name="20% - Énfasis2 6 2 2 2" xfId="2536" xr:uid="{368915D4-F828-4DA4-A10D-A842ED965A51}"/>
    <cellStyle name="20% - Énfasis2 6 2 3" xfId="1948" xr:uid="{64DD17B7-CC3E-4772-8A4C-0A707FDC9453}"/>
    <cellStyle name="20% - Énfasis2 6 3" xfId="1102" xr:uid="{A87935BF-124F-4913-AE42-524AD3D7D2E9}"/>
    <cellStyle name="20% - Énfasis2 6 3 2" xfId="2271" xr:uid="{CBA527A3-E631-41A6-8204-35AD6640A787}"/>
    <cellStyle name="20% - Énfasis2 6 4" xfId="1687" xr:uid="{8A07C430-0C1F-4064-88A7-0C76BE055947}"/>
    <cellStyle name="20% - Énfasis2 6_VOLUMENES PRODUCCION" xfId="793" xr:uid="{00000000-0005-0000-0000-000039000000}"/>
    <cellStyle name="20% - Énfasis2 7" xfId="507" xr:uid="{00000000-0005-0000-0000-00003A000000}"/>
    <cellStyle name="20% - Énfasis2 8" xfId="765" xr:uid="{00000000-0005-0000-0000-00003B000000}"/>
    <cellStyle name="20% - Énfasis2 9" xfId="979" xr:uid="{C643C7FC-4AEA-4711-811A-211F3898FE07}"/>
    <cellStyle name="20% - Énfasis2 9 2" xfId="1579" xr:uid="{1EA57337-16DF-4C5A-844A-84F5057A0E9E}"/>
    <cellStyle name="20% - Énfasis2 9 2 2" xfId="2748" xr:uid="{106F60FA-01AB-4BE3-B057-71417ACEA28B}"/>
    <cellStyle name="20% - Énfasis2 9 3" xfId="2160" xr:uid="{76378B15-F02A-42F6-9F58-EE85C2B34596}"/>
    <cellStyle name="20% - Énfasis3" xfId="5" builtinId="38" customBuiltin="1"/>
    <cellStyle name="20% - Énfasis3 10" xfId="1002" xr:uid="{398D51E1-B9A5-44DB-81A1-41DE61633260}"/>
    <cellStyle name="20% - Énfasis3 10 2" xfId="1602" xr:uid="{040CE7D7-3CEE-48D4-BFEE-B409722BA6F9}"/>
    <cellStyle name="20% - Énfasis3 10 2 2" xfId="2771" xr:uid="{9BB40076-9E02-4143-8302-D7C4EE42B654}"/>
    <cellStyle name="20% - Énfasis3 10 3" xfId="2183" xr:uid="{BBEAB5D7-046B-4942-8869-68B623CDDA74}"/>
    <cellStyle name="20% - Énfasis3 11" xfId="1010" xr:uid="{C679AD50-F272-4A3E-B60C-BA1DA57F05E7}"/>
    <cellStyle name="20% - Énfasis3 12" xfId="2812" xr:uid="{E6520A9E-EF15-4328-BE78-BBEBF6319305}"/>
    <cellStyle name="20% - Énfasis3 2" xfId="51" xr:uid="{00000000-0005-0000-0000-00003D000000}"/>
    <cellStyle name="20% - Énfasis3 2 2" xfId="157" xr:uid="{00000000-0005-0000-0000-00003E000000}"/>
    <cellStyle name="20% - Énfasis3 2 2 2" xfId="282" xr:uid="{00000000-0005-0000-0000-00003F000000}"/>
    <cellStyle name="20% - Énfasis3 2 2 2 2" xfId="627" xr:uid="{00000000-0005-0000-0000-000040000000}"/>
    <cellStyle name="20% - Énfasis3 2 2 2 2 2" xfId="1385" xr:uid="{925A77AE-DBC4-44D5-B53B-BE79BD42FC6E}"/>
    <cellStyle name="20% - Énfasis3 2 2 2 2 2 2" xfId="2554" xr:uid="{8310A0A7-2694-44AB-9F6D-966F0903DF48}"/>
    <cellStyle name="20% - Énfasis3 2 2 2 2 3" xfId="1966" xr:uid="{9673DADF-9DA8-4AB0-9698-C37026865183}"/>
    <cellStyle name="20% - Énfasis3 2 2 2 3" xfId="1122" xr:uid="{2038F4C1-E8F0-4CC0-87C3-8210519B1BCB}"/>
    <cellStyle name="20% - Énfasis3 2 2 2 3 2" xfId="2291" xr:uid="{79AD971B-90C0-479D-BB9D-DAB074903C8F}"/>
    <cellStyle name="20% - Énfasis3 2 2 2 4" xfId="1707" xr:uid="{D56267FF-EFA7-4A40-B4C5-70EFEC74EEB9}"/>
    <cellStyle name="20% - Énfasis3 2 2 2_VOLUMENES PRODUCCION" xfId="794" xr:uid="{00000000-0005-0000-0000-000041000000}"/>
    <cellStyle name="20% - Énfasis3 2 2 3" xfId="566" xr:uid="{00000000-0005-0000-0000-000042000000}"/>
    <cellStyle name="20% - Énfasis3 2 2 3 2" xfId="1329" xr:uid="{8BE16666-1B8E-4D27-91E5-70900797DA77}"/>
    <cellStyle name="20% - Énfasis3 2 2 3 2 2" xfId="2498" xr:uid="{0A0AC135-993F-45D9-83DA-0727A68B4A80}"/>
    <cellStyle name="20% - Énfasis3 2 2 3 3" xfId="1911" xr:uid="{49172DCA-DB97-4E28-8913-FE128320560F}"/>
    <cellStyle name="20% - Énfasis3 2 2 4" xfId="1061" xr:uid="{202F1DD7-8D23-4D46-BB73-26E5C10C22BC}"/>
    <cellStyle name="20% - Énfasis3 2 2 4 2" xfId="2230" xr:uid="{B35A18F0-5F1B-4D55-8698-A7560BAB792D}"/>
    <cellStyle name="20% - Énfasis3 2 2 5" xfId="1650" xr:uid="{D8AA642F-B434-4E72-AB6C-BB8FDDD0F842}"/>
    <cellStyle name="20% - Énfasis3 2 2_JABONERIA" xfId="281" xr:uid="{00000000-0005-0000-0000-000043000000}"/>
    <cellStyle name="20% - Énfasis3 2 3" xfId="283" xr:uid="{00000000-0005-0000-0000-000044000000}"/>
    <cellStyle name="20% - Énfasis3 2 3 2" xfId="628" xr:uid="{00000000-0005-0000-0000-000045000000}"/>
    <cellStyle name="20% - Énfasis3 2 3 2 2" xfId="1386" xr:uid="{2AF5E58E-EBBB-4072-8481-3B56AECAB643}"/>
    <cellStyle name="20% - Énfasis3 2 3 2 2 2" xfId="2555" xr:uid="{53442C71-E306-4D61-860A-2798E04EE824}"/>
    <cellStyle name="20% - Énfasis3 2 3 2 3" xfId="1967" xr:uid="{0885BB2E-B871-4D54-A0BC-09B5D8285AC7}"/>
    <cellStyle name="20% - Énfasis3 2 3 3" xfId="1123" xr:uid="{6FD162C2-3560-40DF-985F-D0766703D46A}"/>
    <cellStyle name="20% - Énfasis3 2 3 3 2" xfId="2292" xr:uid="{729A5878-A914-4203-9997-950304DF1616}"/>
    <cellStyle name="20% - Énfasis3 2 3 4" xfId="1708" xr:uid="{373D6BD4-0275-4692-B6EA-3E6576814758}"/>
    <cellStyle name="20% - Énfasis3 2 3_VOLUMENES PRODUCCION" xfId="795" xr:uid="{00000000-0005-0000-0000-000046000000}"/>
    <cellStyle name="20% - Énfasis3 2 4" xfId="526" xr:uid="{00000000-0005-0000-0000-000047000000}"/>
    <cellStyle name="20% - Énfasis3 2 4 2" xfId="1295" xr:uid="{62D21E9D-787B-487C-B7D2-1DB93748FF7D}"/>
    <cellStyle name="20% - Énfasis3 2 4 2 2" xfId="2464" xr:uid="{5B60E500-421B-4F08-A825-80F578636D36}"/>
    <cellStyle name="20% - Énfasis3 2 4 3" xfId="1877" xr:uid="{E686147C-535B-4678-90B2-CCBB55BE2B90}"/>
    <cellStyle name="20% - Énfasis3 2 5" xfId="1027" xr:uid="{3AF1DA9F-5C7C-4E06-BD6C-AC7BED7A1C2E}"/>
    <cellStyle name="20% - Énfasis3 2 5 2" xfId="2196" xr:uid="{BA4CFD9D-F602-4AE3-92D5-9192281A8521}"/>
    <cellStyle name="20% - Énfasis3 2 6" xfId="1617" xr:uid="{FBADC2CF-2C13-420A-A8A2-7C26401261D1}"/>
    <cellStyle name="20% - Énfasis3 2_Descarga" xfId="253" xr:uid="{00000000-0005-0000-0000-000048000000}"/>
    <cellStyle name="20% - Énfasis3 3" xfId="52" xr:uid="{00000000-0005-0000-0000-000049000000}"/>
    <cellStyle name="20% - Énfasis3 3 2" xfId="158" xr:uid="{00000000-0005-0000-0000-00004A000000}"/>
    <cellStyle name="20% - Énfasis3 3 2 2" xfId="567" xr:uid="{00000000-0005-0000-0000-00004B000000}"/>
    <cellStyle name="20% - Énfasis3 3 2 2 2" xfId="1330" xr:uid="{397E41F1-B1FF-4E82-8C6E-CBA956FD0007}"/>
    <cellStyle name="20% - Énfasis3 3 2 2 2 2" xfId="2499" xr:uid="{AE56DD3E-CF66-41B5-BA11-FEC316242048}"/>
    <cellStyle name="20% - Énfasis3 3 2 2 3" xfId="1912" xr:uid="{5045B13F-06BE-4428-A8CF-EFB37DA71D54}"/>
    <cellStyle name="20% - Énfasis3 3 2 3" xfId="1062" xr:uid="{CD2EA8E4-D277-46CB-B519-44A7B226FF36}"/>
    <cellStyle name="20% - Énfasis3 3 2 3 2" xfId="2231" xr:uid="{252D9927-1DAC-4020-ABD4-1E6A2328657A}"/>
    <cellStyle name="20% - Énfasis3 3 2 4" xfId="1651" xr:uid="{09DEF290-2A85-4D99-9FD2-DBA57E313910}"/>
    <cellStyle name="20% - Énfasis3 3 2_VOLUMENES PRODUCCION" xfId="796" xr:uid="{00000000-0005-0000-0000-00004C000000}"/>
    <cellStyle name="20% - Énfasis3 3 3" xfId="527" xr:uid="{00000000-0005-0000-0000-00004D000000}"/>
    <cellStyle name="20% - Énfasis3 3 3 2" xfId="1296" xr:uid="{E1898FB1-D065-40C8-897C-5E0DE2A73D7C}"/>
    <cellStyle name="20% - Énfasis3 3 3 2 2" xfId="2465" xr:uid="{B836F951-E54A-4DBA-B60A-7B170B5EE729}"/>
    <cellStyle name="20% - Énfasis3 3 3 3" xfId="1878" xr:uid="{9B53BA95-EA64-4845-9146-C23B4A60FC3B}"/>
    <cellStyle name="20% - Énfasis3 3 4" xfId="1028" xr:uid="{347830D6-FC1D-44F6-89AF-B0A7C4A03362}"/>
    <cellStyle name="20% - Énfasis3 3 4 2" xfId="2197" xr:uid="{3D30448F-AABF-4822-903C-7CEBD59B5D09}"/>
    <cellStyle name="20% - Énfasis3 3 5" xfId="1618" xr:uid="{C88A3B73-8AF3-40E7-8BA3-C58AED1D2698}"/>
    <cellStyle name="20% - Énfasis3 3_Descarga" xfId="254" xr:uid="{00000000-0005-0000-0000-00004E000000}"/>
    <cellStyle name="20% - Énfasis3 4" xfId="159" xr:uid="{00000000-0005-0000-0000-00004F000000}"/>
    <cellStyle name="20% - Énfasis3 4 2" xfId="568" xr:uid="{00000000-0005-0000-0000-000050000000}"/>
    <cellStyle name="20% - Énfasis3 4 2 2" xfId="1331" xr:uid="{566D3EA7-A86C-4936-B774-A92AFAE19C15}"/>
    <cellStyle name="20% - Énfasis3 4 2 2 2" xfId="2500" xr:uid="{B32B27E3-40F7-4894-B9D2-DF38A328A399}"/>
    <cellStyle name="20% - Énfasis3 4 2 3" xfId="1913" xr:uid="{8320FAAD-E03C-4024-A2BB-9D56B7E955FA}"/>
    <cellStyle name="20% - Énfasis3 4 3" xfId="1063" xr:uid="{59A6973A-AD56-4016-AAF4-9E55CE90B062}"/>
    <cellStyle name="20% - Énfasis3 4 3 2" xfId="2232" xr:uid="{94A04EBE-67A0-483E-8F5C-87EC3CE3E0F8}"/>
    <cellStyle name="20% - Énfasis3 4 4" xfId="1652" xr:uid="{60618AE7-2755-4B6B-B8FB-D3F7A98A851B}"/>
    <cellStyle name="20% - Énfasis3 4_VOLUMENES PRODUCCION" xfId="797" xr:uid="{00000000-0005-0000-0000-000051000000}"/>
    <cellStyle name="20% - Énfasis3 5" xfId="156" xr:uid="{00000000-0005-0000-0000-000052000000}"/>
    <cellStyle name="20% - Énfasis3 5 2" xfId="565" xr:uid="{00000000-0005-0000-0000-000053000000}"/>
    <cellStyle name="20% - Énfasis3 5 2 2" xfId="1328" xr:uid="{924F1758-D6B8-408D-9ADB-205155D00E50}"/>
    <cellStyle name="20% - Énfasis3 5 2 2 2" xfId="2497" xr:uid="{1B477229-E646-4E36-BD9A-4B5870ED057F}"/>
    <cellStyle name="20% - Énfasis3 5 2 3" xfId="1910" xr:uid="{C6EBA5FB-FD84-4C35-B047-6AC43D2F037C}"/>
    <cellStyle name="20% - Énfasis3 5 3" xfId="1060" xr:uid="{49A7E2CD-29B0-48A8-A7F1-ACD6EB49EBB9}"/>
    <cellStyle name="20% - Énfasis3 5 3 2" xfId="2229" xr:uid="{C73C70DF-60B9-4288-9564-858D836BB67F}"/>
    <cellStyle name="20% - Énfasis3 5 4" xfId="1649" xr:uid="{D3256878-775E-496E-A6A9-B16384B6AFCF}"/>
    <cellStyle name="20% - Énfasis3 5_VOLUMENES PRODUCCION" xfId="798" xr:uid="{00000000-0005-0000-0000-000054000000}"/>
    <cellStyle name="20% - Énfasis3 6" xfId="231" xr:uid="{00000000-0005-0000-0000-000055000000}"/>
    <cellStyle name="20% - Énfasis3 6 2" xfId="607" xr:uid="{00000000-0005-0000-0000-000056000000}"/>
    <cellStyle name="20% - Énfasis3 6 2 2" xfId="1368" xr:uid="{121E5BDD-062C-415D-AC14-9FF99D920F41}"/>
    <cellStyle name="20% - Énfasis3 6 2 2 2" xfId="2537" xr:uid="{80BF99FC-EEE2-49B1-B64E-AAAEAE06F564}"/>
    <cellStyle name="20% - Énfasis3 6 2 3" xfId="1949" xr:uid="{61362804-7B9B-4527-8E81-20B4C87F4436}"/>
    <cellStyle name="20% - Énfasis3 6 3" xfId="1103" xr:uid="{DC067879-439A-4434-8AC6-C0D58142EF34}"/>
    <cellStyle name="20% - Énfasis3 6 3 2" xfId="2272" xr:uid="{5EE52BAE-2A0B-4252-A800-E94D9890A639}"/>
    <cellStyle name="20% - Énfasis3 6 4" xfId="1688" xr:uid="{07CEDA11-8DBC-4F46-8259-8AA10FDBD721}"/>
    <cellStyle name="20% - Énfasis3 6_VOLUMENES PRODUCCION" xfId="799" xr:uid="{00000000-0005-0000-0000-000057000000}"/>
    <cellStyle name="20% - Énfasis3 7" xfId="508" xr:uid="{00000000-0005-0000-0000-000058000000}"/>
    <cellStyle name="20% - Énfasis3 8" xfId="622" xr:uid="{00000000-0005-0000-0000-000059000000}"/>
    <cellStyle name="20% - Énfasis3 9" xfId="980" xr:uid="{DFAFB51E-EF40-4CFD-8464-DABD1305A3CB}"/>
    <cellStyle name="20% - Énfasis3 9 2" xfId="1580" xr:uid="{433AB66D-BBBA-4EDA-9B70-88A269A833F9}"/>
    <cellStyle name="20% - Énfasis3 9 2 2" xfId="2749" xr:uid="{BDF6F60A-6FF0-4784-AEB3-FB02E6DE0DFA}"/>
    <cellStyle name="20% - Énfasis3 9 3" xfId="2161" xr:uid="{A1D84F3E-62F9-49BC-B9B0-5884BE2D9E0D}"/>
    <cellStyle name="20% - Énfasis4" xfId="6" builtinId="42" customBuiltin="1"/>
    <cellStyle name="20% - Énfasis4 10" xfId="1001" xr:uid="{DF3A5CD9-DCCE-4F04-8F00-2F35F9237B66}"/>
    <cellStyle name="20% - Énfasis4 10 2" xfId="1601" xr:uid="{C23DDE3E-BB67-426F-AD7F-DF1AD221D665}"/>
    <cellStyle name="20% - Énfasis4 10 2 2" xfId="2770" xr:uid="{FF0949B6-59E9-4B53-86CB-8F1041BF6A83}"/>
    <cellStyle name="20% - Énfasis4 10 3" xfId="2182" xr:uid="{502AF1DA-65A2-4B4C-B36E-B6EFBFE0D9E3}"/>
    <cellStyle name="20% - Énfasis4 11" xfId="1011" xr:uid="{BBBD09EA-C4BE-4A70-B6D6-773A512518E7}"/>
    <cellStyle name="20% - Énfasis4 12" xfId="2814" xr:uid="{C824D758-C643-4296-818B-9A1828F325BD}"/>
    <cellStyle name="20% - Énfasis4 2" xfId="53" xr:uid="{00000000-0005-0000-0000-00005B000000}"/>
    <cellStyle name="20% - Énfasis4 2 2" xfId="161" xr:uid="{00000000-0005-0000-0000-00005C000000}"/>
    <cellStyle name="20% - Énfasis4 2 2 2" xfId="285" xr:uid="{00000000-0005-0000-0000-00005D000000}"/>
    <cellStyle name="20% - Énfasis4 2 2 2 2" xfId="629" xr:uid="{00000000-0005-0000-0000-00005E000000}"/>
    <cellStyle name="20% - Énfasis4 2 2 2 2 2" xfId="1387" xr:uid="{84D5B656-5EB7-4B05-86C0-A879C5CE9946}"/>
    <cellStyle name="20% - Énfasis4 2 2 2 2 2 2" xfId="2556" xr:uid="{5EB18B27-E46D-42AC-B558-8440AEEA20FD}"/>
    <cellStyle name="20% - Énfasis4 2 2 2 2 3" xfId="1968" xr:uid="{9CA9B73D-4A84-484A-8EE8-29AF17ECB4D3}"/>
    <cellStyle name="20% - Énfasis4 2 2 2 3" xfId="1124" xr:uid="{40255BA9-6FE4-422E-A5C3-0F85E7578C1D}"/>
    <cellStyle name="20% - Énfasis4 2 2 2 3 2" xfId="2293" xr:uid="{7C3D7584-79DF-4BEF-A747-C4512C33D5FD}"/>
    <cellStyle name="20% - Énfasis4 2 2 2 4" xfId="1709" xr:uid="{AE5472EB-1170-485C-85B1-880296EEA159}"/>
    <cellStyle name="20% - Énfasis4 2 2 2_VOLUMENES PRODUCCION" xfId="800" xr:uid="{00000000-0005-0000-0000-00005F000000}"/>
    <cellStyle name="20% - Énfasis4 2 2 3" xfId="570" xr:uid="{00000000-0005-0000-0000-000060000000}"/>
    <cellStyle name="20% - Énfasis4 2 2 3 2" xfId="1333" xr:uid="{E3C0D472-75D3-4EBD-A264-0A6C60A68DF6}"/>
    <cellStyle name="20% - Énfasis4 2 2 3 2 2" xfId="2502" xr:uid="{808B65A8-5ED2-4EBB-B77C-49786727DAFB}"/>
    <cellStyle name="20% - Énfasis4 2 2 3 3" xfId="1915" xr:uid="{C61F45A2-C9F2-49D0-8D46-812E51444F29}"/>
    <cellStyle name="20% - Énfasis4 2 2 4" xfId="1065" xr:uid="{1EB0A476-BAD3-48B4-A005-1812ECDD294A}"/>
    <cellStyle name="20% - Énfasis4 2 2 4 2" xfId="2234" xr:uid="{DFB6255C-B4EB-4C2A-8E42-96DFD7203A57}"/>
    <cellStyle name="20% - Énfasis4 2 2 5" xfId="1654" xr:uid="{0EE14EBA-C26B-40B1-AA97-776B49D8B3BF}"/>
    <cellStyle name="20% - Énfasis4 2 2_JABONERIA" xfId="284" xr:uid="{00000000-0005-0000-0000-000061000000}"/>
    <cellStyle name="20% - Énfasis4 2 3" xfId="286" xr:uid="{00000000-0005-0000-0000-000062000000}"/>
    <cellStyle name="20% - Énfasis4 2 3 2" xfId="630" xr:uid="{00000000-0005-0000-0000-000063000000}"/>
    <cellStyle name="20% - Énfasis4 2 3 2 2" xfId="1388" xr:uid="{B34455C0-E638-4214-B711-C74813B58229}"/>
    <cellStyle name="20% - Énfasis4 2 3 2 2 2" xfId="2557" xr:uid="{9E1199C7-D9FB-42C2-82DA-DE198AD4AA0B}"/>
    <cellStyle name="20% - Énfasis4 2 3 2 3" xfId="1969" xr:uid="{70B2604D-7AA2-4607-AC23-9EDEDA6AA2BD}"/>
    <cellStyle name="20% - Énfasis4 2 3 3" xfId="1125" xr:uid="{FAA2924C-CEE4-46F7-8855-16690E5288E2}"/>
    <cellStyle name="20% - Énfasis4 2 3 3 2" xfId="2294" xr:uid="{EA254F1C-3A38-4B12-A762-AACB74CC1F62}"/>
    <cellStyle name="20% - Énfasis4 2 3 4" xfId="1710" xr:uid="{C285A339-CA1B-48DC-A88A-B8120BEDAB9E}"/>
    <cellStyle name="20% - Énfasis4 2 3_VOLUMENES PRODUCCION" xfId="801" xr:uid="{00000000-0005-0000-0000-000064000000}"/>
    <cellStyle name="20% - Énfasis4 2 4" xfId="528" xr:uid="{00000000-0005-0000-0000-000065000000}"/>
    <cellStyle name="20% - Énfasis4 2 4 2" xfId="1297" xr:uid="{EB73EE33-F619-4230-BF46-9E3ECFD08A89}"/>
    <cellStyle name="20% - Énfasis4 2 4 2 2" xfId="2466" xr:uid="{8B4EE725-BA98-4AE6-8E74-EFA470F1C926}"/>
    <cellStyle name="20% - Énfasis4 2 4 3" xfId="1879" xr:uid="{07B9C1C5-B30B-4988-B3FA-F73BDEF5F925}"/>
    <cellStyle name="20% - Énfasis4 2 5" xfId="1029" xr:uid="{DE2E10B8-C1A9-43D6-B332-D4DBA17E899A}"/>
    <cellStyle name="20% - Énfasis4 2 5 2" xfId="2198" xr:uid="{69DA1BF4-67C6-43CB-A625-F580083E64F9}"/>
    <cellStyle name="20% - Énfasis4 2 6" xfId="1619" xr:uid="{D4B504F5-ADC1-4462-9E33-A74503654769}"/>
    <cellStyle name="20% - Énfasis4 2_Descarga" xfId="255" xr:uid="{00000000-0005-0000-0000-000066000000}"/>
    <cellStyle name="20% - Énfasis4 3" xfId="54" xr:uid="{00000000-0005-0000-0000-000067000000}"/>
    <cellStyle name="20% - Énfasis4 3 2" xfId="162" xr:uid="{00000000-0005-0000-0000-000068000000}"/>
    <cellStyle name="20% - Énfasis4 3 2 2" xfId="571" xr:uid="{00000000-0005-0000-0000-000069000000}"/>
    <cellStyle name="20% - Énfasis4 3 2 2 2" xfId="1334" xr:uid="{C0CCBC6D-C235-49B4-B0AF-A2D41E5C110D}"/>
    <cellStyle name="20% - Énfasis4 3 2 2 2 2" xfId="2503" xr:uid="{4470D1E2-5FF4-4FAA-A101-53AF7133921F}"/>
    <cellStyle name="20% - Énfasis4 3 2 2 3" xfId="1916" xr:uid="{0E29D490-7B63-4060-8C33-68344156B03D}"/>
    <cellStyle name="20% - Énfasis4 3 2 3" xfId="1066" xr:uid="{60CFA882-8485-4536-8B44-D99646AD6E94}"/>
    <cellStyle name="20% - Énfasis4 3 2 3 2" xfId="2235" xr:uid="{8687B98B-52CA-4097-AA5F-733B2EDF901E}"/>
    <cellStyle name="20% - Énfasis4 3 2 4" xfId="1655" xr:uid="{5A7678F5-656E-4296-BF68-6CEF7A5393A9}"/>
    <cellStyle name="20% - Énfasis4 3 2_VOLUMENES PRODUCCION" xfId="802" xr:uid="{00000000-0005-0000-0000-00006A000000}"/>
    <cellStyle name="20% - Énfasis4 3 3" xfId="529" xr:uid="{00000000-0005-0000-0000-00006B000000}"/>
    <cellStyle name="20% - Énfasis4 3 3 2" xfId="1298" xr:uid="{DAF0C348-DCD6-40CE-BD5E-35848511263C}"/>
    <cellStyle name="20% - Énfasis4 3 3 2 2" xfId="2467" xr:uid="{B2150A21-BC33-46A9-B6C5-B2DCDE2155F1}"/>
    <cellStyle name="20% - Énfasis4 3 3 3" xfId="1880" xr:uid="{6CF270BD-FB57-4A09-8426-20633CF2F17B}"/>
    <cellStyle name="20% - Énfasis4 3 4" xfId="1030" xr:uid="{58A7E432-5289-4F44-B076-B91B75630624}"/>
    <cellStyle name="20% - Énfasis4 3 4 2" xfId="2199" xr:uid="{F3C975EB-D4EE-4BEE-A037-C93B35809986}"/>
    <cellStyle name="20% - Énfasis4 3 5" xfId="1620" xr:uid="{F8E21CE2-B22B-4633-A68F-CB8827030626}"/>
    <cellStyle name="20% - Énfasis4 3_Descarga" xfId="256" xr:uid="{00000000-0005-0000-0000-00006C000000}"/>
    <cellStyle name="20% - Énfasis4 4" xfId="163" xr:uid="{00000000-0005-0000-0000-00006D000000}"/>
    <cellStyle name="20% - Énfasis4 4 2" xfId="572" xr:uid="{00000000-0005-0000-0000-00006E000000}"/>
    <cellStyle name="20% - Énfasis4 4 2 2" xfId="1335" xr:uid="{1750A791-A902-4723-B5E1-4AB972AE5AEE}"/>
    <cellStyle name="20% - Énfasis4 4 2 2 2" xfId="2504" xr:uid="{58CC3AA6-6A59-43F5-9936-E48F40D24AA7}"/>
    <cellStyle name="20% - Énfasis4 4 2 3" xfId="1917" xr:uid="{BCA08249-0684-4245-B9EA-0123F65D0511}"/>
    <cellStyle name="20% - Énfasis4 4 3" xfId="1067" xr:uid="{86491023-3083-4155-BF45-78E7D5D89464}"/>
    <cellStyle name="20% - Énfasis4 4 3 2" xfId="2236" xr:uid="{0856347A-8D82-4A25-89E1-8717D02244AA}"/>
    <cellStyle name="20% - Énfasis4 4 4" xfId="1656" xr:uid="{80913571-DDDA-4FF5-B92B-F1BA57323100}"/>
    <cellStyle name="20% - Énfasis4 4_VOLUMENES PRODUCCION" xfId="803" xr:uid="{00000000-0005-0000-0000-00006F000000}"/>
    <cellStyle name="20% - Énfasis4 5" xfId="160" xr:uid="{00000000-0005-0000-0000-000070000000}"/>
    <cellStyle name="20% - Énfasis4 5 2" xfId="569" xr:uid="{00000000-0005-0000-0000-000071000000}"/>
    <cellStyle name="20% - Énfasis4 5 2 2" xfId="1332" xr:uid="{82096F18-78FA-4018-957B-A9630796E755}"/>
    <cellStyle name="20% - Énfasis4 5 2 2 2" xfId="2501" xr:uid="{3159D476-6FE9-4D36-826C-4EA108F16417}"/>
    <cellStyle name="20% - Énfasis4 5 2 3" xfId="1914" xr:uid="{CF14095D-4983-4B70-8862-96A6760E095D}"/>
    <cellStyle name="20% - Énfasis4 5 3" xfId="1064" xr:uid="{89A58A56-93B1-485C-A817-122F84DF2658}"/>
    <cellStyle name="20% - Énfasis4 5 3 2" xfId="2233" xr:uid="{9F12F429-6DD3-4190-840F-FBC6005DFCDF}"/>
    <cellStyle name="20% - Énfasis4 5 4" xfId="1653" xr:uid="{9BE73489-1937-48B4-9DB5-955CE0811121}"/>
    <cellStyle name="20% - Énfasis4 5_VOLUMENES PRODUCCION" xfId="804" xr:uid="{00000000-0005-0000-0000-000072000000}"/>
    <cellStyle name="20% - Énfasis4 6" xfId="232" xr:uid="{00000000-0005-0000-0000-000073000000}"/>
    <cellStyle name="20% - Énfasis4 6 2" xfId="608" xr:uid="{00000000-0005-0000-0000-000074000000}"/>
    <cellStyle name="20% - Énfasis4 6 2 2" xfId="1369" xr:uid="{F9922FED-07CB-46AC-A958-ED2D6CB2888E}"/>
    <cellStyle name="20% - Énfasis4 6 2 2 2" xfId="2538" xr:uid="{0F00FEBF-5E88-4BC7-940B-F54338988460}"/>
    <cellStyle name="20% - Énfasis4 6 2 3" xfId="1950" xr:uid="{30ADE1D4-0D67-4EA0-BED4-88D236E9A6BC}"/>
    <cellStyle name="20% - Énfasis4 6 3" xfId="1104" xr:uid="{BB1FD8D5-45AB-4EC8-B265-DF346D974D53}"/>
    <cellStyle name="20% - Énfasis4 6 3 2" xfId="2273" xr:uid="{C5EE06C0-14BE-450C-95CE-064740B88ED7}"/>
    <cellStyle name="20% - Énfasis4 6 4" xfId="1689" xr:uid="{02A72507-D5F2-4031-92A1-B126D22CF557}"/>
    <cellStyle name="20% - Énfasis4 6_VOLUMENES PRODUCCION" xfId="805" xr:uid="{00000000-0005-0000-0000-000075000000}"/>
    <cellStyle name="20% - Énfasis4 7" xfId="509" xr:uid="{00000000-0005-0000-0000-000076000000}"/>
    <cellStyle name="20% - Énfasis4 8" xfId="556" xr:uid="{00000000-0005-0000-0000-000077000000}"/>
    <cellStyle name="20% - Énfasis4 9" xfId="981" xr:uid="{DAF0C067-CFA1-4C5A-B6A2-0090D1E493F3}"/>
    <cellStyle name="20% - Énfasis4 9 2" xfId="1581" xr:uid="{96EF0406-1C85-47D7-B1A1-B4C8AC2ADFC5}"/>
    <cellStyle name="20% - Énfasis4 9 2 2" xfId="2750" xr:uid="{5ABF6054-6289-4F71-AA3B-1A444AD23B8E}"/>
    <cellStyle name="20% - Énfasis4 9 3" xfId="2162" xr:uid="{505FDEC4-A23D-4144-984C-F0C32BA521C6}"/>
    <cellStyle name="20% - Énfasis5" xfId="7" builtinId="46" customBuiltin="1"/>
    <cellStyle name="20% - Énfasis5 10" xfId="1012" xr:uid="{A8745B30-A2B1-494C-B657-14FA209DC981}"/>
    <cellStyle name="20% - Énfasis5 11" xfId="2816" xr:uid="{C9268B65-7962-433A-B017-CFC1E7C4EEE5}"/>
    <cellStyle name="20% - Énfasis5 2" xfId="55" xr:uid="{00000000-0005-0000-0000-000079000000}"/>
    <cellStyle name="20% - Énfasis5 2 2" xfId="165" xr:uid="{00000000-0005-0000-0000-00007A000000}"/>
    <cellStyle name="20% - Énfasis5 2 2 2" xfId="288" xr:uid="{00000000-0005-0000-0000-00007B000000}"/>
    <cellStyle name="20% - Énfasis5 2 2 2 2" xfId="631" xr:uid="{00000000-0005-0000-0000-00007C000000}"/>
    <cellStyle name="20% - Énfasis5 2 2 2 2 2" xfId="1389" xr:uid="{20E6BBF9-8274-48BD-BD1B-AFF69443BE51}"/>
    <cellStyle name="20% - Énfasis5 2 2 2 2 2 2" xfId="2558" xr:uid="{6E21F5E6-41AC-4403-9597-23691C39AE65}"/>
    <cellStyle name="20% - Énfasis5 2 2 2 2 3" xfId="1970" xr:uid="{56DFEDB2-97EC-46EF-A854-7E9A7A5BF98B}"/>
    <cellStyle name="20% - Énfasis5 2 2 2 3" xfId="1126" xr:uid="{21CC48A6-585C-40AF-9BAE-8C7F581CE4C1}"/>
    <cellStyle name="20% - Énfasis5 2 2 2 3 2" xfId="2295" xr:uid="{72BE3E51-797A-4240-B401-95B8F7E22BB7}"/>
    <cellStyle name="20% - Énfasis5 2 2 2 4" xfId="1711" xr:uid="{39EB195B-0CCD-4417-86D2-F73905353DDF}"/>
    <cellStyle name="20% - Énfasis5 2 2 2_VOLUMENES PRODUCCION" xfId="806" xr:uid="{00000000-0005-0000-0000-00007D000000}"/>
    <cellStyle name="20% - Énfasis5 2 2 3" xfId="574" xr:uid="{00000000-0005-0000-0000-00007E000000}"/>
    <cellStyle name="20% - Énfasis5 2 2 3 2" xfId="1337" xr:uid="{75BB97BF-5DE3-49D6-BB62-B56C860A28B2}"/>
    <cellStyle name="20% - Énfasis5 2 2 3 2 2" xfId="2506" xr:uid="{6CD96C2C-4FA0-4B6A-A246-D13C93B9FC4C}"/>
    <cellStyle name="20% - Énfasis5 2 2 3 3" xfId="1919" xr:uid="{93859659-531E-40AB-87E2-841584B2A2CA}"/>
    <cellStyle name="20% - Énfasis5 2 2 4" xfId="1069" xr:uid="{C0A88EDB-AC43-46A6-B38E-B025D359FFB3}"/>
    <cellStyle name="20% - Énfasis5 2 2 4 2" xfId="2238" xr:uid="{77544217-4580-422C-9050-BDADBD8509F9}"/>
    <cellStyle name="20% - Énfasis5 2 2 5" xfId="1658" xr:uid="{8E8DDC03-15FD-4920-9A61-475FB28386B3}"/>
    <cellStyle name="20% - Énfasis5 2 2_JABONERIA" xfId="287" xr:uid="{00000000-0005-0000-0000-00007F000000}"/>
    <cellStyle name="20% - Énfasis5 2 3" xfId="289" xr:uid="{00000000-0005-0000-0000-000080000000}"/>
    <cellStyle name="20% - Énfasis5 2 3 2" xfId="632" xr:uid="{00000000-0005-0000-0000-000081000000}"/>
    <cellStyle name="20% - Énfasis5 2 3 2 2" xfId="1390" xr:uid="{F62FC7A9-4B9F-45CD-A2D0-2A1B527A712F}"/>
    <cellStyle name="20% - Énfasis5 2 3 2 2 2" xfId="2559" xr:uid="{A125F284-B868-4539-9BB0-9831C1989C82}"/>
    <cellStyle name="20% - Énfasis5 2 3 2 3" xfId="1971" xr:uid="{7A518945-9512-4CEE-9F51-3516898BCC66}"/>
    <cellStyle name="20% - Énfasis5 2 3 3" xfId="1127" xr:uid="{3098B1E6-6148-4E06-B110-068C6580ADCF}"/>
    <cellStyle name="20% - Énfasis5 2 3 3 2" xfId="2296" xr:uid="{883117FE-2292-415E-915E-9F7602B55282}"/>
    <cellStyle name="20% - Énfasis5 2 3 4" xfId="1712" xr:uid="{4A89BD2B-B282-4C94-B6C1-7042046666C0}"/>
    <cellStyle name="20% - Énfasis5 2 3_VOLUMENES PRODUCCION" xfId="807" xr:uid="{00000000-0005-0000-0000-000082000000}"/>
    <cellStyle name="20% - Énfasis5 2 4" xfId="530" xr:uid="{00000000-0005-0000-0000-000083000000}"/>
    <cellStyle name="20% - Énfasis5 2 4 2" xfId="1299" xr:uid="{1BDBF89A-B0D6-497B-B1C4-A719BE97F061}"/>
    <cellStyle name="20% - Énfasis5 2 4 2 2" xfId="2468" xr:uid="{688271F1-0B9D-4F27-872F-099181B97772}"/>
    <cellStyle name="20% - Énfasis5 2 4 3" xfId="1881" xr:uid="{A5A452F5-B5A5-413E-A069-86CABD5E09BF}"/>
    <cellStyle name="20% - Énfasis5 2 5" xfId="1031" xr:uid="{9FC28E80-391E-4491-A024-ECCBE19614C1}"/>
    <cellStyle name="20% - Énfasis5 2 5 2" xfId="2200" xr:uid="{B542CF69-637D-462A-845B-E999E85D79E1}"/>
    <cellStyle name="20% - Énfasis5 2 6" xfId="1621" xr:uid="{4460F2F7-A7C1-4B41-BC9E-365A111E7EB5}"/>
    <cellStyle name="20% - Énfasis5 2_Descarga" xfId="257" xr:uid="{00000000-0005-0000-0000-000084000000}"/>
    <cellStyle name="20% - Énfasis5 3" xfId="56" xr:uid="{00000000-0005-0000-0000-000085000000}"/>
    <cellStyle name="20% - Énfasis5 3 2" xfId="166" xr:uid="{00000000-0005-0000-0000-000086000000}"/>
    <cellStyle name="20% - Énfasis5 3 2 2" xfId="575" xr:uid="{00000000-0005-0000-0000-000087000000}"/>
    <cellStyle name="20% - Énfasis5 3 2 2 2" xfId="1338" xr:uid="{B26EBC7F-59FF-49F2-901A-8134F09F9E21}"/>
    <cellStyle name="20% - Énfasis5 3 2 2 2 2" xfId="2507" xr:uid="{43F8FF49-E330-4175-9CC7-62CDAC1353A9}"/>
    <cellStyle name="20% - Énfasis5 3 2 2 3" xfId="1920" xr:uid="{D8A210E6-73D9-4DA7-AA85-EBFA42FB683C}"/>
    <cellStyle name="20% - Énfasis5 3 2 3" xfId="1070" xr:uid="{7F914AF8-D2CD-4943-A45D-80EE446C4607}"/>
    <cellStyle name="20% - Énfasis5 3 2 3 2" xfId="2239" xr:uid="{25C4CD3D-D409-4DCA-A235-6B198510B930}"/>
    <cellStyle name="20% - Énfasis5 3 2 4" xfId="1659" xr:uid="{228D0EEA-C25D-4C39-AE21-684F8CBF44BC}"/>
    <cellStyle name="20% - Énfasis5 3 2_VOLUMENES PRODUCCION" xfId="808" xr:uid="{00000000-0005-0000-0000-000088000000}"/>
    <cellStyle name="20% - Énfasis5 3 3" xfId="531" xr:uid="{00000000-0005-0000-0000-000089000000}"/>
    <cellStyle name="20% - Énfasis5 3 3 2" xfId="1300" xr:uid="{4EE228A8-2BA9-467F-AC91-EB1531E16EC8}"/>
    <cellStyle name="20% - Énfasis5 3 3 2 2" xfId="2469" xr:uid="{810C736D-8F22-4BEC-92CD-6F95F40B0842}"/>
    <cellStyle name="20% - Énfasis5 3 3 3" xfId="1882" xr:uid="{572BD670-71B6-4C0B-ADF8-634DAA172E8A}"/>
    <cellStyle name="20% - Énfasis5 3 4" xfId="1032" xr:uid="{4A3EF360-3579-4543-8DA7-C329DF954537}"/>
    <cellStyle name="20% - Énfasis5 3 4 2" xfId="2201" xr:uid="{5F158DD3-72EC-469E-8843-B3409B5EEF52}"/>
    <cellStyle name="20% - Énfasis5 3 5" xfId="1622" xr:uid="{56826A72-83D6-479C-9A9E-71C9F28C2F87}"/>
    <cellStyle name="20% - Énfasis5 3_Descarga" xfId="258" xr:uid="{00000000-0005-0000-0000-00008A000000}"/>
    <cellStyle name="20% - Énfasis5 4" xfId="164" xr:uid="{00000000-0005-0000-0000-00008B000000}"/>
    <cellStyle name="20% - Énfasis5 4 2" xfId="573" xr:uid="{00000000-0005-0000-0000-00008C000000}"/>
    <cellStyle name="20% - Énfasis5 4 2 2" xfId="1336" xr:uid="{EB6FB044-F102-451C-8972-57402623CAAA}"/>
    <cellStyle name="20% - Énfasis5 4 2 2 2" xfId="2505" xr:uid="{825E63AF-23BD-4607-A3CC-0FB0A6DE4447}"/>
    <cellStyle name="20% - Énfasis5 4 2 3" xfId="1918" xr:uid="{1EA0F864-454E-4A19-92A7-BC16EB6162E4}"/>
    <cellStyle name="20% - Énfasis5 4 3" xfId="1068" xr:uid="{38E5B30B-18E8-420A-B46C-9680619D9EA3}"/>
    <cellStyle name="20% - Énfasis5 4 3 2" xfId="2237" xr:uid="{CB8FF074-E2B4-488D-A95E-AEB455434B04}"/>
    <cellStyle name="20% - Énfasis5 4 4" xfId="1657" xr:uid="{F2B15200-02FB-4841-89E3-2DF753DE8EB7}"/>
    <cellStyle name="20% - Énfasis5 4_VOLUMENES PRODUCCION" xfId="809" xr:uid="{00000000-0005-0000-0000-00008D000000}"/>
    <cellStyle name="20% - Énfasis5 5" xfId="233" xr:uid="{00000000-0005-0000-0000-00008E000000}"/>
    <cellStyle name="20% - Énfasis5 5 2" xfId="609" xr:uid="{00000000-0005-0000-0000-00008F000000}"/>
    <cellStyle name="20% - Énfasis5 5 2 2" xfId="1370" xr:uid="{47B9C795-99A9-4C4B-9357-C0E0052B7389}"/>
    <cellStyle name="20% - Énfasis5 5 2 2 2" xfId="2539" xr:uid="{BB95890E-0FB3-465F-A175-53E0E0683817}"/>
    <cellStyle name="20% - Énfasis5 5 2 3" xfId="1951" xr:uid="{7754A191-615F-4463-8848-9579D832590A}"/>
    <cellStyle name="20% - Énfasis5 5 3" xfId="1105" xr:uid="{95AD7319-A460-4C96-843C-23B635E803FE}"/>
    <cellStyle name="20% - Énfasis5 5 3 2" xfId="2274" xr:uid="{B355C014-730D-4119-919B-89C1231816C1}"/>
    <cellStyle name="20% - Énfasis5 5 4" xfId="1690" xr:uid="{8E6C8359-6EC4-4914-8FD0-12711B0DFE42}"/>
    <cellStyle name="20% - Énfasis5 5_VOLUMENES PRODUCCION" xfId="810" xr:uid="{00000000-0005-0000-0000-000090000000}"/>
    <cellStyle name="20% - Énfasis5 6" xfId="510" xr:uid="{00000000-0005-0000-0000-000091000000}"/>
    <cellStyle name="20% - Énfasis5 7" xfId="621" xr:uid="{00000000-0005-0000-0000-000092000000}"/>
    <cellStyle name="20% - Énfasis5 8" xfId="982" xr:uid="{EDE00E25-E131-43A1-9F8B-8907023F7225}"/>
    <cellStyle name="20% - Énfasis5 8 2" xfId="1582" xr:uid="{468DB655-FD2D-48F6-80E6-97B738B5B3BE}"/>
    <cellStyle name="20% - Énfasis5 8 2 2" xfId="2751" xr:uid="{0124795F-2C94-496A-816A-5F4CAD2C01B6}"/>
    <cellStyle name="20% - Énfasis5 8 3" xfId="2163" xr:uid="{A9EB7D84-A036-4AF6-87E6-1B6923340880}"/>
    <cellStyle name="20% - Énfasis5 9" xfId="1000" xr:uid="{332024C6-E4D0-4122-B468-45A8FCAFE0B6}"/>
    <cellStyle name="20% - Énfasis5 9 2" xfId="1600" xr:uid="{6FB8590C-BAA5-4749-8AD3-F6C8818D0542}"/>
    <cellStyle name="20% - Énfasis5 9 2 2" xfId="2769" xr:uid="{3F3D9837-AA36-44F7-B8F2-400BF69F8E11}"/>
    <cellStyle name="20% - Énfasis5 9 3" xfId="2181" xr:uid="{4B8EA090-D2B8-4622-A9BE-6BB2DE66600B}"/>
    <cellStyle name="20% - Énfasis6" xfId="8" builtinId="50" customBuiltin="1"/>
    <cellStyle name="20% - Énfasis6 10" xfId="1013" xr:uid="{BB67721D-32D8-48D5-B30E-A9FABC7B23D6}"/>
    <cellStyle name="20% - Énfasis6 11" xfId="2818" xr:uid="{6745DAE5-448B-4791-9525-35647325728A}"/>
    <cellStyle name="20% - Énfasis6 2" xfId="57" xr:uid="{00000000-0005-0000-0000-000094000000}"/>
    <cellStyle name="20% - Énfasis6 2 2" xfId="168" xr:uid="{00000000-0005-0000-0000-000095000000}"/>
    <cellStyle name="20% - Énfasis6 2 2 2" xfId="291" xr:uid="{00000000-0005-0000-0000-000096000000}"/>
    <cellStyle name="20% - Énfasis6 2 2 2 2" xfId="633" xr:uid="{00000000-0005-0000-0000-000097000000}"/>
    <cellStyle name="20% - Énfasis6 2 2 2 2 2" xfId="1391" xr:uid="{42F8F10B-9FEB-47BA-AB07-A0764DFBD2D6}"/>
    <cellStyle name="20% - Énfasis6 2 2 2 2 2 2" xfId="2560" xr:uid="{DE4ABD46-C3A8-464C-B890-D1A23C762609}"/>
    <cellStyle name="20% - Énfasis6 2 2 2 2 3" xfId="1972" xr:uid="{ED705A15-63FC-4E3B-809F-1A143F5A203A}"/>
    <cellStyle name="20% - Énfasis6 2 2 2 3" xfId="1128" xr:uid="{19CA9219-CB84-4119-8236-DE3D738FD9E0}"/>
    <cellStyle name="20% - Énfasis6 2 2 2 3 2" xfId="2297" xr:uid="{5D94E1CD-6CD9-4A23-95FF-D6D6B93E0D01}"/>
    <cellStyle name="20% - Énfasis6 2 2 2 4" xfId="1713" xr:uid="{598FE824-8E99-444C-9A46-8AF749F3668A}"/>
    <cellStyle name="20% - Énfasis6 2 2 2_VOLUMENES PRODUCCION" xfId="811" xr:uid="{00000000-0005-0000-0000-000098000000}"/>
    <cellStyle name="20% - Énfasis6 2 2 3" xfId="577" xr:uid="{00000000-0005-0000-0000-000099000000}"/>
    <cellStyle name="20% - Énfasis6 2 2 3 2" xfId="1340" xr:uid="{66A93960-5D7A-4624-AD84-AB86C1B050E2}"/>
    <cellStyle name="20% - Énfasis6 2 2 3 2 2" xfId="2509" xr:uid="{1FC9A459-0E34-45F3-A4F9-649FD5A4D44D}"/>
    <cellStyle name="20% - Énfasis6 2 2 3 3" xfId="1922" xr:uid="{A1BC97BA-00D4-4DA2-9B77-5993B79DA197}"/>
    <cellStyle name="20% - Énfasis6 2 2 4" xfId="1072" xr:uid="{76ED5355-DD2F-4A4C-9BEF-0CE4E8FF1E3C}"/>
    <cellStyle name="20% - Énfasis6 2 2 4 2" xfId="2241" xr:uid="{28328B65-2BB9-43EB-94FB-22D0DE47B0D5}"/>
    <cellStyle name="20% - Énfasis6 2 2 5" xfId="1661" xr:uid="{5AF94CD1-CB4D-4FAF-902D-C6F862F9AB38}"/>
    <cellStyle name="20% - Énfasis6 2 2_JABONERIA" xfId="290" xr:uid="{00000000-0005-0000-0000-00009A000000}"/>
    <cellStyle name="20% - Énfasis6 2 3" xfId="292" xr:uid="{00000000-0005-0000-0000-00009B000000}"/>
    <cellStyle name="20% - Énfasis6 2 3 2" xfId="634" xr:uid="{00000000-0005-0000-0000-00009C000000}"/>
    <cellStyle name="20% - Énfasis6 2 3 2 2" xfId="1392" xr:uid="{D4D0EE45-2F88-4097-946F-B7498698EE00}"/>
    <cellStyle name="20% - Énfasis6 2 3 2 2 2" xfId="2561" xr:uid="{9D7ADFB6-867D-467D-B2BD-69139523D974}"/>
    <cellStyle name="20% - Énfasis6 2 3 2 3" xfId="1973" xr:uid="{E0CBDB7B-3232-493C-AFF5-B7BE86C58478}"/>
    <cellStyle name="20% - Énfasis6 2 3 3" xfId="1129" xr:uid="{BC267CC2-C1F1-4516-88D2-0B1447B08711}"/>
    <cellStyle name="20% - Énfasis6 2 3 3 2" xfId="2298" xr:uid="{2A5420B3-66D9-486A-B9C7-6CAB72BB6108}"/>
    <cellStyle name="20% - Énfasis6 2 3 4" xfId="1714" xr:uid="{37A8DD69-667D-46BB-BD6F-7963B17782E4}"/>
    <cellStyle name="20% - Énfasis6 2 3_VOLUMENES PRODUCCION" xfId="812" xr:uid="{00000000-0005-0000-0000-00009D000000}"/>
    <cellStyle name="20% - Énfasis6 2 4" xfId="532" xr:uid="{00000000-0005-0000-0000-00009E000000}"/>
    <cellStyle name="20% - Énfasis6 2 4 2" xfId="1301" xr:uid="{1B1D2594-4585-46D6-8A63-3626E1B6545B}"/>
    <cellStyle name="20% - Énfasis6 2 4 2 2" xfId="2470" xr:uid="{0E2404FE-40D8-4CAF-A66C-8DB08BA844C4}"/>
    <cellStyle name="20% - Énfasis6 2 4 3" xfId="1883" xr:uid="{1B0AAD21-24DB-44C9-A6C2-E9CDB62EC108}"/>
    <cellStyle name="20% - Énfasis6 2 5" xfId="1033" xr:uid="{62CE6E36-5BF8-4202-A166-68F0BFF080B0}"/>
    <cellStyle name="20% - Énfasis6 2 5 2" xfId="2202" xr:uid="{5C05937D-48F5-44EE-BDAD-73366653A7AB}"/>
    <cellStyle name="20% - Énfasis6 2 6" xfId="1623" xr:uid="{8255B377-2423-46FD-9B22-F7FA6F806968}"/>
    <cellStyle name="20% - Énfasis6 2_Descarga" xfId="259" xr:uid="{00000000-0005-0000-0000-00009F000000}"/>
    <cellStyle name="20% - Énfasis6 3" xfId="58" xr:uid="{00000000-0005-0000-0000-0000A0000000}"/>
    <cellStyle name="20% - Énfasis6 3 2" xfId="169" xr:uid="{00000000-0005-0000-0000-0000A1000000}"/>
    <cellStyle name="20% - Énfasis6 3 2 2" xfId="578" xr:uid="{00000000-0005-0000-0000-0000A2000000}"/>
    <cellStyle name="20% - Énfasis6 3 2 2 2" xfId="1341" xr:uid="{FA3C80F1-785E-485B-A50E-F9C2A77CB9FA}"/>
    <cellStyle name="20% - Énfasis6 3 2 2 2 2" xfId="2510" xr:uid="{C5BF1332-437A-4473-9DCE-ED5D456842B1}"/>
    <cellStyle name="20% - Énfasis6 3 2 2 3" xfId="1923" xr:uid="{742876A4-C1BD-4B62-8499-3592C6B59945}"/>
    <cellStyle name="20% - Énfasis6 3 2 3" xfId="1073" xr:uid="{705AC7FE-219E-443C-AB28-D3C30C85DC21}"/>
    <cellStyle name="20% - Énfasis6 3 2 3 2" xfId="2242" xr:uid="{421156D4-B77D-40C7-8A11-F11F1BD26614}"/>
    <cellStyle name="20% - Énfasis6 3 2 4" xfId="1662" xr:uid="{05F7019D-D93C-4874-80AE-C84E80D77434}"/>
    <cellStyle name="20% - Énfasis6 3 2_VOLUMENES PRODUCCION" xfId="813" xr:uid="{00000000-0005-0000-0000-0000A3000000}"/>
    <cellStyle name="20% - Énfasis6 3 3" xfId="533" xr:uid="{00000000-0005-0000-0000-0000A4000000}"/>
    <cellStyle name="20% - Énfasis6 3 3 2" xfId="1302" xr:uid="{94E2D700-CC8C-4ACA-AE38-A836757CF75C}"/>
    <cellStyle name="20% - Énfasis6 3 3 2 2" xfId="2471" xr:uid="{87A9029A-CF09-4131-A4CF-6DDE9BCC65FC}"/>
    <cellStyle name="20% - Énfasis6 3 3 3" xfId="1884" xr:uid="{54C91690-CC86-4142-AB8A-A6A8CEFE9246}"/>
    <cellStyle name="20% - Énfasis6 3 4" xfId="1034" xr:uid="{33BB72DF-BB7A-4E75-B1E5-6A44E2DE947A}"/>
    <cellStyle name="20% - Énfasis6 3 4 2" xfId="2203" xr:uid="{B0CA087B-91F5-403E-B056-3BCFD33C9EA2}"/>
    <cellStyle name="20% - Énfasis6 3 5" xfId="1624" xr:uid="{D486E37A-1468-491F-B949-DA7300E24B7A}"/>
    <cellStyle name="20% - Énfasis6 3_Descarga" xfId="260" xr:uid="{00000000-0005-0000-0000-0000A5000000}"/>
    <cellStyle name="20% - Énfasis6 4" xfId="167" xr:uid="{00000000-0005-0000-0000-0000A6000000}"/>
    <cellStyle name="20% - Énfasis6 4 2" xfId="576" xr:uid="{00000000-0005-0000-0000-0000A7000000}"/>
    <cellStyle name="20% - Énfasis6 4 2 2" xfId="1339" xr:uid="{3EBDAB67-E3F4-476F-A3FA-0429B7F587B6}"/>
    <cellStyle name="20% - Énfasis6 4 2 2 2" xfId="2508" xr:uid="{04FB9B57-F1F4-4C96-93AA-D3ED0C4E5D28}"/>
    <cellStyle name="20% - Énfasis6 4 2 3" xfId="1921" xr:uid="{047F2169-A9BE-456A-97B1-18ECF48F73D3}"/>
    <cellStyle name="20% - Énfasis6 4 3" xfId="1071" xr:uid="{6D91A5EF-DCC5-43E7-8BBE-FFB9C60473C6}"/>
    <cellStyle name="20% - Énfasis6 4 3 2" xfId="2240" xr:uid="{54D8D852-2A21-4CE0-96EF-377190BC891D}"/>
    <cellStyle name="20% - Énfasis6 4 4" xfId="1660" xr:uid="{393A2383-4D0A-4ED9-AEEE-03DE501CB02B}"/>
    <cellStyle name="20% - Énfasis6 4_VOLUMENES PRODUCCION" xfId="814" xr:uid="{00000000-0005-0000-0000-0000A8000000}"/>
    <cellStyle name="20% - Énfasis6 5" xfId="234" xr:uid="{00000000-0005-0000-0000-0000A9000000}"/>
    <cellStyle name="20% - Énfasis6 5 2" xfId="610" xr:uid="{00000000-0005-0000-0000-0000AA000000}"/>
    <cellStyle name="20% - Énfasis6 5 2 2" xfId="1371" xr:uid="{1474A715-73C5-45A0-B331-94F1C446D97C}"/>
    <cellStyle name="20% - Énfasis6 5 2 2 2" xfId="2540" xr:uid="{0C9CC5F6-3193-4469-97DB-B00CF8A3147E}"/>
    <cellStyle name="20% - Énfasis6 5 2 3" xfId="1952" xr:uid="{BB3FDCFB-8C67-4E70-99E0-EABE39FEA88F}"/>
    <cellStyle name="20% - Énfasis6 5 3" xfId="1106" xr:uid="{4579BCA5-70E1-4BCE-B53D-1580B720727C}"/>
    <cellStyle name="20% - Énfasis6 5 3 2" xfId="2275" xr:uid="{950AE041-345A-4475-9236-8C089435ED6A}"/>
    <cellStyle name="20% - Énfasis6 5 4" xfId="1691" xr:uid="{43BBC5A5-6043-4E3B-9F5F-90E8416F72DA}"/>
    <cellStyle name="20% - Énfasis6 5_VOLUMENES PRODUCCION" xfId="815" xr:uid="{00000000-0005-0000-0000-0000AB000000}"/>
    <cellStyle name="20% - Énfasis6 6" xfId="511" xr:uid="{00000000-0005-0000-0000-0000AC000000}"/>
    <cellStyle name="20% - Énfasis6 7" xfId="620" xr:uid="{00000000-0005-0000-0000-0000AD000000}"/>
    <cellStyle name="20% - Énfasis6 8" xfId="983" xr:uid="{102E4E95-3AF6-4748-96DA-25EC1D74DF3E}"/>
    <cellStyle name="20% - Énfasis6 8 2" xfId="1583" xr:uid="{7BAFBEDF-8241-42FF-8780-E017D7F931F4}"/>
    <cellStyle name="20% - Énfasis6 8 2 2" xfId="2752" xr:uid="{9A8CF912-36D2-41B7-9B9B-962C7E49DE6E}"/>
    <cellStyle name="20% - Énfasis6 8 3" xfId="2164" xr:uid="{A92C3248-98B2-46DF-8040-92CC89B38C98}"/>
    <cellStyle name="20% - Énfasis6 9" xfId="999" xr:uid="{8116B48C-38DD-406C-B610-AC78E04ECEB3}"/>
    <cellStyle name="20% - Énfasis6 9 2" xfId="1599" xr:uid="{EC3165B2-F887-4A0B-A2F2-4E8C0C5EDF43}"/>
    <cellStyle name="20% - Énfasis6 9 2 2" xfId="2768" xr:uid="{2D18EF30-5D1B-44F6-A0FC-225B4660E14C}"/>
    <cellStyle name="20% - Énfasis6 9 3" xfId="2180" xr:uid="{4C1BD8BA-3E96-4DFC-B8F5-04B54D64CCEA}"/>
    <cellStyle name="40% - Énfasis1" xfId="9" builtinId="31" customBuiltin="1"/>
    <cellStyle name="40% - Énfasis1 10" xfId="1014" xr:uid="{1FD33E35-7D58-4B86-96F0-FC209C7309DA}"/>
    <cellStyle name="40% - Énfasis1 11" xfId="2809" xr:uid="{94363544-2F61-42B3-964B-BF1D487FFE56}"/>
    <cellStyle name="40% - Énfasis1 2" xfId="59" xr:uid="{00000000-0005-0000-0000-0000AF000000}"/>
    <cellStyle name="40% - Énfasis1 2 2" xfId="171" xr:uid="{00000000-0005-0000-0000-0000B0000000}"/>
    <cellStyle name="40% - Énfasis1 2 2 2" xfId="294" xr:uid="{00000000-0005-0000-0000-0000B1000000}"/>
    <cellStyle name="40% - Énfasis1 2 2 2 2" xfId="635" xr:uid="{00000000-0005-0000-0000-0000B2000000}"/>
    <cellStyle name="40% - Énfasis1 2 2 2 2 2" xfId="1393" xr:uid="{126E7A54-A1C9-46DE-9F1D-7F49A2DFD65F}"/>
    <cellStyle name="40% - Énfasis1 2 2 2 2 2 2" xfId="2562" xr:uid="{86665442-CCD5-406A-9C7A-F692031655EE}"/>
    <cellStyle name="40% - Énfasis1 2 2 2 2 3" xfId="1974" xr:uid="{942A1EEC-CEFF-4FF7-95BD-D60AEF68606D}"/>
    <cellStyle name="40% - Énfasis1 2 2 2 3" xfId="1130" xr:uid="{E0C93D50-969E-4C39-9ED6-8FF5799BA613}"/>
    <cellStyle name="40% - Énfasis1 2 2 2 3 2" xfId="2299" xr:uid="{C598B0E3-E27D-4B69-A1D0-B13A61A5A281}"/>
    <cellStyle name="40% - Énfasis1 2 2 2 4" xfId="1715" xr:uid="{6B642A88-6AF8-4380-85F3-DA16C811B6E0}"/>
    <cellStyle name="40% - Énfasis1 2 2 2_VOLUMENES PRODUCCION" xfId="816" xr:uid="{00000000-0005-0000-0000-0000B3000000}"/>
    <cellStyle name="40% - Énfasis1 2 2 3" xfId="580" xr:uid="{00000000-0005-0000-0000-0000B4000000}"/>
    <cellStyle name="40% - Énfasis1 2 2 3 2" xfId="1343" xr:uid="{9C56EE37-F222-4D38-B384-5CEAC98EE98C}"/>
    <cellStyle name="40% - Énfasis1 2 2 3 2 2" xfId="2512" xr:uid="{A609DEA5-F45B-4609-A84D-50D83D0C4819}"/>
    <cellStyle name="40% - Énfasis1 2 2 3 3" xfId="1925" xr:uid="{38079D92-284A-4D32-9ED1-57346CB2E7B5}"/>
    <cellStyle name="40% - Énfasis1 2 2 4" xfId="1075" xr:uid="{3617178E-63F8-47E8-9D5C-06B0D1126B76}"/>
    <cellStyle name="40% - Énfasis1 2 2 4 2" xfId="2244" xr:uid="{4256714E-A798-4582-BCEF-3564EA3FD1B9}"/>
    <cellStyle name="40% - Énfasis1 2 2 5" xfId="1664" xr:uid="{E22E5DFA-06BB-4983-B317-533CFE557027}"/>
    <cellStyle name="40% - Énfasis1 2 2_JABONERIA" xfId="293" xr:uid="{00000000-0005-0000-0000-0000B5000000}"/>
    <cellStyle name="40% - Énfasis1 2 3" xfId="295" xr:uid="{00000000-0005-0000-0000-0000B6000000}"/>
    <cellStyle name="40% - Énfasis1 2 3 2" xfId="636" xr:uid="{00000000-0005-0000-0000-0000B7000000}"/>
    <cellStyle name="40% - Énfasis1 2 3 2 2" xfId="1394" xr:uid="{75468E74-D170-4B92-BD0E-D514AFAF49F7}"/>
    <cellStyle name="40% - Énfasis1 2 3 2 2 2" xfId="2563" xr:uid="{46BD3DFB-E5A2-4631-B631-E741CB4FDED3}"/>
    <cellStyle name="40% - Énfasis1 2 3 2 3" xfId="1975" xr:uid="{FD07DBFD-ECC8-4A82-8D6F-AC3D84EC1E56}"/>
    <cellStyle name="40% - Énfasis1 2 3 3" xfId="1131" xr:uid="{E66FC5B9-DA1D-4FC5-AB1E-425E32D8670B}"/>
    <cellStyle name="40% - Énfasis1 2 3 3 2" xfId="2300" xr:uid="{D2B58F7A-C10B-4D26-9B3E-96F7634D3597}"/>
    <cellStyle name="40% - Énfasis1 2 3 4" xfId="1716" xr:uid="{5A85A0EF-0FBE-4898-BC17-8740CCCDC5C5}"/>
    <cellStyle name="40% - Énfasis1 2 3_VOLUMENES PRODUCCION" xfId="817" xr:uid="{00000000-0005-0000-0000-0000B8000000}"/>
    <cellStyle name="40% - Énfasis1 2 4" xfId="534" xr:uid="{00000000-0005-0000-0000-0000B9000000}"/>
    <cellStyle name="40% - Énfasis1 2 4 2" xfId="1303" xr:uid="{F8FD01A7-2282-4483-9EE0-7D23C613302A}"/>
    <cellStyle name="40% - Énfasis1 2 4 2 2" xfId="2472" xr:uid="{B5E1EC8F-AA66-4799-BC75-5E82FD6DC378}"/>
    <cellStyle name="40% - Énfasis1 2 4 3" xfId="1885" xr:uid="{C73FC134-B2D6-4437-9126-600A5BFD151A}"/>
    <cellStyle name="40% - Énfasis1 2 5" xfId="1035" xr:uid="{2EAE32A8-F8D8-4497-BEA0-6D562A08B0CA}"/>
    <cellStyle name="40% - Énfasis1 2 5 2" xfId="2204" xr:uid="{4CFF408C-4C28-4D6C-A60B-EA3DD9EC7C99}"/>
    <cellStyle name="40% - Énfasis1 2 6" xfId="1625" xr:uid="{FC1B7D02-A2EB-49B6-957F-F1C108DEAA98}"/>
    <cellStyle name="40% - Énfasis1 2_Descarga" xfId="261" xr:uid="{00000000-0005-0000-0000-0000BA000000}"/>
    <cellStyle name="40% - Énfasis1 3" xfId="60" xr:uid="{00000000-0005-0000-0000-0000BB000000}"/>
    <cellStyle name="40% - Énfasis1 3 2" xfId="172" xr:uid="{00000000-0005-0000-0000-0000BC000000}"/>
    <cellStyle name="40% - Énfasis1 3 2 2" xfId="581" xr:uid="{00000000-0005-0000-0000-0000BD000000}"/>
    <cellStyle name="40% - Énfasis1 3 2 2 2" xfId="1344" xr:uid="{0B4BFFED-11B9-4465-96E9-7F4EFADBD579}"/>
    <cellStyle name="40% - Énfasis1 3 2 2 2 2" xfId="2513" xr:uid="{C672C412-D7D7-4442-BED0-0B52025BB3EB}"/>
    <cellStyle name="40% - Énfasis1 3 2 2 3" xfId="1926" xr:uid="{9F843274-BE0D-4387-B2BB-5235CEE3B439}"/>
    <cellStyle name="40% - Énfasis1 3 2 3" xfId="1076" xr:uid="{DDC99F5F-AE9E-4CFD-AF3E-9AB77F319783}"/>
    <cellStyle name="40% - Énfasis1 3 2 3 2" xfId="2245" xr:uid="{FFBE11F4-5D99-4514-803D-CC04E1E3F182}"/>
    <cellStyle name="40% - Énfasis1 3 2 4" xfId="1665" xr:uid="{28696526-EB96-42A8-9361-EAFBC2B33F4C}"/>
    <cellStyle name="40% - Énfasis1 3 2_VOLUMENES PRODUCCION" xfId="818" xr:uid="{00000000-0005-0000-0000-0000BE000000}"/>
    <cellStyle name="40% - Énfasis1 3 3" xfId="535" xr:uid="{00000000-0005-0000-0000-0000BF000000}"/>
    <cellStyle name="40% - Énfasis1 3 3 2" xfId="1304" xr:uid="{98D40214-91BE-464E-803A-9D6AA10D26E6}"/>
    <cellStyle name="40% - Énfasis1 3 3 2 2" xfId="2473" xr:uid="{C76C82E7-F019-4570-A782-791D5BAF289F}"/>
    <cellStyle name="40% - Énfasis1 3 3 3" xfId="1886" xr:uid="{CFD33BF8-5BBB-4155-9A39-3543AC1CF52E}"/>
    <cellStyle name="40% - Énfasis1 3 4" xfId="1036" xr:uid="{B3433461-0852-4C7F-B139-2E92E808CF9A}"/>
    <cellStyle name="40% - Énfasis1 3 4 2" xfId="2205" xr:uid="{2EA07118-A54E-4F0C-BC90-10AE524C1188}"/>
    <cellStyle name="40% - Énfasis1 3 5" xfId="1626" xr:uid="{3EC27BEA-8C7A-4CB5-9369-78DE5D970418}"/>
    <cellStyle name="40% - Énfasis1 3_Descarga" xfId="262" xr:uid="{00000000-0005-0000-0000-0000C0000000}"/>
    <cellStyle name="40% - Énfasis1 4" xfId="170" xr:uid="{00000000-0005-0000-0000-0000C1000000}"/>
    <cellStyle name="40% - Énfasis1 4 2" xfId="579" xr:uid="{00000000-0005-0000-0000-0000C2000000}"/>
    <cellStyle name="40% - Énfasis1 4 2 2" xfId="1342" xr:uid="{38663DFF-9C42-4804-AE96-9181FA8108C8}"/>
    <cellStyle name="40% - Énfasis1 4 2 2 2" xfId="2511" xr:uid="{4832F56D-44E9-48C6-8ACE-862869774AC4}"/>
    <cellStyle name="40% - Énfasis1 4 2 3" xfId="1924" xr:uid="{4A29380B-6854-43A9-9661-645B5E03B42C}"/>
    <cellStyle name="40% - Énfasis1 4 3" xfId="1074" xr:uid="{51E6A6F4-FE1F-4895-B876-277A7AF79D3C}"/>
    <cellStyle name="40% - Énfasis1 4 3 2" xfId="2243" xr:uid="{E8AF2D00-0E64-4154-A887-92385662ABD8}"/>
    <cellStyle name="40% - Énfasis1 4 4" xfId="1663" xr:uid="{1A5794E4-C2AF-43DC-8D26-03EA43C51423}"/>
    <cellStyle name="40% - Énfasis1 4_VOLUMENES PRODUCCION" xfId="819" xr:uid="{00000000-0005-0000-0000-0000C3000000}"/>
    <cellStyle name="40% - Énfasis1 5" xfId="235" xr:uid="{00000000-0005-0000-0000-0000C4000000}"/>
    <cellStyle name="40% - Énfasis1 5 2" xfId="611" xr:uid="{00000000-0005-0000-0000-0000C5000000}"/>
    <cellStyle name="40% - Énfasis1 5 2 2" xfId="1372" xr:uid="{2A0DDBE2-8DAD-4995-BC33-1536B927A777}"/>
    <cellStyle name="40% - Énfasis1 5 2 2 2" xfId="2541" xr:uid="{18981245-4A13-4603-BFC3-F8B198D52302}"/>
    <cellStyle name="40% - Énfasis1 5 2 3" xfId="1953" xr:uid="{9684F1C8-0A81-4546-9398-3DC436D5332D}"/>
    <cellStyle name="40% - Énfasis1 5 3" xfId="1107" xr:uid="{6A65B325-450D-43ED-867B-5444A375DBF7}"/>
    <cellStyle name="40% - Énfasis1 5 3 2" xfId="2276" xr:uid="{CCB81E15-3D99-4B27-90FE-5102512B8489}"/>
    <cellStyle name="40% - Énfasis1 5 4" xfId="1692" xr:uid="{C32A5548-82CC-4163-B053-6B47F2F000FF}"/>
    <cellStyle name="40% - Énfasis1 5_VOLUMENES PRODUCCION" xfId="820" xr:uid="{00000000-0005-0000-0000-0000C6000000}"/>
    <cellStyle name="40% - Énfasis1 6" xfId="512" xr:uid="{00000000-0005-0000-0000-0000C7000000}"/>
    <cellStyle name="40% - Énfasis1 7" xfId="603" xr:uid="{00000000-0005-0000-0000-0000C8000000}"/>
    <cellStyle name="40% - Énfasis1 8" xfId="984" xr:uid="{B706C178-C184-4295-948F-274372130089}"/>
    <cellStyle name="40% - Énfasis1 8 2" xfId="1584" xr:uid="{DEE8F314-F51E-4B5C-AA96-FECCCA46DD8A}"/>
    <cellStyle name="40% - Énfasis1 8 2 2" xfId="2753" xr:uid="{B2FD240A-6BC4-468F-8FA0-F0614023F4CA}"/>
    <cellStyle name="40% - Énfasis1 8 3" xfId="2165" xr:uid="{80F9E454-8330-467A-A37D-7B9B4D834CBA}"/>
    <cellStyle name="40% - Énfasis1 9" xfId="998" xr:uid="{41143689-A518-41AD-A1F7-C4AFF1A3E244}"/>
    <cellStyle name="40% - Énfasis1 9 2" xfId="1598" xr:uid="{E1B5C61B-7449-4993-970A-A79A6F1CF5DA}"/>
    <cellStyle name="40% - Énfasis1 9 2 2" xfId="2767" xr:uid="{10E0925C-5D48-40E5-B840-179D46A140EC}"/>
    <cellStyle name="40% - Énfasis1 9 3" xfId="2179" xr:uid="{A123AA08-890E-498E-8A32-47C5F4ABEB6D}"/>
    <cellStyle name="40% - Énfasis2" xfId="10" builtinId="35" customBuiltin="1"/>
    <cellStyle name="40% - Énfasis2 10" xfId="1015" xr:uid="{03E1D9F7-CAA9-4BFA-95C7-612FBE4311EF}"/>
    <cellStyle name="40% - Énfasis2 11" xfId="2811" xr:uid="{182ED50B-8FB3-448C-9332-5FAAD1775B43}"/>
    <cellStyle name="40% - Énfasis2 2" xfId="61" xr:uid="{00000000-0005-0000-0000-0000CA000000}"/>
    <cellStyle name="40% - Énfasis2 2 2" xfId="174" xr:uid="{00000000-0005-0000-0000-0000CB000000}"/>
    <cellStyle name="40% - Énfasis2 2 2 2" xfId="297" xr:uid="{00000000-0005-0000-0000-0000CC000000}"/>
    <cellStyle name="40% - Énfasis2 2 2 2 2" xfId="637" xr:uid="{00000000-0005-0000-0000-0000CD000000}"/>
    <cellStyle name="40% - Énfasis2 2 2 2 2 2" xfId="1395" xr:uid="{2C023A1B-661D-46C0-8680-81853B985425}"/>
    <cellStyle name="40% - Énfasis2 2 2 2 2 2 2" xfId="2564" xr:uid="{96821ED1-5ED7-4A56-80EA-1F2DF6AB6350}"/>
    <cellStyle name="40% - Énfasis2 2 2 2 2 3" xfId="1976" xr:uid="{8B3A0D8B-939F-4775-BE06-EB552A2DCF9B}"/>
    <cellStyle name="40% - Énfasis2 2 2 2 3" xfId="1132" xr:uid="{4E920DF1-E84C-400D-9D22-90224AC9457C}"/>
    <cellStyle name="40% - Énfasis2 2 2 2 3 2" xfId="2301" xr:uid="{05189B62-A65D-4206-8E09-0EF1DBCFA681}"/>
    <cellStyle name="40% - Énfasis2 2 2 2 4" xfId="1717" xr:uid="{CBB9C41B-E7BC-4D6F-995A-B5D9869FA70F}"/>
    <cellStyle name="40% - Énfasis2 2 2 2_VOLUMENES PRODUCCION" xfId="821" xr:uid="{00000000-0005-0000-0000-0000CE000000}"/>
    <cellStyle name="40% - Énfasis2 2 2 3" xfId="583" xr:uid="{00000000-0005-0000-0000-0000CF000000}"/>
    <cellStyle name="40% - Énfasis2 2 2 3 2" xfId="1346" xr:uid="{EF16880D-2FF8-483B-8CA4-A8F07F0DF43E}"/>
    <cellStyle name="40% - Énfasis2 2 2 3 2 2" xfId="2515" xr:uid="{86DF91C6-8414-41F3-86FE-268504162EF9}"/>
    <cellStyle name="40% - Énfasis2 2 2 3 3" xfId="1928" xr:uid="{02582ECF-13FC-4BBD-BE7B-A0FC92AB4595}"/>
    <cellStyle name="40% - Énfasis2 2 2 4" xfId="1078" xr:uid="{89902D9D-CD6B-49BF-8F1A-306BCB2DFD8F}"/>
    <cellStyle name="40% - Énfasis2 2 2 4 2" xfId="2247" xr:uid="{7472A631-F7A7-42B5-AA7B-618EBB4FB2A3}"/>
    <cellStyle name="40% - Énfasis2 2 2 5" xfId="1667" xr:uid="{0B6AF7E8-7D6C-4C47-A67B-C9857BCF8634}"/>
    <cellStyle name="40% - Énfasis2 2 2_JABONERIA" xfId="296" xr:uid="{00000000-0005-0000-0000-0000D0000000}"/>
    <cellStyle name="40% - Énfasis2 2 3" xfId="298" xr:uid="{00000000-0005-0000-0000-0000D1000000}"/>
    <cellStyle name="40% - Énfasis2 2 3 2" xfId="638" xr:uid="{00000000-0005-0000-0000-0000D2000000}"/>
    <cellStyle name="40% - Énfasis2 2 3 2 2" xfId="1396" xr:uid="{2B667604-2E76-47D4-B032-08E9ADE733F7}"/>
    <cellStyle name="40% - Énfasis2 2 3 2 2 2" xfId="2565" xr:uid="{D3F7AE09-6660-4513-95F0-220D5AF3A2D4}"/>
    <cellStyle name="40% - Énfasis2 2 3 2 3" xfId="1977" xr:uid="{56CB29BF-2423-49CA-BB3F-A43729DF92A9}"/>
    <cellStyle name="40% - Énfasis2 2 3 3" xfId="1133" xr:uid="{FEE7D75F-2DF1-4118-92BF-C99B5524B49A}"/>
    <cellStyle name="40% - Énfasis2 2 3 3 2" xfId="2302" xr:uid="{FCA316FD-36CD-4B55-9C6C-E38FAC053AD1}"/>
    <cellStyle name="40% - Énfasis2 2 3 4" xfId="1718" xr:uid="{02E3EA55-36C7-40DE-A2A7-6107AE05B10B}"/>
    <cellStyle name="40% - Énfasis2 2 3_VOLUMENES PRODUCCION" xfId="822" xr:uid="{00000000-0005-0000-0000-0000D3000000}"/>
    <cellStyle name="40% - Énfasis2 2 4" xfId="536" xr:uid="{00000000-0005-0000-0000-0000D4000000}"/>
    <cellStyle name="40% - Énfasis2 2 4 2" xfId="1305" xr:uid="{451EEB05-C970-4537-B944-C5E2D590038B}"/>
    <cellStyle name="40% - Énfasis2 2 4 2 2" xfId="2474" xr:uid="{C33501DD-DBE1-4176-9A94-25A132799471}"/>
    <cellStyle name="40% - Énfasis2 2 4 3" xfId="1887" xr:uid="{94DB6C68-0FF3-4C04-A5D3-39DEEE8E2FAE}"/>
    <cellStyle name="40% - Énfasis2 2 5" xfId="1037" xr:uid="{36FBE8FA-4355-4C5C-84A8-4E4E910D4F89}"/>
    <cellStyle name="40% - Énfasis2 2 5 2" xfId="2206" xr:uid="{78C07E1E-091C-4255-A646-684994830052}"/>
    <cellStyle name="40% - Énfasis2 2 6" xfId="1627" xr:uid="{3AD384E3-6FBB-4ACA-8D41-F60CE9F849F3}"/>
    <cellStyle name="40% - Énfasis2 2_Descarga" xfId="263" xr:uid="{00000000-0005-0000-0000-0000D5000000}"/>
    <cellStyle name="40% - Énfasis2 3" xfId="62" xr:uid="{00000000-0005-0000-0000-0000D6000000}"/>
    <cellStyle name="40% - Énfasis2 3 2" xfId="175" xr:uid="{00000000-0005-0000-0000-0000D7000000}"/>
    <cellStyle name="40% - Énfasis2 3 2 2" xfId="584" xr:uid="{00000000-0005-0000-0000-0000D8000000}"/>
    <cellStyle name="40% - Énfasis2 3 2 2 2" xfId="1347" xr:uid="{FCBBB855-0027-4232-B633-1DBA193D2CE3}"/>
    <cellStyle name="40% - Énfasis2 3 2 2 2 2" xfId="2516" xr:uid="{170D3C5C-1632-4553-9D7D-B03F36A6203A}"/>
    <cellStyle name="40% - Énfasis2 3 2 2 3" xfId="1929" xr:uid="{3D860E1F-EF36-4C51-82C6-3BD04EEDAADF}"/>
    <cellStyle name="40% - Énfasis2 3 2 3" xfId="1079" xr:uid="{AA97B6B3-AE2F-4BA0-AD2E-44015C7F5AF8}"/>
    <cellStyle name="40% - Énfasis2 3 2 3 2" xfId="2248" xr:uid="{A8CCFAD6-9945-4C26-BE2F-3EB3E9F1A41C}"/>
    <cellStyle name="40% - Énfasis2 3 2 4" xfId="1668" xr:uid="{4981D7C9-D8D8-4BBF-9F78-B3093E424850}"/>
    <cellStyle name="40% - Énfasis2 3 2_VOLUMENES PRODUCCION" xfId="823" xr:uid="{00000000-0005-0000-0000-0000D9000000}"/>
    <cellStyle name="40% - Énfasis2 3 3" xfId="537" xr:uid="{00000000-0005-0000-0000-0000DA000000}"/>
    <cellStyle name="40% - Énfasis2 3 3 2" xfId="1306" xr:uid="{5E9D11DF-D9F7-455B-888D-C18F119A95CB}"/>
    <cellStyle name="40% - Énfasis2 3 3 2 2" xfId="2475" xr:uid="{44814127-9EBC-44F5-AA7A-54151086CBE8}"/>
    <cellStyle name="40% - Énfasis2 3 3 3" xfId="1888" xr:uid="{1923F131-340F-4DBD-96A6-ED5BFBEC2A0A}"/>
    <cellStyle name="40% - Énfasis2 3 4" xfId="1038" xr:uid="{8751A6EB-0130-44E3-8EAA-8C5D8D013663}"/>
    <cellStyle name="40% - Énfasis2 3 4 2" xfId="2207" xr:uid="{8E86FCBB-6348-4362-9220-45FE1CB85562}"/>
    <cellStyle name="40% - Énfasis2 3 5" xfId="1628" xr:uid="{E36E7EA4-FC78-48D8-9F1F-A9024C04FE32}"/>
    <cellStyle name="40% - Énfasis2 3_Descarga" xfId="264" xr:uid="{00000000-0005-0000-0000-0000DB000000}"/>
    <cellStyle name="40% - Énfasis2 4" xfId="173" xr:uid="{00000000-0005-0000-0000-0000DC000000}"/>
    <cellStyle name="40% - Énfasis2 4 2" xfId="582" xr:uid="{00000000-0005-0000-0000-0000DD000000}"/>
    <cellStyle name="40% - Énfasis2 4 2 2" xfId="1345" xr:uid="{06FB3791-B6A5-4908-BE3D-8E98A9C0DFD9}"/>
    <cellStyle name="40% - Énfasis2 4 2 2 2" xfId="2514" xr:uid="{2486B131-91B4-4015-985B-AABD4D53239D}"/>
    <cellStyle name="40% - Énfasis2 4 2 3" xfId="1927" xr:uid="{E5D17777-A3FC-45D5-9DF0-0FA56EB8DCEA}"/>
    <cellStyle name="40% - Énfasis2 4 3" xfId="1077" xr:uid="{7E30A43F-168E-4527-8F7A-63EADADDCC65}"/>
    <cellStyle name="40% - Énfasis2 4 3 2" xfId="2246" xr:uid="{A854771C-9A25-4EA5-A60F-3139DE17DE57}"/>
    <cellStyle name="40% - Énfasis2 4 4" xfId="1666" xr:uid="{B9679CDB-7E77-488D-A0A6-48F6F2540E9B}"/>
    <cellStyle name="40% - Énfasis2 4_VOLUMENES PRODUCCION" xfId="824" xr:uid="{00000000-0005-0000-0000-0000DE000000}"/>
    <cellStyle name="40% - Énfasis2 5" xfId="236" xr:uid="{00000000-0005-0000-0000-0000DF000000}"/>
    <cellStyle name="40% - Énfasis2 5 2" xfId="612" xr:uid="{00000000-0005-0000-0000-0000E0000000}"/>
    <cellStyle name="40% - Énfasis2 5 2 2" xfId="1373" xr:uid="{54BCEEBC-1F08-48D1-83A9-A5ABA651F013}"/>
    <cellStyle name="40% - Énfasis2 5 2 2 2" xfId="2542" xr:uid="{5C86D515-9168-491F-B919-AAE9953E4BAC}"/>
    <cellStyle name="40% - Énfasis2 5 2 3" xfId="1954" xr:uid="{B67F6276-4F85-4821-881A-CEFFBD485C41}"/>
    <cellStyle name="40% - Énfasis2 5 3" xfId="1108" xr:uid="{E132A5F9-E506-4303-9DD9-B24029B19C49}"/>
    <cellStyle name="40% - Énfasis2 5 3 2" xfId="2277" xr:uid="{1624C91F-158D-43C0-B4EC-66B7D3D85153}"/>
    <cellStyle name="40% - Énfasis2 5 4" xfId="1693" xr:uid="{7617598C-6593-4DA0-9B25-2D39061933C3}"/>
    <cellStyle name="40% - Énfasis2 5_VOLUMENES PRODUCCION" xfId="825" xr:uid="{00000000-0005-0000-0000-0000E1000000}"/>
    <cellStyle name="40% - Énfasis2 6" xfId="513" xr:uid="{00000000-0005-0000-0000-0000E2000000}"/>
    <cellStyle name="40% - Énfasis2 7" xfId="551" xr:uid="{00000000-0005-0000-0000-0000E3000000}"/>
    <cellStyle name="40% - Énfasis2 8" xfId="985" xr:uid="{5157D952-3949-45EE-8D7A-176BD79EDC6E}"/>
    <cellStyle name="40% - Énfasis2 8 2" xfId="1585" xr:uid="{24FF1AB1-A43C-443A-8022-1C7F64A01318}"/>
    <cellStyle name="40% - Énfasis2 8 2 2" xfId="2754" xr:uid="{F1A79C68-0F1C-4290-AEB8-47B06312D687}"/>
    <cellStyle name="40% - Énfasis2 8 3" xfId="2166" xr:uid="{01032E32-3130-4BCD-84E7-2711205BFC4C}"/>
    <cellStyle name="40% - Énfasis2 9" xfId="994" xr:uid="{014C3442-CE26-466C-A58E-A71C208DDF0E}"/>
    <cellStyle name="40% - Énfasis2 9 2" xfId="1594" xr:uid="{F16C1851-2F9B-40D9-9DD0-EBCA26D391D9}"/>
    <cellStyle name="40% - Énfasis2 9 2 2" xfId="2763" xr:uid="{C76DDFC0-6C2E-4C4D-ACE1-6D8B1C908F7F}"/>
    <cellStyle name="40% - Énfasis2 9 3" xfId="2175" xr:uid="{E810410D-9C04-488A-9687-A45CAF9A061E}"/>
    <cellStyle name="40% - Énfasis3" xfId="11" builtinId="39" customBuiltin="1"/>
    <cellStyle name="40% - Énfasis3 10" xfId="993" xr:uid="{378583A1-BB37-442F-B04B-E8ED1B06E755}"/>
    <cellStyle name="40% - Énfasis3 10 2" xfId="1593" xr:uid="{036A2248-1BCB-4424-B337-C55FA3751A67}"/>
    <cellStyle name="40% - Énfasis3 10 2 2" xfId="2762" xr:uid="{74EF8F34-EC5D-45A2-B99B-D2F6267B5D3B}"/>
    <cellStyle name="40% - Énfasis3 10 3" xfId="2174" xr:uid="{B7D70F4C-9D9B-4FA0-93ED-66723D9B27CD}"/>
    <cellStyle name="40% - Énfasis3 11" xfId="1016" xr:uid="{3187BBD4-7766-4CC7-BB56-E581BEA990AF}"/>
    <cellStyle name="40% - Énfasis3 12" xfId="2813" xr:uid="{45605C9E-129D-4157-B488-DBFEC88D5CA2}"/>
    <cellStyle name="40% - Énfasis3 2" xfId="63" xr:uid="{00000000-0005-0000-0000-0000E5000000}"/>
    <cellStyle name="40% - Énfasis3 2 2" xfId="177" xr:uid="{00000000-0005-0000-0000-0000E6000000}"/>
    <cellStyle name="40% - Énfasis3 2 2 2" xfId="300" xr:uid="{00000000-0005-0000-0000-0000E7000000}"/>
    <cellStyle name="40% - Énfasis3 2 2 2 2" xfId="639" xr:uid="{00000000-0005-0000-0000-0000E8000000}"/>
    <cellStyle name="40% - Énfasis3 2 2 2 2 2" xfId="1397" xr:uid="{8E3781F6-8F1B-494D-B9E0-AB9C4DF62294}"/>
    <cellStyle name="40% - Énfasis3 2 2 2 2 2 2" xfId="2566" xr:uid="{AAD61529-CBE6-4076-B7C9-617864BDF851}"/>
    <cellStyle name="40% - Énfasis3 2 2 2 2 3" xfId="1978" xr:uid="{A5CA447D-1C63-4367-A4B5-48FC1B414639}"/>
    <cellStyle name="40% - Énfasis3 2 2 2 3" xfId="1134" xr:uid="{80C68876-4AB0-48EA-9939-58531FF2AB2F}"/>
    <cellStyle name="40% - Énfasis3 2 2 2 3 2" xfId="2303" xr:uid="{5EFF849B-083F-4496-9E24-06C12C18E074}"/>
    <cellStyle name="40% - Énfasis3 2 2 2 4" xfId="1719" xr:uid="{5659903A-CBF8-4607-8A2A-BE35425B10D8}"/>
    <cellStyle name="40% - Énfasis3 2 2 2_VOLUMENES PRODUCCION" xfId="826" xr:uid="{00000000-0005-0000-0000-0000E9000000}"/>
    <cellStyle name="40% - Énfasis3 2 2 3" xfId="586" xr:uid="{00000000-0005-0000-0000-0000EA000000}"/>
    <cellStyle name="40% - Énfasis3 2 2 3 2" xfId="1349" xr:uid="{CEF8B177-CF35-4AC0-9320-443114E878C2}"/>
    <cellStyle name="40% - Énfasis3 2 2 3 2 2" xfId="2518" xr:uid="{C1C418F1-1009-4A4B-BF79-0BCA2CCD8978}"/>
    <cellStyle name="40% - Énfasis3 2 2 3 3" xfId="1931" xr:uid="{BD5968F5-D8F7-4770-95FA-CCA8E06C809A}"/>
    <cellStyle name="40% - Énfasis3 2 2 4" xfId="1081" xr:uid="{91180620-628B-4541-8CC6-63B076271A46}"/>
    <cellStyle name="40% - Énfasis3 2 2 4 2" xfId="2250" xr:uid="{C4BD963B-0982-4BB4-87EC-7E1165FC2E3E}"/>
    <cellStyle name="40% - Énfasis3 2 2 5" xfId="1670" xr:uid="{97531637-7C20-4561-95CA-C9BA13BE2AA0}"/>
    <cellStyle name="40% - Énfasis3 2 2_JABONERIA" xfId="299" xr:uid="{00000000-0005-0000-0000-0000EB000000}"/>
    <cellStyle name="40% - Énfasis3 2 3" xfId="301" xr:uid="{00000000-0005-0000-0000-0000EC000000}"/>
    <cellStyle name="40% - Énfasis3 2 3 2" xfId="640" xr:uid="{00000000-0005-0000-0000-0000ED000000}"/>
    <cellStyle name="40% - Énfasis3 2 3 2 2" xfId="1398" xr:uid="{6EA86968-10E3-4CFA-AD00-D66A5801F0FA}"/>
    <cellStyle name="40% - Énfasis3 2 3 2 2 2" xfId="2567" xr:uid="{48B6D795-9790-47FF-ABFC-F3F172D553DF}"/>
    <cellStyle name="40% - Énfasis3 2 3 2 3" xfId="1979" xr:uid="{66E2583A-6C75-4CCC-868E-77EC8B1282B2}"/>
    <cellStyle name="40% - Énfasis3 2 3 3" xfId="1135" xr:uid="{8C20ECE6-83A7-471D-9624-04D5DF7F7DEC}"/>
    <cellStyle name="40% - Énfasis3 2 3 3 2" xfId="2304" xr:uid="{9259D0B0-40EE-4426-94D7-E3C9EAEA533E}"/>
    <cellStyle name="40% - Énfasis3 2 3 4" xfId="1720" xr:uid="{FF47EF5A-8AA1-4B47-AB64-E4150F536AEE}"/>
    <cellStyle name="40% - Énfasis3 2 3_VOLUMENES PRODUCCION" xfId="827" xr:uid="{00000000-0005-0000-0000-0000EE000000}"/>
    <cellStyle name="40% - Énfasis3 2 4" xfId="538" xr:uid="{00000000-0005-0000-0000-0000EF000000}"/>
    <cellStyle name="40% - Énfasis3 2 4 2" xfId="1307" xr:uid="{F1F6202C-776F-44AF-B76F-2DA2A3821760}"/>
    <cellStyle name="40% - Énfasis3 2 4 2 2" xfId="2476" xr:uid="{DE7B88E4-FFFE-4830-870E-7A3411F4BE90}"/>
    <cellStyle name="40% - Énfasis3 2 4 3" xfId="1889" xr:uid="{485F8185-0592-40FC-9805-FF3DC5EF0F2F}"/>
    <cellStyle name="40% - Énfasis3 2 5" xfId="1039" xr:uid="{06F1DBCF-C29E-4202-A8D8-DFAA51D5271E}"/>
    <cellStyle name="40% - Énfasis3 2 5 2" xfId="2208" xr:uid="{F32EF493-99AD-4691-9553-26EDE167D0AB}"/>
    <cellStyle name="40% - Énfasis3 2 6" xfId="1629" xr:uid="{B088D441-55BB-4A75-865C-8BD302F4EC55}"/>
    <cellStyle name="40% - Énfasis3 2_Descarga" xfId="265" xr:uid="{00000000-0005-0000-0000-0000F0000000}"/>
    <cellStyle name="40% - Énfasis3 3" xfId="64" xr:uid="{00000000-0005-0000-0000-0000F1000000}"/>
    <cellStyle name="40% - Énfasis3 3 2" xfId="178" xr:uid="{00000000-0005-0000-0000-0000F2000000}"/>
    <cellStyle name="40% - Énfasis3 3 2 2" xfId="587" xr:uid="{00000000-0005-0000-0000-0000F3000000}"/>
    <cellStyle name="40% - Énfasis3 3 2 2 2" xfId="1350" xr:uid="{1C3B57BA-376C-4026-BDE1-537F601422B3}"/>
    <cellStyle name="40% - Énfasis3 3 2 2 2 2" xfId="2519" xr:uid="{32CC3E5F-370A-415A-96FF-97A75774955D}"/>
    <cellStyle name="40% - Énfasis3 3 2 2 3" xfId="1932" xr:uid="{E38A89A3-6158-4AFA-9CFE-B19523543A07}"/>
    <cellStyle name="40% - Énfasis3 3 2 3" xfId="1082" xr:uid="{1F3DBFF2-3848-41DD-8522-C54F958AE5A0}"/>
    <cellStyle name="40% - Énfasis3 3 2 3 2" xfId="2251" xr:uid="{8A887262-59FA-4729-B3F6-8D2CB89F9FB9}"/>
    <cellStyle name="40% - Énfasis3 3 2 4" xfId="1671" xr:uid="{8F5789BC-1B80-4EE7-8E0D-7D7BFA0D6A20}"/>
    <cellStyle name="40% - Énfasis3 3 2_VOLUMENES PRODUCCION" xfId="828" xr:uid="{00000000-0005-0000-0000-0000F4000000}"/>
    <cellStyle name="40% - Énfasis3 3 3" xfId="539" xr:uid="{00000000-0005-0000-0000-0000F5000000}"/>
    <cellStyle name="40% - Énfasis3 3 3 2" xfId="1308" xr:uid="{7BC352D4-22AE-4D74-BF57-599C2830EAAD}"/>
    <cellStyle name="40% - Énfasis3 3 3 2 2" xfId="2477" xr:uid="{A2966AE9-94E2-4FE7-9273-8D674444327F}"/>
    <cellStyle name="40% - Énfasis3 3 3 3" xfId="1890" xr:uid="{124866C7-5EBB-46CA-89B5-BFCF1A0D8BBA}"/>
    <cellStyle name="40% - Énfasis3 3 4" xfId="1040" xr:uid="{C2BD1E55-B8C6-4C06-942C-4285D3BDB94C}"/>
    <cellStyle name="40% - Énfasis3 3 4 2" xfId="2209" xr:uid="{9BB173E7-B22C-40A7-B9C7-A1D8A8CD7392}"/>
    <cellStyle name="40% - Énfasis3 3 5" xfId="1630" xr:uid="{4E5CA82D-196E-4FB7-872D-79454D334D19}"/>
    <cellStyle name="40% - Énfasis3 3_Descarga" xfId="266" xr:uid="{00000000-0005-0000-0000-0000F6000000}"/>
    <cellStyle name="40% - Énfasis3 4" xfId="179" xr:uid="{00000000-0005-0000-0000-0000F7000000}"/>
    <cellStyle name="40% - Énfasis3 4 2" xfId="588" xr:uid="{00000000-0005-0000-0000-0000F8000000}"/>
    <cellStyle name="40% - Énfasis3 4 2 2" xfId="1351" xr:uid="{8C9D4773-2774-41E3-BB4B-92680F465D34}"/>
    <cellStyle name="40% - Énfasis3 4 2 2 2" xfId="2520" xr:uid="{A31070FF-9D95-4951-A380-EBBB53A31313}"/>
    <cellStyle name="40% - Énfasis3 4 2 3" xfId="1933" xr:uid="{CEB07CB4-5EC7-4700-83AD-CD7B1706821A}"/>
    <cellStyle name="40% - Énfasis3 4 3" xfId="1083" xr:uid="{BEE1797C-72F0-48F4-A255-7C7F1A0028F4}"/>
    <cellStyle name="40% - Énfasis3 4 3 2" xfId="2252" xr:uid="{20A219EA-3CF6-4647-BEFC-7B20473AE9C2}"/>
    <cellStyle name="40% - Énfasis3 4 4" xfId="1672" xr:uid="{07E4D8F0-1C5D-4F80-98CA-15FE03626707}"/>
    <cellStyle name="40% - Énfasis3 4_VOLUMENES PRODUCCION" xfId="829" xr:uid="{00000000-0005-0000-0000-0000F9000000}"/>
    <cellStyle name="40% - Énfasis3 5" xfId="176" xr:uid="{00000000-0005-0000-0000-0000FA000000}"/>
    <cellStyle name="40% - Énfasis3 5 2" xfId="585" xr:uid="{00000000-0005-0000-0000-0000FB000000}"/>
    <cellStyle name="40% - Énfasis3 5 2 2" xfId="1348" xr:uid="{F77E571F-C751-4759-B885-A38AC50DF318}"/>
    <cellStyle name="40% - Énfasis3 5 2 2 2" xfId="2517" xr:uid="{0A832633-62FA-43BC-B79E-E8002A2AB233}"/>
    <cellStyle name="40% - Énfasis3 5 2 3" xfId="1930" xr:uid="{8C2D04C7-7663-4B3E-8CDD-805DE1C85E5F}"/>
    <cellStyle name="40% - Énfasis3 5 3" xfId="1080" xr:uid="{8A58BC04-18AA-4BC5-9ABA-CEC8BDE77AA2}"/>
    <cellStyle name="40% - Énfasis3 5 3 2" xfId="2249" xr:uid="{C11DA829-D815-4284-9590-73BCED5F824A}"/>
    <cellStyle name="40% - Énfasis3 5 4" xfId="1669" xr:uid="{54FA78CE-27E5-42F6-AE2D-76AA2929A0C6}"/>
    <cellStyle name="40% - Énfasis3 5_VOLUMENES PRODUCCION" xfId="830" xr:uid="{00000000-0005-0000-0000-0000FC000000}"/>
    <cellStyle name="40% - Énfasis3 6" xfId="237" xr:uid="{00000000-0005-0000-0000-0000FD000000}"/>
    <cellStyle name="40% - Énfasis3 6 2" xfId="613" xr:uid="{00000000-0005-0000-0000-0000FE000000}"/>
    <cellStyle name="40% - Énfasis3 6 2 2" xfId="1374" xr:uid="{5CF74920-5A71-457F-9405-9284A067BC83}"/>
    <cellStyle name="40% - Énfasis3 6 2 2 2" xfId="2543" xr:uid="{79083657-28B3-4FA3-B34D-1A58180E39B2}"/>
    <cellStyle name="40% - Énfasis3 6 2 3" xfId="1955" xr:uid="{E6BE3E3E-0640-4ECA-B8B7-E4E1CB28701A}"/>
    <cellStyle name="40% - Énfasis3 6 3" xfId="1109" xr:uid="{08853470-D6E7-45D9-813D-3EEE5A131826}"/>
    <cellStyle name="40% - Énfasis3 6 3 2" xfId="2278" xr:uid="{EA48E5AD-497D-4AC5-A88B-DE4716DE36B2}"/>
    <cellStyle name="40% - Énfasis3 6 4" xfId="1694" xr:uid="{D9D0DEA5-3402-43DE-87E6-297A355314B0}"/>
    <cellStyle name="40% - Énfasis3 6_VOLUMENES PRODUCCION" xfId="831" xr:uid="{00000000-0005-0000-0000-0000FF000000}"/>
    <cellStyle name="40% - Énfasis3 7" xfId="514" xr:uid="{00000000-0005-0000-0000-000000010000}"/>
    <cellStyle name="40% - Énfasis3 8" xfId="550" xr:uid="{00000000-0005-0000-0000-000001010000}"/>
    <cellStyle name="40% - Énfasis3 9" xfId="986" xr:uid="{E5BC405B-B33A-4609-9E83-26AEFB14E22E}"/>
    <cellStyle name="40% - Énfasis3 9 2" xfId="1586" xr:uid="{37B186B2-BF23-4320-9909-B97F2CEC45D4}"/>
    <cellStyle name="40% - Énfasis3 9 2 2" xfId="2755" xr:uid="{27823AAA-3776-4249-8F99-76BB3DF4CF7B}"/>
    <cellStyle name="40% - Énfasis3 9 3" xfId="2167" xr:uid="{81346FF7-DD44-40F8-9F81-E39452CC011C}"/>
    <cellStyle name="40% - Énfasis4" xfId="12" builtinId="43" customBuiltin="1"/>
    <cellStyle name="40% - Énfasis4 10" xfId="1017" xr:uid="{684691AE-BAA5-4CE8-8458-60ECEE62F643}"/>
    <cellStyle name="40% - Énfasis4 11" xfId="2815" xr:uid="{E5C56A6D-AB59-4153-9973-36B1683E0B80}"/>
    <cellStyle name="40% - Énfasis4 2" xfId="65" xr:uid="{00000000-0005-0000-0000-000003010000}"/>
    <cellStyle name="40% - Énfasis4 2 2" xfId="181" xr:uid="{00000000-0005-0000-0000-000004010000}"/>
    <cellStyle name="40% - Énfasis4 2 2 2" xfId="303" xr:uid="{00000000-0005-0000-0000-000005010000}"/>
    <cellStyle name="40% - Énfasis4 2 2 2 2" xfId="641" xr:uid="{00000000-0005-0000-0000-000006010000}"/>
    <cellStyle name="40% - Énfasis4 2 2 2 2 2" xfId="1399" xr:uid="{0FB010A0-33AA-42EB-8EBF-2601837BC51A}"/>
    <cellStyle name="40% - Énfasis4 2 2 2 2 2 2" xfId="2568" xr:uid="{3415A1FA-1EF4-441A-AE1F-D0CF3BA436B1}"/>
    <cellStyle name="40% - Énfasis4 2 2 2 2 3" xfId="1980" xr:uid="{8393926E-DAD3-464C-A8DB-B604CF1F28F7}"/>
    <cellStyle name="40% - Énfasis4 2 2 2 3" xfId="1136" xr:uid="{FB5AEF41-B1EE-4866-B203-8B4472EF3DC2}"/>
    <cellStyle name="40% - Énfasis4 2 2 2 3 2" xfId="2305" xr:uid="{263674FA-A2D0-46DB-88B5-1A44B5F75E43}"/>
    <cellStyle name="40% - Énfasis4 2 2 2 4" xfId="1721" xr:uid="{F1FC6F3B-9967-4C1B-8B5B-B51AD0C2FB5D}"/>
    <cellStyle name="40% - Énfasis4 2 2 2_VOLUMENES PRODUCCION" xfId="832" xr:uid="{00000000-0005-0000-0000-000007010000}"/>
    <cellStyle name="40% - Énfasis4 2 2 3" xfId="590" xr:uid="{00000000-0005-0000-0000-000008010000}"/>
    <cellStyle name="40% - Énfasis4 2 2 3 2" xfId="1353" xr:uid="{E4E56E9F-CC49-40CA-A5AC-3E4C3F99222C}"/>
    <cellStyle name="40% - Énfasis4 2 2 3 2 2" xfId="2522" xr:uid="{DD6E1A8A-43CD-4991-BF9A-794A68D1F1D9}"/>
    <cellStyle name="40% - Énfasis4 2 2 3 3" xfId="1935" xr:uid="{5CBC236F-39A8-4D32-922C-990878DA50C5}"/>
    <cellStyle name="40% - Énfasis4 2 2 4" xfId="1085" xr:uid="{E0F80E41-2CB9-474C-82E9-3E3ED2E6C525}"/>
    <cellStyle name="40% - Énfasis4 2 2 4 2" xfId="2254" xr:uid="{5C2615A6-3851-4952-B8B4-E88899D5A9FC}"/>
    <cellStyle name="40% - Énfasis4 2 2 5" xfId="1674" xr:uid="{6FC3CF6A-E0A4-4E0A-880B-1B589736E708}"/>
    <cellStyle name="40% - Énfasis4 2 2_JABONERIA" xfId="302" xr:uid="{00000000-0005-0000-0000-000009010000}"/>
    <cellStyle name="40% - Énfasis4 2 3" xfId="304" xr:uid="{00000000-0005-0000-0000-00000A010000}"/>
    <cellStyle name="40% - Énfasis4 2 3 2" xfId="642" xr:uid="{00000000-0005-0000-0000-00000B010000}"/>
    <cellStyle name="40% - Énfasis4 2 3 2 2" xfId="1400" xr:uid="{8233B45D-8E8B-4E13-92E1-0E32588D0AD6}"/>
    <cellStyle name="40% - Énfasis4 2 3 2 2 2" xfId="2569" xr:uid="{40FFE187-3DBC-4D29-A32A-2E7EBE086D2F}"/>
    <cellStyle name="40% - Énfasis4 2 3 2 3" xfId="1981" xr:uid="{980D8174-7691-4CAF-B219-7B9C80EE80B6}"/>
    <cellStyle name="40% - Énfasis4 2 3 3" xfId="1137" xr:uid="{022DAD32-997E-490E-AED3-B7429234EC31}"/>
    <cellStyle name="40% - Énfasis4 2 3 3 2" xfId="2306" xr:uid="{51110F00-2FD4-4493-937B-668BE6F8FBA2}"/>
    <cellStyle name="40% - Énfasis4 2 3 4" xfId="1722" xr:uid="{4B67CE20-C023-4A79-915C-74C96D47C0AC}"/>
    <cellStyle name="40% - Énfasis4 2 3_VOLUMENES PRODUCCION" xfId="833" xr:uid="{00000000-0005-0000-0000-00000C010000}"/>
    <cellStyle name="40% - Énfasis4 2 4" xfId="540" xr:uid="{00000000-0005-0000-0000-00000D010000}"/>
    <cellStyle name="40% - Énfasis4 2 4 2" xfId="1309" xr:uid="{BE190817-E598-43B4-AF95-D0ACCFE84AEC}"/>
    <cellStyle name="40% - Énfasis4 2 4 2 2" xfId="2478" xr:uid="{AEB4C102-CA99-4568-A43D-F684E5BC187B}"/>
    <cellStyle name="40% - Énfasis4 2 4 3" xfId="1891" xr:uid="{0CA995A4-2598-4F22-A31F-B83DBAD34E5C}"/>
    <cellStyle name="40% - Énfasis4 2 5" xfId="1041" xr:uid="{E594A03D-6D31-45A2-A7A5-07151E24F418}"/>
    <cellStyle name="40% - Énfasis4 2 5 2" xfId="2210" xr:uid="{2F144C2B-8E3D-48F5-95CF-F95D4A3F8191}"/>
    <cellStyle name="40% - Énfasis4 2 6" xfId="1631" xr:uid="{67AF00FF-4F4B-4991-86E5-C7E7574F37F6}"/>
    <cellStyle name="40% - Énfasis4 2_Descarga" xfId="267" xr:uid="{00000000-0005-0000-0000-00000E010000}"/>
    <cellStyle name="40% - Énfasis4 3" xfId="66" xr:uid="{00000000-0005-0000-0000-00000F010000}"/>
    <cellStyle name="40% - Énfasis4 3 2" xfId="182" xr:uid="{00000000-0005-0000-0000-000010010000}"/>
    <cellStyle name="40% - Énfasis4 3 2 2" xfId="591" xr:uid="{00000000-0005-0000-0000-000011010000}"/>
    <cellStyle name="40% - Énfasis4 3 2 2 2" xfId="1354" xr:uid="{7CC3B634-2BCE-495A-86D8-182AD4ED27D7}"/>
    <cellStyle name="40% - Énfasis4 3 2 2 2 2" xfId="2523" xr:uid="{7F9A3404-9199-400C-8685-765178688318}"/>
    <cellStyle name="40% - Énfasis4 3 2 2 3" xfId="1936" xr:uid="{35D110F2-C10A-4725-9128-37B8827B4891}"/>
    <cellStyle name="40% - Énfasis4 3 2 3" xfId="1086" xr:uid="{494EBC8C-AB9E-46AA-A886-CA4E82991D52}"/>
    <cellStyle name="40% - Énfasis4 3 2 3 2" xfId="2255" xr:uid="{D4E6DDDD-AD77-4608-ADF5-C72FBC87A773}"/>
    <cellStyle name="40% - Énfasis4 3 2 4" xfId="1675" xr:uid="{56B8FB1A-8B7D-4192-A685-13D1203B6E9B}"/>
    <cellStyle name="40% - Énfasis4 3 2_VOLUMENES PRODUCCION" xfId="834" xr:uid="{00000000-0005-0000-0000-000012010000}"/>
    <cellStyle name="40% - Énfasis4 3 3" xfId="541" xr:uid="{00000000-0005-0000-0000-000013010000}"/>
    <cellStyle name="40% - Énfasis4 3 3 2" xfId="1310" xr:uid="{AAD50A7A-416F-4A24-AB01-7281826047B2}"/>
    <cellStyle name="40% - Énfasis4 3 3 2 2" xfId="2479" xr:uid="{D71B41A4-5626-4B59-8B8D-1B0D9C69AB52}"/>
    <cellStyle name="40% - Énfasis4 3 3 3" xfId="1892" xr:uid="{54D28F49-6031-4992-A450-006F17311047}"/>
    <cellStyle name="40% - Énfasis4 3 4" xfId="1042" xr:uid="{96A87BB3-85DC-4792-8CF9-6787DB194094}"/>
    <cellStyle name="40% - Énfasis4 3 4 2" xfId="2211" xr:uid="{B91043FD-81E6-431F-92D2-956B5E40367E}"/>
    <cellStyle name="40% - Énfasis4 3 5" xfId="1632" xr:uid="{D70E1CB9-44FD-44F4-852D-D4FD7FEB1CDC}"/>
    <cellStyle name="40% - Énfasis4 3_Descarga" xfId="268" xr:uid="{00000000-0005-0000-0000-000014010000}"/>
    <cellStyle name="40% - Énfasis4 4" xfId="180" xr:uid="{00000000-0005-0000-0000-000015010000}"/>
    <cellStyle name="40% - Énfasis4 4 2" xfId="589" xr:uid="{00000000-0005-0000-0000-000016010000}"/>
    <cellStyle name="40% - Énfasis4 4 2 2" xfId="1352" xr:uid="{F4293CB9-79AD-42B2-8960-293A46CD0128}"/>
    <cellStyle name="40% - Énfasis4 4 2 2 2" xfId="2521" xr:uid="{D92DECE6-B570-4D44-9B39-96089C25F91A}"/>
    <cellStyle name="40% - Énfasis4 4 2 3" xfId="1934" xr:uid="{AE997D9F-0340-43E8-8C90-481A3D635F2A}"/>
    <cellStyle name="40% - Énfasis4 4 3" xfId="1084" xr:uid="{5528BEF1-E5C2-4DF4-8BE0-B53DA4081908}"/>
    <cellStyle name="40% - Énfasis4 4 3 2" xfId="2253" xr:uid="{04633CAD-8437-464C-A824-73D9A57F7256}"/>
    <cellStyle name="40% - Énfasis4 4 4" xfId="1673" xr:uid="{5541C075-4A4A-4AB5-80C5-56CCDD73C329}"/>
    <cellStyle name="40% - Énfasis4 4_VOLUMENES PRODUCCION" xfId="835" xr:uid="{00000000-0005-0000-0000-000017010000}"/>
    <cellStyle name="40% - Énfasis4 5" xfId="238" xr:uid="{00000000-0005-0000-0000-000018010000}"/>
    <cellStyle name="40% - Énfasis4 5 2" xfId="614" xr:uid="{00000000-0005-0000-0000-000019010000}"/>
    <cellStyle name="40% - Énfasis4 5 2 2" xfId="1375" xr:uid="{2CDF260C-9ACE-400D-BE27-419FC695B7FB}"/>
    <cellStyle name="40% - Énfasis4 5 2 2 2" xfId="2544" xr:uid="{787AD932-936A-4084-958C-6E8E8B748DA2}"/>
    <cellStyle name="40% - Énfasis4 5 2 3" xfId="1956" xr:uid="{C27CBBFF-7980-4A6B-B5B3-5BB60EAEE922}"/>
    <cellStyle name="40% - Énfasis4 5 3" xfId="1110" xr:uid="{060A5F88-363B-45C9-9A6D-589A2582FB43}"/>
    <cellStyle name="40% - Énfasis4 5 3 2" xfId="2279" xr:uid="{79C9369E-DBDC-4EF6-B3D5-2712D58E06D4}"/>
    <cellStyle name="40% - Énfasis4 5 4" xfId="1695" xr:uid="{B7DEF8B1-CA47-4C8C-BF82-F4B1BD3B2535}"/>
    <cellStyle name="40% - Énfasis4 5_VOLUMENES PRODUCCION" xfId="836" xr:uid="{00000000-0005-0000-0000-00001A010000}"/>
    <cellStyle name="40% - Énfasis4 6" xfId="515" xr:uid="{00000000-0005-0000-0000-00001B010000}"/>
    <cellStyle name="40% - Énfasis4 7" xfId="602" xr:uid="{00000000-0005-0000-0000-00001C010000}"/>
    <cellStyle name="40% - Énfasis4 8" xfId="987" xr:uid="{73DC30D9-ED60-4B9A-86C2-62184E29B411}"/>
    <cellStyle name="40% - Énfasis4 8 2" xfId="1587" xr:uid="{1B752BCE-518B-4F4C-BB27-8DA59480A890}"/>
    <cellStyle name="40% - Énfasis4 8 2 2" xfId="2756" xr:uid="{AF885EB4-C80D-4C61-9EF5-8A16DCCF0E64}"/>
    <cellStyle name="40% - Énfasis4 8 3" xfId="2168" xr:uid="{A0283AC7-3E10-44CF-98D3-CE478E05EBCC}"/>
    <cellStyle name="40% - Énfasis4 9" xfId="992" xr:uid="{7DFB5568-276F-4D45-9096-C81B9DC311B7}"/>
    <cellStyle name="40% - Énfasis4 9 2" xfId="1592" xr:uid="{82B01EDE-DEE4-4697-9E2D-C55121C8F4B0}"/>
    <cellStyle name="40% - Énfasis4 9 2 2" xfId="2761" xr:uid="{37C6908F-5DC7-483F-A7E2-A427B0F94A9C}"/>
    <cellStyle name="40% - Énfasis4 9 3" xfId="2173" xr:uid="{15B83FC0-7F12-438D-B5D4-C073D6778E26}"/>
    <cellStyle name="40% - Énfasis5" xfId="13" builtinId="47" customBuiltin="1"/>
    <cellStyle name="40% - Énfasis5 10" xfId="1018" xr:uid="{3ABA62E9-D240-4E73-9CCA-6D50A4E71A82}"/>
    <cellStyle name="40% - Énfasis5 11" xfId="2817" xr:uid="{AA2B11F5-E4A1-4B4E-AEF8-BDBC83D7413C}"/>
    <cellStyle name="40% - Énfasis5 2" xfId="67" xr:uid="{00000000-0005-0000-0000-00001E010000}"/>
    <cellStyle name="40% - Énfasis5 2 2" xfId="184" xr:uid="{00000000-0005-0000-0000-00001F010000}"/>
    <cellStyle name="40% - Énfasis5 2 2 2" xfId="306" xr:uid="{00000000-0005-0000-0000-000020010000}"/>
    <cellStyle name="40% - Énfasis5 2 2 2 2" xfId="643" xr:uid="{00000000-0005-0000-0000-000021010000}"/>
    <cellStyle name="40% - Énfasis5 2 2 2 2 2" xfId="1401" xr:uid="{0BAB06F6-584B-4985-8EF4-D1BFC72A1828}"/>
    <cellStyle name="40% - Énfasis5 2 2 2 2 2 2" xfId="2570" xr:uid="{85F63ED0-198E-4BDA-8162-5BFD4538038A}"/>
    <cellStyle name="40% - Énfasis5 2 2 2 2 3" xfId="1982" xr:uid="{BB8AD59B-8482-4488-AC19-6A9F656E2727}"/>
    <cellStyle name="40% - Énfasis5 2 2 2 3" xfId="1138" xr:uid="{FB0AB4D6-A434-43F4-848A-4FFD3FB583E5}"/>
    <cellStyle name="40% - Énfasis5 2 2 2 3 2" xfId="2307" xr:uid="{84CA1E11-E667-4F67-B37E-6B2655455D6D}"/>
    <cellStyle name="40% - Énfasis5 2 2 2 4" xfId="1723" xr:uid="{A6C23271-8E8B-44D3-B1A0-A4A48D757CF5}"/>
    <cellStyle name="40% - Énfasis5 2 2 2_VOLUMENES PRODUCCION" xfId="837" xr:uid="{00000000-0005-0000-0000-000022010000}"/>
    <cellStyle name="40% - Énfasis5 2 2 3" xfId="593" xr:uid="{00000000-0005-0000-0000-000023010000}"/>
    <cellStyle name="40% - Énfasis5 2 2 3 2" xfId="1356" xr:uid="{BD3D40CD-42BA-424D-9599-27B83F23FE0B}"/>
    <cellStyle name="40% - Énfasis5 2 2 3 2 2" xfId="2525" xr:uid="{B51F5022-B0A5-42A1-B8B3-75361417D9DC}"/>
    <cellStyle name="40% - Énfasis5 2 2 3 3" xfId="1938" xr:uid="{367E9327-D5F1-45F8-9BC2-A823DF069F22}"/>
    <cellStyle name="40% - Énfasis5 2 2 4" xfId="1088" xr:uid="{9F47FF5E-6FE2-453A-B887-B274E282CA87}"/>
    <cellStyle name="40% - Énfasis5 2 2 4 2" xfId="2257" xr:uid="{D426A11D-B2ED-484D-9C29-CE96FB9BC7F6}"/>
    <cellStyle name="40% - Énfasis5 2 2 5" xfId="1677" xr:uid="{C8FB934A-5F24-4CD7-BBF2-17FBE9284500}"/>
    <cellStyle name="40% - Énfasis5 2 2_JABONERIA" xfId="305" xr:uid="{00000000-0005-0000-0000-000024010000}"/>
    <cellStyle name="40% - Énfasis5 2 3" xfId="307" xr:uid="{00000000-0005-0000-0000-000025010000}"/>
    <cellStyle name="40% - Énfasis5 2 3 2" xfId="644" xr:uid="{00000000-0005-0000-0000-000026010000}"/>
    <cellStyle name="40% - Énfasis5 2 3 2 2" xfId="1402" xr:uid="{FE8A68C3-BEFB-41BC-B4D5-B6C9CB53D650}"/>
    <cellStyle name="40% - Énfasis5 2 3 2 2 2" xfId="2571" xr:uid="{79DE9190-E9D3-4761-A74E-F79A15988E5A}"/>
    <cellStyle name="40% - Énfasis5 2 3 2 3" xfId="1983" xr:uid="{ADE916BA-3DBE-420A-8B96-0AD939B4C2D3}"/>
    <cellStyle name="40% - Énfasis5 2 3 3" xfId="1139" xr:uid="{373DDE37-9997-4C0B-8C7C-63D3D8445CC3}"/>
    <cellStyle name="40% - Énfasis5 2 3 3 2" xfId="2308" xr:uid="{0D823098-0DC5-4C1D-AA77-4CD163B1DAA0}"/>
    <cellStyle name="40% - Énfasis5 2 3 4" xfId="1724" xr:uid="{0CDF646E-5C3D-4A02-8140-C841EF909639}"/>
    <cellStyle name="40% - Énfasis5 2 3_VOLUMENES PRODUCCION" xfId="838" xr:uid="{00000000-0005-0000-0000-000027010000}"/>
    <cellStyle name="40% - Énfasis5 2 4" xfId="542" xr:uid="{00000000-0005-0000-0000-000028010000}"/>
    <cellStyle name="40% - Énfasis5 2 4 2" xfId="1311" xr:uid="{D9F80C8A-18D2-47F3-AA12-B0D75309BE40}"/>
    <cellStyle name="40% - Énfasis5 2 4 2 2" xfId="2480" xr:uid="{484427B1-91F9-4389-884B-0CE3CA51FC3C}"/>
    <cellStyle name="40% - Énfasis5 2 4 3" xfId="1893" xr:uid="{5626C21A-55F0-454E-A932-1A2CB1094935}"/>
    <cellStyle name="40% - Énfasis5 2 5" xfId="1043" xr:uid="{391EED43-9117-4D99-BAE8-82AB5B9C64D9}"/>
    <cellStyle name="40% - Énfasis5 2 5 2" xfId="2212" xr:uid="{A6906186-2961-4AA5-BAE9-DBFC2097086A}"/>
    <cellStyle name="40% - Énfasis5 2 6" xfId="1633" xr:uid="{659E4DA1-DB34-447A-9839-88075587ADEB}"/>
    <cellStyle name="40% - Énfasis5 2_Descarga" xfId="269" xr:uid="{00000000-0005-0000-0000-000029010000}"/>
    <cellStyle name="40% - Énfasis5 3" xfId="68" xr:uid="{00000000-0005-0000-0000-00002A010000}"/>
    <cellStyle name="40% - Énfasis5 3 2" xfId="185" xr:uid="{00000000-0005-0000-0000-00002B010000}"/>
    <cellStyle name="40% - Énfasis5 3 2 2" xfId="594" xr:uid="{00000000-0005-0000-0000-00002C010000}"/>
    <cellStyle name="40% - Énfasis5 3 2 2 2" xfId="1357" xr:uid="{CCAF4AF1-CE8C-41BE-9E38-5E52F02302E1}"/>
    <cellStyle name="40% - Énfasis5 3 2 2 2 2" xfId="2526" xr:uid="{F1DB87C2-80B9-4C36-AA2D-210499C53E46}"/>
    <cellStyle name="40% - Énfasis5 3 2 2 3" xfId="1939" xr:uid="{D8D120A9-91FB-4ED2-9469-C5078E70704F}"/>
    <cellStyle name="40% - Énfasis5 3 2 3" xfId="1089" xr:uid="{387A8C17-8613-49B6-9BC9-937203872D8E}"/>
    <cellStyle name="40% - Énfasis5 3 2 3 2" xfId="2258" xr:uid="{71EAEFBA-EB2F-4AB5-B2FD-E6BE63EDADBE}"/>
    <cellStyle name="40% - Énfasis5 3 2 4" xfId="1678" xr:uid="{A9719C4A-752E-49FD-A119-9CD1A3AD8B18}"/>
    <cellStyle name="40% - Énfasis5 3 2_VOLUMENES PRODUCCION" xfId="839" xr:uid="{00000000-0005-0000-0000-00002D010000}"/>
    <cellStyle name="40% - Énfasis5 3 3" xfId="543" xr:uid="{00000000-0005-0000-0000-00002E010000}"/>
    <cellStyle name="40% - Énfasis5 3 3 2" xfId="1312" xr:uid="{9A5BCFF4-2FA8-457B-921A-FF6928758387}"/>
    <cellStyle name="40% - Énfasis5 3 3 2 2" xfId="2481" xr:uid="{A52102C0-4D35-491F-B384-BF79F63A8389}"/>
    <cellStyle name="40% - Énfasis5 3 3 3" xfId="1894" xr:uid="{52292237-7408-406A-9232-E81571F2D227}"/>
    <cellStyle name="40% - Énfasis5 3 4" xfId="1044" xr:uid="{9DE942A8-F370-4259-B93C-6157290C0FF9}"/>
    <cellStyle name="40% - Énfasis5 3 4 2" xfId="2213" xr:uid="{BBB1109A-9519-4CB8-BB8A-371B75CDD613}"/>
    <cellStyle name="40% - Énfasis5 3 5" xfId="1634" xr:uid="{16B8A64D-6CF8-40DA-AACB-6B26D40A3928}"/>
    <cellStyle name="40% - Énfasis5 3_Descarga" xfId="270" xr:uid="{00000000-0005-0000-0000-00002F010000}"/>
    <cellStyle name="40% - Énfasis5 4" xfId="183" xr:uid="{00000000-0005-0000-0000-000030010000}"/>
    <cellStyle name="40% - Énfasis5 4 2" xfId="592" xr:uid="{00000000-0005-0000-0000-000031010000}"/>
    <cellStyle name="40% - Énfasis5 4 2 2" xfId="1355" xr:uid="{CC14BF19-020D-4AB8-90BC-CE6A0303C55B}"/>
    <cellStyle name="40% - Énfasis5 4 2 2 2" xfId="2524" xr:uid="{2983E22F-6F1E-4E16-8CFC-6C02C1D6EAA2}"/>
    <cellStyle name="40% - Énfasis5 4 2 3" xfId="1937" xr:uid="{39C09148-F040-4C9C-B4A8-70CD36EAD059}"/>
    <cellStyle name="40% - Énfasis5 4 3" xfId="1087" xr:uid="{DE98D2C1-7FDF-44E0-AA8C-536D5A8535B3}"/>
    <cellStyle name="40% - Énfasis5 4 3 2" xfId="2256" xr:uid="{8CA78396-DAC4-4905-B32D-611C5F6FF052}"/>
    <cellStyle name="40% - Énfasis5 4 4" xfId="1676" xr:uid="{BFD69A2F-6626-420B-A719-F920C9E8AF0D}"/>
    <cellStyle name="40% - Énfasis5 4_VOLUMENES PRODUCCION" xfId="840" xr:uid="{00000000-0005-0000-0000-000032010000}"/>
    <cellStyle name="40% - Énfasis5 5" xfId="239" xr:uid="{00000000-0005-0000-0000-000033010000}"/>
    <cellStyle name="40% - Énfasis5 5 2" xfId="615" xr:uid="{00000000-0005-0000-0000-000034010000}"/>
    <cellStyle name="40% - Énfasis5 5 2 2" xfId="1376" xr:uid="{BF29DCC3-C05B-4037-9966-3FD80A832277}"/>
    <cellStyle name="40% - Énfasis5 5 2 2 2" xfId="2545" xr:uid="{3857A8C7-FA5D-49EC-AB18-0E6A6AF8B6E0}"/>
    <cellStyle name="40% - Énfasis5 5 2 3" xfId="1957" xr:uid="{2EA3E2B1-5896-4933-AF4D-235E2C7A61A3}"/>
    <cellStyle name="40% - Énfasis5 5 3" xfId="1111" xr:uid="{57A13B99-87CF-4913-845F-62A4B8E901C3}"/>
    <cellStyle name="40% - Énfasis5 5 3 2" xfId="2280" xr:uid="{E99F51E3-2DDE-4432-A71E-9817B22C6569}"/>
    <cellStyle name="40% - Énfasis5 5 4" xfId="1696" xr:uid="{0A3BD4C6-5748-49B5-AB7D-284EC0265DC1}"/>
    <cellStyle name="40% - Énfasis5 5_VOLUMENES PRODUCCION" xfId="841" xr:uid="{00000000-0005-0000-0000-000035010000}"/>
    <cellStyle name="40% - Énfasis5 6" xfId="516" xr:uid="{00000000-0005-0000-0000-000036010000}"/>
    <cellStyle name="40% - Énfasis5 7" xfId="549" xr:uid="{00000000-0005-0000-0000-000037010000}"/>
    <cellStyle name="40% - Énfasis5 8" xfId="988" xr:uid="{04A6F6C9-EDC9-418E-8394-02CB7553A94C}"/>
    <cellStyle name="40% - Énfasis5 8 2" xfId="1588" xr:uid="{CAECC53A-3C56-4397-B1C6-A085E00B63F5}"/>
    <cellStyle name="40% - Énfasis5 8 2 2" xfId="2757" xr:uid="{ED3D3F2B-AAA2-4D0E-98BC-41F5B5A12731}"/>
    <cellStyle name="40% - Énfasis5 8 3" xfId="2169" xr:uid="{05D9959E-B6E0-4A5E-B675-D8BBA946D7A0}"/>
    <cellStyle name="40% - Énfasis5 9" xfId="991" xr:uid="{1B0F6249-4BE8-4C13-A67D-92DEBC4AB3F0}"/>
    <cellStyle name="40% - Énfasis5 9 2" xfId="1591" xr:uid="{377816F5-5B89-4010-BDF7-E3EDE0EAEFDA}"/>
    <cellStyle name="40% - Énfasis5 9 2 2" xfId="2760" xr:uid="{B9212A70-4A21-4F50-B359-A914DDDDB814}"/>
    <cellStyle name="40% - Énfasis5 9 3" xfId="2172" xr:uid="{BFA33B7D-D782-4A62-9F3F-543DCAA305A0}"/>
    <cellStyle name="40% - Énfasis6" xfId="14" builtinId="51" customBuiltin="1"/>
    <cellStyle name="40% - Énfasis6 10" xfId="1019" xr:uid="{D9FF0557-4826-45D1-9733-648C9F94C5E2}"/>
    <cellStyle name="40% - Énfasis6 11" xfId="2819" xr:uid="{3E221598-90CA-4DD0-9057-D4BF1C221943}"/>
    <cellStyle name="40% - Énfasis6 2" xfId="69" xr:uid="{00000000-0005-0000-0000-000039010000}"/>
    <cellStyle name="40% - Énfasis6 2 2" xfId="187" xr:uid="{00000000-0005-0000-0000-00003A010000}"/>
    <cellStyle name="40% - Énfasis6 2 2 2" xfId="309" xr:uid="{00000000-0005-0000-0000-00003B010000}"/>
    <cellStyle name="40% - Énfasis6 2 2 2 2" xfId="645" xr:uid="{00000000-0005-0000-0000-00003C010000}"/>
    <cellStyle name="40% - Énfasis6 2 2 2 2 2" xfId="1403" xr:uid="{9779B72E-9F6F-4393-B10C-3997E15C104C}"/>
    <cellStyle name="40% - Énfasis6 2 2 2 2 2 2" xfId="2572" xr:uid="{C111ADAC-B257-40FF-B30E-72E89BBFAF4D}"/>
    <cellStyle name="40% - Énfasis6 2 2 2 2 3" xfId="1984" xr:uid="{ECE5F6EA-8DA5-469A-935D-98E673368B62}"/>
    <cellStyle name="40% - Énfasis6 2 2 2 3" xfId="1140" xr:uid="{1FD70832-5849-4E72-AA59-0227BB50DF53}"/>
    <cellStyle name="40% - Énfasis6 2 2 2 3 2" xfId="2309" xr:uid="{25DBCB2A-9690-48D7-BA83-252D1A9BD4F5}"/>
    <cellStyle name="40% - Énfasis6 2 2 2 4" xfId="1725" xr:uid="{718B6805-F869-41A5-BFBB-62AB1254421A}"/>
    <cellStyle name="40% - Énfasis6 2 2 2_VOLUMENES PRODUCCION" xfId="842" xr:uid="{00000000-0005-0000-0000-00003D010000}"/>
    <cellStyle name="40% - Énfasis6 2 2 3" xfId="596" xr:uid="{00000000-0005-0000-0000-00003E010000}"/>
    <cellStyle name="40% - Énfasis6 2 2 3 2" xfId="1359" xr:uid="{C06D9735-619B-4DE2-9E52-DB362ECFA4B3}"/>
    <cellStyle name="40% - Énfasis6 2 2 3 2 2" xfId="2528" xr:uid="{BA9DC825-C43A-411D-AC6E-1805D0EC13EA}"/>
    <cellStyle name="40% - Énfasis6 2 2 3 3" xfId="1941" xr:uid="{36E1D24D-1028-4293-AAF2-367D6E9788A5}"/>
    <cellStyle name="40% - Énfasis6 2 2 4" xfId="1091" xr:uid="{C7B35DAE-1511-47BC-BCD0-CA6A893AF794}"/>
    <cellStyle name="40% - Énfasis6 2 2 4 2" xfId="2260" xr:uid="{C5AB2D8E-7FDE-46ED-9EA0-78C8330C46AA}"/>
    <cellStyle name="40% - Énfasis6 2 2 5" xfId="1680" xr:uid="{CF009B57-4A39-4B2E-983A-CF4666F04CD1}"/>
    <cellStyle name="40% - Énfasis6 2 2_JABONERIA" xfId="308" xr:uid="{00000000-0005-0000-0000-00003F010000}"/>
    <cellStyle name="40% - Énfasis6 2 3" xfId="310" xr:uid="{00000000-0005-0000-0000-000040010000}"/>
    <cellStyle name="40% - Énfasis6 2 3 2" xfId="646" xr:uid="{00000000-0005-0000-0000-000041010000}"/>
    <cellStyle name="40% - Énfasis6 2 3 2 2" xfId="1404" xr:uid="{33C34FEC-5D76-4C39-BAE6-BD085E43C986}"/>
    <cellStyle name="40% - Énfasis6 2 3 2 2 2" xfId="2573" xr:uid="{92A062C7-598F-41A9-89FA-35944716A171}"/>
    <cellStyle name="40% - Énfasis6 2 3 2 3" xfId="1985" xr:uid="{F19CCF92-E24E-4E4F-A6DA-96B6CD5BECAC}"/>
    <cellStyle name="40% - Énfasis6 2 3 3" xfId="1141" xr:uid="{A26368FA-6079-4785-997B-F8E9451424D6}"/>
    <cellStyle name="40% - Énfasis6 2 3 3 2" xfId="2310" xr:uid="{73AD598B-B52E-4CEE-BFA2-28AF5726A66D}"/>
    <cellStyle name="40% - Énfasis6 2 3 4" xfId="1726" xr:uid="{D2FF3753-B76C-4B69-8B13-84E2F0305D45}"/>
    <cellStyle name="40% - Énfasis6 2 3_VOLUMENES PRODUCCION" xfId="843" xr:uid="{00000000-0005-0000-0000-000042010000}"/>
    <cellStyle name="40% - Énfasis6 2 4" xfId="544" xr:uid="{00000000-0005-0000-0000-000043010000}"/>
    <cellStyle name="40% - Énfasis6 2 4 2" xfId="1313" xr:uid="{C9293B54-DFCF-4BD7-8426-7F8DA6291334}"/>
    <cellStyle name="40% - Énfasis6 2 4 2 2" xfId="2482" xr:uid="{7C245B59-B2F7-4A00-8106-503CF3AF737E}"/>
    <cellStyle name="40% - Énfasis6 2 4 3" xfId="1895" xr:uid="{C18CB424-6905-4CFE-817C-6A25D7AAB425}"/>
    <cellStyle name="40% - Énfasis6 2 5" xfId="1045" xr:uid="{8EB30819-4E66-419E-B0AE-994F8F932B55}"/>
    <cellStyle name="40% - Énfasis6 2 5 2" xfId="2214" xr:uid="{C0CCDC06-666B-4B3F-89B3-87536CC18062}"/>
    <cellStyle name="40% - Énfasis6 2 6" xfId="1635" xr:uid="{92EA7B32-3E22-4379-AB4B-C1957466F07B}"/>
    <cellStyle name="40% - Énfasis6 2_Descarga" xfId="271" xr:uid="{00000000-0005-0000-0000-000044010000}"/>
    <cellStyle name="40% - Énfasis6 3" xfId="70" xr:uid="{00000000-0005-0000-0000-000045010000}"/>
    <cellStyle name="40% - Énfasis6 3 2" xfId="188" xr:uid="{00000000-0005-0000-0000-000046010000}"/>
    <cellStyle name="40% - Énfasis6 3 2 2" xfId="597" xr:uid="{00000000-0005-0000-0000-000047010000}"/>
    <cellStyle name="40% - Énfasis6 3 2 2 2" xfId="1360" xr:uid="{DC2E525A-D703-4613-AB99-3BCE5ED10B19}"/>
    <cellStyle name="40% - Énfasis6 3 2 2 2 2" xfId="2529" xr:uid="{49EE1808-EA4F-4056-B78C-531A9262480B}"/>
    <cellStyle name="40% - Énfasis6 3 2 2 3" xfId="1942" xr:uid="{6FEAFA02-6C3D-46C2-82BE-5C8E39C5863D}"/>
    <cellStyle name="40% - Énfasis6 3 2 3" xfId="1092" xr:uid="{66209D9C-87B5-4D31-AA40-AF28684C2D07}"/>
    <cellStyle name="40% - Énfasis6 3 2 3 2" xfId="2261" xr:uid="{3F45152F-C8FA-4544-A011-0EA1FC55B7CE}"/>
    <cellStyle name="40% - Énfasis6 3 2 4" xfId="1681" xr:uid="{C9845F89-5DF5-4E59-A486-4078F3E71BF3}"/>
    <cellStyle name="40% - Énfasis6 3 2_VOLUMENES PRODUCCION" xfId="844" xr:uid="{00000000-0005-0000-0000-000048010000}"/>
    <cellStyle name="40% - Énfasis6 3 3" xfId="545" xr:uid="{00000000-0005-0000-0000-000049010000}"/>
    <cellStyle name="40% - Énfasis6 3 3 2" xfId="1314" xr:uid="{D73A60A2-7A6D-479B-B260-6AF47C5E8E4B}"/>
    <cellStyle name="40% - Énfasis6 3 3 2 2" xfId="2483" xr:uid="{9AD515F8-BFD8-4FC1-97DC-6097B25AE581}"/>
    <cellStyle name="40% - Énfasis6 3 3 3" xfId="1896" xr:uid="{4D4FD82F-5BEA-4DD4-990F-BD979F0A8ADD}"/>
    <cellStyle name="40% - Énfasis6 3 4" xfId="1046" xr:uid="{8E9523B4-D5B1-4F00-B506-19755541CDCB}"/>
    <cellStyle name="40% - Énfasis6 3 4 2" xfId="2215" xr:uid="{B6EAB98E-F686-4AA8-8239-8662F50EBF17}"/>
    <cellStyle name="40% - Énfasis6 3 5" xfId="1636" xr:uid="{E491A726-1461-4352-A288-8B88A3DB36DE}"/>
    <cellStyle name="40% - Énfasis6 3_Descarga" xfId="272" xr:uid="{00000000-0005-0000-0000-00004A010000}"/>
    <cellStyle name="40% - Énfasis6 4" xfId="186" xr:uid="{00000000-0005-0000-0000-00004B010000}"/>
    <cellStyle name="40% - Énfasis6 4 2" xfId="595" xr:uid="{00000000-0005-0000-0000-00004C010000}"/>
    <cellStyle name="40% - Énfasis6 4 2 2" xfId="1358" xr:uid="{2DB319D9-EE40-4432-8B67-5587FBACFA5F}"/>
    <cellStyle name="40% - Énfasis6 4 2 2 2" xfId="2527" xr:uid="{7876730F-3B34-4AFB-AA36-BF45F4E00235}"/>
    <cellStyle name="40% - Énfasis6 4 2 3" xfId="1940" xr:uid="{E328F2FE-F5E8-4BED-ABBD-B445CC7AC8FD}"/>
    <cellStyle name="40% - Énfasis6 4 3" xfId="1090" xr:uid="{9A3410E7-54C3-4451-80CE-909ACC4DA9F5}"/>
    <cellStyle name="40% - Énfasis6 4 3 2" xfId="2259" xr:uid="{20D8AFB9-41D1-481C-BB53-404E076747FF}"/>
    <cellStyle name="40% - Énfasis6 4 4" xfId="1679" xr:uid="{E36D3A8D-0FD4-4999-8F9F-292CA959F658}"/>
    <cellStyle name="40% - Énfasis6 4_VOLUMENES PRODUCCION" xfId="845" xr:uid="{00000000-0005-0000-0000-00004D010000}"/>
    <cellStyle name="40% - Énfasis6 5" xfId="240" xr:uid="{00000000-0005-0000-0000-00004E010000}"/>
    <cellStyle name="40% - Énfasis6 5 2" xfId="616" xr:uid="{00000000-0005-0000-0000-00004F010000}"/>
    <cellStyle name="40% - Énfasis6 5 2 2" xfId="1377" xr:uid="{C0010FE1-F7A8-491B-86EF-9ECB66C5132F}"/>
    <cellStyle name="40% - Énfasis6 5 2 2 2" xfId="2546" xr:uid="{9BDF390A-4387-48AC-BDC2-B1A316B78B31}"/>
    <cellStyle name="40% - Énfasis6 5 2 3" xfId="1958" xr:uid="{C2A1EE53-9664-40D6-A749-B09012D1A122}"/>
    <cellStyle name="40% - Énfasis6 5 3" xfId="1112" xr:uid="{B5C32291-1634-43E2-B720-0AA5D921678C}"/>
    <cellStyle name="40% - Énfasis6 5 3 2" xfId="2281" xr:uid="{C71367D7-2998-4E56-BD5F-EFE9AD8658C5}"/>
    <cellStyle name="40% - Énfasis6 5 4" xfId="1697" xr:uid="{130E0F95-6F2A-48FE-994B-A42CAA08EF17}"/>
    <cellStyle name="40% - Énfasis6 5_VOLUMENES PRODUCCION" xfId="846" xr:uid="{00000000-0005-0000-0000-000050010000}"/>
    <cellStyle name="40% - Énfasis6 6" xfId="517" xr:uid="{00000000-0005-0000-0000-000051010000}"/>
    <cellStyle name="40% - Énfasis6 7" xfId="548" xr:uid="{00000000-0005-0000-0000-000052010000}"/>
    <cellStyle name="40% - Énfasis6 8" xfId="989" xr:uid="{9099E31C-3E15-4EB0-A571-FD920BE3E012}"/>
    <cellStyle name="40% - Énfasis6 8 2" xfId="1589" xr:uid="{8C21F92C-40FB-4DD3-A28C-5C60AFD4E351}"/>
    <cellStyle name="40% - Énfasis6 8 2 2" xfId="2758" xr:uid="{2C081246-9DAC-458F-B9C4-70435B8628B9}"/>
    <cellStyle name="40% - Énfasis6 8 3" xfId="2170" xr:uid="{3B4DB53A-E476-4679-921F-D45AE6C85325}"/>
    <cellStyle name="40% - Énfasis6 9" xfId="990" xr:uid="{0E106329-3B8B-4A73-8A6A-A7A9B384028C}"/>
    <cellStyle name="40% - Énfasis6 9 2" xfId="1590" xr:uid="{6487C3E9-3E78-4C37-A094-D1EA831D0E7E}"/>
    <cellStyle name="40% - Énfasis6 9 2 2" xfId="2759" xr:uid="{0DBD3B5B-5C31-42ED-9E98-14E492EE592C}"/>
    <cellStyle name="40% - Énfasis6 9 3" xfId="2171" xr:uid="{73C26637-B4FC-4A63-A5C8-E71758B3B291}"/>
    <cellStyle name="60% - Énfasis1" xfId="15" builtinId="32" customBuiltin="1"/>
    <cellStyle name="60% - Énfasis1 2" xfId="71" xr:uid="{00000000-0005-0000-0000-000054010000}"/>
    <cellStyle name="60% - Énfasis1 2 2" xfId="312" xr:uid="{00000000-0005-0000-0000-000055010000}"/>
    <cellStyle name="60% - Énfasis1 2 2 2" xfId="313" xr:uid="{00000000-0005-0000-0000-000056010000}"/>
    <cellStyle name="60% - Énfasis1 2 2 2 2" xfId="648" xr:uid="{00000000-0005-0000-0000-000057010000}"/>
    <cellStyle name="60% - Énfasis1 2 2 2 2 2" xfId="1406" xr:uid="{31935EC1-704D-4352-841A-B56D2FF50068}"/>
    <cellStyle name="60% - Énfasis1 2 2 2 2 2 2" xfId="2575" xr:uid="{757B1406-3618-466C-A1E0-10F8AA3A6CAB}"/>
    <cellStyle name="60% - Énfasis1 2 2 2 2 3" xfId="1987" xr:uid="{00490916-38E5-4318-A940-B089B56BF73E}"/>
    <cellStyle name="60% - Énfasis1 2 2 2 3" xfId="1143" xr:uid="{A1E7407B-F87D-4D8E-BFA8-F9DF96C82BB5}"/>
    <cellStyle name="60% - Énfasis1 2 2 2 3 2" xfId="2312" xr:uid="{8CA28CF8-EB3B-4E9F-8CBA-CAB4E9577B94}"/>
    <cellStyle name="60% - Énfasis1 2 2 2 4" xfId="1728" xr:uid="{52CC7007-AF00-4980-B056-1E56FBD136A3}"/>
    <cellStyle name="60% - Énfasis1 2 2 2_VOLUMENES PRODUCCION" xfId="848" xr:uid="{00000000-0005-0000-0000-000058010000}"/>
    <cellStyle name="60% - Énfasis1 2 2 3" xfId="647" xr:uid="{00000000-0005-0000-0000-000059010000}"/>
    <cellStyle name="60% - Énfasis1 2 2 3 2" xfId="1405" xr:uid="{642BE411-4E82-48CF-A2B0-86860560949B}"/>
    <cellStyle name="60% - Énfasis1 2 2 3 2 2" xfId="2574" xr:uid="{5245B034-FF88-4880-96AA-E5E4A0B5DFE8}"/>
    <cellStyle name="60% - Énfasis1 2 2 3 3" xfId="1986" xr:uid="{46141281-9C4A-4484-9354-1408917718CE}"/>
    <cellStyle name="60% - Énfasis1 2 2 4" xfId="1142" xr:uid="{007FA303-E236-4F0F-B7D8-6FA248BF0E1B}"/>
    <cellStyle name="60% - Énfasis1 2 2 4 2" xfId="2311" xr:uid="{7574414F-67C6-4873-A04F-3666B82F24E6}"/>
    <cellStyle name="60% - Énfasis1 2 2 5" xfId="1727" xr:uid="{A561A523-5319-40F2-92A5-4E428CBF2BA5}"/>
    <cellStyle name="60% - Énfasis1 2 2_VOLUMENES PRODUCCION" xfId="847" xr:uid="{00000000-0005-0000-0000-00005A010000}"/>
    <cellStyle name="60% - Énfasis1 2 3" xfId="314" xr:uid="{00000000-0005-0000-0000-00005B010000}"/>
    <cellStyle name="60% - Énfasis1 2 3 2" xfId="649" xr:uid="{00000000-0005-0000-0000-00005C010000}"/>
    <cellStyle name="60% - Énfasis1 2 3 2 2" xfId="1407" xr:uid="{9A65B96F-1C1A-4D9A-8E77-5B360B38C918}"/>
    <cellStyle name="60% - Énfasis1 2 3 2 2 2" xfId="2576" xr:uid="{3287FF77-4CFF-48B8-93EA-16E687A7D30B}"/>
    <cellStyle name="60% - Énfasis1 2 3 2 3" xfId="1988" xr:uid="{9F4B0663-0701-4D13-A0C2-22AD959B735C}"/>
    <cellStyle name="60% - Énfasis1 2 3 3" xfId="1144" xr:uid="{53BA5886-3EC5-436A-93AA-1C7437E4712F}"/>
    <cellStyle name="60% - Énfasis1 2 3 3 2" xfId="2313" xr:uid="{ED38C40E-ED68-4688-BD74-BB7822B90C38}"/>
    <cellStyle name="60% - Énfasis1 2 3 4" xfId="1729" xr:uid="{1355DFAC-E23C-4057-9355-9DEBAB29CFA8}"/>
    <cellStyle name="60% - Énfasis1 2 3_VOLUMENES PRODUCCION" xfId="849" xr:uid="{00000000-0005-0000-0000-00005D010000}"/>
    <cellStyle name="60% - Énfasis1 2_JABONERIA" xfId="311" xr:uid="{00000000-0005-0000-0000-00005E010000}"/>
    <cellStyle name="60% - Énfasis1 3" xfId="72" xr:uid="{00000000-0005-0000-0000-00005F010000}"/>
    <cellStyle name="60% - Énfasis1 3 2" xfId="316" xr:uid="{00000000-0005-0000-0000-000060010000}"/>
    <cellStyle name="60% - Énfasis1 3 2 2" xfId="650" xr:uid="{00000000-0005-0000-0000-000061010000}"/>
    <cellStyle name="60% - Énfasis1 3 2 2 2" xfId="1408" xr:uid="{DD7C8154-3133-441C-830D-0B22E14F948C}"/>
    <cellStyle name="60% - Énfasis1 3 2 2 2 2" xfId="2577" xr:uid="{D5FDCD52-DE2A-4987-B08E-99C74989F9A1}"/>
    <cellStyle name="60% - Énfasis1 3 2 2 3" xfId="1989" xr:uid="{8D21214E-0FD1-4A4B-8680-5625847132F0}"/>
    <cellStyle name="60% - Énfasis1 3 2 3" xfId="1145" xr:uid="{5D09BFB5-D0EF-4125-8CE3-8D4939EB303D}"/>
    <cellStyle name="60% - Énfasis1 3 2 3 2" xfId="2314" xr:uid="{F8611FB2-9678-4154-AA1E-653BE3E1C9F0}"/>
    <cellStyle name="60% - Énfasis1 3 2 4" xfId="1730" xr:uid="{2CBF78F6-EE76-4E91-82E2-C3D091754801}"/>
    <cellStyle name="60% - Énfasis1 3 2_VOLUMENES PRODUCCION" xfId="850" xr:uid="{00000000-0005-0000-0000-000062010000}"/>
    <cellStyle name="60% - Énfasis1 3_JABONERIA" xfId="315" xr:uid="{00000000-0005-0000-0000-000063010000}"/>
    <cellStyle name="60% - Énfasis1 4" xfId="189" xr:uid="{00000000-0005-0000-0000-000064010000}"/>
    <cellStyle name="60% - Énfasis2" xfId="16" builtinId="36" customBuiltin="1"/>
    <cellStyle name="60% - Énfasis2 2" xfId="73" xr:uid="{00000000-0005-0000-0000-000066010000}"/>
    <cellStyle name="60% - Énfasis2 2 2" xfId="318" xr:uid="{00000000-0005-0000-0000-000067010000}"/>
    <cellStyle name="60% - Énfasis2 2 2 2" xfId="319" xr:uid="{00000000-0005-0000-0000-000068010000}"/>
    <cellStyle name="60% - Énfasis2 2 2 2 2" xfId="652" xr:uid="{00000000-0005-0000-0000-000069010000}"/>
    <cellStyle name="60% - Énfasis2 2 2 2 2 2" xfId="1410" xr:uid="{B291D088-4C23-4FFC-A24B-459288423553}"/>
    <cellStyle name="60% - Énfasis2 2 2 2 2 2 2" xfId="2579" xr:uid="{00751783-8B66-4526-A2C9-177EFB7DC0FB}"/>
    <cellStyle name="60% - Énfasis2 2 2 2 2 3" xfId="1991" xr:uid="{D45D41A4-99B5-4F14-B185-5E8D2779DAF5}"/>
    <cellStyle name="60% - Énfasis2 2 2 2 3" xfId="1147" xr:uid="{C5C721B5-5660-4B66-9D3B-1A86B36ECF69}"/>
    <cellStyle name="60% - Énfasis2 2 2 2 3 2" xfId="2316" xr:uid="{9020E9E1-B7DA-4B2F-8133-F6927D2A5546}"/>
    <cellStyle name="60% - Énfasis2 2 2 2 4" xfId="1732" xr:uid="{F605C7E1-113E-4341-9EBA-7B6C07677AA1}"/>
    <cellStyle name="60% - Énfasis2 2 2 2_VOLUMENES PRODUCCION" xfId="852" xr:uid="{00000000-0005-0000-0000-00006A010000}"/>
    <cellStyle name="60% - Énfasis2 2 2 3" xfId="651" xr:uid="{00000000-0005-0000-0000-00006B010000}"/>
    <cellStyle name="60% - Énfasis2 2 2 3 2" xfId="1409" xr:uid="{638C7745-51DF-4F0C-BCE7-CE745E9B1F45}"/>
    <cellStyle name="60% - Énfasis2 2 2 3 2 2" xfId="2578" xr:uid="{B026AA7B-36E0-4FAB-8F75-9BBA3396C062}"/>
    <cellStyle name="60% - Énfasis2 2 2 3 3" xfId="1990" xr:uid="{D59C03B6-A061-4669-BCDE-BA536B841004}"/>
    <cellStyle name="60% - Énfasis2 2 2 4" xfId="1146" xr:uid="{EE71B57A-8359-4D35-AF37-BE120137064F}"/>
    <cellStyle name="60% - Énfasis2 2 2 4 2" xfId="2315" xr:uid="{CBEF33F5-CF7E-40DE-8704-78C5C57199E1}"/>
    <cellStyle name="60% - Énfasis2 2 2 5" xfId="1731" xr:uid="{6977533B-7BF8-4C85-B32D-1AC401FC93DF}"/>
    <cellStyle name="60% - Énfasis2 2 2_VOLUMENES PRODUCCION" xfId="851" xr:uid="{00000000-0005-0000-0000-00006C010000}"/>
    <cellStyle name="60% - Énfasis2 2 3" xfId="320" xr:uid="{00000000-0005-0000-0000-00006D010000}"/>
    <cellStyle name="60% - Énfasis2 2 3 2" xfId="653" xr:uid="{00000000-0005-0000-0000-00006E010000}"/>
    <cellStyle name="60% - Énfasis2 2 3 2 2" xfId="1411" xr:uid="{6FF9DE44-F086-4D12-8AED-7E15EC31D6B6}"/>
    <cellStyle name="60% - Énfasis2 2 3 2 2 2" xfId="2580" xr:uid="{F6BC90BB-B662-4407-B4FC-AF974B1A6520}"/>
    <cellStyle name="60% - Énfasis2 2 3 2 3" xfId="1992" xr:uid="{3C23C204-9F56-4389-82A6-D298508F01A7}"/>
    <cellStyle name="60% - Énfasis2 2 3 3" xfId="1148" xr:uid="{B7853620-8A68-4CB2-9183-198929EC08FE}"/>
    <cellStyle name="60% - Énfasis2 2 3 3 2" xfId="2317" xr:uid="{35AB5D19-DDD1-435A-9320-70BFC5513E35}"/>
    <cellStyle name="60% - Énfasis2 2 3 4" xfId="1733" xr:uid="{82620DEF-60C6-4C6E-83FA-3753927EA09E}"/>
    <cellStyle name="60% - Énfasis2 2 3_VOLUMENES PRODUCCION" xfId="853" xr:uid="{00000000-0005-0000-0000-00006F010000}"/>
    <cellStyle name="60% - Énfasis2 2_JABONERIA" xfId="317" xr:uid="{00000000-0005-0000-0000-000070010000}"/>
    <cellStyle name="60% - Énfasis2 3" xfId="74" xr:uid="{00000000-0005-0000-0000-000071010000}"/>
    <cellStyle name="60% - Énfasis2 3 2" xfId="322" xr:uid="{00000000-0005-0000-0000-000072010000}"/>
    <cellStyle name="60% - Énfasis2 3 2 2" xfId="654" xr:uid="{00000000-0005-0000-0000-000073010000}"/>
    <cellStyle name="60% - Énfasis2 3 2 2 2" xfId="1412" xr:uid="{B943B612-114F-4871-9D2A-1B1D9419B0F7}"/>
    <cellStyle name="60% - Énfasis2 3 2 2 2 2" xfId="2581" xr:uid="{40CAAB18-6BFB-41FF-81F4-0B2C07220CFE}"/>
    <cellStyle name="60% - Énfasis2 3 2 2 3" xfId="1993" xr:uid="{573309F4-0E55-4AE2-8172-DCBABD2F7C9A}"/>
    <cellStyle name="60% - Énfasis2 3 2 3" xfId="1149" xr:uid="{804744D7-A196-4E1F-B128-C0CAA830A797}"/>
    <cellStyle name="60% - Énfasis2 3 2 3 2" xfId="2318" xr:uid="{D21EA8EA-643D-4F69-8756-4C754CF46FEE}"/>
    <cellStyle name="60% - Énfasis2 3 2 4" xfId="1734" xr:uid="{FB8FD369-3399-49E2-BF5F-60CCECAC59C9}"/>
    <cellStyle name="60% - Énfasis2 3 2_VOLUMENES PRODUCCION" xfId="854" xr:uid="{00000000-0005-0000-0000-000074010000}"/>
    <cellStyle name="60% - Énfasis2 3_JABONERIA" xfId="321" xr:uid="{00000000-0005-0000-0000-000075010000}"/>
    <cellStyle name="60% - Énfasis2 4" xfId="190" xr:uid="{00000000-0005-0000-0000-000076010000}"/>
    <cellStyle name="60% - Énfasis3" xfId="17" builtinId="40" customBuiltin="1"/>
    <cellStyle name="60% - Énfasis3 2" xfId="75" xr:uid="{00000000-0005-0000-0000-000078010000}"/>
    <cellStyle name="60% - Énfasis3 2 2" xfId="324" xr:uid="{00000000-0005-0000-0000-000079010000}"/>
    <cellStyle name="60% - Énfasis3 2 2 2" xfId="325" xr:uid="{00000000-0005-0000-0000-00007A010000}"/>
    <cellStyle name="60% - Énfasis3 2 2 2 2" xfId="656" xr:uid="{00000000-0005-0000-0000-00007B010000}"/>
    <cellStyle name="60% - Énfasis3 2 2 2 2 2" xfId="1414" xr:uid="{A2B73BBC-67D6-46CB-84E0-C6FD7D2DC3D6}"/>
    <cellStyle name="60% - Énfasis3 2 2 2 2 2 2" xfId="2583" xr:uid="{1DA446F9-72EF-4847-804D-E179B751E246}"/>
    <cellStyle name="60% - Énfasis3 2 2 2 2 3" xfId="1995" xr:uid="{92F513C9-4784-4DBF-A9CC-BE9C249576B6}"/>
    <cellStyle name="60% - Énfasis3 2 2 2 3" xfId="1151" xr:uid="{5014EC7C-EE9E-49E9-B2F6-55B69B714598}"/>
    <cellStyle name="60% - Énfasis3 2 2 2 3 2" xfId="2320" xr:uid="{D0A6A477-AE19-4986-B7D6-6ED032417F99}"/>
    <cellStyle name="60% - Énfasis3 2 2 2 4" xfId="1736" xr:uid="{DA58451E-DA92-426B-8AE5-B551EDF2158C}"/>
    <cellStyle name="60% - Énfasis3 2 2 2_VOLUMENES PRODUCCION" xfId="856" xr:uid="{00000000-0005-0000-0000-00007C010000}"/>
    <cellStyle name="60% - Énfasis3 2 2 3" xfId="655" xr:uid="{00000000-0005-0000-0000-00007D010000}"/>
    <cellStyle name="60% - Énfasis3 2 2 3 2" xfId="1413" xr:uid="{FE86B697-A07B-40D7-B5C2-6FEA08100D4E}"/>
    <cellStyle name="60% - Énfasis3 2 2 3 2 2" xfId="2582" xr:uid="{2D25615C-5DAB-4CC0-9230-42A83ECE3EF1}"/>
    <cellStyle name="60% - Énfasis3 2 2 3 3" xfId="1994" xr:uid="{8823090B-8EFD-4FC0-A574-3E9AAD1EB0FA}"/>
    <cellStyle name="60% - Énfasis3 2 2 4" xfId="1150" xr:uid="{04C57E09-4037-4FDD-BD85-DAA57C1D3546}"/>
    <cellStyle name="60% - Énfasis3 2 2 4 2" xfId="2319" xr:uid="{50FAD6BF-23A4-49C4-8F7C-C6B98F3A4951}"/>
    <cellStyle name="60% - Énfasis3 2 2 5" xfId="1735" xr:uid="{660EEA7B-A155-438F-B488-CAB130C3012D}"/>
    <cellStyle name="60% - Énfasis3 2 2_VOLUMENES PRODUCCION" xfId="855" xr:uid="{00000000-0005-0000-0000-00007E010000}"/>
    <cellStyle name="60% - Énfasis3 2 3" xfId="326" xr:uid="{00000000-0005-0000-0000-00007F010000}"/>
    <cellStyle name="60% - Énfasis3 2 3 2" xfId="657" xr:uid="{00000000-0005-0000-0000-000080010000}"/>
    <cellStyle name="60% - Énfasis3 2 3 2 2" xfId="1415" xr:uid="{7D0ABCCA-C39D-411F-89AB-9C314B3EE0DB}"/>
    <cellStyle name="60% - Énfasis3 2 3 2 2 2" xfId="2584" xr:uid="{3DE2FE43-3510-447D-89DB-116E7070D434}"/>
    <cellStyle name="60% - Énfasis3 2 3 2 3" xfId="1996" xr:uid="{41CC0815-316D-4ED3-943A-E023776F1EC0}"/>
    <cellStyle name="60% - Énfasis3 2 3 3" xfId="1152" xr:uid="{7BF581B7-124E-4DDA-820B-8F8BB6C2381A}"/>
    <cellStyle name="60% - Énfasis3 2 3 3 2" xfId="2321" xr:uid="{EBE63FA7-23FC-456A-ABBA-8A289F1679AD}"/>
    <cellStyle name="60% - Énfasis3 2 3 4" xfId="1737" xr:uid="{FA7E1AD6-6363-4241-B37F-90536BFD9A5A}"/>
    <cellStyle name="60% - Énfasis3 2 3_VOLUMENES PRODUCCION" xfId="857" xr:uid="{00000000-0005-0000-0000-000081010000}"/>
    <cellStyle name="60% - Énfasis3 2_JABONERIA" xfId="323" xr:uid="{00000000-0005-0000-0000-000082010000}"/>
    <cellStyle name="60% - Énfasis3 3" xfId="76" xr:uid="{00000000-0005-0000-0000-000083010000}"/>
    <cellStyle name="60% - Énfasis3 3 2" xfId="328" xr:uid="{00000000-0005-0000-0000-000084010000}"/>
    <cellStyle name="60% - Énfasis3 3 2 2" xfId="658" xr:uid="{00000000-0005-0000-0000-000085010000}"/>
    <cellStyle name="60% - Énfasis3 3 2 2 2" xfId="1416" xr:uid="{8B8612CF-437B-42B0-8E0F-7C0D80C0D99E}"/>
    <cellStyle name="60% - Énfasis3 3 2 2 2 2" xfId="2585" xr:uid="{880A6385-8C02-4A39-8DCF-578F95954D29}"/>
    <cellStyle name="60% - Énfasis3 3 2 2 3" xfId="1997" xr:uid="{37DF5716-1BBE-4E63-83BA-4143B6925128}"/>
    <cellStyle name="60% - Énfasis3 3 2 3" xfId="1153" xr:uid="{F2006110-974C-4FA7-A4E1-40419CD15A31}"/>
    <cellStyle name="60% - Énfasis3 3 2 3 2" xfId="2322" xr:uid="{2080007A-1266-4432-8CF5-77AFEAC33520}"/>
    <cellStyle name="60% - Énfasis3 3 2 4" xfId="1738" xr:uid="{35F06F35-B729-4CEB-A182-EC68D6B232F6}"/>
    <cellStyle name="60% - Énfasis3 3 2_VOLUMENES PRODUCCION" xfId="858" xr:uid="{00000000-0005-0000-0000-000086010000}"/>
    <cellStyle name="60% - Énfasis3 3_JABONERIA" xfId="327" xr:uid="{00000000-0005-0000-0000-000087010000}"/>
    <cellStyle name="60% - Énfasis3 4" xfId="191" xr:uid="{00000000-0005-0000-0000-000088010000}"/>
    <cellStyle name="60% - Énfasis4" xfId="18" builtinId="44" customBuiltin="1"/>
    <cellStyle name="60% - Énfasis4 2" xfId="77" xr:uid="{00000000-0005-0000-0000-00008A010000}"/>
    <cellStyle name="60% - Énfasis4 2 2" xfId="330" xr:uid="{00000000-0005-0000-0000-00008B010000}"/>
    <cellStyle name="60% - Énfasis4 2 2 2" xfId="331" xr:uid="{00000000-0005-0000-0000-00008C010000}"/>
    <cellStyle name="60% - Énfasis4 2 2 2 2" xfId="660" xr:uid="{00000000-0005-0000-0000-00008D010000}"/>
    <cellStyle name="60% - Énfasis4 2 2 2 2 2" xfId="1418" xr:uid="{4D01416E-A541-476C-A819-040F416745E4}"/>
    <cellStyle name="60% - Énfasis4 2 2 2 2 2 2" xfId="2587" xr:uid="{B006E59A-F859-4A9E-B33B-090DB0A6AEC8}"/>
    <cellStyle name="60% - Énfasis4 2 2 2 2 3" xfId="1999" xr:uid="{D6CDAF4A-31B0-45F8-8F79-6A6C23E24863}"/>
    <cellStyle name="60% - Énfasis4 2 2 2 3" xfId="1155" xr:uid="{67854444-7E82-41BE-ABCB-81B63F623D6A}"/>
    <cellStyle name="60% - Énfasis4 2 2 2 3 2" xfId="2324" xr:uid="{72CD4EE0-B3BF-4EBF-A99C-DFD3869515C3}"/>
    <cellStyle name="60% - Énfasis4 2 2 2 4" xfId="1740" xr:uid="{AE27EE3B-3713-4744-8A68-9E32D204622D}"/>
    <cellStyle name="60% - Énfasis4 2 2 2_VOLUMENES PRODUCCION" xfId="860" xr:uid="{00000000-0005-0000-0000-00008E010000}"/>
    <cellStyle name="60% - Énfasis4 2 2 3" xfId="659" xr:uid="{00000000-0005-0000-0000-00008F010000}"/>
    <cellStyle name="60% - Énfasis4 2 2 3 2" xfId="1417" xr:uid="{81725988-112B-4CA9-AB38-46DB7189E413}"/>
    <cellStyle name="60% - Énfasis4 2 2 3 2 2" xfId="2586" xr:uid="{B5C4DD60-1255-4661-B769-5C53956987A3}"/>
    <cellStyle name="60% - Énfasis4 2 2 3 3" xfId="1998" xr:uid="{36440C91-E2BB-43C8-9D8B-3D6615BBFAD8}"/>
    <cellStyle name="60% - Énfasis4 2 2 4" xfId="1154" xr:uid="{882B9B63-0201-4204-BA36-5E59798973EB}"/>
    <cellStyle name="60% - Énfasis4 2 2 4 2" xfId="2323" xr:uid="{CB94DF1E-0BD2-4C20-AB83-E78C6B19478B}"/>
    <cellStyle name="60% - Énfasis4 2 2 5" xfId="1739" xr:uid="{A170627D-6A64-4D21-AE3F-7EF92E84637F}"/>
    <cellStyle name="60% - Énfasis4 2 2_VOLUMENES PRODUCCION" xfId="859" xr:uid="{00000000-0005-0000-0000-000090010000}"/>
    <cellStyle name="60% - Énfasis4 2 3" xfId="332" xr:uid="{00000000-0005-0000-0000-000091010000}"/>
    <cellStyle name="60% - Énfasis4 2 3 2" xfId="661" xr:uid="{00000000-0005-0000-0000-000092010000}"/>
    <cellStyle name="60% - Énfasis4 2 3 2 2" xfId="1419" xr:uid="{8E1F17A6-5F1B-45B6-99C8-EB5232E88F34}"/>
    <cellStyle name="60% - Énfasis4 2 3 2 2 2" xfId="2588" xr:uid="{535065BA-539E-4287-8086-AEFAD30600A1}"/>
    <cellStyle name="60% - Énfasis4 2 3 2 3" xfId="2000" xr:uid="{7EFBAB08-BBB6-4DA5-996D-CE9352146B88}"/>
    <cellStyle name="60% - Énfasis4 2 3 3" xfId="1156" xr:uid="{2AA31959-45A0-4192-8AC4-5DC691E07EFF}"/>
    <cellStyle name="60% - Énfasis4 2 3 3 2" xfId="2325" xr:uid="{7C53227D-AC0E-4424-A97C-96783A300105}"/>
    <cellStyle name="60% - Énfasis4 2 3 4" xfId="1741" xr:uid="{A8C8A868-C3A6-4BEC-8EB2-B3F6FD1209FC}"/>
    <cellStyle name="60% - Énfasis4 2 3_VOLUMENES PRODUCCION" xfId="861" xr:uid="{00000000-0005-0000-0000-000093010000}"/>
    <cellStyle name="60% - Énfasis4 2_JABONERIA" xfId="329" xr:uid="{00000000-0005-0000-0000-000094010000}"/>
    <cellStyle name="60% - Énfasis4 3" xfId="78" xr:uid="{00000000-0005-0000-0000-000095010000}"/>
    <cellStyle name="60% - Énfasis4 3 2" xfId="334" xr:uid="{00000000-0005-0000-0000-000096010000}"/>
    <cellStyle name="60% - Énfasis4 3 2 2" xfId="662" xr:uid="{00000000-0005-0000-0000-000097010000}"/>
    <cellStyle name="60% - Énfasis4 3 2 2 2" xfId="1420" xr:uid="{9BAE5306-96E7-4D90-BA3C-989416D59105}"/>
    <cellStyle name="60% - Énfasis4 3 2 2 2 2" xfId="2589" xr:uid="{1EBB4E55-ECAC-496C-9420-4F14DBBDDD19}"/>
    <cellStyle name="60% - Énfasis4 3 2 2 3" xfId="2001" xr:uid="{476DDAF9-A2BB-4DD2-BDB7-2941384312E8}"/>
    <cellStyle name="60% - Énfasis4 3 2 3" xfId="1157" xr:uid="{7FE05AF0-6D15-4ECF-801F-55EB4318142A}"/>
    <cellStyle name="60% - Énfasis4 3 2 3 2" xfId="2326" xr:uid="{83167A40-0D7E-40CB-BDB6-F78E99D1CAE9}"/>
    <cellStyle name="60% - Énfasis4 3 2 4" xfId="1742" xr:uid="{07E3149B-1FD0-4F82-83E5-ACD6D7AE833B}"/>
    <cellStyle name="60% - Énfasis4 3 2_VOLUMENES PRODUCCION" xfId="862" xr:uid="{00000000-0005-0000-0000-000098010000}"/>
    <cellStyle name="60% - Énfasis4 3_JABONERIA" xfId="333" xr:uid="{00000000-0005-0000-0000-000099010000}"/>
    <cellStyle name="60% - Énfasis4 4" xfId="192" xr:uid="{00000000-0005-0000-0000-00009A010000}"/>
    <cellStyle name="60% - Énfasis5" xfId="19" builtinId="48" customBuiltin="1"/>
    <cellStyle name="60% - Énfasis5 2" xfId="79" xr:uid="{00000000-0005-0000-0000-00009C010000}"/>
    <cellStyle name="60% - Énfasis5 2 2" xfId="336" xr:uid="{00000000-0005-0000-0000-00009D010000}"/>
    <cellStyle name="60% - Énfasis5 2 2 2" xfId="337" xr:uid="{00000000-0005-0000-0000-00009E010000}"/>
    <cellStyle name="60% - Énfasis5 2 2 2 2" xfId="664" xr:uid="{00000000-0005-0000-0000-00009F010000}"/>
    <cellStyle name="60% - Énfasis5 2 2 2 2 2" xfId="1422" xr:uid="{C2790270-819B-4446-A86A-7E54276F1658}"/>
    <cellStyle name="60% - Énfasis5 2 2 2 2 2 2" xfId="2591" xr:uid="{11376F01-719F-4417-B009-4CCB5B836BE6}"/>
    <cellStyle name="60% - Énfasis5 2 2 2 2 3" xfId="2003" xr:uid="{9F9C6B50-2B46-449F-9514-F891D3FA0606}"/>
    <cellStyle name="60% - Énfasis5 2 2 2 3" xfId="1159" xr:uid="{6A6CEB41-F6A1-4128-8861-B7303806406A}"/>
    <cellStyle name="60% - Énfasis5 2 2 2 3 2" xfId="2328" xr:uid="{276527D2-5FCF-460D-BE8E-ED4D696A7932}"/>
    <cellStyle name="60% - Énfasis5 2 2 2 4" xfId="1744" xr:uid="{E7F8A104-0D26-4276-9972-E0A7174F283D}"/>
    <cellStyle name="60% - Énfasis5 2 2 2_VOLUMENES PRODUCCION" xfId="864" xr:uid="{00000000-0005-0000-0000-0000A0010000}"/>
    <cellStyle name="60% - Énfasis5 2 2 3" xfId="663" xr:uid="{00000000-0005-0000-0000-0000A1010000}"/>
    <cellStyle name="60% - Énfasis5 2 2 3 2" xfId="1421" xr:uid="{284E4206-FCAA-456D-B413-DC087AF444F2}"/>
    <cellStyle name="60% - Énfasis5 2 2 3 2 2" xfId="2590" xr:uid="{699BB076-3320-4956-A663-535CCCDA42C9}"/>
    <cellStyle name="60% - Énfasis5 2 2 3 3" xfId="2002" xr:uid="{57961294-60BA-497C-87DB-0D4A076BBA76}"/>
    <cellStyle name="60% - Énfasis5 2 2 4" xfId="1158" xr:uid="{7C2C7501-1D91-4197-8A57-901B3E327600}"/>
    <cellStyle name="60% - Énfasis5 2 2 4 2" xfId="2327" xr:uid="{3DB0CBE2-BBFD-402C-8EA6-20FCE24E9682}"/>
    <cellStyle name="60% - Énfasis5 2 2 5" xfId="1743" xr:uid="{F984ECDC-4A7B-4BE5-939A-2904CDB440E9}"/>
    <cellStyle name="60% - Énfasis5 2 2_VOLUMENES PRODUCCION" xfId="863" xr:uid="{00000000-0005-0000-0000-0000A2010000}"/>
    <cellStyle name="60% - Énfasis5 2 3" xfId="338" xr:uid="{00000000-0005-0000-0000-0000A3010000}"/>
    <cellStyle name="60% - Énfasis5 2 3 2" xfId="665" xr:uid="{00000000-0005-0000-0000-0000A4010000}"/>
    <cellStyle name="60% - Énfasis5 2 3 2 2" xfId="1423" xr:uid="{C541C107-0183-40AC-BCCC-24955B091221}"/>
    <cellStyle name="60% - Énfasis5 2 3 2 2 2" xfId="2592" xr:uid="{62D47FAB-163B-46F4-A519-AAF62F4C0081}"/>
    <cellStyle name="60% - Énfasis5 2 3 2 3" xfId="2004" xr:uid="{A645F1EB-5E26-4812-B9A8-06BD8AE66BD3}"/>
    <cellStyle name="60% - Énfasis5 2 3 3" xfId="1160" xr:uid="{40DF6EDE-2DE1-4957-B302-E8D0FD25B9A7}"/>
    <cellStyle name="60% - Énfasis5 2 3 3 2" xfId="2329" xr:uid="{7FA1D1BC-D087-411A-BD2D-72759F8DCFEE}"/>
    <cellStyle name="60% - Énfasis5 2 3 4" xfId="1745" xr:uid="{54B8F7B0-7291-44C7-897C-088644D8EDE5}"/>
    <cellStyle name="60% - Énfasis5 2 3_VOLUMENES PRODUCCION" xfId="865" xr:uid="{00000000-0005-0000-0000-0000A5010000}"/>
    <cellStyle name="60% - Énfasis5 2_JABONERIA" xfId="335" xr:uid="{00000000-0005-0000-0000-0000A6010000}"/>
    <cellStyle name="60% - Énfasis5 3" xfId="80" xr:uid="{00000000-0005-0000-0000-0000A7010000}"/>
    <cellStyle name="60% - Énfasis5 3 2" xfId="340" xr:uid="{00000000-0005-0000-0000-0000A8010000}"/>
    <cellStyle name="60% - Énfasis5 3 2 2" xfId="666" xr:uid="{00000000-0005-0000-0000-0000A9010000}"/>
    <cellStyle name="60% - Énfasis5 3 2 2 2" xfId="1424" xr:uid="{0D83E9A5-7C2D-4F93-B07F-3F34E3BBB6F0}"/>
    <cellStyle name="60% - Énfasis5 3 2 2 2 2" xfId="2593" xr:uid="{5682A715-2C15-4C12-A53C-701C9B253B54}"/>
    <cellStyle name="60% - Énfasis5 3 2 2 3" xfId="2005" xr:uid="{1AAF6D33-C422-484F-A6B7-59A62F1F7C67}"/>
    <cellStyle name="60% - Énfasis5 3 2 3" xfId="1161" xr:uid="{549D4A25-2CED-4CB3-88D1-F3809CE1A9F5}"/>
    <cellStyle name="60% - Énfasis5 3 2 3 2" xfId="2330" xr:uid="{5623E470-5ADE-4A56-9DE5-80830A541420}"/>
    <cellStyle name="60% - Énfasis5 3 2 4" xfId="1746" xr:uid="{6C3AB664-6DC3-4484-871E-C21D8D567B09}"/>
    <cellStyle name="60% - Énfasis5 3 2_VOLUMENES PRODUCCION" xfId="866" xr:uid="{00000000-0005-0000-0000-0000AA010000}"/>
    <cellStyle name="60% - Énfasis5 3_JABONERIA" xfId="339" xr:uid="{00000000-0005-0000-0000-0000AB010000}"/>
    <cellStyle name="60% - Énfasis5 4" xfId="193" xr:uid="{00000000-0005-0000-0000-0000AC010000}"/>
    <cellStyle name="60% - Énfasis6" xfId="20" builtinId="52" customBuiltin="1"/>
    <cellStyle name="60% - Énfasis6 2" xfId="81" xr:uid="{00000000-0005-0000-0000-0000AE010000}"/>
    <cellStyle name="60% - Énfasis6 2 2" xfId="342" xr:uid="{00000000-0005-0000-0000-0000AF010000}"/>
    <cellStyle name="60% - Énfasis6 2 2 2" xfId="343" xr:uid="{00000000-0005-0000-0000-0000B0010000}"/>
    <cellStyle name="60% - Énfasis6 2 2 2 2" xfId="668" xr:uid="{00000000-0005-0000-0000-0000B1010000}"/>
    <cellStyle name="60% - Énfasis6 2 2 2 2 2" xfId="1426" xr:uid="{A3F30097-340A-4242-9E82-FEBC3A2F0715}"/>
    <cellStyle name="60% - Énfasis6 2 2 2 2 2 2" xfId="2595" xr:uid="{D8BAC2BA-ACBA-46A5-90B7-A11E520BB509}"/>
    <cellStyle name="60% - Énfasis6 2 2 2 2 3" xfId="2007" xr:uid="{7F3846E2-2ECD-4081-BEDD-265FDA593CCA}"/>
    <cellStyle name="60% - Énfasis6 2 2 2 3" xfId="1163" xr:uid="{C75CB83E-4354-4BC6-A951-3FB516C350BD}"/>
    <cellStyle name="60% - Énfasis6 2 2 2 3 2" xfId="2332" xr:uid="{DDBB08CC-F885-40A7-97BC-00127F85B650}"/>
    <cellStyle name="60% - Énfasis6 2 2 2 4" xfId="1748" xr:uid="{E17A7693-A946-4068-B590-76E187F91DB5}"/>
    <cellStyle name="60% - Énfasis6 2 2 2_VOLUMENES PRODUCCION" xfId="868" xr:uid="{00000000-0005-0000-0000-0000B2010000}"/>
    <cellStyle name="60% - Énfasis6 2 2 3" xfId="667" xr:uid="{00000000-0005-0000-0000-0000B3010000}"/>
    <cellStyle name="60% - Énfasis6 2 2 3 2" xfId="1425" xr:uid="{9561C200-4404-479C-BF28-F9AA6215BFFA}"/>
    <cellStyle name="60% - Énfasis6 2 2 3 2 2" xfId="2594" xr:uid="{34A73DEC-4CF6-4CD4-A66E-187DD3208405}"/>
    <cellStyle name="60% - Énfasis6 2 2 3 3" xfId="2006" xr:uid="{D5A77DFF-47D8-4411-A344-113203966555}"/>
    <cellStyle name="60% - Énfasis6 2 2 4" xfId="1162" xr:uid="{2EF242EA-AC4F-454E-AE44-FC137A9AB50E}"/>
    <cellStyle name="60% - Énfasis6 2 2 4 2" xfId="2331" xr:uid="{FC605A2E-4283-4032-B5F6-C2A82A2B4B5D}"/>
    <cellStyle name="60% - Énfasis6 2 2 5" xfId="1747" xr:uid="{54D80D75-9A9B-4377-86C6-9E0CD8B6DFFE}"/>
    <cellStyle name="60% - Énfasis6 2 2_VOLUMENES PRODUCCION" xfId="867" xr:uid="{00000000-0005-0000-0000-0000B4010000}"/>
    <cellStyle name="60% - Énfasis6 2 3" xfId="344" xr:uid="{00000000-0005-0000-0000-0000B5010000}"/>
    <cellStyle name="60% - Énfasis6 2 3 2" xfId="669" xr:uid="{00000000-0005-0000-0000-0000B6010000}"/>
    <cellStyle name="60% - Énfasis6 2 3 2 2" xfId="1427" xr:uid="{8AEE64AA-56B1-43F3-96F1-A97A61565168}"/>
    <cellStyle name="60% - Énfasis6 2 3 2 2 2" xfId="2596" xr:uid="{04CF07FF-D418-4B7F-9290-3DC1F485C9A6}"/>
    <cellStyle name="60% - Énfasis6 2 3 2 3" xfId="2008" xr:uid="{0AA9C969-8224-4F6E-827C-7CD29933425E}"/>
    <cellStyle name="60% - Énfasis6 2 3 3" xfId="1164" xr:uid="{3630AFE5-38FE-400B-8940-21F951E137A7}"/>
    <cellStyle name="60% - Énfasis6 2 3 3 2" xfId="2333" xr:uid="{4A944C4E-85EE-4AE0-9DD9-08859230A49F}"/>
    <cellStyle name="60% - Énfasis6 2 3 4" xfId="1749" xr:uid="{DC550917-A28A-4249-93BE-94C14982E4F5}"/>
    <cellStyle name="60% - Énfasis6 2 3_VOLUMENES PRODUCCION" xfId="869" xr:uid="{00000000-0005-0000-0000-0000B7010000}"/>
    <cellStyle name="60% - Énfasis6 2_JABONERIA" xfId="341" xr:uid="{00000000-0005-0000-0000-0000B8010000}"/>
    <cellStyle name="60% - Énfasis6 3" xfId="82" xr:uid="{00000000-0005-0000-0000-0000B9010000}"/>
    <cellStyle name="60% - Énfasis6 3 2" xfId="346" xr:uid="{00000000-0005-0000-0000-0000BA010000}"/>
    <cellStyle name="60% - Énfasis6 3 2 2" xfId="670" xr:uid="{00000000-0005-0000-0000-0000BB010000}"/>
    <cellStyle name="60% - Énfasis6 3 2 2 2" xfId="1428" xr:uid="{93F86F4B-B9DF-4F8E-9FB4-BBBC7CFD5358}"/>
    <cellStyle name="60% - Énfasis6 3 2 2 2 2" xfId="2597" xr:uid="{F5BD0326-305E-4E51-A832-D7231383ED42}"/>
    <cellStyle name="60% - Énfasis6 3 2 2 3" xfId="2009" xr:uid="{5B91361E-C855-4A72-8248-FB0376E4275C}"/>
    <cellStyle name="60% - Énfasis6 3 2 3" xfId="1165" xr:uid="{7EA2AB4D-3919-4CFB-83F6-F3756D21F4F5}"/>
    <cellStyle name="60% - Énfasis6 3 2 3 2" xfId="2334" xr:uid="{61789628-17FB-4A88-906A-C2EDE6C99472}"/>
    <cellStyle name="60% - Énfasis6 3 2 4" xfId="1750" xr:uid="{7CC0E152-C3D9-4756-8FB3-85A090D65EC1}"/>
    <cellStyle name="60% - Énfasis6 3 2_VOLUMENES PRODUCCION" xfId="870" xr:uid="{00000000-0005-0000-0000-0000BC010000}"/>
    <cellStyle name="60% - Énfasis6 3_JABONERIA" xfId="345" xr:uid="{00000000-0005-0000-0000-0000BD010000}"/>
    <cellStyle name="60% - Énfasis6 4" xfId="194" xr:uid="{00000000-0005-0000-0000-0000BE010000}"/>
    <cellStyle name="background-color:White; color:Black; font:font-family:Arial; font-size:8pt; font-weight:normal; font-style:normal; ; font-family:Arial; font-size:8pt; font-weight:normal; font-style:normal; border-collapse:separate; border-left:black 1px solid; border-rig" xfId="965" xr:uid="{00000000-0005-0000-0000-0000BF010000}"/>
    <cellStyle name="Buena" xfId="246" hidden="1" xr:uid="{00000000-0005-0000-0000-0000C0010000}"/>
    <cellStyle name="Buena" xfId="1007" hidden="1" xr:uid="{BAA6FC42-E614-4A68-995F-7FAF0AB2C9FB}"/>
    <cellStyle name="Buena" xfId="1116" hidden="1" xr:uid="{47B024F0-9A17-452B-9DFE-24B3B04563E1}"/>
    <cellStyle name="Buena" xfId="1607" hidden="1" xr:uid="{BDA9AC05-E347-424A-886F-B40ACAF54032}"/>
    <cellStyle name="Buena" xfId="1608" hidden="1" xr:uid="{15D18AEB-BC71-43D3-A58B-CB153366AB44}"/>
    <cellStyle name="Buena" xfId="1609" hidden="1" xr:uid="{DBE4350E-F29F-4ED5-9F3D-86F08B27CCAA}"/>
    <cellStyle name="Buena" xfId="1701" hidden="1" xr:uid="{2086A607-8B20-44EC-A92B-9670A90ACA9D}"/>
    <cellStyle name="Buena" xfId="2188" hidden="1" xr:uid="{6DF11A23-3D13-422C-93D1-AB3736B90A79}"/>
    <cellStyle name="Buena" xfId="2285" hidden="1" xr:uid="{2566C7C6-CD61-44BA-8CD0-1C896C3B5DA7}"/>
    <cellStyle name="Buena" xfId="2776" hidden="1" xr:uid="{4E0BFD83-D3E8-46E6-892E-1A817522E752}"/>
    <cellStyle name="Buena" xfId="2777" hidden="1" xr:uid="{C170D433-568C-4654-ADAC-7228D438CE17}"/>
    <cellStyle name="Buena" xfId="2778" hidden="1" xr:uid="{FF7C1B79-845D-425B-92C8-E33121313A4A}"/>
    <cellStyle name="Buena 2" xfId="83" xr:uid="{00000000-0005-0000-0000-0000C1010000}"/>
    <cellStyle name="Buena 3" xfId="84" xr:uid="{00000000-0005-0000-0000-0000C2010000}"/>
    <cellStyle name="Buena 4" xfId="195" xr:uid="{00000000-0005-0000-0000-0000C3010000}"/>
    <cellStyle name="Buena_Accid incapacitantes 2012-2016" xfId="141" xr:uid="{00000000-0005-0000-0000-0000C4010000}"/>
    <cellStyle name="Bueno" xfId="385" xr:uid="{00000000-0005-0000-0000-0000C5010000}"/>
    <cellStyle name="Bueno 2" xfId="2805" xr:uid="{CDD72C2D-C351-48AC-ABB1-DD5C9138BB43}"/>
    <cellStyle name="Cálculo" xfId="21" builtinId="22" customBuiltin="1"/>
    <cellStyle name="Cálculo 2" xfId="85" xr:uid="{00000000-0005-0000-0000-0000C7010000}"/>
    <cellStyle name="Cálculo 3" xfId="86" xr:uid="{00000000-0005-0000-0000-0000C8010000}"/>
    <cellStyle name="Cálculo 4" xfId="196" xr:uid="{00000000-0005-0000-0000-0000C9010000}"/>
    <cellStyle name="Celda de comprobación" xfId="22" builtinId="23" customBuiltin="1"/>
    <cellStyle name="Celda de comprobación 2" xfId="87" xr:uid="{00000000-0005-0000-0000-0000CB010000}"/>
    <cellStyle name="Celda de comprobación 3" xfId="88" xr:uid="{00000000-0005-0000-0000-0000CC010000}"/>
    <cellStyle name="Celda de comprobación 4" xfId="197" xr:uid="{00000000-0005-0000-0000-0000CD010000}"/>
    <cellStyle name="Celda vinculada" xfId="23" builtinId="24" customBuiltin="1"/>
    <cellStyle name="Celda vinculada 2" xfId="89" xr:uid="{00000000-0005-0000-0000-0000CF010000}"/>
    <cellStyle name="Celda vinculada 3" xfId="90" xr:uid="{00000000-0005-0000-0000-0000D0010000}"/>
    <cellStyle name="Celda vinculada 4" xfId="198" xr:uid="{00000000-0005-0000-0000-0000D1010000}"/>
    <cellStyle name="Encabezado 1" xfId="38" xr:uid="{00000000-0005-0000-0000-0000D2010000}"/>
    <cellStyle name="Encabezado 1 2" xfId="2803" xr:uid="{7CA1A3C9-1F6A-4F35-9D8C-9116C847C755}"/>
    <cellStyle name="Encabezado 4" xfId="24" builtinId="19" customBuiltin="1"/>
    <cellStyle name="Encabezado 4 2" xfId="91" xr:uid="{00000000-0005-0000-0000-0000D4010000}"/>
    <cellStyle name="Encabezado 4 3" xfId="92" xr:uid="{00000000-0005-0000-0000-0000D5010000}"/>
    <cellStyle name="Encabezado 4 4" xfId="199" xr:uid="{00000000-0005-0000-0000-0000D6010000}"/>
    <cellStyle name="Énfasis1" xfId="25" builtinId="29" customBuiltin="1"/>
    <cellStyle name="Énfasis1 2" xfId="93" xr:uid="{00000000-0005-0000-0000-0000D8010000}"/>
    <cellStyle name="Énfasis1 3" xfId="94" xr:uid="{00000000-0005-0000-0000-0000D9010000}"/>
    <cellStyle name="Énfasis1 4" xfId="200" xr:uid="{00000000-0005-0000-0000-0000DA010000}"/>
    <cellStyle name="Énfasis2" xfId="26" builtinId="33" customBuiltin="1"/>
    <cellStyle name="Énfasis2 2" xfId="95" xr:uid="{00000000-0005-0000-0000-0000DC010000}"/>
    <cellStyle name="Énfasis2 3" xfId="96" xr:uid="{00000000-0005-0000-0000-0000DD010000}"/>
    <cellStyle name="Énfasis2 4" xfId="201" xr:uid="{00000000-0005-0000-0000-0000DE010000}"/>
    <cellStyle name="Énfasis3" xfId="27" builtinId="37" customBuiltin="1"/>
    <cellStyle name="Énfasis3 2" xfId="97" xr:uid="{00000000-0005-0000-0000-0000E0010000}"/>
    <cellStyle name="Énfasis3 3" xfId="98" xr:uid="{00000000-0005-0000-0000-0000E1010000}"/>
    <cellStyle name="Énfasis3 4" xfId="202" xr:uid="{00000000-0005-0000-0000-0000E2010000}"/>
    <cellStyle name="Énfasis4" xfId="28" builtinId="41" customBuiltin="1"/>
    <cellStyle name="Énfasis4 2" xfId="99" xr:uid="{00000000-0005-0000-0000-0000E4010000}"/>
    <cellStyle name="Énfasis4 3" xfId="100" xr:uid="{00000000-0005-0000-0000-0000E5010000}"/>
    <cellStyle name="Énfasis4 4" xfId="203" xr:uid="{00000000-0005-0000-0000-0000E6010000}"/>
    <cellStyle name="Énfasis5" xfId="29" builtinId="45" customBuiltin="1"/>
    <cellStyle name="Énfasis5 2" xfId="101" xr:uid="{00000000-0005-0000-0000-0000E8010000}"/>
    <cellStyle name="Énfasis5 3" xfId="102" xr:uid="{00000000-0005-0000-0000-0000E9010000}"/>
    <cellStyle name="Énfasis5 4" xfId="204" xr:uid="{00000000-0005-0000-0000-0000EA010000}"/>
    <cellStyle name="Énfasis6" xfId="30" builtinId="49" customBuiltin="1"/>
    <cellStyle name="Énfasis6 2" xfId="103" xr:uid="{00000000-0005-0000-0000-0000EC010000}"/>
    <cellStyle name="Énfasis6 3" xfId="104" xr:uid="{00000000-0005-0000-0000-0000ED010000}"/>
    <cellStyle name="Énfasis6 4" xfId="205" xr:uid="{00000000-0005-0000-0000-0000EE010000}"/>
    <cellStyle name="Entrada" xfId="31" builtinId="20" customBuiltin="1"/>
    <cellStyle name="Entrada 2" xfId="105" xr:uid="{00000000-0005-0000-0000-0000F0010000}"/>
    <cellStyle name="Entrada 3" xfId="106" xr:uid="{00000000-0005-0000-0000-0000F1010000}"/>
    <cellStyle name="Entrada 4" xfId="206" xr:uid="{00000000-0005-0000-0000-0000F2010000}"/>
    <cellStyle name="Euro" xfId="144" xr:uid="{00000000-0005-0000-0000-0000F3010000}"/>
    <cellStyle name="Euro 2" xfId="555" xr:uid="{00000000-0005-0000-0000-0000F4010000}"/>
    <cellStyle name="Excel Built-in Normal" xfId="226" xr:uid="{00000000-0005-0000-0000-0000F5010000}"/>
    <cellStyle name="Hipervínculo 2" xfId="135" xr:uid="{00000000-0005-0000-0000-0000F6010000}"/>
    <cellStyle name="Hipervínculo 2 2" xfId="207" xr:uid="{00000000-0005-0000-0000-0000F7010000}"/>
    <cellStyle name="Hipervínculo 3" xfId="208" xr:uid="{00000000-0005-0000-0000-0000F8010000}"/>
    <cellStyle name="Incorrecto" xfId="32" builtinId="27" customBuiltin="1"/>
    <cellStyle name="Incorrecto 2" xfId="107" xr:uid="{00000000-0005-0000-0000-0000FA010000}"/>
    <cellStyle name="Incorrecto 3" xfId="108" xr:uid="{00000000-0005-0000-0000-0000FB010000}"/>
    <cellStyle name="Incorrecto 4" xfId="209" xr:uid="{00000000-0005-0000-0000-0000FC010000}"/>
    <cellStyle name="Millares" xfId="1" builtinId="3"/>
    <cellStyle name="Millares 2" xfId="44" xr:uid="{00000000-0005-0000-0000-0000FE010000}"/>
    <cellStyle name="Millares 2 10" xfId="1611" xr:uid="{92E259FA-02A1-478A-B76B-1AD1EC97C658}"/>
    <cellStyle name="Millares 2 11" xfId="2821" xr:uid="{D382BD9A-44F1-4137-9ABC-FC05496244B7}"/>
    <cellStyle name="Millares 2 2" xfId="211" xr:uid="{00000000-0005-0000-0000-0000FF010000}"/>
    <cellStyle name="Millares 2 2 2" xfId="348" xr:uid="{00000000-0005-0000-0000-000000020000}"/>
    <cellStyle name="Millares 2 2 2 2" xfId="349" xr:uid="{00000000-0005-0000-0000-000001020000}"/>
    <cellStyle name="Millares 2 2 2 2 2" xfId="1167" xr:uid="{D5BF3CC8-B48F-4BFC-A066-F11DCB5FAAB4}"/>
    <cellStyle name="Millares 2 2 2 2 2 2" xfId="2336" xr:uid="{F323EE2E-3648-47EE-9430-E2823033F447}"/>
    <cellStyle name="Millares 2 2 2 2 3" xfId="1752" xr:uid="{6B25405B-CFCB-436A-B25B-5347E92743E3}"/>
    <cellStyle name="Millares 2 2 2 3" xfId="1166" xr:uid="{0525456B-65A5-4543-8537-AC44856BA108}"/>
    <cellStyle name="Millares 2 2 2 3 2" xfId="2335" xr:uid="{2CEA11E2-9CD9-44CC-99E4-54A17060FB6D}"/>
    <cellStyle name="Millares 2 2 2 4" xfId="1751" xr:uid="{AA61C7D1-A547-42AD-9D52-9F36B6D1B355}"/>
    <cellStyle name="Millares 2 2 3" xfId="350" xr:uid="{00000000-0005-0000-0000-000002020000}"/>
    <cellStyle name="Millares 2 2 3 2" xfId="1168" xr:uid="{27E9A97B-D1B3-4152-9421-42299EBB98CE}"/>
    <cellStyle name="Millares 2 2 3 2 2" xfId="2337" xr:uid="{7F9C6A27-9CE6-48F4-8FC6-0DA408D0506D}"/>
    <cellStyle name="Millares 2 2 3 3" xfId="1753" xr:uid="{02413463-1A88-48C5-9D2B-FD1BCD0F9C4F}"/>
    <cellStyle name="Millares 2 2_JABONERIA" xfId="347" xr:uid="{00000000-0005-0000-0000-000003020000}"/>
    <cellStyle name="Millares 2 3" xfId="351" xr:uid="{00000000-0005-0000-0000-000004020000}"/>
    <cellStyle name="Millares 2 3 2" xfId="352" xr:uid="{00000000-0005-0000-0000-000005020000}"/>
    <cellStyle name="Millares 2 3 2 2" xfId="1170" xr:uid="{8EFAC193-EAAE-45FC-B1AB-B6F66B0B4F9D}"/>
    <cellStyle name="Millares 2 3 2 2 2" xfId="2339" xr:uid="{9507111D-F9AA-486C-96C1-04A419A1905D}"/>
    <cellStyle name="Millares 2 3 2 3" xfId="1755" xr:uid="{2FD8C8FB-FEAA-457A-9A38-6FB4B90F487C}"/>
    <cellStyle name="Millares 2 3 3" xfId="1169" xr:uid="{DD47E607-31B7-4A6A-9613-4A1DC2FCB525}"/>
    <cellStyle name="Millares 2 3 3 2" xfId="2338" xr:uid="{355D114B-0622-4147-B0DB-D3FB87A2F7ED}"/>
    <cellStyle name="Millares 2 3 4" xfId="1754" xr:uid="{F53260D1-91E9-4AD9-A4F3-5CD995CAB6A7}"/>
    <cellStyle name="Millares 2 4" xfId="353" xr:uid="{00000000-0005-0000-0000-000006020000}"/>
    <cellStyle name="Millares 2 4 2" xfId="1171" xr:uid="{883BB4A0-AE04-4580-B35E-5928DA59ED06}"/>
    <cellStyle name="Millares 2 4 2 2" xfId="2340" xr:uid="{6ACF9078-033E-41E2-840D-A0468D9A8015}"/>
    <cellStyle name="Millares 2 4 3" xfId="1756" xr:uid="{733E8F6E-02AF-46FD-B03E-E0E6BA737BED}"/>
    <cellStyle name="Millares 2 5" xfId="520" xr:uid="{00000000-0005-0000-0000-000007020000}"/>
    <cellStyle name="Millares 2 5 2" xfId="1289" xr:uid="{1F87D9A7-0983-4C5B-AED9-3A16CF0F1D4D}"/>
    <cellStyle name="Millares 2 5 2 2" xfId="2458" xr:uid="{B973D855-BEE3-4AB4-8A8C-7BEA96BB3FCC}"/>
    <cellStyle name="Millares 2 5 3" xfId="1871" xr:uid="{83E20062-7EB5-4450-BAE4-AFB45F43B183}"/>
    <cellStyle name="Millares 2 6" xfId="552" xr:uid="{00000000-0005-0000-0000-000008020000}"/>
    <cellStyle name="Millares 2 6 2" xfId="1317" xr:uid="{4244BF72-B94A-44E2-A63A-1BD6D5D9D423}"/>
    <cellStyle name="Millares 2 6 2 2" xfId="2486" xr:uid="{4BC80232-C499-4DEB-958E-1EDC4728E941}"/>
    <cellStyle name="Millares 2 6 3" xfId="1899" xr:uid="{9B773FE6-AE1D-446B-9D2A-EFF3F2D7705D}"/>
    <cellStyle name="Millares 2 7" xfId="976" xr:uid="{BA080F54-EE10-434B-8C1F-5C94C34ED639}"/>
    <cellStyle name="Millares 2 7 2" xfId="1576" xr:uid="{53717C59-61BF-436E-83CB-BB55456298A9}"/>
    <cellStyle name="Millares 2 7 2 2" xfId="2745" xr:uid="{2DF5ADD1-2AA2-46A0-B2BC-11D5F4A34276}"/>
    <cellStyle name="Millares 2 7 3" xfId="2157" xr:uid="{9D7A5B49-15CC-46E9-9DBC-4DA9691DBFEA}"/>
    <cellStyle name="Millares 2 8" xfId="1021" xr:uid="{ED5A122B-AC90-409F-A5FC-4E53D5869A0B}"/>
    <cellStyle name="Millares 2 8 2" xfId="2190" xr:uid="{C9A2E50E-3DDA-44E4-814E-33A2A4A5C65E}"/>
    <cellStyle name="Millares 2 9" xfId="1240" xr:uid="{2BA8DC53-8EA4-43F8-8310-49BBCEF8DF09}"/>
    <cellStyle name="Millares 2 9 2" xfId="2409" xr:uid="{442F416E-71A7-41DF-8B47-399D72433E51}"/>
    <cellStyle name="Millares 2_JABONERIA" xfId="247" xr:uid="{00000000-0005-0000-0000-000009020000}"/>
    <cellStyle name="Millares 3" xfId="109" xr:uid="{00000000-0005-0000-0000-00000A020000}"/>
    <cellStyle name="Millares 3 2" xfId="110" xr:uid="{00000000-0005-0000-0000-00000B020000}"/>
    <cellStyle name="Millares 3 2 2" xfId="355" xr:uid="{00000000-0005-0000-0000-00000C020000}"/>
    <cellStyle name="Millares 3 2 2 2" xfId="1172" xr:uid="{03860A2B-063B-4830-BD78-E05509861DB9}"/>
    <cellStyle name="Millares 3 2 2 2 2" xfId="2341" xr:uid="{F87E9F2B-D7B4-48E0-9338-98A455E2717B}"/>
    <cellStyle name="Millares 3 2 2 3" xfId="1757" xr:uid="{DA861128-3438-4BF8-B90A-7A0967C1FAD6}"/>
    <cellStyle name="Millares 3 2_JABONERIA" xfId="354" xr:uid="{00000000-0005-0000-0000-00000D020000}"/>
    <cellStyle name="Millares 3 3" xfId="356" xr:uid="{00000000-0005-0000-0000-00000E020000}"/>
    <cellStyle name="Millares 3 3 2" xfId="1173" xr:uid="{4088E274-9039-4212-8BF3-D62E617C515F}"/>
    <cellStyle name="Millares 3 3 2 2" xfId="2342" xr:uid="{E74DD1DD-CE22-471A-A2E4-165B2F727D14}"/>
    <cellStyle name="Millares 3 3 3" xfId="1758" xr:uid="{7C0A141F-D58C-451D-8BAF-AE69A1D18D82}"/>
    <cellStyle name="Millares 3_JABONERIA" xfId="248" xr:uid="{00000000-0005-0000-0000-00000F020000}"/>
    <cellStyle name="Millares 4" xfId="111" xr:uid="{00000000-0005-0000-0000-000010020000}"/>
    <cellStyle name="Millares 4 2" xfId="112" xr:uid="{00000000-0005-0000-0000-000011020000}"/>
    <cellStyle name="Millares 4 3" xfId="212" xr:uid="{00000000-0005-0000-0000-000012020000}"/>
    <cellStyle name="Millares 4 3 2" xfId="1095" xr:uid="{9F57DFCE-59C2-4A8F-B922-350277857A27}"/>
    <cellStyle name="Millares 4 3 2 2" xfId="2264" xr:uid="{6CC7444A-AE23-4F1B-8F15-CE465B9A2107}"/>
    <cellStyle name="Millares 4_JABONERIA" xfId="357" xr:uid="{00000000-0005-0000-0000-000013020000}"/>
    <cellStyle name="Millares 5" xfId="113" xr:uid="{00000000-0005-0000-0000-000014020000}"/>
    <cellStyle name="Millares 5 2" xfId="213" xr:uid="{00000000-0005-0000-0000-000015020000}"/>
    <cellStyle name="Millares 5 2 2" xfId="1096" xr:uid="{C729ACFF-CD1B-42D5-A87E-656851DD035B}"/>
    <cellStyle name="Millares 5 2 2 2" xfId="2265" xr:uid="{765FE705-9450-4ACD-BA2F-7FBFCCF22C88}"/>
    <cellStyle name="Millares 5_JABONERIA" xfId="358" xr:uid="{00000000-0005-0000-0000-000016020000}"/>
    <cellStyle name="Millares 6" xfId="136" xr:uid="{00000000-0005-0000-0000-000017020000}"/>
    <cellStyle name="Millares 6 2" xfId="1049" xr:uid="{F5E07600-64FF-4B1C-BE07-459CA717C274}"/>
    <cellStyle name="Millares 6 2 2" xfId="2218" xr:uid="{16252E38-19F5-4B4F-AE25-7FEFCAF85111}"/>
    <cellStyle name="Millares 7" xfId="210" xr:uid="{00000000-0005-0000-0000-000018020000}"/>
    <cellStyle name="Millares 7 2" xfId="598" xr:uid="{00000000-0005-0000-0000-000019020000}"/>
    <cellStyle name="Millares 7 2 2" xfId="1361" xr:uid="{BB545166-C990-4C09-A40D-83B6442A73FB}"/>
    <cellStyle name="Millares 7 2 2 2" xfId="2530" xr:uid="{A1EBC54A-109B-499A-AEC4-9229DE70343C}"/>
    <cellStyle name="Millares 7 3" xfId="1094" xr:uid="{3D8C71FA-C578-498B-91D0-E52D64445F16}"/>
    <cellStyle name="Millares 7 3 2" xfId="2263" xr:uid="{D35039AB-902B-4060-8256-93BCDD492611}"/>
    <cellStyle name="Neutral" xfId="146" builtinId="28" customBuiltin="1"/>
    <cellStyle name="Normal" xfId="0" builtinId="0" customBuiltin="1"/>
    <cellStyle name="Normal 10" xfId="142" xr:uid="{00000000-0005-0000-0000-00001C020000}"/>
    <cellStyle name="Normal 10 2" xfId="386" xr:uid="{00000000-0005-0000-0000-00001D020000}"/>
    <cellStyle name="Normal 11" xfId="241" xr:uid="{00000000-0005-0000-0000-00001E020000}"/>
    <cellStyle name="Normal 11 2" xfId="388" xr:uid="{00000000-0005-0000-0000-00001F020000}"/>
    <cellStyle name="Normal 11 3" xfId="617" xr:uid="{00000000-0005-0000-0000-000020020000}"/>
    <cellStyle name="Normal 11 3 2" xfId="1378" xr:uid="{D9B0FE7A-FABF-40F7-A6EC-1ED664C65761}"/>
    <cellStyle name="Normal 11 3 2 2" xfId="2547" xr:uid="{82BE81E5-17D7-4F54-8E59-126373DAD0DF}"/>
    <cellStyle name="Normal 11 3 3" xfId="1959" xr:uid="{A516C4EB-EDC6-420C-8F6B-4EFA97767480}"/>
    <cellStyle name="Normal 11 4" xfId="1113" xr:uid="{D66F75F8-1823-4D6F-BD30-9F787364EF24}"/>
    <cellStyle name="Normal 11 4 2" xfId="2282" xr:uid="{6584EA76-E089-4AAD-B4DF-56AF7CF8381E}"/>
    <cellStyle name="Normal 11 5" xfId="1698" xr:uid="{9D801155-873B-499A-9EFB-2049737F408C}"/>
    <cellStyle name="Normal 11_HORAS HOMBRE" xfId="387" xr:uid="{00000000-0005-0000-0000-000021020000}"/>
    <cellStyle name="Normal 12" xfId="383" xr:uid="{00000000-0005-0000-0000-000022020000}"/>
    <cellStyle name="Normal 12 2" xfId="390" xr:uid="{00000000-0005-0000-0000-000023020000}"/>
    <cellStyle name="Normal 12 3" xfId="692" xr:uid="{00000000-0005-0000-0000-000024020000}"/>
    <cellStyle name="Normal 12 3 2" xfId="1449" xr:uid="{53041BAE-DC48-460E-8E48-671EF9E79317}"/>
    <cellStyle name="Normal 12 3 2 2" xfId="2618" xr:uid="{36BBDF93-EAB8-4696-9DC1-450101FBF95C}"/>
    <cellStyle name="Normal 12 3 3" xfId="2030" xr:uid="{C2243BE9-8FAD-4B83-B537-241710741906}"/>
    <cellStyle name="Normal 12 4" xfId="1194" xr:uid="{B39FD596-CA9F-426D-B746-1E467D4EE583}"/>
    <cellStyle name="Normal 12 4 2" xfId="2363" xr:uid="{B3ACD064-BE32-478D-9DD1-EDBAED85356E}"/>
    <cellStyle name="Normal 12 5" xfId="1779" xr:uid="{EEFCA24E-DCBB-426E-B6FC-7E204B4EA451}"/>
    <cellStyle name="Normal 12_HORAS HOMBRE" xfId="389" xr:uid="{00000000-0005-0000-0000-000025020000}"/>
    <cellStyle name="Normal 13" xfId="384" xr:uid="{00000000-0005-0000-0000-000026020000}"/>
    <cellStyle name="Normal 13 2" xfId="392" xr:uid="{00000000-0005-0000-0000-000027020000}"/>
    <cellStyle name="Normal 13 3" xfId="693" xr:uid="{00000000-0005-0000-0000-000028020000}"/>
    <cellStyle name="Normal 13 3 2" xfId="1450" xr:uid="{4F7442D6-9CE7-40BB-B203-7783C78C9A31}"/>
    <cellStyle name="Normal 13 3 2 2" xfId="2619" xr:uid="{FF59968B-7CDC-4B06-9499-552FF93A6CFC}"/>
    <cellStyle name="Normal 13 3 3" xfId="2031" xr:uid="{D018E19E-D68B-469A-803A-0AB68A5BEBDC}"/>
    <cellStyle name="Normal 13 4" xfId="1195" xr:uid="{D6FC3C75-7D27-4A99-90F6-7FC15F2F45EB}"/>
    <cellStyle name="Normal 13 4 2" xfId="2364" xr:uid="{1BCADB90-3049-401F-A843-020472D53AE5}"/>
    <cellStyle name="Normal 13 5" xfId="1780" xr:uid="{A7DC03EF-580C-4968-AE19-29E02F9D9BE5}"/>
    <cellStyle name="Normal 13_HORAS HOMBRE" xfId="391" xr:uid="{00000000-0005-0000-0000-000029020000}"/>
    <cellStyle name="Normal 14" xfId="393" xr:uid="{00000000-0005-0000-0000-00002A020000}"/>
    <cellStyle name="Normal 15" xfId="394" xr:uid="{00000000-0005-0000-0000-00002B020000}"/>
    <cellStyle name="Normal 15 2" xfId="395" xr:uid="{00000000-0005-0000-0000-00002C020000}"/>
    <cellStyle name="Normal 15 2 2" xfId="396" xr:uid="{00000000-0005-0000-0000-00002D020000}"/>
    <cellStyle name="Normal 15 2 2 2" xfId="696" xr:uid="{00000000-0005-0000-0000-00002E020000}"/>
    <cellStyle name="Normal 15 2 2 2 2" xfId="1453" xr:uid="{D0412153-1EEA-4CCE-90C2-C1900BC289F5}"/>
    <cellStyle name="Normal 15 2 2 2 2 2" xfId="2622" xr:uid="{45A77011-5CDF-41AC-B3F7-33DD290297D1}"/>
    <cellStyle name="Normal 15 2 2 2 3" xfId="2034" xr:uid="{4E2E542A-D80E-42B0-B53F-19618D51296E}"/>
    <cellStyle name="Normal 15 2 2 3" xfId="1198" xr:uid="{171C2319-903D-4E72-BA33-C20A047F68AF}"/>
    <cellStyle name="Normal 15 2 2 3 2" xfId="2367" xr:uid="{D480A032-F405-4F73-828F-E99A33073C34}"/>
    <cellStyle name="Normal 15 2 2 4" xfId="1783" xr:uid="{A5B6E4C2-5380-4094-9A78-68F2213DA23E}"/>
    <cellStyle name="Normal 15 2 2_VOLUMENES PRODUCCION" xfId="874" xr:uid="{00000000-0005-0000-0000-00002F020000}"/>
    <cellStyle name="Normal 15 2 3" xfId="397" xr:uid="{00000000-0005-0000-0000-000030020000}"/>
    <cellStyle name="Normal 15 2 3 2" xfId="697" xr:uid="{00000000-0005-0000-0000-000031020000}"/>
    <cellStyle name="Normal 15 2 3 2 2" xfId="1454" xr:uid="{C29CF726-569F-444C-B952-0EA93A69BCC1}"/>
    <cellStyle name="Normal 15 2 3 2 2 2" xfId="2623" xr:uid="{6D0D4215-A0CA-422C-AB30-C6123034CBB3}"/>
    <cellStyle name="Normal 15 2 3 2 3" xfId="2035" xr:uid="{22C27E69-7A3B-4476-872E-84C494B5387D}"/>
    <cellStyle name="Normal 15 2 3 3" xfId="1199" xr:uid="{A748CEFF-E4A0-42A5-B471-610E8F6B4C4B}"/>
    <cellStyle name="Normal 15 2 3 3 2" xfId="2368" xr:uid="{61880F1B-0F55-4340-9D99-76BB4C6DF6F2}"/>
    <cellStyle name="Normal 15 2 3 4" xfId="1784" xr:uid="{A713E241-5955-40C5-B9CF-93D829D3C5AD}"/>
    <cellStyle name="Normal 15 2 3_VOLUMENES PRODUCCION" xfId="875" xr:uid="{00000000-0005-0000-0000-000032020000}"/>
    <cellStyle name="Normal 15 2 4" xfId="398" xr:uid="{00000000-0005-0000-0000-000033020000}"/>
    <cellStyle name="Normal 15 2 4 2" xfId="698" xr:uid="{00000000-0005-0000-0000-000034020000}"/>
    <cellStyle name="Normal 15 2 4 2 2" xfId="1455" xr:uid="{EA6D52A5-FB06-4C70-833C-5632EF5AC8FD}"/>
    <cellStyle name="Normal 15 2 4 2 2 2" xfId="2624" xr:uid="{4771411F-BC12-4010-9841-B309A1105576}"/>
    <cellStyle name="Normal 15 2 4 2 3" xfId="2036" xr:uid="{BAB0A833-C6A7-4086-B1E0-F321F4F550A9}"/>
    <cellStyle name="Normal 15 2 4 3" xfId="1200" xr:uid="{2C62AF42-B4F5-4626-8633-512921693841}"/>
    <cellStyle name="Normal 15 2 4 3 2" xfId="2369" xr:uid="{F325037E-FAA4-40F9-83F6-77D8E7354A67}"/>
    <cellStyle name="Normal 15 2 4 4" xfId="1785" xr:uid="{9124DC4B-3FDC-4EB1-9892-A4E430B4B945}"/>
    <cellStyle name="Normal 15 2 4_VOLUMENES PRODUCCION" xfId="876" xr:uid="{00000000-0005-0000-0000-000035020000}"/>
    <cellStyle name="Normal 15 2 5" xfId="695" xr:uid="{00000000-0005-0000-0000-000036020000}"/>
    <cellStyle name="Normal 15 2 5 2" xfId="1452" xr:uid="{FD24EFCB-2A34-43A8-BBAE-8BF26802D54D}"/>
    <cellStyle name="Normal 15 2 5 2 2" xfId="2621" xr:uid="{A6023F96-2A5A-4AF3-A36C-BB3E421932B2}"/>
    <cellStyle name="Normal 15 2 5 3" xfId="2033" xr:uid="{3ADDC20E-43A1-4354-95CF-5EFE303D93AF}"/>
    <cellStyle name="Normal 15 2 6" xfId="1197" xr:uid="{40E38509-8B2C-48E3-AC21-ECC762AC0CDD}"/>
    <cellStyle name="Normal 15 2 6 2" xfId="2366" xr:uid="{3BE3722A-0DFF-4111-8250-F1B64774EF26}"/>
    <cellStyle name="Normal 15 2 7" xfId="1782" xr:uid="{DA237CF1-2BA1-494B-9A5C-EDA6357211DF}"/>
    <cellStyle name="Normal 15 2_VOLUMENES PRODUCCION" xfId="873" xr:uid="{00000000-0005-0000-0000-000037020000}"/>
    <cellStyle name="Normal 15 3" xfId="399" xr:uid="{00000000-0005-0000-0000-000038020000}"/>
    <cellStyle name="Normal 15 3 2" xfId="400" xr:uid="{00000000-0005-0000-0000-000039020000}"/>
    <cellStyle name="Normal 15 3 2 2" xfId="700" xr:uid="{00000000-0005-0000-0000-00003A020000}"/>
    <cellStyle name="Normal 15 3 2 2 2" xfId="1457" xr:uid="{CFB16719-ED2C-4A2D-B13E-46A5277CCACF}"/>
    <cellStyle name="Normal 15 3 2 2 2 2" xfId="2626" xr:uid="{44822087-DFD1-40C4-9951-45621B4BB021}"/>
    <cellStyle name="Normal 15 3 2 2 3" xfId="2038" xr:uid="{952721D8-704A-40D8-9783-D20DF03C7400}"/>
    <cellStyle name="Normal 15 3 2 3" xfId="1202" xr:uid="{A4308BAF-5ECA-4BC9-AE7E-334A191CD855}"/>
    <cellStyle name="Normal 15 3 2 3 2" xfId="2371" xr:uid="{5D4FE907-C508-440E-BDD5-78C0038FB915}"/>
    <cellStyle name="Normal 15 3 2 4" xfId="1787" xr:uid="{137D958B-AB94-4A04-B8F7-2ED9ED2B36C1}"/>
    <cellStyle name="Normal 15 3 2_VOLUMENES PRODUCCION" xfId="878" xr:uid="{00000000-0005-0000-0000-00003B020000}"/>
    <cellStyle name="Normal 15 3 3" xfId="401" xr:uid="{00000000-0005-0000-0000-00003C020000}"/>
    <cellStyle name="Normal 15 3 3 2" xfId="701" xr:uid="{00000000-0005-0000-0000-00003D020000}"/>
    <cellStyle name="Normal 15 3 3 2 2" xfId="1458" xr:uid="{BE681522-3ADF-4AD2-B262-2AE6E06CD880}"/>
    <cellStyle name="Normal 15 3 3 2 2 2" xfId="2627" xr:uid="{5BA21672-D2FF-4F07-8DDC-4328DA84499E}"/>
    <cellStyle name="Normal 15 3 3 2 3" xfId="2039" xr:uid="{F54D64C3-4C98-4ECA-A06D-3CB2DEB925B0}"/>
    <cellStyle name="Normal 15 3 3 3" xfId="1203" xr:uid="{94039DD2-F9E7-49B0-B3CE-2F0DCC353E69}"/>
    <cellStyle name="Normal 15 3 3 3 2" xfId="2372" xr:uid="{4E253FCA-3269-452D-A245-12237280E084}"/>
    <cellStyle name="Normal 15 3 3 4" xfId="1788" xr:uid="{C4CC6AF4-D6E1-4DB7-B5FD-9571F3C0391C}"/>
    <cellStyle name="Normal 15 3 3_VOLUMENES PRODUCCION" xfId="879" xr:uid="{00000000-0005-0000-0000-00003E020000}"/>
    <cellStyle name="Normal 15 3 4" xfId="402" xr:uid="{00000000-0005-0000-0000-00003F020000}"/>
    <cellStyle name="Normal 15 3 4 2" xfId="702" xr:uid="{00000000-0005-0000-0000-000040020000}"/>
    <cellStyle name="Normal 15 3 4 2 2" xfId="1459" xr:uid="{3E97EED0-ED79-4EA6-993B-CA835E61C68A}"/>
    <cellStyle name="Normal 15 3 4 2 2 2" xfId="2628" xr:uid="{4E8C9B6F-CD16-4415-BEA6-D202F576BF36}"/>
    <cellStyle name="Normal 15 3 4 2 3" xfId="2040" xr:uid="{E6E25B91-845F-4C3C-B345-7258519946A7}"/>
    <cellStyle name="Normal 15 3 4 3" xfId="1204" xr:uid="{565D8B44-FA96-4373-9BC3-A074B98F4F48}"/>
    <cellStyle name="Normal 15 3 4 3 2" xfId="2373" xr:uid="{1D45246B-91F7-42B3-8D70-0B93A2BE699E}"/>
    <cellStyle name="Normal 15 3 4 4" xfId="1789" xr:uid="{0E9DE9DA-60E4-41AA-AA61-B20159BE160A}"/>
    <cellStyle name="Normal 15 3 4_VOLUMENES PRODUCCION" xfId="880" xr:uid="{00000000-0005-0000-0000-000041020000}"/>
    <cellStyle name="Normal 15 3 5" xfId="699" xr:uid="{00000000-0005-0000-0000-000042020000}"/>
    <cellStyle name="Normal 15 3 5 2" xfId="1456" xr:uid="{50C39B31-0678-46C1-B14A-7E95443D4095}"/>
    <cellStyle name="Normal 15 3 5 2 2" xfId="2625" xr:uid="{85047C37-3838-4F4A-A7AC-1ABA2FADB463}"/>
    <cellStyle name="Normal 15 3 5 3" xfId="2037" xr:uid="{EA426C02-E5AA-4ECF-9FCD-62CADEB59F89}"/>
    <cellStyle name="Normal 15 3 6" xfId="1201" xr:uid="{884DF920-B259-498B-9228-54A57A27893C}"/>
    <cellStyle name="Normal 15 3 6 2" xfId="2370" xr:uid="{9B8EB2C8-ABA5-4680-B692-A633F77E3E0D}"/>
    <cellStyle name="Normal 15 3 7" xfId="1786" xr:uid="{DD06F495-B034-4E85-8C73-27236FE9B215}"/>
    <cellStyle name="Normal 15 3_VOLUMENES PRODUCCION" xfId="877" xr:uid="{00000000-0005-0000-0000-000043020000}"/>
    <cellStyle name="Normal 15 4" xfId="403" xr:uid="{00000000-0005-0000-0000-000044020000}"/>
    <cellStyle name="Normal 15 4 2" xfId="703" xr:uid="{00000000-0005-0000-0000-000045020000}"/>
    <cellStyle name="Normal 15 4 2 2" xfId="1460" xr:uid="{BD8A2ED1-D22D-40E4-9D08-612CD80935E0}"/>
    <cellStyle name="Normal 15 4 2 2 2" xfId="2629" xr:uid="{58287C0D-3B32-4334-9AF6-C86730B31BB7}"/>
    <cellStyle name="Normal 15 4 2 3" xfId="2041" xr:uid="{5DE1E6DE-095D-4230-84CC-6395017B44F4}"/>
    <cellStyle name="Normal 15 4 3" xfId="1205" xr:uid="{2D9F21A7-BB36-4516-9792-6692F58E3562}"/>
    <cellStyle name="Normal 15 4 3 2" xfId="2374" xr:uid="{AB70A59D-69EC-416F-BD14-AF5876979CD5}"/>
    <cellStyle name="Normal 15 4 4" xfId="1790" xr:uid="{62CF087B-9B2F-42EC-961E-5EDC380269D2}"/>
    <cellStyle name="Normal 15 4_VOLUMENES PRODUCCION" xfId="881" xr:uid="{00000000-0005-0000-0000-000046020000}"/>
    <cellStyle name="Normal 15 5" xfId="404" xr:uid="{00000000-0005-0000-0000-000047020000}"/>
    <cellStyle name="Normal 15 5 2" xfId="704" xr:uid="{00000000-0005-0000-0000-000048020000}"/>
    <cellStyle name="Normal 15 5 2 2" xfId="1461" xr:uid="{1970CEC0-DD4C-4157-BB70-70C6DD5757A9}"/>
    <cellStyle name="Normal 15 5 2 2 2" xfId="2630" xr:uid="{6EFD258F-AFA9-4F92-B7B4-6374949DFB59}"/>
    <cellStyle name="Normal 15 5 2 3" xfId="2042" xr:uid="{1B25CFB9-976A-48E9-8DED-0C2CA741D937}"/>
    <cellStyle name="Normal 15 5 3" xfId="1206" xr:uid="{B91CD31A-06D4-4940-A42D-32099EA9F929}"/>
    <cellStyle name="Normal 15 5 3 2" xfId="2375" xr:uid="{1A68D387-3739-4A18-9C34-285BEF82930C}"/>
    <cellStyle name="Normal 15 5 4" xfId="1791" xr:uid="{679ADAC1-E1D6-4594-B51E-9C132674E3A3}"/>
    <cellStyle name="Normal 15 5_VOLUMENES PRODUCCION" xfId="882" xr:uid="{00000000-0005-0000-0000-000049020000}"/>
    <cellStyle name="Normal 15 6" xfId="405" xr:uid="{00000000-0005-0000-0000-00004A020000}"/>
    <cellStyle name="Normal 15 6 2" xfId="705" xr:uid="{00000000-0005-0000-0000-00004B020000}"/>
    <cellStyle name="Normal 15 6 2 2" xfId="1462" xr:uid="{F539D0F4-8971-4509-9A14-C2E338F5A347}"/>
    <cellStyle name="Normal 15 6 2 2 2" xfId="2631" xr:uid="{8A98C67E-4F78-43E0-B000-6B244E694A4E}"/>
    <cellStyle name="Normal 15 6 2 3" xfId="2043" xr:uid="{CAA089C3-87CD-4C5F-9077-371FEA459F62}"/>
    <cellStyle name="Normal 15 6 3" xfId="1207" xr:uid="{D3A9AA76-FE17-4A48-BDDB-3D4B78A475F2}"/>
    <cellStyle name="Normal 15 6 3 2" xfId="2376" xr:uid="{1E960FCC-CFB3-4FA6-BE27-4FC13696056B}"/>
    <cellStyle name="Normal 15 6 4" xfId="1792" xr:uid="{C0C3B163-748C-4A55-A693-1776DE174E9F}"/>
    <cellStyle name="Normal 15 6_VOLUMENES PRODUCCION" xfId="883" xr:uid="{00000000-0005-0000-0000-00004C020000}"/>
    <cellStyle name="Normal 15 7" xfId="694" xr:uid="{00000000-0005-0000-0000-00004D020000}"/>
    <cellStyle name="Normal 15 7 2" xfId="1451" xr:uid="{5522C95B-8F2F-4CA4-ACFD-A7F72240BA6B}"/>
    <cellStyle name="Normal 15 7 2 2" xfId="2620" xr:uid="{1D14B571-E02D-4A68-A9E3-6EAB1AD0F6BB}"/>
    <cellStyle name="Normal 15 7 3" xfId="2032" xr:uid="{CE32FE88-0C26-4B5F-8339-3AB104083C38}"/>
    <cellStyle name="Normal 15 8" xfId="1196" xr:uid="{EAA6DBFB-0B5C-4B3A-AE61-4644F672CAED}"/>
    <cellStyle name="Normal 15 8 2" xfId="2365" xr:uid="{2CC5C4A9-D8E5-490A-8A0E-4E74B7E84D54}"/>
    <cellStyle name="Normal 15 9" xfId="1781" xr:uid="{8882FCB9-FD0F-4113-8F91-BDB2CD02245C}"/>
    <cellStyle name="Normal 15_VOLUMENES PRODUCCION" xfId="872" xr:uid="{00000000-0005-0000-0000-00004E020000}"/>
    <cellStyle name="Normal 16" xfId="406" xr:uid="{00000000-0005-0000-0000-00004F020000}"/>
    <cellStyle name="Normal 16 2" xfId="407" xr:uid="{00000000-0005-0000-0000-000050020000}"/>
    <cellStyle name="Normal 17" xfId="408" xr:uid="{00000000-0005-0000-0000-000051020000}"/>
    <cellStyle name="Normal 17 2" xfId="409" xr:uid="{00000000-0005-0000-0000-000052020000}"/>
    <cellStyle name="Normal 17 2 2" xfId="410" xr:uid="{00000000-0005-0000-0000-000053020000}"/>
    <cellStyle name="Normal 18" xfId="411" xr:uid="{00000000-0005-0000-0000-000054020000}"/>
    <cellStyle name="Normal 18 2" xfId="412" xr:uid="{00000000-0005-0000-0000-000055020000}"/>
    <cellStyle name="Normal 18 2 2" xfId="707" xr:uid="{00000000-0005-0000-0000-000056020000}"/>
    <cellStyle name="Normal 18 2 2 2" xfId="1464" xr:uid="{A32FD070-6735-46E3-9599-D2BE250190C6}"/>
    <cellStyle name="Normal 18 2 2 2 2" xfId="2633" xr:uid="{FEC85DD9-E5B6-42D9-8BCC-EABF03BA174B}"/>
    <cellStyle name="Normal 18 2 2 3" xfId="2045" xr:uid="{AD493B6D-542A-433E-848B-9105A75D410A}"/>
    <cellStyle name="Normal 18 2 3" xfId="1209" xr:uid="{2F8CB03E-3B28-46FF-A4E5-10F45FB6D083}"/>
    <cellStyle name="Normal 18 2 3 2" xfId="2378" xr:uid="{ED85BEAF-A9DB-4059-ACCF-034DB367D722}"/>
    <cellStyle name="Normal 18 2 4" xfId="1794" xr:uid="{50A8F642-6ECB-48D9-984F-87630479195D}"/>
    <cellStyle name="Normal 18 2_VOLUMENES PRODUCCION" xfId="885" xr:uid="{00000000-0005-0000-0000-000057020000}"/>
    <cellStyle name="Normal 18 3" xfId="413" xr:uid="{00000000-0005-0000-0000-000058020000}"/>
    <cellStyle name="Normal 18 3 2" xfId="708" xr:uid="{00000000-0005-0000-0000-000059020000}"/>
    <cellStyle name="Normal 18 3 2 2" xfId="1465" xr:uid="{A600FD1D-CD89-463D-B380-C10466731519}"/>
    <cellStyle name="Normal 18 3 2 2 2" xfId="2634" xr:uid="{730A98FE-2D5A-423B-A52B-526D3B72D541}"/>
    <cellStyle name="Normal 18 3 2 3" xfId="2046" xr:uid="{CAA5B328-8F0C-4117-8315-2FDBA0FAB038}"/>
    <cellStyle name="Normal 18 3 3" xfId="1210" xr:uid="{BE02EC0C-A3AA-4AE8-BCF8-85563E1EC1AC}"/>
    <cellStyle name="Normal 18 3 3 2" xfId="2379" xr:uid="{AFFF3054-D3BA-41B2-92FA-97D0291873C4}"/>
    <cellStyle name="Normal 18 3 4" xfId="1795" xr:uid="{3A9FDEC1-0316-4728-A797-F9305AB8F392}"/>
    <cellStyle name="Normal 18 3_VOLUMENES PRODUCCION" xfId="886" xr:uid="{00000000-0005-0000-0000-00005A020000}"/>
    <cellStyle name="Normal 18 4" xfId="414" xr:uid="{00000000-0005-0000-0000-00005B020000}"/>
    <cellStyle name="Normal 18 4 2" xfId="709" xr:uid="{00000000-0005-0000-0000-00005C020000}"/>
    <cellStyle name="Normal 18 4 2 2" xfId="1466" xr:uid="{91B559A5-A7F6-4571-A136-730BC68BB418}"/>
    <cellStyle name="Normal 18 4 2 2 2" xfId="2635" xr:uid="{3E8DFD60-3B58-44F8-88CC-BCE145259F21}"/>
    <cellStyle name="Normal 18 4 2 3" xfId="2047" xr:uid="{957CE077-2860-4A12-9C87-B06981C61465}"/>
    <cellStyle name="Normal 18 4 3" xfId="1211" xr:uid="{C2B13AD9-C675-4C85-9D4E-E78798F2C776}"/>
    <cellStyle name="Normal 18 4 3 2" xfId="2380" xr:uid="{23200B36-A54C-4A61-8DCD-5BD528D9479C}"/>
    <cellStyle name="Normal 18 4 4" xfId="1796" xr:uid="{7EE89D63-6806-499D-B352-73E3B54E840B}"/>
    <cellStyle name="Normal 18 4_VOLUMENES PRODUCCION" xfId="887" xr:uid="{00000000-0005-0000-0000-00005D020000}"/>
    <cellStyle name="Normal 18 5" xfId="706" xr:uid="{00000000-0005-0000-0000-00005E020000}"/>
    <cellStyle name="Normal 18 5 2" xfId="1463" xr:uid="{BB763225-8065-4875-A8F7-276964853DF7}"/>
    <cellStyle name="Normal 18 5 2 2" xfId="2632" xr:uid="{5B2C5C6F-6AA4-494D-874E-810D01F352F0}"/>
    <cellStyle name="Normal 18 5 3" xfId="2044" xr:uid="{4CD82D2A-6B1C-408C-A933-ACCF6B3B67CD}"/>
    <cellStyle name="Normal 18 6" xfId="1208" xr:uid="{216EBDE0-80F0-4F17-B0B0-286BC704A83B}"/>
    <cellStyle name="Normal 18 6 2" xfId="2377" xr:uid="{30790AD1-454D-4EC4-9C75-E1E0868213ED}"/>
    <cellStyle name="Normal 18 7" xfId="1793" xr:uid="{08CE5A40-7B60-467F-BB57-52731304BE26}"/>
    <cellStyle name="Normal 18_VOLUMENES PRODUCCION" xfId="884" xr:uid="{00000000-0005-0000-0000-00005F020000}"/>
    <cellStyle name="Normal 19" xfId="415" xr:uid="{00000000-0005-0000-0000-000060020000}"/>
    <cellStyle name="Normal 19 2" xfId="416" xr:uid="{00000000-0005-0000-0000-000061020000}"/>
    <cellStyle name="Normal 19 2 2" xfId="711" xr:uid="{00000000-0005-0000-0000-000062020000}"/>
    <cellStyle name="Normal 19 2 2 2" xfId="1468" xr:uid="{1BD40A93-9F02-4E1A-B568-2F7596BE22F6}"/>
    <cellStyle name="Normal 19 2 2 2 2" xfId="2637" xr:uid="{6EFD1C2C-59A9-47AE-83BB-ED00B15ABA05}"/>
    <cellStyle name="Normal 19 2 2 3" xfId="2049" xr:uid="{4E3F0769-B445-4C1D-999C-B91E34E28F75}"/>
    <cellStyle name="Normal 19 2 3" xfId="1213" xr:uid="{95ED984D-DB48-482E-AEA8-4D1C25177F77}"/>
    <cellStyle name="Normal 19 2 3 2" xfId="2382" xr:uid="{C689D737-7653-46E6-AAE4-F3EA09F18E7F}"/>
    <cellStyle name="Normal 19 2 4" xfId="1798" xr:uid="{8B7987FD-C3C1-4AC8-9410-85CE08DC01F9}"/>
    <cellStyle name="Normal 19 2_VOLUMENES PRODUCCION" xfId="889" xr:uid="{00000000-0005-0000-0000-000063020000}"/>
    <cellStyle name="Normal 19 3" xfId="417" xr:uid="{00000000-0005-0000-0000-000064020000}"/>
    <cellStyle name="Normal 19 3 2" xfId="712" xr:uid="{00000000-0005-0000-0000-000065020000}"/>
    <cellStyle name="Normal 19 3 2 2" xfId="1469" xr:uid="{C33C871E-198C-4D88-8E27-063C433A9F5C}"/>
    <cellStyle name="Normal 19 3 2 2 2" xfId="2638" xr:uid="{6F6EEDB6-FF1C-42CB-8C73-64B606B98F2C}"/>
    <cellStyle name="Normal 19 3 2 3" xfId="2050" xr:uid="{B7C3F9D9-E3EF-4E4E-96F0-8AC33DD1A18D}"/>
    <cellStyle name="Normal 19 3 3" xfId="1214" xr:uid="{6FF0A8AC-359F-4B09-8270-E637D5DEAE9F}"/>
    <cellStyle name="Normal 19 3 3 2" xfId="2383" xr:uid="{B9C201E5-C8C4-4B10-A7E9-FA592B0F74D1}"/>
    <cellStyle name="Normal 19 3 4" xfId="1799" xr:uid="{B18C3189-963E-4FF9-AB15-594146FF70C8}"/>
    <cellStyle name="Normal 19 3_VOLUMENES PRODUCCION" xfId="890" xr:uid="{00000000-0005-0000-0000-000066020000}"/>
    <cellStyle name="Normal 19 4" xfId="418" xr:uid="{00000000-0005-0000-0000-000067020000}"/>
    <cellStyle name="Normal 19 4 2" xfId="713" xr:uid="{00000000-0005-0000-0000-000068020000}"/>
    <cellStyle name="Normal 19 4 2 2" xfId="1470" xr:uid="{E2742053-77B5-4C9F-A58C-2C6F53CECD74}"/>
    <cellStyle name="Normal 19 4 2 2 2" xfId="2639" xr:uid="{13C17655-B9A0-4142-AF4A-F301A012ECCF}"/>
    <cellStyle name="Normal 19 4 2 3" xfId="2051" xr:uid="{D3E20C81-A864-49E9-B3FC-1DEE2E0A48F7}"/>
    <cellStyle name="Normal 19 4 3" xfId="1215" xr:uid="{BD7BEBEB-8654-48E6-A885-A6C39AAFCCE1}"/>
    <cellStyle name="Normal 19 4 3 2" xfId="2384" xr:uid="{C085F29E-39A3-4553-B7DF-3E116C83C363}"/>
    <cellStyle name="Normal 19 4 4" xfId="1800" xr:uid="{316BCF2C-6D46-4F06-8B31-4E882A278928}"/>
    <cellStyle name="Normal 19 4_VOLUMENES PRODUCCION" xfId="891" xr:uid="{00000000-0005-0000-0000-000069020000}"/>
    <cellStyle name="Normal 19 5" xfId="710" xr:uid="{00000000-0005-0000-0000-00006A020000}"/>
    <cellStyle name="Normal 19 5 2" xfId="1467" xr:uid="{5C5E23CE-FAEB-45F8-BC1D-B42C6572F8D7}"/>
    <cellStyle name="Normal 19 5 2 2" xfId="2636" xr:uid="{80FF359A-B8C8-450F-91FD-3D9AD6465415}"/>
    <cellStyle name="Normal 19 5 3" xfId="2048" xr:uid="{59B77AF1-329E-4C28-8195-D6BF679D71F9}"/>
    <cellStyle name="Normal 19 6" xfId="1212" xr:uid="{05A2AA77-4A6A-4F79-9FFC-A63B71F7003D}"/>
    <cellStyle name="Normal 19 6 2" xfId="2381" xr:uid="{74B52CD8-4B2B-48D3-988F-E9DBBD8A1F8A}"/>
    <cellStyle name="Normal 19 7" xfId="1797" xr:uid="{709C280D-13D3-4ABE-87F0-43F42D5D2B2F}"/>
    <cellStyle name="Normal 19_VOLUMENES PRODUCCION" xfId="888" xr:uid="{00000000-0005-0000-0000-00006B020000}"/>
    <cellStyle name="Normal 2" xfId="41" xr:uid="{00000000-0005-0000-0000-00006C020000}"/>
    <cellStyle name="Normal 2 2" xfId="214" xr:uid="{00000000-0005-0000-0000-00006D020000}"/>
    <cellStyle name="Normal 2 2 2" xfId="599" xr:uid="{00000000-0005-0000-0000-00006E020000}"/>
    <cellStyle name="Normal 2 2 2 2" xfId="1362" xr:uid="{64655847-0695-4B39-BACC-21BD6B1BCE33}"/>
    <cellStyle name="Normal 2 2 2 2 2" xfId="2531" xr:uid="{F01147B7-3079-4617-8A88-4E24E0BC1623}"/>
    <cellStyle name="Normal 2 2 2 3" xfId="1943" xr:uid="{53714782-E268-4771-B3F4-36F24A96DF6D}"/>
    <cellStyle name="Normal 2 2 3" xfId="952" xr:uid="{00000000-0005-0000-0000-00006F020000}"/>
    <cellStyle name="Normal 2 2 4" xfId="1097" xr:uid="{170F31DB-2B91-44FF-975E-CD8347A28AE7}"/>
    <cellStyle name="Normal 2 2 4 2" xfId="2266" xr:uid="{89064323-F4EE-48D5-B662-922B6C48F04F}"/>
    <cellStyle name="Normal 2 2 5" xfId="1682" xr:uid="{DADD68C4-28D3-466D-A0FD-D7CE09EA7047}"/>
    <cellStyle name="Normal 2 2_VOLUMENES PRODUCCION" xfId="892" xr:uid="{00000000-0005-0000-0000-000070020000}"/>
    <cellStyle name="Normal 2 3" xfId="215" xr:uid="{00000000-0005-0000-0000-000071020000}"/>
    <cellStyle name="Normal 2 3 2" xfId="421" xr:uid="{00000000-0005-0000-0000-000072020000}"/>
    <cellStyle name="Normal 2 3 2 2" xfId="714" xr:uid="{00000000-0005-0000-0000-000073020000}"/>
    <cellStyle name="Normal 2 3 2 2 2" xfId="1471" xr:uid="{DBDD5432-7BA7-42D3-81AB-9B17975F9135}"/>
    <cellStyle name="Normal 2 3 2 2 2 2" xfId="2640" xr:uid="{8514782E-1207-4A35-A8CB-1D97712D7E6C}"/>
    <cellStyle name="Normal 2 3 2 2 3" xfId="2052" xr:uid="{250D9A71-5BCF-4994-8986-78F94839BC7F}"/>
    <cellStyle name="Normal 2 3 2 3" xfId="1216" xr:uid="{2DC12D57-D3EE-4810-9CDF-275AEA846024}"/>
    <cellStyle name="Normal 2 3 2 3 2" xfId="2385" xr:uid="{08FBCA10-D180-4572-97CB-428B2B58A5C7}"/>
    <cellStyle name="Normal 2 3 2 4" xfId="1801" xr:uid="{188192AD-2EC6-41B9-AB77-8346FA58B848}"/>
    <cellStyle name="Normal 2 3 2_VOLUMENES PRODUCCION" xfId="893" xr:uid="{00000000-0005-0000-0000-000074020000}"/>
    <cellStyle name="Normal 2 3 3" xfId="422" xr:uid="{00000000-0005-0000-0000-000075020000}"/>
    <cellStyle name="Normal 2 3 3 2" xfId="715" xr:uid="{00000000-0005-0000-0000-000076020000}"/>
    <cellStyle name="Normal 2 3 3 2 2" xfId="1472" xr:uid="{10C51216-D482-4FC4-BB61-E15E56686168}"/>
    <cellStyle name="Normal 2 3 3 2 2 2" xfId="2641" xr:uid="{AF3D53B7-38E7-45E3-A3F1-8C07D9BE1B64}"/>
    <cellStyle name="Normal 2 3 3 2 3" xfId="2053" xr:uid="{93B68F39-BC76-4E86-803F-4941FF8BBF4A}"/>
    <cellStyle name="Normal 2 3 3 3" xfId="1217" xr:uid="{BE09ED84-2D79-4005-84C4-CAD8CDBC21F3}"/>
    <cellStyle name="Normal 2 3 3 3 2" xfId="2386" xr:uid="{9291C423-A1F2-4290-81FA-460281378A3F}"/>
    <cellStyle name="Normal 2 3 3 4" xfId="1802" xr:uid="{6C996536-CDA2-49AF-8337-DA5D628EB177}"/>
    <cellStyle name="Normal 2 3 3_VOLUMENES PRODUCCION" xfId="894" xr:uid="{00000000-0005-0000-0000-000077020000}"/>
    <cellStyle name="Normal 2 3 4" xfId="423" xr:uid="{00000000-0005-0000-0000-000078020000}"/>
    <cellStyle name="Normal 2 3 4 2" xfId="716" xr:uid="{00000000-0005-0000-0000-000079020000}"/>
    <cellStyle name="Normal 2 3 4 2 2" xfId="1473" xr:uid="{93109230-FBB0-4ADD-BC90-F2FCD26ED710}"/>
    <cellStyle name="Normal 2 3 4 2 2 2" xfId="2642" xr:uid="{16C24B2B-1001-496B-B278-333149236834}"/>
    <cellStyle name="Normal 2 3 4 2 3" xfId="2054" xr:uid="{1FF73497-8533-466C-B8E0-B0603122A4F1}"/>
    <cellStyle name="Normal 2 3 4 3" xfId="1218" xr:uid="{B3B0471E-FA9D-4CFD-87E2-75ED15331525}"/>
    <cellStyle name="Normal 2 3 4 3 2" xfId="2387" xr:uid="{92C76EA0-B994-4BF1-8A6F-1849EB564114}"/>
    <cellStyle name="Normal 2 3 4 4" xfId="1803" xr:uid="{CA822ACC-4AF9-4919-BCA7-63994DB4754D}"/>
    <cellStyle name="Normal 2 3 4_VOLUMENES PRODUCCION" xfId="895" xr:uid="{00000000-0005-0000-0000-00007A020000}"/>
    <cellStyle name="Normal 2 3_HORAS HOMBRE" xfId="420" xr:uid="{00000000-0005-0000-0000-00007B020000}"/>
    <cellStyle name="Normal 2 4" xfId="424" xr:uid="{00000000-0005-0000-0000-00007C020000}"/>
    <cellStyle name="Normal 2 4 2" xfId="425" xr:uid="{00000000-0005-0000-0000-00007D020000}"/>
    <cellStyle name="Normal 2 4 2 2" xfId="718" xr:uid="{00000000-0005-0000-0000-00007E020000}"/>
    <cellStyle name="Normal 2 4 2 2 2" xfId="1475" xr:uid="{F976E9B9-80BF-47FE-84EC-872B0B0D00B0}"/>
    <cellStyle name="Normal 2 4 2 2 2 2" xfId="2644" xr:uid="{FA5C425C-0D97-44F8-9625-B7EE23F2A7E4}"/>
    <cellStyle name="Normal 2 4 2 2 3" xfId="2056" xr:uid="{F441A2DE-2E49-468B-A178-5329A85D5397}"/>
    <cellStyle name="Normal 2 4 2 3" xfId="1220" xr:uid="{3EA87023-49F4-48CA-93DB-862684CE11E8}"/>
    <cellStyle name="Normal 2 4 2 3 2" xfId="2389" xr:uid="{22BD503B-1650-466C-B078-9A3685FB952B}"/>
    <cellStyle name="Normal 2 4 2 4" xfId="1805" xr:uid="{2031451C-552B-4474-A49A-1E6A847C78F2}"/>
    <cellStyle name="Normal 2 4 2_VOLUMENES PRODUCCION" xfId="897" xr:uid="{00000000-0005-0000-0000-00007F020000}"/>
    <cellStyle name="Normal 2 4 3" xfId="426" xr:uid="{00000000-0005-0000-0000-000080020000}"/>
    <cellStyle name="Normal 2 4 3 2" xfId="719" xr:uid="{00000000-0005-0000-0000-000081020000}"/>
    <cellStyle name="Normal 2 4 3 2 2" xfId="1476" xr:uid="{501BB4C7-ABD5-4D73-B7C9-28980F191CDB}"/>
    <cellStyle name="Normal 2 4 3 2 2 2" xfId="2645" xr:uid="{D1ABA0B8-6E6D-4704-A8B2-CB79CCF1D729}"/>
    <cellStyle name="Normal 2 4 3 2 3" xfId="2057" xr:uid="{B5693589-A313-4461-89C8-177C579A5888}"/>
    <cellStyle name="Normal 2 4 3 3" xfId="1221" xr:uid="{D31B28E8-EC24-44D2-9E18-D66FFC5AD115}"/>
    <cellStyle name="Normal 2 4 3 3 2" xfId="2390" xr:uid="{ACB0F519-BD0C-4688-A855-D24158B2B2AF}"/>
    <cellStyle name="Normal 2 4 3 4" xfId="1806" xr:uid="{BBB311E1-DCEE-42BC-BB5D-703E7E2C707B}"/>
    <cellStyle name="Normal 2 4 3_VOLUMENES PRODUCCION" xfId="898" xr:uid="{00000000-0005-0000-0000-000082020000}"/>
    <cellStyle name="Normal 2 4 4" xfId="427" xr:uid="{00000000-0005-0000-0000-000083020000}"/>
    <cellStyle name="Normal 2 4 4 2" xfId="720" xr:uid="{00000000-0005-0000-0000-000084020000}"/>
    <cellStyle name="Normal 2 4 4 2 2" xfId="1477" xr:uid="{717F47BE-B99C-4FD0-BC1C-83C84DCE5CAA}"/>
    <cellStyle name="Normal 2 4 4 2 2 2" xfId="2646" xr:uid="{87E75AC1-553C-4C3D-A9D4-D718B057FB16}"/>
    <cellStyle name="Normal 2 4 4 2 3" xfId="2058" xr:uid="{943094F1-77DC-4C34-ACF5-295C8988D4BB}"/>
    <cellStyle name="Normal 2 4 4 3" xfId="1222" xr:uid="{765D5675-7C75-4CF5-909F-1ED0358924C4}"/>
    <cellStyle name="Normal 2 4 4 3 2" xfId="2391" xr:uid="{CE5BBF7C-1A73-455F-B1A1-47B4CDF1948A}"/>
    <cellStyle name="Normal 2 4 4 4" xfId="1807" xr:uid="{F6D8FE5C-834E-49FE-A5C4-ADBFA0F4E24D}"/>
    <cellStyle name="Normal 2 4 4_VOLUMENES PRODUCCION" xfId="899" xr:uid="{00000000-0005-0000-0000-000085020000}"/>
    <cellStyle name="Normal 2 4 5" xfId="717" xr:uid="{00000000-0005-0000-0000-000086020000}"/>
    <cellStyle name="Normal 2 4 5 2" xfId="1474" xr:uid="{AB66C89E-DC0F-4C4B-98FF-118541F64E9A}"/>
    <cellStyle name="Normal 2 4 5 2 2" xfId="2643" xr:uid="{F1FA4BA1-22EB-4C42-8F4C-61538459FC5A}"/>
    <cellStyle name="Normal 2 4 5 3" xfId="2055" xr:uid="{3471EF57-2C17-440F-A148-6022D4DF1221}"/>
    <cellStyle name="Normal 2 4 6" xfId="1219" xr:uid="{8A1C8C2B-0F9B-43CF-9484-A79BF01CBC96}"/>
    <cellStyle name="Normal 2 4 6 2" xfId="2388" xr:uid="{6AF72799-5BF4-456B-9349-E4F2A900C667}"/>
    <cellStyle name="Normal 2 4 7" xfId="1804" xr:uid="{1E538DDF-F054-48F4-9406-B64F54CADDBD}"/>
    <cellStyle name="Normal 2 4_VOLUMENES PRODUCCION" xfId="896" xr:uid="{00000000-0005-0000-0000-000087020000}"/>
    <cellStyle name="Normal 2 5" xfId="428" xr:uid="{00000000-0005-0000-0000-000088020000}"/>
    <cellStyle name="Normal 2 5 2" xfId="721" xr:uid="{00000000-0005-0000-0000-000089020000}"/>
    <cellStyle name="Normal 2 5 2 2" xfId="1478" xr:uid="{0CE68406-5E40-4DDC-A1F0-B874054FFC76}"/>
    <cellStyle name="Normal 2 5 2 2 2" xfId="2647" xr:uid="{D56F4FED-855F-41F7-A4CF-CB5C7BEE4749}"/>
    <cellStyle name="Normal 2 5 2 3" xfId="2059" xr:uid="{63734966-91C6-4A1D-944E-E17FA09E66AA}"/>
    <cellStyle name="Normal 2 5 3" xfId="1223" xr:uid="{2ADBE425-C407-4186-99F7-A17C4FED3BBA}"/>
    <cellStyle name="Normal 2 5 3 2" xfId="2392" xr:uid="{2EC5A18A-72CF-4214-9DD5-81EB722381A2}"/>
    <cellStyle name="Normal 2 5 4" xfId="1808" xr:uid="{8D3EB2CC-4DF3-4802-BD81-46943122407C}"/>
    <cellStyle name="Normal 2 5_VOLUMENES PRODUCCION" xfId="900" xr:uid="{00000000-0005-0000-0000-00008A020000}"/>
    <cellStyle name="Normal 2 6" xfId="429" xr:uid="{00000000-0005-0000-0000-00008B020000}"/>
    <cellStyle name="Normal 2 6 2" xfId="722" xr:uid="{00000000-0005-0000-0000-00008C020000}"/>
    <cellStyle name="Normal 2 6 2 2" xfId="1479" xr:uid="{12697906-7C28-4283-BB19-BAC521B43ED4}"/>
    <cellStyle name="Normal 2 6 2 2 2" xfId="2648" xr:uid="{710A7C3A-8FC4-4813-9347-5F35FD95B0FA}"/>
    <cellStyle name="Normal 2 6 2 3" xfId="2060" xr:uid="{91B4190F-B2CB-477F-8C4E-2C1D33BED9D5}"/>
    <cellStyle name="Normal 2 6 3" xfId="1224" xr:uid="{484AD829-682F-4FC3-812C-41348C41E2A7}"/>
    <cellStyle name="Normal 2 6 3 2" xfId="2393" xr:uid="{69C1E532-0FF4-4411-8443-20DDAED6B9B3}"/>
    <cellStyle name="Normal 2 6 4" xfId="1809" xr:uid="{F6962D26-0FAF-489D-84F9-E5D2A2265D74}"/>
    <cellStyle name="Normal 2 6_VOLUMENES PRODUCCION" xfId="901" xr:uid="{00000000-0005-0000-0000-00008D020000}"/>
    <cellStyle name="Normal 2 7" xfId="430" xr:uid="{00000000-0005-0000-0000-00008E020000}"/>
    <cellStyle name="Normal 2 7 2" xfId="723" xr:uid="{00000000-0005-0000-0000-00008F020000}"/>
    <cellStyle name="Normal 2 7 2 2" xfId="1480" xr:uid="{C0751AA1-5D69-4C5E-B202-C3727187BB75}"/>
    <cellStyle name="Normal 2 7 2 2 2" xfId="2649" xr:uid="{A746946A-35D9-40A1-94B6-C8E67F5CD0C7}"/>
    <cellStyle name="Normal 2 7 2 3" xfId="2061" xr:uid="{1FD01E34-E7A3-4721-BE2D-DCEEE60E0111}"/>
    <cellStyle name="Normal 2 7 3" xfId="1225" xr:uid="{6F4DEB23-2BCA-4EBC-B23D-9D43F9D1C0EC}"/>
    <cellStyle name="Normal 2 7 3 2" xfId="2394" xr:uid="{DFD4781B-7DF4-4F36-8AF6-C257F1FCBE14}"/>
    <cellStyle name="Normal 2 7 4" xfId="1810" xr:uid="{C6EB4ADD-8CE2-45E7-9938-763EE1B75D88}"/>
    <cellStyle name="Normal 2 7_VOLUMENES PRODUCCION" xfId="902" xr:uid="{00000000-0005-0000-0000-000090020000}"/>
    <cellStyle name="Normal 2 8" xfId="970" xr:uid="{6318870D-B05C-4BCD-8079-A9DDC6B3F8C6}"/>
    <cellStyle name="Normal 2 8 2" xfId="1572" xr:uid="{C7DCBEF8-E1A2-49F5-AA0D-133F43E20ED5}"/>
    <cellStyle name="Normal 2 8 2 2" xfId="2741" xr:uid="{CFC075A8-A1B0-43C5-B2CE-9BD1A3EB23AE}"/>
    <cellStyle name="Normal 2 8 3" xfId="2153" xr:uid="{DDE79AF7-0922-41B6-9A61-2AA47E65A55D}"/>
    <cellStyle name="Normal 2 9" xfId="975" xr:uid="{7F086A3E-535C-4E99-8E8B-79D7ED13E228}"/>
    <cellStyle name="Normal 2_HORAS HOMBRE" xfId="419" xr:uid="{00000000-0005-0000-0000-000091020000}"/>
    <cellStyle name="Normal 20" xfId="431" xr:uid="{00000000-0005-0000-0000-000092020000}"/>
    <cellStyle name="Normal 20 2" xfId="432" xr:uid="{00000000-0005-0000-0000-000093020000}"/>
    <cellStyle name="Normal 20 3" xfId="433" xr:uid="{00000000-0005-0000-0000-000094020000}"/>
    <cellStyle name="Normal 21" xfId="434" xr:uid="{00000000-0005-0000-0000-000095020000}"/>
    <cellStyle name="Normal 21 2" xfId="724" xr:uid="{00000000-0005-0000-0000-000096020000}"/>
    <cellStyle name="Normal 21 2 2" xfId="1481" xr:uid="{D4FDEE9D-4B57-4D69-AC08-2512808B2C3D}"/>
    <cellStyle name="Normal 21 2 2 2" xfId="2650" xr:uid="{D474B9A1-1873-4F40-BD62-963129BDCF07}"/>
    <cellStyle name="Normal 21 2 3" xfId="2062" xr:uid="{0523677B-FA03-44DA-BBE9-C17935A38955}"/>
    <cellStyle name="Normal 21 3" xfId="1226" xr:uid="{789381D4-B4EC-4AA7-BA6C-BFCD0E7025D5}"/>
    <cellStyle name="Normal 21 3 2" xfId="2395" xr:uid="{971A8BE9-46FA-4AEA-A478-9E85E1DCF8D7}"/>
    <cellStyle name="Normal 21 4" xfId="1811" xr:uid="{7F2D8CAF-5943-4036-ADD1-4284BDBF8B7B}"/>
    <cellStyle name="Normal 21_VOLUMENES PRODUCCION" xfId="903" xr:uid="{00000000-0005-0000-0000-000097020000}"/>
    <cellStyle name="Normal 22" xfId="435" xr:uid="{00000000-0005-0000-0000-000098020000}"/>
    <cellStyle name="Normal 22 2" xfId="725" xr:uid="{00000000-0005-0000-0000-000099020000}"/>
    <cellStyle name="Normal 22 2 2" xfId="1482" xr:uid="{BB4B0C14-7134-4147-9D46-663D99627D41}"/>
    <cellStyle name="Normal 22 2 2 2" xfId="2651" xr:uid="{C2157FCA-CB90-4045-A6A0-14D23C560392}"/>
    <cellStyle name="Normal 22 2 3" xfId="2063" xr:uid="{F9F35BDB-2E9A-4EBD-BE36-EAFD7DA29F9C}"/>
    <cellStyle name="Normal 22 3" xfId="1227" xr:uid="{904EC85C-0416-4AB4-B45B-CFE019669F78}"/>
    <cellStyle name="Normal 22 3 2" xfId="2396" xr:uid="{CCC4AA76-7E16-47F2-BA2E-E2F4D52D75C9}"/>
    <cellStyle name="Normal 22 4" xfId="1812" xr:uid="{197E1229-E983-4465-B1B1-D0226A16CF3F}"/>
    <cellStyle name="Normal 22_VOLUMENES PRODUCCION" xfId="904" xr:uid="{00000000-0005-0000-0000-00009A020000}"/>
    <cellStyle name="Normal 23" xfId="436" xr:uid="{00000000-0005-0000-0000-00009B020000}"/>
    <cellStyle name="Normal 23 2" xfId="726" xr:uid="{00000000-0005-0000-0000-00009C020000}"/>
    <cellStyle name="Normal 23 2 2" xfId="1483" xr:uid="{3FEAF53E-0C6C-46D3-A296-737796DC48DF}"/>
    <cellStyle name="Normal 23 2 2 2" xfId="2652" xr:uid="{7CE50B71-0764-491E-A170-B62427C82E0E}"/>
    <cellStyle name="Normal 23 2 3" xfId="2064" xr:uid="{52E25FBD-3C9B-4AAF-8AE2-8960A83BFF55}"/>
    <cellStyle name="Normal 23 3" xfId="1228" xr:uid="{0536A0B5-E2BC-4E95-AE94-4D35F2E3EC88}"/>
    <cellStyle name="Normal 23 3 2" xfId="2397" xr:uid="{ECC6F9F2-EE9B-4E0D-B878-5031C0EB22CF}"/>
    <cellStyle name="Normal 23 4" xfId="1813" xr:uid="{90EFBFEF-BD06-4517-971E-84B4A38F8399}"/>
    <cellStyle name="Normal 23_VOLUMENES PRODUCCION" xfId="905" xr:uid="{00000000-0005-0000-0000-00009D020000}"/>
    <cellStyle name="Normal 24" xfId="437" xr:uid="{00000000-0005-0000-0000-00009E020000}"/>
    <cellStyle name="Normal 24 2" xfId="727" xr:uid="{00000000-0005-0000-0000-00009F020000}"/>
    <cellStyle name="Normal 24 2 2" xfId="1484" xr:uid="{82B67241-9BDE-48BC-AF37-1AA02B4365BB}"/>
    <cellStyle name="Normal 24 2 2 2" xfId="2653" xr:uid="{AADF1B02-1AA0-4709-A35F-1A4CBA304B99}"/>
    <cellStyle name="Normal 24 2 3" xfId="2065" xr:uid="{D36B1FAB-BF96-4B78-AB8F-F547E4857CB1}"/>
    <cellStyle name="Normal 24 3" xfId="1229" xr:uid="{B5D6D1D9-033A-4261-A0E8-3005BAEB6B92}"/>
    <cellStyle name="Normal 24 3 2" xfId="2398" xr:uid="{A51D435C-C9AB-490E-8E7D-C80688FA4AC2}"/>
    <cellStyle name="Normal 24 4" xfId="1814" xr:uid="{1522EE93-F580-4249-B60C-37ED86FD4A30}"/>
    <cellStyle name="Normal 24_VOLUMENES PRODUCCION" xfId="906" xr:uid="{00000000-0005-0000-0000-0000A0020000}"/>
    <cellStyle name="Normal 25" xfId="438" xr:uid="{00000000-0005-0000-0000-0000A1020000}"/>
    <cellStyle name="Normal 25 2" xfId="728" xr:uid="{00000000-0005-0000-0000-0000A2020000}"/>
    <cellStyle name="Normal 25 2 2" xfId="1485" xr:uid="{F0AAEF3B-8749-4A35-BD4A-CA2C592011C7}"/>
    <cellStyle name="Normal 25 2 2 2" xfId="2654" xr:uid="{ABE7FE50-98B4-41A8-9274-D685056AD0E7}"/>
    <cellStyle name="Normal 25 2 3" xfId="2066" xr:uid="{D09483F1-795A-47E5-A3A9-2658B332E8C5}"/>
    <cellStyle name="Normal 25 3" xfId="1230" xr:uid="{A5B008CE-AA69-429E-9009-0F93D12CBF8B}"/>
    <cellStyle name="Normal 25 3 2" xfId="2399" xr:uid="{20665E0F-808B-4085-8A2E-5EEC7F53EE19}"/>
    <cellStyle name="Normal 25 4" xfId="1815" xr:uid="{23416D09-81A3-4033-B025-014970CA1A48}"/>
    <cellStyle name="Normal 25_VOLUMENES PRODUCCION" xfId="907" xr:uid="{00000000-0005-0000-0000-0000A3020000}"/>
    <cellStyle name="Normal 26" xfId="439" xr:uid="{00000000-0005-0000-0000-0000A4020000}"/>
    <cellStyle name="Normal 26 2" xfId="729" xr:uid="{00000000-0005-0000-0000-0000A5020000}"/>
    <cellStyle name="Normal 26 2 2" xfId="1486" xr:uid="{DAF52955-B71C-4089-BDB8-86CD999C3540}"/>
    <cellStyle name="Normal 26 2 2 2" xfId="2655" xr:uid="{BDDDCF0A-AAA5-4C58-859E-65DF45C56652}"/>
    <cellStyle name="Normal 26 2 3" xfId="2067" xr:uid="{8C6C8FBA-A8FB-446F-9C21-592C6F799627}"/>
    <cellStyle name="Normal 26 3" xfId="1231" xr:uid="{A07F54F3-03F8-4459-BC5F-976D8191F6B8}"/>
    <cellStyle name="Normal 26 3 2" xfId="2400" xr:uid="{0F88721D-76AD-4016-9FA2-2CD7F6F691A4}"/>
    <cellStyle name="Normal 26 4" xfId="1816" xr:uid="{072AB4CA-FCF2-406E-9337-16D72E3D619E}"/>
    <cellStyle name="Normal 26_VOLUMENES PRODUCCION" xfId="908" xr:uid="{00000000-0005-0000-0000-0000A6020000}"/>
    <cellStyle name="Normal 27" xfId="501" xr:uid="{00000000-0005-0000-0000-0000A7020000}"/>
    <cellStyle name="Normal 27 2" xfId="779" xr:uid="{00000000-0005-0000-0000-0000A8020000}"/>
    <cellStyle name="Normal 27 2 2" xfId="1534" xr:uid="{A538C77A-7810-4222-BA5C-AB69300BF93D}"/>
    <cellStyle name="Normal 27 2 2 2" xfId="2703" xr:uid="{9AEB2796-5ECF-4F0D-81A4-6E9FF977ADF8}"/>
    <cellStyle name="Normal 27 2 3" xfId="2115" xr:uid="{3391925C-02F3-4BB0-8214-3D71DFFD9EE5}"/>
    <cellStyle name="Normal 27 3" xfId="1284" xr:uid="{980CA9BE-8785-42A0-A15E-DF3BCA5AB8D8}"/>
    <cellStyle name="Normal 27 3 2" xfId="2453" xr:uid="{AF6607AB-5C3F-49ED-8308-17CAE4DB5C53}"/>
    <cellStyle name="Normal 27 4" xfId="1866" xr:uid="{EB60E152-CCA4-4DAA-B922-C4F9B8944DAA}"/>
    <cellStyle name="Normal 27_VOLUMENES PRODUCCION" xfId="909" xr:uid="{00000000-0005-0000-0000-0000A9020000}"/>
    <cellStyle name="Normal 28" xfId="502" xr:uid="{00000000-0005-0000-0000-0000AA020000}"/>
    <cellStyle name="Normal 28 2" xfId="780" xr:uid="{00000000-0005-0000-0000-0000AB020000}"/>
    <cellStyle name="Normal 28 2 2" xfId="1535" xr:uid="{D3BE71BA-E183-4D86-8B52-43601F771DE7}"/>
    <cellStyle name="Normal 28 2 2 2" xfId="2704" xr:uid="{2AFF90E3-112C-416C-A9CF-A90BB1F6B7D3}"/>
    <cellStyle name="Normal 28 2 3" xfId="2116" xr:uid="{760CC14D-ED35-4DE6-9286-863C0C6366A0}"/>
    <cellStyle name="Normal 28 3" xfId="1285" xr:uid="{AF72EE47-904B-4131-AFC3-385816CB5543}"/>
    <cellStyle name="Normal 28 3 2" xfId="2454" xr:uid="{8C037E75-176E-48CD-9FBA-1F693B094B93}"/>
    <cellStyle name="Normal 28 4" xfId="1867" xr:uid="{35C24A48-4988-46DB-B577-A77F30CF24F6}"/>
    <cellStyle name="Normal 28_VOLUMENES PRODUCCION" xfId="910" xr:uid="{00000000-0005-0000-0000-0000AC020000}"/>
    <cellStyle name="Normal 29" xfId="504" xr:uid="{00000000-0005-0000-0000-0000AD020000}"/>
    <cellStyle name="Normal 29 2" xfId="781" xr:uid="{00000000-0005-0000-0000-0000AE020000}"/>
    <cellStyle name="Normal 29 2 2" xfId="1536" xr:uid="{DBF28929-8C36-4548-ABF1-13210BB692E7}"/>
    <cellStyle name="Normal 29 2 2 2" xfId="2705" xr:uid="{5851C1FD-A3D5-425C-95F8-F73EB6F20792}"/>
    <cellStyle name="Normal 29 2 3" xfId="2117" xr:uid="{63824B42-D5F3-4563-98FC-C7F7A28B3C70}"/>
    <cellStyle name="Normal 29 3" xfId="1286" xr:uid="{CCD8C309-037A-4700-8FA7-7327AD2D7E59}"/>
    <cellStyle name="Normal 29 3 2" xfId="2455" xr:uid="{21801CB5-8822-4EC1-B1E2-298C4F50F282}"/>
    <cellStyle name="Normal 29 4" xfId="1868" xr:uid="{0C2F8E12-621E-4847-B96F-5D22F6F7E700}"/>
    <cellStyle name="Normal 29_VOLUMENES PRODUCCION" xfId="911" xr:uid="{00000000-0005-0000-0000-0000AF020000}"/>
    <cellStyle name="Normal 3" xfId="43" xr:uid="{00000000-0005-0000-0000-0000B0020000}"/>
    <cellStyle name="Normal 3 10" xfId="934" xr:uid="{00000000-0005-0000-0000-0000B1020000}"/>
    <cellStyle name="Normal 3 10 2" xfId="1541" xr:uid="{100033BD-79E5-4710-8ABC-75B3A92FB69D}"/>
    <cellStyle name="Normal 3 10 2 2" xfId="2710" xr:uid="{7B39F2E5-A6CC-409B-9E87-B545FE5E5E8B}"/>
    <cellStyle name="Normal 3 10 3" xfId="2122" xr:uid="{787AAFCD-D162-47D2-AE08-6440D2224519}"/>
    <cellStyle name="Normal 3 11" xfId="936" xr:uid="{00000000-0005-0000-0000-0000B2020000}"/>
    <cellStyle name="Normal 3 11 2" xfId="1543" xr:uid="{F0381CAF-FF10-4E25-93FB-DFD345655C33}"/>
    <cellStyle name="Normal 3 11 2 2" xfId="2712" xr:uid="{4216A7F7-A63B-459E-A70A-286EB133BBD1}"/>
    <cellStyle name="Normal 3 11 3" xfId="2124" xr:uid="{20D23040-6285-4A35-866B-1ED167444F07}"/>
    <cellStyle name="Normal 3 12" xfId="963" xr:uid="{00000000-0005-0000-0000-0000B3020000}"/>
    <cellStyle name="Normal 3 12 2" xfId="1566" xr:uid="{05DA346F-6CC8-4612-BEE9-089CEE7BCE20}"/>
    <cellStyle name="Normal 3 12 2 2" xfId="2735" xr:uid="{32B0C775-75FF-4146-8557-BE8FF51F24A2}"/>
    <cellStyle name="Normal 3 12 3" xfId="2147" xr:uid="{DDC2DB5C-EF4D-4C2A-9D28-0232AEE7B1A0}"/>
    <cellStyle name="Normal 3 13" xfId="967" xr:uid="{00000000-0005-0000-0000-0000B4020000}"/>
    <cellStyle name="Normal 3 13 2" xfId="1569" xr:uid="{50F32B4B-961E-4DEE-990E-8F327A7B5DA5}"/>
    <cellStyle name="Normal 3 13 2 2" xfId="2738" xr:uid="{719F44F1-47E0-47DA-B2D0-9B40F972545C}"/>
    <cellStyle name="Normal 3 13 3" xfId="2150" xr:uid="{CE0020B8-C8D4-4D9A-830C-81B98B1091FC}"/>
    <cellStyle name="Normal 3 14" xfId="972" xr:uid="{2C59DB1E-EA45-41E3-BD5D-6438D2859207}"/>
    <cellStyle name="Normal 3 14 2" xfId="1574" xr:uid="{B9D22528-0997-43B4-B8BC-1C1C89821589}"/>
    <cellStyle name="Normal 3 14 2 2" xfId="2743" xr:uid="{141A3482-8619-40DC-A588-21FEFAC03DCC}"/>
    <cellStyle name="Normal 3 14 3" xfId="2155" xr:uid="{78ACAE8A-E179-48C2-BEA2-479D577019FE}"/>
    <cellStyle name="Normal 3 15" xfId="995" xr:uid="{89CA0EFC-A5EC-49B8-8F74-2BE62D5CDD32}"/>
    <cellStyle name="Normal 3 15 2" xfId="1595" xr:uid="{EA8F8C35-D7E3-4AAE-9DF6-DAEC24F943D3}"/>
    <cellStyle name="Normal 3 15 2 2" xfId="2764" xr:uid="{06769988-8CA2-4AF5-82A1-42F3540EC892}"/>
    <cellStyle name="Normal 3 15 3" xfId="2176" xr:uid="{1E2C2B79-B333-4032-A1AA-BA629FA4D380}"/>
    <cellStyle name="Normal 3 16" xfId="1020" xr:uid="{DE84E82A-239D-49BA-8FA0-1B117D887F6B}"/>
    <cellStyle name="Normal 3 16 2" xfId="2189" xr:uid="{24203855-2EEE-493D-A8A9-D77C52A853A5}"/>
    <cellStyle name="Normal 3 17" xfId="1610" xr:uid="{23E39102-2CCE-480D-BF3A-BA1A63705854}"/>
    <cellStyle name="Normal 3 18" xfId="2780" xr:uid="{578BECC9-1262-4FE0-9522-7925D333D51A}"/>
    <cellStyle name="Normal 3 2" xfId="114" xr:uid="{00000000-0005-0000-0000-0000B5020000}"/>
    <cellStyle name="Normal 3 2 2" xfId="360" xr:uid="{00000000-0005-0000-0000-0000B6020000}"/>
    <cellStyle name="Normal 3 2 2 2" xfId="361" xr:uid="{00000000-0005-0000-0000-0000B7020000}"/>
    <cellStyle name="Normal 3 2 2 2 2" xfId="672" xr:uid="{00000000-0005-0000-0000-0000B8020000}"/>
    <cellStyle name="Normal 3 2 2 2 2 2" xfId="1430" xr:uid="{C8BEE394-441C-4429-9722-8611D33AF3B8}"/>
    <cellStyle name="Normal 3 2 2 2 2 2 2" xfId="2599" xr:uid="{77AECA3B-DD85-46AC-80A4-CDB077A1E857}"/>
    <cellStyle name="Normal 3 2 2 2 2 3" xfId="2011" xr:uid="{637A331F-FE50-4C4F-BE90-0C846301DDFD}"/>
    <cellStyle name="Normal 3 2 2 2 3" xfId="1175" xr:uid="{419DD210-A6CE-4AFB-8BC3-1552E087FECA}"/>
    <cellStyle name="Normal 3 2 2 2 3 2" xfId="2344" xr:uid="{488D1909-E479-4A53-9262-4C4CC1C71BB6}"/>
    <cellStyle name="Normal 3 2 2 2 4" xfId="1760" xr:uid="{8D21FBC5-41E3-41CE-8757-D00F00001A7B}"/>
    <cellStyle name="Normal 3 2 2 2_VOLUMENES PRODUCCION" xfId="913" xr:uid="{00000000-0005-0000-0000-0000B9020000}"/>
    <cellStyle name="Normal 3 2 2 3" xfId="671" xr:uid="{00000000-0005-0000-0000-0000BA020000}"/>
    <cellStyle name="Normal 3 2 2 3 2" xfId="1429" xr:uid="{66C7D51A-21A1-4C92-924A-453B1609DBFE}"/>
    <cellStyle name="Normal 3 2 2 3 2 2" xfId="2598" xr:uid="{C3C53D17-187D-484A-AE08-97C508A4E77C}"/>
    <cellStyle name="Normal 3 2 2 3 3" xfId="2010" xr:uid="{3172B35B-66D7-4212-B5CD-B483CC759D18}"/>
    <cellStyle name="Normal 3 2 2 4" xfId="1174" xr:uid="{A6FAB936-0BF3-4EEF-BC3D-22AE7A0EC318}"/>
    <cellStyle name="Normal 3 2 2 4 2" xfId="2343" xr:uid="{281CA817-B68F-4016-9737-42D540262362}"/>
    <cellStyle name="Normal 3 2 2 5" xfId="1759" xr:uid="{AD7E9329-0BC0-451C-AA59-A34B61DC0171}"/>
    <cellStyle name="Normal 3 2 2 6" xfId="2862" xr:uid="{21A119D9-4C9A-48FD-9091-CDDEA6698906}"/>
    <cellStyle name="Normal 3 2 2 7" xfId="2867" xr:uid="{74068F37-4A92-48E6-8B51-C8801FDDEFAF}"/>
    <cellStyle name="Normal 3 2 2_VOLUMENES PRODUCCION" xfId="912" xr:uid="{00000000-0005-0000-0000-0000BB020000}"/>
    <cellStyle name="Normal 3 2 3" xfId="362" xr:uid="{00000000-0005-0000-0000-0000BC020000}"/>
    <cellStyle name="Normal 3 2 3 2" xfId="673" xr:uid="{00000000-0005-0000-0000-0000BD020000}"/>
    <cellStyle name="Normal 3 2 3 2 2" xfId="1431" xr:uid="{0FCCE770-0A14-406A-B075-F8F481B480A9}"/>
    <cellStyle name="Normal 3 2 3 2 2 2" xfId="2600" xr:uid="{780DDEDD-D7ED-45F1-8310-FBDEA041267D}"/>
    <cellStyle name="Normal 3 2 3 2 3" xfId="2012" xr:uid="{B94A0D7A-B476-4A35-9284-8009A1A0A289}"/>
    <cellStyle name="Normal 3 2 3 3" xfId="1176" xr:uid="{DDBDA44C-551C-4B83-A832-EB81CFEEB246}"/>
    <cellStyle name="Normal 3 2 3 3 2" xfId="2345" xr:uid="{A8B282F9-8340-42CB-A265-F790EBB0E859}"/>
    <cellStyle name="Normal 3 2 3 4" xfId="1761" xr:uid="{4CB80204-5F2D-47B9-8FAE-AA066022B688}"/>
    <cellStyle name="Normal 3 2 3_VOLUMENES PRODUCCION" xfId="914" xr:uid="{00000000-0005-0000-0000-0000BE020000}"/>
    <cellStyle name="Normal 3 2_JABONERIA" xfId="359" xr:uid="{00000000-0005-0000-0000-0000BF020000}"/>
    <cellStyle name="Normal 3 3" xfId="363" xr:uid="{00000000-0005-0000-0000-0000C0020000}"/>
    <cellStyle name="Normal 3 3 2" xfId="364" xr:uid="{00000000-0005-0000-0000-0000C1020000}"/>
    <cellStyle name="Normal 3 3 2 2" xfId="675" xr:uid="{00000000-0005-0000-0000-0000C2020000}"/>
    <cellStyle name="Normal 3 3 2 2 2" xfId="1433" xr:uid="{EDED252A-A882-46C1-9CA5-7A513B25ED12}"/>
    <cellStyle name="Normal 3 3 2 2 2 2" xfId="2602" xr:uid="{615811B3-3916-4C5B-9E93-D54524F74ACF}"/>
    <cellStyle name="Normal 3 3 2 2 3" xfId="2014" xr:uid="{34475C4F-547E-4D9C-866D-F6F9663A3472}"/>
    <cellStyle name="Normal 3 3 2 3" xfId="1178" xr:uid="{698213B2-CECD-4959-845F-CE77C5E7175C}"/>
    <cellStyle name="Normal 3 3 2 3 2" xfId="2347" xr:uid="{0BFB67CE-3A2E-437F-9D10-5041D5904BF8}"/>
    <cellStyle name="Normal 3 3 2 4" xfId="1763" xr:uid="{1476B1BB-E24C-438D-B2BA-EB88587746BE}"/>
    <cellStyle name="Normal 3 3 2_VOLUMENES PRODUCCION" xfId="915" xr:uid="{00000000-0005-0000-0000-0000C3020000}"/>
    <cellStyle name="Normal 3 3 3" xfId="441" xr:uid="{00000000-0005-0000-0000-0000C4020000}"/>
    <cellStyle name="Normal 3 3 3 2" xfId="730" xr:uid="{00000000-0005-0000-0000-0000C5020000}"/>
    <cellStyle name="Normal 3 3 3 2 2" xfId="1487" xr:uid="{C3231E4D-F0F9-4265-99A8-5C1C6DE0F9C2}"/>
    <cellStyle name="Normal 3 3 3 2 2 2" xfId="2656" xr:uid="{ACFCB5C4-5BDF-4882-826C-7E54889E458D}"/>
    <cellStyle name="Normal 3 3 3 2 3" xfId="2068" xr:uid="{C493B6EA-4699-497A-AFF0-5654DEF4E581}"/>
    <cellStyle name="Normal 3 3 3 3" xfId="1232" xr:uid="{5A7C2973-9F6C-4907-BC84-123B78B169FF}"/>
    <cellStyle name="Normal 3 3 3 3 2" xfId="2401" xr:uid="{1070B4E3-9C6D-4BE9-8E74-628E92B8156C}"/>
    <cellStyle name="Normal 3 3 3 4" xfId="1817" xr:uid="{3999184D-A0C2-4035-BF72-58DA1EAC3A67}"/>
    <cellStyle name="Normal 3 3 3_VOLUMENES PRODUCCION" xfId="916" xr:uid="{00000000-0005-0000-0000-0000C6020000}"/>
    <cellStyle name="Normal 3 3 4" xfId="442" xr:uid="{00000000-0005-0000-0000-0000C7020000}"/>
    <cellStyle name="Normal 3 3 4 2" xfId="731" xr:uid="{00000000-0005-0000-0000-0000C8020000}"/>
    <cellStyle name="Normal 3 3 4 2 2" xfId="1488" xr:uid="{D21CDAE1-8EBA-4E6A-9E16-2E4BE2240E70}"/>
    <cellStyle name="Normal 3 3 4 2 2 2" xfId="2657" xr:uid="{CE397C21-8FD0-4838-BB1F-FA94F36F7095}"/>
    <cellStyle name="Normal 3 3 4 2 3" xfId="2069" xr:uid="{3FD62488-E45D-4C4B-9622-27EBCDD0A007}"/>
    <cellStyle name="Normal 3 3 4 3" xfId="1233" xr:uid="{0E4E024F-71FB-4059-836D-E77667A5AF0E}"/>
    <cellStyle name="Normal 3 3 4 3 2" xfId="2402" xr:uid="{083D4D93-E7A7-42A2-9CD9-9539BAE2DF1A}"/>
    <cellStyle name="Normal 3 3 4 4" xfId="1818" xr:uid="{B595C1FE-E0EE-4F93-BA16-2DACE509B190}"/>
    <cellStyle name="Normal 3 3 4_VOLUMENES PRODUCCION" xfId="917" xr:uid="{00000000-0005-0000-0000-0000C9020000}"/>
    <cellStyle name="Normal 3 3 5" xfId="674" xr:uid="{00000000-0005-0000-0000-0000CA020000}"/>
    <cellStyle name="Normal 3 3 5 2" xfId="1432" xr:uid="{8BB9EF88-471B-4343-A954-42CD3E38B57E}"/>
    <cellStyle name="Normal 3 3 5 2 2" xfId="2601" xr:uid="{963D1CDC-B5E3-4599-932E-B9D9CAA31393}"/>
    <cellStyle name="Normal 3 3 5 3" xfId="2013" xr:uid="{34C805CD-268E-4147-B4B0-80A4EEE3EBD8}"/>
    <cellStyle name="Normal 3 3 6" xfId="1177" xr:uid="{F620C3D4-7C17-484F-9D4C-72CFB905F0D1}"/>
    <cellStyle name="Normal 3 3 6 2" xfId="2346" xr:uid="{C0F69A58-77DB-4942-AD57-AE0F9D68FA05}"/>
    <cellStyle name="Normal 3 3 7" xfId="1762" xr:uid="{44BA3772-B65B-4D46-885C-2108173BDEF5}"/>
    <cellStyle name="Normal 3 3_HORAS HOMBRE" xfId="440" xr:uid="{00000000-0005-0000-0000-0000CB020000}"/>
    <cellStyle name="Normal 3 4" xfId="365" xr:uid="{00000000-0005-0000-0000-0000CC020000}"/>
    <cellStyle name="Normal 3 4 2" xfId="444" xr:uid="{00000000-0005-0000-0000-0000CD020000}"/>
    <cellStyle name="Normal 3 4 2 2" xfId="732" xr:uid="{00000000-0005-0000-0000-0000CE020000}"/>
    <cellStyle name="Normal 3 4 2 2 2" xfId="1489" xr:uid="{6D981A22-98E8-4B4A-8558-653BA5D3A6B5}"/>
    <cellStyle name="Normal 3 4 2 2 2 2" xfId="2658" xr:uid="{FDE93B44-CC58-401E-85C7-82D42ADE194D}"/>
    <cellStyle name="Normal 3 4 2 2 3" xfId="2070" xr:uid="{B99A06C9-E803-4F9E-AFC5-29FCD1B79776}"/>
    <cellStyle name="Normal 3 4 2 3" xfId="1234" xr:uid="{A45FC82C-3923-4A7D-A228-E8224B6C7D04}"/>
    <cellStyle name="Normal 3 4 2 3 2" xfId="2403" xr:uid="{4F99B808-52EF-407B-8986-371FE2AC5A85}"/>
    <cellStyle name="Normal 3 4 2 4" xfId="1819" xr:uid="{99C5B030-EA95-4F95-8DDE-99C1414A7B36}"/>
    <cellStyle name="Normal 3 4 2_VOLUMENES PRODUCCION" xfId="918" xr:uid="{00000000-0005-0000-0000-0000CF020000}"/>
    <cellStyle name="Normal 3 4 3" xfId="445" xr:uid="{00000000-0005-0000-0000-0000D0020000}"/>
    <cellStyle name="Normal 3 4 3 2" xfId="733" xr:uid="{00000000-0005-0000-0000-0000D1020000}"/>
    <cellStyle name="Normal 3 4 3 2 2" xfId="1490" xr:uid="{A4AE91EC-B4E0-40B8-A23E-CCA5F1E03D96}"/>
    <cellStyle name="Normal 3 4 3 2 2 2" xfId="2659" xr:uid="{119653A6-6052-48AC-8110-DFD728CFF7A4}"/>
    <cellStyle name="Normal 3 4 3 2 3" xfId="2071" xr:uid="{A6DD7923-0780-497D-95B7-ABE2377450AB}"/>
    <cellStyle name="Normal 3 4 3 3" xfId="1235" xr:uid="{A2B4CB71-9B07-451A-994A-73932395C5F1}"/>
    <cellStyle name="Normal 3 4 3 3 2" xfId="2404" xr:uid="{5A836565-E307-4FE6-9F3C-BC4F2384EB46}"/>
    <cellStyle name="Normal 3 4 3 4" xfId="1820" xr:uid="{5253B060-54A5-412B-95E7-47F0E3A7F781}"/>
    <cellStyle name="Normal 3 4 3_VOLUMENES PRODUCCION" xfId="919" xr:uid="{00000000-0005-0000-0000-0000D2020000}"/>
    <cellStyle name="Normal 3 4 4" xfId="446" xr:uid="{00000000-0005-0000-0000-0000D3020000}"/>
    <cellStyle name="Normal 3 4 4 2" xfId="734" xr:uid="{00000000-0005-0000-0000-0000D4020000}"/>
    <cellStyle name="Normal 3 4 4 2 2" xfId="1491" xr:uid="{82ADD91E-437E-4B8C-AFD5-B26E8960A573}"/>
    <cellStyle name="Normal 3 4 4 2 2 2" xfId="2660" xr:uid="{EF8A552E-6F67-409D-937F-A8CBD6C21D14}"/>
    <cellStyle name="Normal 3 4 4 2 3" xfId="2072" xr:uid="{0620B75C-B84D-4AA0-B719-3EFD6D7C5702}"/>
    <cellStyle name="Normal 3 4 4 3" xfId="1236" xr:uid="{026E18F2-C6D0-4439-BF9B-6F20A42BC94B}"/>
    <cellStyle name="Normal 3 4 4 3 2" xfId="2405" xr:uid="{19C79F25-EF4C-4F75-B907-2B96D67696B3}"/>
    <cellStyle name="Normal 3 4 4 4" xfId="1821" xr:uid="{302E42C7-AFC4-44FF-9D9A-87E82ED6450E}"/>
    <cellStyle name="Normal 3 4 4_VOLUMENES PRODUCCION" xfId="920" xr:uid="{00000000-0005-0000-0000-0000D5020000}"/>
    <cellStyle name="Normal 3 4 5" xfId="676" xr:uid="{00000000-0005-0000-0000-0000D6020000}"/>
    <cellStyle name="Normal 3 4 5 2" xfId="1434" xr:uid="{18FA3ADC-BE5B-47B4-A35E-34D40F0CE070}"/>
    <cellStyle name="Normal 3 4 5 2 2" xfId="2603" xr:uid="{75CE0371-21FF-4AFC-8A75-C3DA9BBAC25A}"/>
    <cellStyle name="Normal 3 4 5 3" xfId="2015" xr:uid="{708CCB1A-9355-4D6B-9063-FA44F8EC03E6}"/>
    <cellStyle name="Normal 3 4 6" xfId="1179" xr:uid="{26662CAD-6E49-443A-890C-CDAC55431700}"/>
    <cellStyle name="Normal 3 4 6 2" xfId="2348" xr:uid="{8811D71C-538E-41A5-A5FA-F42F9CE34F02}"/>
    <cellStyle name="Normal 3 4 7" xfId="1764" xr:uid="{88076532-F53A-403C-A42C-3E105FB64D8A}"/>
    <cellStyle name="Normal 3 4_HORAS HOMBRE" xfId="443" xr:uid="{00000000-0005-0000-0000-0000D7020000}"/>
    <cellStyle name="Normal 3 5" xfId="447" xr:uid="{00000000-0005-0000-0000-0000D8020000}"/>
    <cellStyle name="Normal 3 5 2" xfId="735" xr:uid="{00000000-0005-0000-0000-0000D9020000}"/>
    <cellStyle name="Normal 3 5 2 2" xfId="1492" xr:uid="{A51D8B3E-AAA6-4579-8F2B-A77B6C371864}"/>
    <cellStyle name="Normal 3 5 2 2 2" xfId="2661" xr:uid="{30200F71-BAEF-4E68-8CDE-8AF83E3F87AE}"/>
    <cellStyle name="Normal 3 5 2 3" xfId="2073" xr:uid="{040A1148-8604-493B-A315-149E3070BF40}"/>
    <cellStyle name="Normal 3 5 3" xfId="1237" xr:uid="{BABAC9E6-0529-495A-BFDD-53E347AC20DD}"/>
    <cellStyle name="Normal 3 5 3 2" xfId="2406" xr:uid="{70D8B91D-1C4C-488E-B41E-83706D5052D4}"/>
    <cellStyle name="Normal 3 5 4" xfId="1822" xr:uid="{5C6FE1EE-1149-41DA-B3B7-19D4A093E1F1}"/>
    <cellStyle name="Normal 3 5_VOLUMENES PRODUCCION" xfId="921" xr:uid="{00000000-0005-0000-0000-0000DA020000}"/>
    <cellStyle name="Normal 3 6" xfId="448" xr:uid="{00000000-0005-0000-0000-0000DB020000}"/>
    <cellStyle name="Normal 3 6 2" xfId="736" xr:uid="{00000000-0005-0000-0000-0000DC020000}"/>
    <cellStyle name="Normal 3 6 2 2" xfId="1493" xr:uid="{2481BFAA-BC28-44D5-A80A-09792661D7B7}"/>
    <cellStyle name="Normal 3 6 2 2 2" xfId="2662" xr:uid="{7E198509-9560-47FB-9AFD-869AD8A3139C}"/>
    <cellStyle name="Normal 3 6 2 3" xfId="2074" xr:uid="{3045B5FD-7FE2-4338-9B7B-147AEC26249D}"/>
    <cellStyle name="Normal 3 6 3" xfId="1238" xr:uid="{B9EA78DD-6919-473A-ACB4-C36217E45A0E}"/>
    <cellStyle name="Normal 3 6 3 2" xfId="2407" xr:uid="{2DEC229C-B2E9-4A29-AB0A-D72B1FE9BD6F}"/>
    <cellStyle name="Normal 3 6 4" xfId="1823" xr:uid="{1EF534BC-EB33-4F13-B653-8AF1A7E25FC9}"/>
    <cellStyle name="Normal 3 6_VOLUMENES PRODUCCION" xfId="922" xr:uid="{00000000-0005-0000-0000-0000DD020000}"/>
    <cellStyle name="Normal 3 7" xfId="449" xr:uid="{00000000-0005-0000-0000-0000DE020000}"/>
    <cellStyle name="Normal 3 7 2" xfId="737" xr:uid="{00000000-0005-0000-0000-0000DF020000}"/>
    <cellStyle name="Normal 3 7 2 2" xfId="1494" xr:uid="{890C271C-E7B3-4ECD-B5C0-28A2FE37B94A}"/>
    <cellStyle name="Normal 3 7 2 2 2" xfId="2663" xr:uid="{6F7A97FB-F94B-4029-B77E-62F1EB19031C}"/>
    <cellStyle name="Normal 3 7 2 3" xfId="2075" xr:uid="{D8D8E7B9-9D74-472C-8582-0BD0A495F65F}"/>
    <cellStyle name="Normal 3 7 3" xfId="1239" xr:uid="{A47EE1A6-7088-4CD0-B300-22F5688B0D66}"/>
    <cellStyle name="Normal 3 7 3 2" xfId="2408" xr:uid="{467A2C72-9BAC-4FEC-816C-FB3A4C58BDB0}"/>
    <cellStyle name="Normal 3 7 4" xfId="1824" xr:uid="{69E6B49C-BF24-463D-8BF4-7A57EE19AADC}"/>
    <cellStyle name="Normal 3 7_VOLUMENES PRODUCCION" xfId="923" xr:uid="{00000000-0005-0000-0000-0000E0020000}"/>
    <cellStyle name="Normal 3 8" xfId="519" xr:uid="{00000000-0005-0000-0000-0000E1020000}"/>
    <cellStyle name="Normal 3 8 2" xfId="1288" xr:uid="{949663A5-DC9D-425A-89FE-54A7B23B74B7}"/>
    <cellStyle name="Normal 3 8 2 2" xfId="2457" xr:uid="{73F8E67F-7FA4-4FB6-A016-7EC96C6D1128}"/>
    <cellStyle name="Normal 3 8 3" xfId="1870" xr:uid="{FBC22BFB-FB33-4788-AD2D-DFCDF74033EB}"/>
    <cellStyle name="Normal 3 9" xfId="931" xr:uid="{00000000-0005-0000-0000-0000E2020000}"/>
    <cellStyle name="Normal 3 9 2" xfId="1538" xr:uid="{4A5CCF91-0770-45B2-B5A1-269FA8EC1D99}"/>
    <cellStyle name="Normal 3 9 2 2" xfId="2707" xr:uid="{7A08B5F3-756E-4D7C-A6A3-C8D0610D2377}"/>
    <cellStyle name="Normal 3 9 3" xfId="2119" xr:uid="{0D0B13C1-BD82-404E-86F4-8A7B6332CB90}"/>
    <cellStyle name="Normal 3_Accid incapacitantes 2012-2016" xfId="143" xr:uid="{00000000-0005-0000-0000-0000E3020000}"/>
    <cellStyle name="Normal 30" xfId="505" xr:uid="{00000000-0005-0000-0000-0000E4020000}"/>
    <cellStyle name="Normal 30 2" xfId="1287" xr:uid="{BC896DD7-3DD0-4BEE-9B08-E5740821A75E}"/>
    <cellStyle name="Normal 30 2 2" xfId="2456" xr:uid="{2F4D6297-7636-4878-8259-38E32EE2A01C}"/>
    <cellStyle name="Normal 30 3" xfId="1869" xr:uid="{3BF698B0-7153-47C0-9804-F3855E6241DD}"/>
    <cellStyle name="Normal 31" xfId="930" xr:uid="{00000000-0005-0000-0000-0000E5020000}"/>
    <cellStyle name="Normal 31 2" xfId="1537" xr:uid="{2F0DE6AC-0C71-445E-89A8-38BD0DEE3E5D}"/>
    <cellStyle name="Normal 31 2 2" xfId="2706" xr:uid="{829DCA95-E536-4910-9DEB-0E3C3E823717}"/>
    <cellStyle name="Normal 31 3" xfId="2118" xr:uid="{61D8CA80-CEF6-45E4-B2E5-8D0E934618A9}"/>
    <cellStyle name="Normal 32" xfId="933" xr:uid="{00000000-0005-0000-0000-0000E6020000}"/>
    <cellStyle name="Normal 32 2" xfId="1540" xr:uid="{65A754E7-35C8-4DB1-908A-F346AEA75CB5}"/>
    <cellStyle name="Normal 32 2 2" xfId="2709" xr:uid="{24932B7F-B28B-4203-9071-B379804E0C3A}"/>
    <cellStyle name="Normal 32 3" xfId="2121" xr:uid="{8E9382F2-9E7F-494D-93DC-BD2A60148AC0}"/>
    <cellStyle name="Normal 33" xfId="935" xr:uid="{00000000-0005-0000-0000-0000E7020000}"/>
    <cellStyle name="Normal 33 2" xfId="1542" xr:uid="{E2500CB3-8CE8-4D89-906F-487CB3A900AB}"/>
    <cellStyle name="Normal 33 2 2" xfId="2711" xr:uid="{CDED9A9C-A948-4B8C-B678-A9085083E290}"/>
    <cellStyle name="Normal 33 3" xfId="2123" xr:uid="{6FFF57A2-8617-457D-8E62-73ABD899EAB3}"/>
    <cellStyle name="Normal 34" xfId="940" xr:uid="{00000000-0005-0000-0000-0000E8020000}"/>
    <cellStyle name="Normal 34 2" xfId="1547" xr:uid="{914747B1-366D-48FF-AD77-9673C12EFFCE}"/>
    <cellStyle name="Normal 34 2 2" xfId="2716" xr:uid="{4450371E-0619-4BAB-A82B-1E70B185CBC5}"/>
    <cellStyle name="Normal 34 3" xfId="2128" xr:uid="{96CCEECF-B1A8-4327-93F5-4F6D11AD4D5D}"/>
    <cellStyle name="Normal 35" xfId="962" xr:uid="{00000000-0005-0000-0000-0000E9020000}"/>
    <cellStyle name="Normal 35 2" xfId="1565" xr:uid="{28C2151F-B6FD-485A-B0F3-0251A5CFF75D}"/>
    <cellStyle name="Normal 35 2 2" xfId="2734" xr:uid="{8CA23904-3975-44AD-93D8-EFF4530B90EF}"/>
    <cellStyle name="Normal 35 3" xfId="2146" xr:uid="{A5B06E10-A59A-416B-BA5C-3CBCD279B980}"/>
    <cellStyle name="Normal 36" xfId="966" xr:uid="{00000000-0005-0000-0000-0000EA020000}"/>
    <cellStyle name="Normal 36 2" xfId="1568" xr:uid="{F5547B24-0563-4CCD-8F15-673D36C522FA}"/>
    <cellStyle name="Normal 36 2 2" xfId="2737" xr:uid="{3CAE429A-8197-4DDC-A09D-57A5460DDF08}"/>
    <cellStyle name="Normal 36 3" xfId="2149" xr:uid="{C05B74BA-B4B9-40A8-81B8-EB5E909F6869}"/>
    <cellStyle name="Normal 37" xfId="969" xr:uid="{F7723D47-D227-406B-82FD-3E4BEE9C920C}"/>
    <cellStyle name="Normal 37 2" xfId="1571" xr:uid="{A4B0E237-F02F-45BE-98A5-6EE7EFB7AB05}"/>
    <cellStyle name="Normal 37 2 2" xfId="2740" xr:uid="{C56E6CB5-BBDB-4C33-B8C4-A5FB67269BC4}"/>
    <cellStyle name="Normal 37 3" xfId="2152" xr:uid="{5A88E5CC-B97F-4E36-96C5-5AB0410D8C2F}"/>
    <cellStyle name="Normal 38" xfId="971" xr:uid="{A0AE2E2D-38BE-4D36-8916-7B34A5858010}"/>
    <cellStyle name="Normal 38 2" xfId="1573" xr:uid="{21E7A9ED-C4A3-4C85-906A-908942C7B3F0}"/>
    <cellStyle name="Normal 38 2 2" xfId="2742" xr:uid="{C0DD4706-4E96-4F1C-84F1-A576419C954B}"/>
    <cellStyle name="Normal 38 3" xfId="2154" xr:uid="{32C171CD-2F7D-4BF6-85A2-320430D078D5}"/>
    <cellStyle name="Normal 39" xfId="977" xr:uid="{6E3DEB18-5475-4A06-AD5B-15FF67C13425}"/>
    <cellStyle name="Normal 39 2" xfId="1577" xr:uid="{53BCCC93-D6D3-46A6-AE08-332EF6FC3FC0}"/>
    <cellStyle name="Normal 39 2 2" xfId="2746" xr:uid="{E6D1B1CB-4C27-459B-B39D-C572DBD82CAD}"/>
    <cellStyle name="Normal 39 3" xfId="2158" xr:uid="{BC9B469C-B65D-4278-BAC7-DA590E2C33F1}"/>
    <cellStyle name="Normal 4" xfId="115" xr:uid="{00000000-0005-0000-0000-0000EB020000}"/>
    <cellStyle name="Normal 4 2" xfId="116" xr:uid="{00000000-0005-0000-0000-0000EC020000}"/>
    <cellStyle name="Normal 4 3" xfId="216" xr:uid="{00000000-0005-0000-0000-0000ED020000}"/>
    <cellStyle name="Normal 4 3 2" xfId="600" xr:uid="{00000000-0005-0000-0000-0000EE020000}"/>
    <cellStyle name="Normal 4 3 2 2" xfId="1363" xr:uid="{8C76454A-09A0-483A-9CA2-054B874D185A}"/>
    <cellStyle name="Normal 4 3 2 2 2" xfId="2532" xr:uid="{A1E9196D-BE2F-44EB-BE0B-D75B97BC3F8B}"/>
    <cellStyle name="Normal 4 3 2 3" xfId="1944" xr:uid="{B8D1EEDD-6C12-46F3-8FA6-6350AB6AE334}"/>
    <cellStyle name="Normal 4 3 3" xfId="1098" xr:uid="{D170715C-5DA0-497E-92DD-EC0F5A1B4924}"/>
    <cellStyle name="Normal 4 3 3 2" xfId="2267" xr:uid="{0E2285A9-C550-4F8F-B192-80DF6785ADBC}"/>
    <cellStyle name="Normal 4 3 4" xfId="1683" xr:uid="{5FB58AF0-7900-4D52-AEB9-6FE68ED3D10C}"/>
    <cellStyle name="Normal 4 3_VOLUMENES PRODUCCION" xfId="924" xr:uid="{00000000-0005-0000-0000-0000EF020000}"/>
    <cellStyle name="Normal 4 4" xfId="954" xr:uid="{00000000-0005-0000-0000-0000F0020000}"/>
    <cellStyle name="Normal 4 5" xfId="961" xr:uid="{00000000-0005-0000-0000-0000F1020000}"/>
    <cellStyle name="Normal 4 6" xfId="974" xr:uid="{B8E8FAAE-294C-4B25-B7F4-CFFF7D042EF7}"/>
    <cellStyle name="Normal 4 7" xfId="2795" xr:uid="{215C831B-A565-48E1-8E9D-A7DD45CD5021}"/>
    <cellStyle name="Normal 4 8" xfId="2804" xr:uid="{4C54EF38-A8E3-4A68-929A-3EE242ADF9B8}"/>
    <cellStyle name="Normal 4_ACCIDENTES" xfId="117" xr:uid="{00000000-0005-0000-0000-0000F2020000}"/>
    <cellStyle name="Normal 40" xfId="1006" xr:uid="{E7C848E5-1510-48D1-BA9A-8462A7202BC2}"/>
    <cellStyle name="Normal 40 2" xfId="1606" xr:uid="{980055BC-1389-41A9-8469-F78F85F69297}"/>
    <cellStyle name="Normal 40 2 2" xfId="2775" xr:uid="{0E53027C-7B93-41D0-9A7D-B1B44052E3F0}"/>
    <cellStyle name="Normal 40 3" xfId="2187" xr:uid="{062E4CC9-927D-4647-83A7-AE9DC0583E88}"/>
    <cellStyle name="Normal 41" xfId="2779" xr:uid="{EE8460A9-1004-45EA-AA77-7321C3AC4F6D}"/>
    <cellStyle name="Normal 42" xfId="2807" xr:uid="{B1CCB570-947B-4910-B210-03D72AE560A4}"/>
    <cellStyle name="Normal 5" xfId="118" xr:uid="{00000000-0005-0000-0000-0000F3020000}"/>
    <cellStyle name="Normal 5 2" xfId="366" xr:uid="{00000000-0005-0000-0000-0000F4020000}"/>
    <cellStyle name="Normal 5 2 2" xfId="367" xr:uid="{00000000-0005-0000-0000-0000F5020000}"/>
    <cellStyle name="Normal 5 2 2 2" xfId="678" xr:uid="{00000000-0005-0000-0000-0000F6020000}"/>
    <cellStyle name="Normal 5 2 2 2 2" xfId="1436" xr:uid="{5F81D272-00F2-40AE-81E0-BD3A1804CAFC}"/>
    <cellStyle name="Normal 5 2 2 2 2 2" xfId="2605" xr:uid="{B02E9BC1-E862-470A-A271-B1F1C9969AD8}"/>
    <cellStyle name="Normal 5 2 2 2 3" xfId="2017" xr:uid="{CD21B2D9-27C2-4864-B112-F1A3FAD56035}"/>
    <cellStyle name="Normal 5 2 2 3" xfId="1181" xr:uid="{DE0D44A0-24C1-440B-9D3F-7A65C31FF7DC}"/>
    <cellStyle name="Normal 5 2 2 3 2" xfId="2350" xr:uid="{D164AC32-5D2D-4711-8467-C34E9780CC58}"/>
    <cellStyle name="Normal 5 2 2 4" xfId="1766" xr:uid="{27EE0497-A771-4D48-9332-E273D10EA169}"/>
    <cellStyle name="Normal 5 2 2_VOLUMENES PRODUCCION" xfId="926" xr:uid="{00000000-0005-0000-0000-0000F7020000}"/>
    <cellStyle name="Normal 5 2 3" xfId="677" xr:uid="{00000000-0005-0000-0000-0000F8020000}"/>
    <cellStyle name="Normal 5 2 3 2" xfId="1435" xr:uid="{2736FAD4-A0A0-4E41-B89C-0F0580CD3E5F}"/>
    <cellStyle name="Normal 5 2 3 2 2" xfId="2604" xr:uid="{F2ACB844-0DA8-433F-8D97-BA0AF87E98DF}"/>
    <cellStyle name="Normal 5 2 3 3" xfId="2016" xr:uid="{AC6D8882-1287-4417-BDEC-D49F80B2D410}"/>
    <cellStyle name="Normal 5 2 4" xfId="1180" xr:uid="{52FC62B3-0CF5-4F72-8B80-B01B3FC56F22}"/>
    <cellStyle name="Normal 5 2 4 2" xfId="2349" xr:uid="{DB4D0859-A598-404B-AC37-8CDA43668A58}"/>
    <cellStyle name="Normal 5 2 5" xfId="1765" xr:uid="{78252254-4B39-431A-B9B8-D7EB4670BBB1}"/>
    <cellStyle name="Normal 5 2_VOLUMENES PRODUCCION" xfId="925" xr:uid="{00000000-0005-0000-0000-0000F9020000}"/>
    <cellStyle name="Normal 5 3" xfId="368" xr:uid="{00000000-0005-0000-0000-0000FA020000}"/>
    <cellStyle name="Normal 5 3 2" xfId="679" xr:uid="{00000000-0005-0000-0000-0000FB020000}"/>
    <cellStyle name="Normal 5 3 2 2" xfId="1437" xr:uid="{77FAC772-AEA0-4864-AA76-1B9B098D6A26}"/>
    <cellStyle name="Normal 5 3 2 2 2" xfId="2606" xr:uid="{AFA94011-565E-4546-90C6-EEB112E4D43D}"/>
    <cellStyle name="Normal 5 3 2 3" xfId="2018" xr:uid="{7480974D-4A1A-4567-BB7B-D6014C317D6E}"/>
    <cellStyle name="Normal 5 3 3" xfId="1182" xr:uid="{41D10754-C9C2-482D-8268-3E3DBCE4E3AE}"/>
    <cellStyle name="Normal 5 3 3 2" xfId="2351" xr:uid="{F32F1F7A-0122-4A4B-9395-366E726474FC}"/>
    <cellStyle name="Normal 5 3 4" xfId="1767" xr:uid="{B8B78D6D-2A8D-494C-AB06-6FDD3DA2AC38}"/>
    <cellStyle name="Normal 5 3_VOLUMENES PRODUCCION" xfId="927" xr:uid="{00000000-0005-0000-0000-0000FC020000}"/>
    <cellStyle name="Normal 5 4" xfId="546" xr:uid="{00000000-0005-0000-0000-0000FD020000}"/>
    <cellStyle name="Normal 5 4 2" xfId="1315" xr:uid="{F2EB0DF6-ADEB-4353-950D-29F41FCDD18D}"/>
    <cellStyle name="Normal 5 4 2 2" xfId="2484" xr:uid="{F60F7BF9-C35F-4952-A7AD-60AE40E095D1}"/>
    <cellStyle name="Normal 5 4 3" xfId="1897" xr:uid="{587E9E89-7ED6-4B89-AD04-9692621DCE58}"/>
    <cellStyle name="Normal 5 5" xfId="1047" xr:uid="{9B8E82BF-DE5E-42CC-A082-B1AFFB970AA8}"/>
    <cellStyle name="Normal 5 5 2" xfId="2216" xr:uid="{70280321-101B-42A8-9126-A30875AAFD04}"/>
    <cellStyle name="Normal 5 6" xfId="1637" xr:uid="{45426408-2C8D-40A6-8BF1-E781C1E5ADC5}"/>
    <cellStyle name="Normal 5_HORAS HOMBRE" xfId="450" xr:uid="{00000000-0005-0000-0000-0000FE020000}"/>
    <cellStyle name="Normal 6" xfId="46" xr:uid="{00000000-0005-0000-0000-0000FF020000}"/>
    <cellStyle name="Normal 6 2" xfId="369" xr:uid="{00000000-0005-0000-0000-000000030000}"/>
    <cellStyle name="Normal 6_HORAS HOMBRE" xfId="451" xr:uid="{00000000-0005-0000-0000-000001030000}"/>
    <cellStyle name="Normal 7" xfId="137" xr:uid="{00000000-0005-0000-0000-000002030000}"/>
    <cellStyle name="Normal 7 2" xfId="371" xr:uid="{00000000-0005-0000-0000-000003030000}"/>
    <cellStyle name="Normal 7 2 2" xfId="680" xr:uid="{00000000-0005-0000-0000-000004030000}"/>
    <cellStyle name="Normal 7 2 2 2" xfId="1438" xr:uid="{DEC69DB5-926A-4545-A248-C345713FBAC1}"/>
    <cellStyle name="Normal 7 2 2 2 2" xfId="2607" xr:uid="{1CA7D61C-02B5-480C-9A98-59A19865ECCD}"/>
    <cellStyle name="Normal 7 2 2 3" xfId="2019" xr:uid="{32702A37-8138-4EE2-8A8F-7C2C645C7DE7}"/>
    <cellStyle name="Normal 7 2 3" xfId="1183" xr:uid="{3F018439-667A-44EB-808E-C58DF0EE8474}"/>
    <cellStyle name="Normal 7 2 3 2" xfId="2352" xr:uid="{914F776A-B296-473C-B63E-2924CEEED970}"/>
    <cellStyle name="Normal 7 2 4" xfId="1768" xr:uid="{EF10620B-B3F6-4E2F-95C5-12FE7C32B8A5}"/>
    <cellStyle name="Normal 7 2_VOLUMENES PRODUCCION" xfId="928" xr:uid="{00000000-0005-0000-0000-000005030000}"/>
    <cellStyle name="Normal 7_JABONERIA" xfId="370" xr:uid="{00000000-0005-0000-0000-000006030000}"/>
    <cellStyle name="Normal 8" xfId="139" xr:uid="{00000000-0005-0000-0000-000007030000}"/>
    <cellStyle name="Normal 8 2" xfId="372" xr:uid="{00000000-0005-0000-0000-000008030000}"/>
    <cellStyle name="Normal 8 2 2" xfId="681" xr:uid="{00000000-0005-0000-0000-000009030000}"/>
    <cellStyle name="Normal 8 2_VOLUMENES PRODUCCION" xfId="929" xr:uid="{00000000-0005-0000-0000-00000A030000}"/>
    <cellStyle name="Normal 8 3" xfId="553" xr:uid="{00000000-0005-0000-0000-00000B030000}"/>
    <cellStyle name="Normal 8 3 2" xfId="1318" xr:uid="{3CC3DDF9-B387-45F1-AB0A-6158789B0197}"/>
    <cellStyle name="Normal 8 3 2 2" xfId="2487" xr:uid="{C83C0E29-96F7-473B-98DD-568FBC8EB695}"/>
    <cellStyle name="Normal 8 3 3" xfId="1900" xr:uid="{FD17BCCE-FD98-426D-A144-0F837D5A0B04}"/>
    <cellStyle name="Normal 8 4" xfId="1050" xr:uid="{3F872D03-8BE7-4C3B-8BFB-90710DBFC34B}"/>
    <cellStyle name="Normal 8 4 2" xfId="2219" xr:uid="{28231FEE-112E-4333-898B-119BB174D026}"/>
    <cellStyle name="Normal 8 5" xfId="1093" xr:uid="{34F53363-FC32-482D-9038-380159C28078}"/>
    <cellStyle name="Normal 8 5 2" xfId="2262" xr:uid="{72FC1400-5A2C-44DA-ADCD-264344D7F05D}"/>
    <cellStyle name="Normal 8 6" xfId="1639" xr:uid="{F2F916EB-4E37-4FCD-AC27-566BFD53B4FD}"/>
    <cellStyle name="Normal 8_HORAS HOMBRE" xfId="452" xr:uid="{00000000-0005-0000-0000-00000C030000}"/>
    <cellStyle name="Normal 9" xfId="228" xr:uid="{00000000-0005-0000-0000-00000D030000}"/>
    <cellStyle name="Normal 9 2" xfId="454" xr:uid="{00000000-0005-0000-0000-00000E030000}"/>
    <cellStyle name="Normal 9 3" xfId="604" xr:uid="{00000000-0005-0000-0000-00000F030000}"/>
    <cellStyle name="Normal 9 3 2" xfId="1365" xr:uid="{1B023190-8DD7-4F1A-98B3-105EA261CDB9}"/>
    <cellStyle name="Normal 9 3 2 2" xfId="2534" xr:uid="{77358B6F-B76D-4E7D-9E2F-560C863F851A}"/>
    <cellStyle name="Normal 9 3 3" xfId="1946" xr:uid="{990816A3-3E0D-4EC5-9ACE-B97E8B7725F0}"/>
    <cellStyle name="Normal 9 4" xfId="1100" xr:uid="{652E2923-CFD5-4095-AF54-72D641C88BE1}"/>
    <cellStyle name="Normal 9 4 2" xfId="2269" xr:uid="{022107C6-EDFA-4D68-9031-D30BFE6E170A}"/>
    <cellStyle name="Normal 9 5" xfId="1685" xr:uid="{10295652-CEA6-4F78-96F8-0DF3BD7D1B81}"/>
    <cellStyle name="Normal 9_HORAS HOMBRE" xfId="453" xr:uid="{00000000-0005-0000-0000-000010030000}"/>
    <cellStyle name="Normal_Accidentes 2012-2016" xfId="138" xr:uid="{00000000-0005-0000-0000-000011030000}"/>
    <cellStyle name="Normal_CAPACITACION OBR" xfId="274" xr:uid="{00000000-0005-0000-0000-000012030000}"/>
    <cellStyle name="Normal_Graphics" xfId="227" xr:uid="{00000000-0005-0000-0000-000013030000}"/>
    <cellStyle name="Normal_INVENTARIO IPER_1" xfId="145" xr:uid="{00000000-0005-0000-0000-000015030000}"/>
    <cellStyle name="Normal_Libro1" xfId="2" xr:uid="{00000000-0005-0000-0000-000016030000}"/>
    <cellStyle name="Normal_VOLUMENES PRODUCCION" xfId="871" xr:uid="{00000000-0005-0000-0000-000017030000}"/>
    <cellStyle name="Notas" xfId="33" builtinId="10" customBuiltin="1"/>
    <cellStyle name="Notas 2" xfId="119" xr:uid="{00000000-0005-0000-0000-000019030000}"/>
    <cellStyle name="Notas 2 2" xfId="217" xr:uid="{00000000-0005-0000-0000-00001A030000}"/>
    <cellStyle name="Notas 2 2 2" xfId="373" xr:uid="{00000000-0005-0000-0000-00001B030000}"/>
    <cellStyle name="Notas 2 2 2 2" xfId="374" xr:uid="{00000000-0005-0000-0000-00001C030000}"/>
    <cellStyle name="Notas 2 2 2 2 2" xfId="683" xr:uid="{00000000-0005-0000-0000-00001D030000}"/>
    <cellStyle name="Notas 2 2 2 2 2 2" xfId="1440" xr:uid="{13D23057-C1FA-47A4-A25A-AAAF2F66CDAF}"/>
    <cellStyle name="Notas 2 2 2 2 2 2 2" xfId="2609" xr:uid="{F761F73A-8735-43E2-A987-759685B2FE2D}"/>
    <cellStyle name="Notas 2 2 2 2 2 3" xfId="2021" xr:uid="{8847E684-9BA5-42D1-BCB2-2D5C2B32ABA1}"/>
    <cellStyle name="Notas 2 2 2 2 3" xfId="1185" xr:uid="{95D81A4D-67F1-45D0-BAFC-3DFB66B0CFF9}"/>
    <cellStyle name="Notas 2 2 2 2 3 2" xfId="2354" xr:uid="{1B93FB78-9578-463A-BC57-843FD218660D}"/>
    <cellStyle name="Notas 2 2 2 2 4" xfId="1770" xr:uid="{D5E2170F-1217-47BC-B902-3BACBA63A0A1}"/>
    <cellStyle name="Notas 2 2 2 3" xfId="682" xr:uid="{00000000-0005-0000-0000-00001E030000}"/>
    <cellStyle name="Notas 2 2 2 3 2" xfId="1439" xr:uid="{456E4800-0672-463B-A542-A0701741515B}"/>
    <cellStyle name="Notas 2 2 2 3 2 2" xfId="2608" xr:uid="{37F3153A-16DA-43CF-A1A2-832DFCC1DB88}"/>
    <cellStyle name="Notas 2 2 2 3 3" xfId="2020" xr:uid="{FF153BB1-E41F-4F87-A57B-36F4A02E5022}"/>
    <cellStyle name="Notas 2 2 2 4" xfId="1184" xr:uid="{C690109F-95ED-4114-BDD4-B7E6FBE048CE}"/>
    <cellStyle name="Notas 2 2 2 4 2" xfId="2353" xr:uid="{55CAD38B-510C-44B6-B40E-A93A837577F1}"/>
    <cellStyle name="Notas 2 2 2 5" xfId="1769" xr:uid="{ABF68E1C-FF86-44AC-8023-FCCBA938868A}"/>
    <cellStyle name="Notas 2 2 3" xfId="375" xr:uid="{00000000-0005-0000-0000-00001F030000}"/>
    <cellStyle name="Notas 2 2 3 2" xfId="684" xr:uid="{00000000-0005-0000-0000-000020030000}"/>
    <cellStyle name="Notas 2 2 3 2 2" xfId="1441" xr:uid="{D4D27C34-E6C3-4DE0-88BB-2026487AE489}"/>
    <cellStyle name="Notas 2 2 3 2 2 2" xfId="2610" xr:uid="{2ED1C8B3-A3DE-4F17-AA0B-1BDA9FCD3B14}"/>
    <cellStyle name="Notas 2 2 3 2 3" xfId="2022" xr:uid="{B40E2C3C-9F58-4956-A010-E7812AEF37D3}"/>
    <cellStyle name="Notas 2 2 3 3" xfId="1186" xr:uid="{9DDC43BE-0B1C-4CE7-A00E-F3812606C3FE}"/>
    <cellStyle name="Notas 2 2 3 3 2" xfId="2355" xr:uid="{1B954251-4E6A-4DB2-BD95-1462C300B5F1}"/>
    <cellStyle name="Notas 2 2 3 4" xfId="1771" xr:uid="{25DFED3C-D5F8-42CA-8862-C8EE312BA6B1}"/>
    <cellStyle name="Notas 2 2 4" xfId="601" xr:uid="{00000000-0005-0000-0000-000021030000}"/>
    <cellStyle name="Notas 2 2 4 2" xfId="1364" xr:uid="{1985A068-5EF1-4D8F-AF17-FBE00DEA5837}"/>
    <cellStyle name="Notas 2 2 4 2 2" xfId="2533" xr:uid="{0EAAD443-52EB-42BB-B894-5F5632381A3E}"/>
    <cellStyle name="Notas 2 2 4 3" xfId="1945" xr:uid="{A5D46307-C116-4AC5-974F-6C9095A47CBA}"/>
    <cellStyle name="Notas 2 2 5" xfId="1099" xr:uid="{5F16C64E-134F-4107-909D-09322C6D1AF4}"/>
    <cellStyle name="Notas 2 2 5 2" xfId="2268" xr:uid="{4B76D93D-92B1-4D4B-9B78-26D16991339A}"/>
    <cellStyle name="Notas 2 2 6" xfId="1684" xr:uid="{D387C97A-CAA5-4891-A43A-3FE07BCF223D}"/>
    <cellStyle name="Notas 2 3" xfId="376" xr:uid="{00000000-0005-0000-0000-000022030000}"/>
    <cellStyle name="Notas 2 3 2" xfId="377" xr:uid="{00000000-0005-0000-0000-000023030000}"/>
    <cellStyle name="Notas 2 3 2 2" xfId="686" xr:uid="{00000000-0005-0000-0000-000024030000}"/>
    <cellStyle name="Notas 2 3 2 2 2" xfId="1443" xr:uid="{CC7CB845-5143-45B7-89E3-4E3682ED9818}"/>
    <cellStyle name="Notas 2 3 2 2 2 2" xfId="2612" xr:uid="{FFD58DBD-206B-4E3D-91C8-98941DBC6423}"/>
    <cellStyle name="Notas 2 3 2 2 3" xfId="2024" xr:uid="{B82B10E2-35D6-45EA-85C1-71AECB089A67}"/>
    <cellStyle name="Notas 2 3 2 3" xfId="1188" xr:uid="{CD988F63-3459-4873-8010-282842FFC523}"/>
    <cellStyle name="Notas 2 3 2 3 2" xfId="2357" xr:uid="{C49F522F-7D1B-4475-BDC4-BBCFB3859042}"/>
    <cellStyle name="Notas 2 3 2 4" xfId="1773" xr:uid="{47E92AB2-EF4B-4C5C-9F30-0CCBFDDF7F40}"/>
    <cellStyle name="Notas 2 3 3" xfId="685" xr:uid="{00000000-0005-0000-0000-000025030000}"/>
    <cellStyle name="Notas 2 3 3 2" xfId="1442" xr:uid="{FAB17BF3-EE81-4656-987D-83059E0526AC}"/>
    <cellStyle name="Notas 2 3 3 2 2" xfId="2611" xr:uid="{83727272-4CCB-4885-BEDC-22DB5907D218}"/>
    <cellStyle name="Notas 2 3 3 3" xfId="2023" xr:uid="{3373AADA-74C5-4508-9E2F-678EE59C2D62}"/>
    <cellStyle name="Notas 2 3 4" xfId="1187" xr:uid="{571C388D-AA86-4E5E-BB5C-7D271E158279}"/>
    <cellStyle name="Notas 2 3 4 2" xfId="2356" xr:uid="{87967310-CB60-46B8-980F-54BBBF08CDDE}"/>
    <cellStyle name="Notas 2 3 5" xfId="1772" xr:uid="{C900B508-23B9-4C4F-B0CF-5583AFA30728}"/>
    <cellStyle name="Notas 2 4" xfId="378" xr:uid="{00000000-0005-0000-0000-000026030000}"/>
    <cellStyle name="Notas 2 4 2" xfId="687" xr:uid="{00000000-0005-0000-0000-000027030000}"/>
    <cellStyle name="Notas 2 4 2 2" xfId="1444" xr:uid="{B5DEACDF-0E23-475B-A2C4-0D79751946F2}"/>
    <cellStyle name="Notas 2 4 2 2 2" xfId="2613" xr:uid="{76EAAB87-6032-4375-8E93-EC7898AD4FBD}"/>
    <cellStyle name="Notas 2 4 2 3" xfId="2025" xr:uid="{ACCF8EFF-8C96-44B5-BDDE-ED9AF1B680F6}"/>
    <cellStyle name="Notas 2 4 3" xfId="1189" xr:uid="{E3D63630-2A6E-4DCC-8488-405DC044C091}"/>
    <cellStyle name="Notas 2 4 3 2" xfId="2358" xr:uid="{2C44F15F-E3AC-4BAC-8239-4CD9E4FE278E}"/>
    <cellStyle name="Notas 2 4 4" xfId="1774" xr:uid="{AD02D756-5845-4F91-A10E-17D63B24B367}"/>
    <cellStyle name="Notas 2 5" xfId="547" xr:uid="{00000000-0005-0000-0000-000028030000}"/>
    <cellStyle name="Notas 2 5 2" xfId="1316" xr:uid="{6DC374A8-0364-447F-AAEF-3CD55B5B7F92}"/>
    <cellStyle name="Notas 2 5 2 2" xfId="2485" xr:uid="{79E1989B-02C9-4DE5-98B8-73331327EAB5}"/>
    <cellStyle name="Notas 2 5 3" xfId="1898" xr:uid="{BACEA4C4-DF7D-413D-A137-E70EAA1A4C31}"/>
    <cellStyle name="Notas 2 6" xfId="1048" xr:uid="{D0721144-14A8-4AF2-B8F4-09E8934DE858}"/>
    <cellStyle name="Notas 2 6 2" xfId="2217" xr:uid="{0F096F19-60F4-4A00-8571-6C46FC796476}"/>
    <cellStyle name="Notas 2 7" xfId="1638" xr:uid="{6C78A690-CF60-46CC-961D-9BB8FF8C206F}"/>
    <cellStyle name="Notas 3" xfId="120" xr:uid="{00000000-0005-0000-0000-000029030000}"/>
    <cellStyle name="Notas 3 2" xfId="379" xr:uid="{00000000-0005-0000-0000-00002A030000}"/>
    <cellStyle name="Notas 3 2 2" xfId="380" xr:uid="{00000000-0005-0000-0000-00002B030000}"/>
    <cellStyle name="Notas 3 2 2 2" xfId="689" xr:uid="{00000000-0005-0000-0000-00002C030000}"/>
    <cellStyle name="Notas 3 2 2 2 2" xfId="1446" xr:uid="{304D3935-F81B-4077-A0A1-FF2C94F0A3FB}"/>
    <cellStyle name="Notas 3 2 2 2 2 2" xfId="2615" xr:uid="{3FAE60FB-5DE6-4378-8B93-F31C0B495E0A}"/>
    <cellStyle name="Notas 3 2 2 2 3" xfId="2027" xr:uid="{00493181-A7F2-4C27-BE3E-8856039FE725}"/>
    <cellStyle name="Notas 3 2 2 3" xfId="1191" xr:uid="{525A97EB-7976-4C87-8409-4FD9F5F96376}"/>
    <cellStyle name="Notas 3 2 2 3 2" xfId="2360" xr:uid="{C8220E97-D32B-4B96-AE36-49825D4F13DC}"/>
    <cellStyle name="Notas 3 2 2 4" xfId="1776" xr:uid="{5124E207-2AAB-4F28-8059-362988AEA480}"/>
    <cellStyle name="Notas 3 2 3" xfId="688" xr:uid="{00000000-0005-0000-0000-00002D030000}"/>
    <cellStyle name="Notas 3 2 3 2" xfId="1445" xr:uid="{9A0DCB3E-87DC-434B-BFF9-7B89E2DA9419}"/>
    <cellStyle name="Notas 3 2 3 2 2" xfId="2614" xr:uid="{E4DDC6C6-E9AD-4E35-BC26-80B4CA0FFD84}"/>
    <cellStyle name="Notas 3 2 3 3" xfId="2026" xr:uid="{A0F8FFD6-1495-43C1-BEFB-57E66D7F5C4C}"/>
    <cellStyle name="Notas 3 2 4" xfId="1190" xr:uid="{C8C82658-706C-4893-8804-84A494C02BEE}"/>
    <cellStyle name="Notas 3 2 4 2" xfId="2359" xr:uid="{06897268-5333-4407-AC84-A3C3C0758D0C}"/>
    <cellStyle name="Notas 3 2 5" xfId="1775" xr:uid="{ED644E3D-6AF8-4625-BCD7-CBA96678D5CD}"/>
    <cellStyle name="Notas 3 3" xfId="381" xr:uid="{00000000-0005-0000-0000-00002E030000}"/>
    <cellStyle name="Notas 3 3 2" xfId="690" xr:uid="{00000000-0005-0000-0000-00002F030000}"/>
    <cellStyle name="Notas 3 3 2 2" xfId="1447" xr:uid="{A3450C0F-0827-43DC-A72A-3D04545C2888}"/>
    <cellStyle name="Notas 3 3 2 2 2" xfId="2616" xr:uid="{1A2EECC3-375C-4AB4-A274-EBA8BAF587F9}"/>
    <cellStyle name="Notas 3 3 2 3" xfId="2028" xr:uid="{FE4D4681-8459-4D78-A885-C599877651E4}"/>
    <cellStyle name="Notas 3 3 3" xfId="1192" xr:uid="{9F2C2A6A-423D-41F9-90EC-FAFC9E8F2621}"/>
    <cellStyle name="Notas 3 3 3 2" xfId="2361" xr:uid="{E3D65658-C857-44A8-9BA1-B5CEB221FF72}"/>
    <cellStyle name="Notas 3 3 4" xfId="1777" xr:uid="{8FF6169F-DBB2-41CD-9575-E7B46707BDE9}"/>
    <cellStyle name="Notas 4" xfId="218" xr:uid="{00000000-0005-0000-0000-000030030000}"/>
    <cellStyle name="Notas 4 2" xfId="382" xr:uid="{00000000-0005-0000-0000-000031030000}"/>
    <cellStyle name="Notas 4 2 2" xfId="691" xr:uid="{00000000-0005-0000-0000-000032030000}"/>
    <cellStyle name="Notas 4 2 2 2" xfId="1448" xr:uid="{B580C511-AAA1-4DAB-BA4C-307AD7B723F3}"/>
    <cellStyle name="Notas 4 2 2 2 2" xfId="2617" xr:uid="{BA7B7D18-4BFE-44DC-9482-B658DD967867}"/>
    <cellStyle name="Notas 4 2 2 3" xfId="2029" xr:uid="{CCAD355D-BF24-449D-8902-FA0CA0110FD6}"/>
    <cellStyle name="Notas 4 2 3" xfId="1193" xr:uid="{1155E847-A9F0-485F-BAD4-5FE769737EF9}"/>
    <cellStyle name="Notas 4 2 3 2" xfId="2362" xr:uid="{9B547C7A-7892-437B-9AEF-7B9C3E7BB092}"/>
    <cellStyle name="Notas 4 2 4" xfId="1778" xr:uid="{278D3DAE-ADA2-4ECD-A03E-41BC9ADE8F4C}"/>
    <cellStyle name="Notas 5" xfId="242" xr:uid="{00000000-0005-0000-0000-000033030000}"/>
    <cellStyle name="Notas 5 2" xfId="618" xr:uid="{00000000-0005-0000-0000-000034030000}"/>
    <cellStyle name="Notas 5 2 2" xfId="1379" xr:uid="{6D78857A-2CED-4A44-8116-CD250B50393D}"/>
    <cellStyle name="Notas 5 2 2 2" xfId="2548" xr:uid="{2FB98B65-F6E9-4FAF-81FA-30F26ACA15A3}"/>
    <cellStyle name="Notas 5 2 3" xfId="1960" xr:uid="{9A50D97D-047D-4A8A-A633-C1CF5F65D690}"/>
    <cellStyle name="Notas 5 3" xfId="1114" xr:uid="{00F0F5B0-660A-4674-BA63-9420CE0EC4F2}"/>
    <cellStyle name="Notas 5 3 2" xfId="2283" xr:uid="{7E07A962-5B95-4126-893B-4D455526FB21}"/>
    <cellStyle name="Notas 5 4" xfId="1699" xr:uid="{BF4F8D2B-5C41-48D8-AFA7-57CA8FDA01A7}"/>
    <cellStyle name="Notas 6" xfId="996" xr:uid="{BEE3879C-FBDE-4AE4-8A64-7BB91EA59489}"/>
    <cellStyle name="Notas 6 2" xfId="1596" xr:uid="{DEAB853E-45E0-4A3A-B1BF-636B331F5081}"/>
    <cellStyle name="Notas 6 2 2" xfId="2765" xr:uid="{FECB41F0-D4C1-4B2D-A0F8-48E23F03585E}"/>
    <cellStyle name="Notas 6 3" xfId="2177" xr:uid="{C8F3ACC8-4CFF-4162-8058-62DFE9C851A4}"/>
    <cellStyle name="Notas 7" xfId="2806" xr:uid="{A529EE79-6DF8-4F6A-B7DE-DEA4A3CBDFFD}"/>
    <cellStyle name="Percentagem 2" xfId="455" xr:uid="{00000000-0005-0000-0000-000035030000}"/>
    <cellStyle name="Percentagem 2 2" xfId="456" xr:uid="{00000000-0005-0000-0000-000036030000}"/>
    <cellStyle name="Percentagem 2 2 2" xfId="457" xr:uid="{00000000-0005-0000-0000-000037030000}"/>
    <cellStyle name="Percentagem 2 2 2 2" xfId="740" xr:uid="{00000000-0005-0000-0000-000038030000}"/>
    <cellStyle name="Percentagem 2 2 2 2 2" xfId="1497" xr:uid="{E2CFC0EF-A295-4207-8A08-2EA63414D299}"/>
    <cellStyle name="Percentagem 2 2 2 2 2 2" xfId="2666" xr:uid="{9AEA31E6-12E6-45DD-A4B1-03D6985A5782}"/>
    <cellStyle name="Percentagem 2 2 2 2 3" xfId="2078" xr:uid="{6A2DF0B0-96AE-45F6-A99F-BE04EEA1D5A6}"/>
    <cellStyle name="Percentagem 2 2 2 3" xfId="1243" xr:uid="{4FD79C38-C8D3-4B3F-A2A4-6DD7A8CB9C85}"/>
    <cellStyle name="Percentagem 2 2 2 3 2" xfId="2412" xr:uid="{5CCC015E-4404-4B98-9FCF-9A7A747D1823}"/>
    <cellStyle name="Percentagem 2 2 2 4" xfId="1827" xr:uid="{35E16C52-A774-4D7F-851C-CABE325D5E42}"/>
    <cellStyle name="Percentagem 2 2 3" xfId="458" xr:uid="{00000000-0005-0000-0000-000039030000}"/>
    <cellStyle name="Percentagem 2 2 3 2" xfId="741" xr:uid="{00000000-0005-0000-0000-00003A030000}"/>
    <cellStyle name="Percentagem 2 2 3 2 2" xfId="1498" xr:uid="{88C1FBE1-1084-4E12-9F62-0F22E197737C}"/>
    <cellStyle name="Percentagem 2 2 3 2 2 2" xfId="2667" xr:uid="{38820779-DD2C-4A4A-9AD5-DFF7C6998D54}"/>
    <cellStyle name="Percentagem 2 2 3 2 3" xfId="2079" xr:uid="{AB8CBC5B-2BB4-4D77-8D13-5A07679BFAE7}"/>
    <cellStyle name="Percentagem 2 2 3 3" xfId="1244" xr:uid="{8AEFEF7B-F4B0-43FC-A984-7FA0424ED11E}"/>
    <cellStyle name="Percentagem 2 2 3 3 2" xfId="2413" xr:uid="{DA362E73-3063-4A40-B4E1-DC1F1BDE5CA6}"/>
    <cellStyle name="Percentagem 2 2 3 4" xfId="1828" xr:uid="{E35E67C3-7E9E-469F-9F9C-027794736477}"/>
    <cellStyle name="Percentagem 2 2 4" xfId="459" xr:uid="{00000000-0005-0000-0000-00003B030000}"/>
    <cellStyle name="Percentagem 2 2 4 2" xfId="742" xr:uid="{00000000-0005-0000-0000-00003C030000}"/>
    <cellStyle name="Percentagem 2 2 4 2 2" xfId="1499" xr:uid="{D06DF4BF-EACE-4F0B-866C-7156E00C1D20}"/>
    <cellStyle name="Percentagem 2 2 4 2 2 2" xfId="2668" xr:uid="{CEF9148C-3624-4AE5-BACE-2E6BBFDE9A48}"/>
    <cellStyle name="Percentagem 2 2 4 2 3" xfId="2080" xr:uid="{20F82F0E-D9AF-4B28-A8B9-A69EDA3530E2}"/>
    <cellStyle name="Percentagem 2 2 4 3" xfId="1245" xr:uid="{149EE382-7038-4B79-887A-CAC94BAD4153}"/>
    <cellStyle name="Percentagem 2 2 4 3 2" xfId="2414" xr:uid="{1018AB98-5368-4B0B-ABE8-C815CE753B98}"/>
    <cellStyle name="Percentagem 2 2 4 4" xfId="1829" xr:uid="{06FC22A2-849E-4135-9344-661A73CE61D3}"/>
    <cellStyle name="Percentagem 2 2 5" xfId="739" xr:uid="{00000000-0005-0000-0000-00003D030000}"/>
    <cellStyle name="Percentagem 2 2 5 2" xfId="1496" xr:uid="{922BFE62-A30A-4ECB-85EB-637727F8AA2B}"/>
    <cellStyle name="Percentagem 2 2 5 2 2" xfId="2665" xr:uid="{1A82A944-4CE0-423E-8F85-3369968A313B}"/>
    <cellStyle name="Percentagem 2 2 5 3" xfId="2077" xr:uid="{F22A3F1F-00A7-4633-8901-CE6A1C0B53C5}"/>
    <cellStyle name="Percentagem 2 2 6" xfId="1242" xr:uid="{8398943E-BFAE-4DF0-9C95-F2E2CA60B599}"/>
    <cellStyle name="Percentagem 2 2 6 2" xfId="2411" xr:uid="{1605100B-F391-498D-BECF-21A499A3E555}"/>
    <cellStyle name="Percentagem 2 2 7" xfId="1826" xr:uid="{ACD43C5D-4C74-4C94-B18D-C06EE86AC158}"/>
    <cellStyle name="Percentagem 2 3" xfId="460" xr:uid="{00000000-0005-0000-0000-00003E030000}"/>
    <cellStyle name="Percentagem 2 3 2" xfId="461" xr:uid="{00000000-0005-0000-0000-00003F030000}"/>
    <cellStyle name="Percentagem 2 3 2 2" xfId="744" xr:uid="{00000000-0005-0000-0000-000040030000}"/>
    <cellStyle name="Percentagem 2 3 2 2 2" xfId="1501" xr:uid="{03F87085-A9BE-43FC-8F31-28E03E2DF675}"/>
    <cellStyle name="Percentagem 2 3 2 2 2 2" xfId="2670" xr:uid="{FA49F18B-59E9-4D69-9A75-04FE96CF23EF}"/>
    <cellStyle name="Percentagem 2 3 2 2 3" xfId="2082" xr:uid="{D6203F41-4425-4EF1-BA0A-C5E92894C097}"/>
    <cellStyle name="Percentagem 2 3 2 3" xfId="1247" xr:uid="{A50C55D0-A30F-4203-871B-B5DC8ADDFB59}"/>
    <cellStyle name="Percentagem 2 3 2 3 2" xfId="2416" xr:uid="{923D3D1A-2A22-4CC1-8C41-C081169D59C7}"/>
    <cellStyle name="Percentagem 2 3 2 4" xfId="1831" xr:uid="{6B375A02-D5C8-47EE-A487-E4CF8C18BBCD}"/>
    <cellStyle name="Percentagem 2 3 3" xfId="462" xr:uid="{00000000-0005-0000-0000-000041030000}"/>
    <cellStyle name="Percentagem 2 3 3 2" xfId="745" xr:uid="{00000000-0005-0000-0000-000042030000}"/>
    <cellStyle name="Percentagem 2 3 3 2 2" xfId="1502" xr:uid="{52D5E217-47C2-4071-9688-DC5CCB13096E}"/>
    <cellStyle name="Percentagem 2 3 3 2 2 2" xfId="2671" xr:uid="{216689B4-BD6A-47D4-948A-12D6977D6F53}"/>
    <cellStyle name="Percentagem 2 3 3 2 3" xfId="2083" xr:uid="{08D4B686-2D2B-45E1-8580-A5259C293C88}"/>
    <cellStyle name="Percentagem 2 3 3 3" xfId="1248" xr:uid="{EA6A5D80-AEA7-4FE7-AF61-CDBB79541B84}"/>
    <cellStyle name="Percentagem 2 3 3 3 2" xfId="2417" xr:uid="{BBC6BCFC-7DE5-4269-BAF0-BBE076908720}"/>
    <cellStyle name="Percentagem 2 3 3 4" xfId="1832" xr:uid="{360BB061-99DC-4DCD-9F0E-1394059FD6A1}"/>
    <cellStyle name="Percentagem 2 3 4" xfId="463" xr:uid="{00000000-0005-0000-0000-000043030000}"/>
    <cellStyle name="Percentagem 2 3 4 2" xfId="746" xr:uid="{00000000-0005-0000-0000-000044030000}"/>
    <cellStyle name="Percentagem 2 3 4 2 2" xfId="1503" xr:uid="{21204E1E-302C-4F00-A54A-24D3908DF6FB}"/>
    <cellStyle name="Percentagem 2 3 4 2 2 2" xfId="2672" xr:uid="{7D2EBCB2-A495-44B3-B44A-27080B784A20}"/>
    <cellStyle name="Percentagem 2 3 4 2 3" xfId="2084" xr:uid="{074D770F-D46D-4C69-9A2C-8D756A6D0D7D}"/>
    <cellStyle name="Percentagem 2 3 4 3" xfId="1249" xr:uid="{C4BE0103-F4DF-4C9D-8A9B-683E3AB4FC50}"/>
    <cellStyle name="Percentagem 2 3 4 3 2" xfId="2418" xr:uid="{670B6C5F-AA36-426C-9DFE-72429F4D7B96}"/>
    <cellStyle name="Percentagem 2 3 4 4" xfId="1833" xr:uid="{EFA46D71-EF94-4BA0-9FF1-2B30E9399AED}"/>
    <cellStyle name="Percentagem 2 3 5" xfId="743" xr:uid="{00000000-0005-0000-0000-000045030000}"/>
    <cellStyle name="Percentagem 2 3 5 2" xfId="1500" xr:uid="{BBB0FF1C-5E02-4328-9F81-DD3DA3E8511B}"/>
    <cellStyle name="Percentagem 2 3 5 2 2" xfId="2669" xr:uid="{A7ACDECA-9E74-45EB-885E-350C150627BF}"/>
    <cellStyle name="Percentagem 2 3 5 3" xfId="2081" xr:uid="{086FA23B-7C47-401C-AB58-6A10925232F0}"/>
    <cellStyle name="Percentagem 2 3 6" xfId="1246" xr:uid="{9981B6FA-6146-46C4-88EB-68FB4B347DD0}"/>
    <cellStyle name="Percentagem 2 3 6 2" xfId="2415" xr:uid="{81C63CB9-0894-4BB8-B3EA-44A78CA8C48E}"/>
    <cellStyle name="Percentagem 2 3 7" xfId="1830" xr:uid="{E0282F55-BD59-4E67-8B51-D12DA85CA137}"/>
    <cellStyle name="Percentagem 2 4" xfId="464" xr:uid="{00000000-0005-0000-0000-000046030000}"/>
    <cellStyle name="Percentagem 2 4 2" xfId="747" xr:uid="{00000000-0005-0000-0000-000047030000}"/>
    <cellStyle name="Percentagem 2 4 2 2" xfId="1504" xr:uid="{B4DD3A67-D362-4033-8886-A17F9A239161}"/>
    <cellStyle name="Percentagem 2 4 2 2 2" xfId="2673" xr:uid="{0E995229-5D0E-46BF-8B2F-B5F423B7F13C}"/>
    <cellStyle name="Percentagem 2 4 2 3" xfId="2085" xr:uid="{A4914B83-5329-4850-8170-8DBE69D955EC}"/>
    <cellStyle name="Percentagem 2 4 3" xfId="1250" xr:uid="{EAC4AAAE-77FD-4CDF-A215-36A2A2367A1E}"/>
    <cellStyle name="Percentagem 2 4 3 2" xfId="2419" xr:uid="{50A0DCCD-B994-41F2-B794-0C6E370D542F}"/>
    <cellStyle name="Percentagem 2 4 4" xfId="1834" xr:uid="{1E379F00-3F53-42ED-9AE1-551F390D91E0}"/>
    <cellStyle name="Percentagem 2 5" xfId="465" xr:uid="{00000000-0005-0000-0000-000048030000}"/>
    <cellStyle name="Percentagem 2 5 2" xfId="748" xr:uid="{00000000-0005-0000-0000-000049030000}"/>
    <cellStyle name="Percentagem 2 5 2 2" xfId="1505" xr:uid="{FE332067-ABF9-4CA3-9C4B-9D01962F1584}"/>
    <cellStyle name="Percentagem 2 5 2 2 2" xfId="2674" xr:uid="{D3DA6313-DD61-4C9F-8FCD-919EAED4A9FA}"/>
    <cellStyle name="Percentagem 2 5 2 3" xfId="2086" xr:uid="{8A2EE5C1-76B3-4568-9903-A8D9752474E9}"/>
    <cellStyle name="Percentagem 2 5 3" xfId="1251" xr:uid="{C79AA539-4290-4FD8-AE09-71593D586F9E}"/>
    <cellStyle name="Percentagem 2 5 3 2" xfId="2420" xr:uid="{9DDA1CE9-8761-4A28-933C-01E96F1FFAF7}"/>
    <cellStyle name="Percentagem 2 5 4" xfId="1835" xr:uid="{6F665EAF-A8FD-474D-968E-B03D72EBCB0B}"/>
    <cellStyle name="Percentagem 2 6" xfId="466" xr:uid="{00000000-0005-0000-0000-00004A030000}"/>
    <cellStyle name="Percentagem 2 6 2" xfId="749" xr:uid="{00000000-0005-0000-0000-00004B030000}"/>
    <cellStyle name="Percentagem 2 6 2 2" xfId="1506" xr:uid="{C407FB6D-7ADE-4668-BCEE-9320645C53FE}"/>
    <cellStyle name="Percentagem 2 6 2 2 2" xfId="2675" xr:uid="{372379BB-D73C-4376-A9F6-516CDDD43267}"/>
    <cellStyle name="Percentagem 2 6 2 3" xfId="2087" xr:uid="{D667D075-8D23-47BC-B1CD-D16DC86800A1}"/>
    <cellStyle name="Percentagem 2 6 3" xfId="1252" xr:uid="{4A4F0A20-3A5A-47AC-A8A6-8B66BB8EEA96}"/>
    <cellStyle name="Percentagem 2 6 3 2" xfId="2421" xr:uid="{42BAA37D-41D1-4D86-AE74-E1941A441605}"/>
    <cellStyle name="Percentagem 2 6 4" xfId="1836" xr:uid="{D174AD52-9519-4029-923C-76644639094D}"/>
    <cellStyle name="Percentagem 2 7" xfId="738" xr:uid="{00000000-0005-0000-0000-00004C030000}"/>
    <cellStyle name="Percentagem 2 7 2" xfId="1495" xr:uid="{D1EDF5A9-8C49-4F9A-9B48-FB3E4F0833FC}"/>
    <cellStyle name="Percentagem 2 7 2 2" xfId="2664" xr:uid="{6110B45D-DDB6-4E43-A283-F0E904F463C5}"/>
    <cellStyle name="Percentagem 2 7 3" xfId="2076" xr:uid="{EE129862-46F7-42F5-897C-E204EE9724DD}"/>
    <cellStyle name="Percentagem 2 8" xfId="1241" xr:uid="{446BA51C-77DF-4C7C-BE20-E9EDD5008C35}"/>
    <cellStyle name="Percentagem 2 8 2" xfId="2410" xr:uid="{F2242973-0A47-48D5-B11D-E19DDD297BD9}"/>
    <cellStyle name="Percentagem 2 9" xfId="1825" xr:uid="{63C734A9-3B2B-488C-BB82-311068E90D75}"/>
    <cellStyle name="Percentagem 3" xfId="467" xr:uid="{00000000-0005-0000-0000-00004D030000}"/>
    <cellStyle name="Percentagem 3 2" xfId="468" xr:uid="{00000000-0005-0000-0000-00004E030000}"/>
    <cellStyle name="Percentagem 3 2 2" xfId="469" xr:uid="{00000000-0005-0000-0000-00004F030000}"/>
    <cellStyle name="Percentagem 3 2 2 2" xfId="752" xr:uid="{00000000-0005-0000-0000-000050030000}"/>
    <cellStyle name="Percentagem 3 2 2 2 2" xfId="1509" xr:uid="{18ABE9DB-F5A2-42D2-8CCD-03BC7893F952}"/>
    <cellStyle name="Percentagem 3 2 2 2 2 2" xfId="2678" xr:uid="{AF6E6EA2-EA60-4B8F-B3D6-701B76CD1F27}"/>
    <cellStyle name="Percentagem 3 2 2 2 3" xfId="2090" xr:uid="{208A858A-8022-49DE-99E6-21CFBEE607C5}"/>
    <cellStyle name="Percentagem 3 2 2 3" xfId="1255" xr:uid="{17E1D8D0-7E0C-4AE2-A118-A8DCA08EA1B4}"/>
    <cellStyle name="Percentagem 3 2 2 3 2" xfId="2424" xr:uid="{41190997-E875-4984-AF3B-B014BEEE6F6F}"/>
    <cellStyle name="Percentagem 3 2 2 4" xfId="1839" xr:uid="{1FD49686-DCB4-4712-92CE-497159CE8679}"/>
    <cellStyle name="Percentagem 3 2 3" xfId="470" xr:uid="{00000000-0005-0000-0000-000051030000}"/>
    <cellStyle name="Percentagem 3 2 3 2" xfId="753" xr:uid="{00000000-0005-0000-0000-000052030000}"/>
    <cellStyle name="Percentagem 3 2 3 2 2" xfId="1510" xr:uid="{14D20410-F7F0-4378-8817-DC6E671FD6E9}"/>
    <cellStyle name="Percentagem 3 2 3 2 2 2" xfId="2679" xr:uid="{991A7A18-3AEC-43F3-8BFE-76B0DE2EB7D0}"/>
    <cellStyle name="Percentagem 3 2 3 2 3" xfId="2091" xr:uid="{BBC0C1EC-4BC9-42D0-8C7F-E7390605B370}"/>
    <cellStyle name="Percentagem 3 2 3 3" xfId="1256" xr:uid="{24995E80-05EB-46E9-ADBF-512FEFDEF011}"/>
    <cellStyle name="Percentagem 3 2 3 3 2" xfId="2425" xr:uid="{92A22CF9-C3C2-4E72-A904-ADB67079AAA2}"/>
    <cellStyle name="Percentagem 3 2 3 4" xfId="1840" xr:uid="{4CFE5717-4449-45BA-9802-3DA05344077C}"/>
    <cellStyle name="Percentagem 3 2 4" xfId="471" xr:uid="{00000000-0005-0000-0000-000053030000}"/>
    <cellStyle name="Percentagem 3 2 4 2" xfId="754" xr:uid="{00000000-0005-0000-0000-000054030000}"/>
    <cellStyle name="Percentagem 3 2 4 2 2" xfId="1511" xr:uid="{1FB9A486-7875-46BE-9608-B1C6A166B930}"/>
    <cellStyle name="Percentagem 3 2 4 2 2 2" xfId="2680" xr:uid="{82A215D9-33B2-4455-8A0C-9343509767ED}"/>
    <cellStyle name="Percentagem 3 2 4 2 3" xfId="2092" xr:uid="{247FB248-D1A2-4FFF-9ADE-70DE2AFE8B3D}"/>
    <cellStyle name="Percentagem 3 2 4 3" xfId="1257" xr:uid="{EC3C8F07-B09B-41FD-9C28-B77B81F1C0B6}"/>
    <cellStyle name="Percentagem 3 2 4 3 2" xfId="2426" xr:uid="{19A10999-65D9-4DB9-8819-9990D23E830B}"/>
    <cellStyle name="Percentagem 3 2 4 4" xfId="1841" xr:uid="{CB13C0A4-E4BB-4036-A34B-8CB017A31380}"/>
    <cellStyle name="Percentagem 3 2 5" xfId="751" xr:uid="{00000000-0005-0000-0000-000055030000}"/>
    <cellStyle name="Percentagem 3 2 5 2" xfId="1508" xr:uid="{9A01F1DA-1052-4229-9F61-8E1E17331B5A}"/>
    <cellStyle name="Percentagem 3 2 5 2 2" xfId="2677" xr:uid="{955FEC0D-E866-44CF-90F5-6751D2A2630C}"/>
    <cellStyle name="Percentagem 3 2 5 3" xfId="2089" xr:uid="{59A09378-F168-4430-920C-C06449C3A412}"/>
    <cellStyle name="Percentagem 3 2 6" xfId="1254" xr:uid="{F4EBE14A-3176-4E73-B659-AACCDAC66F5F}"/>
    <cellStyle name="Percentagem 3 2 6 2" xfId="2423" xr:uid="{6F591988-12C1-43DE-93D0-9C33B6EB1FD7}"/>
    <cellStyle name="Percentagem 3 2 7" xfId="1838" xr:uid="{8CC36B31-AD57-46B5-9936-9CAA6A6A1A22}"/>
    <cellStyle name="Percentagem 3 3" xfId="472" xr:uid="{00000000-0005-0000-0000-000056030000}"/>
    <cellStyle name="Percentagem 3 3 2" xfId="473" xr:uid="{00000000-0005-0000-0000-000057030000}"/>
    <cellStyle name="Percentagem 3 3 2 2" xfId="756" xr:uid="{00000000-0005-0000-0000-000058030000}"/>
    <cellStyle name="Percentagem 3 3 2 2 2" xfId="1513" xr:uid="{AAAEE1E2-2759-4448-84E4-A01325D2D5D4}"/>
    <cellStyle name="Percentagem 3 3 2 2 2 2" xfId="2682" xr:uid="{3218788C-85E1-48FF-8B3C-6090BD37BFC2}"/>
    <cellStyle name="Percentagem 3 3 2 2 3" xfId="2094" xr:uid="{9473F3A1-4319-4B13-BC79-44C0C5292DE1}"/>
    <cellStyle name="Percentagem 3 3 2 3" xfId="1259" xr:uid="{576F9F19-6A76-4AAF-B789-4932E06DBA8C}"/>
    <cellStyle name="Percentagem 3 3 2 3 2" xfId="2428" xr:uid="{EAE40340-5467-404F-8D0D-3548BD23E8D8}"/>
    <cellStyle name="Percentagem 3 3 2 4" xfId="1843" xr:uid="{7C3E53A4-F41D-4A0F-AF0B-F1C455288329}"/>
    <cellStyle name="Percentagem 3 3 3" xfId="474" xr:uid="{00000000-0005-0000-0000-000059030000}"/>
    <cellStyle name="Percentagem 3 3 3 2" xfId="757" xr:uid="{00000000-0005-0000-0000-00005A030000}"/>
    <cellStyle name="Percentagem 3 3 3 2 2" xfId="1514" xr:uid="{6F4EC2FD-17AB-4A55-B070-100B491F43CC}"/>
    <cellStyle name="Percentagem 3 3 3 2 2 2" xfId="2683" xr:uid="{77181014-8351-4CBF-8218-AE30037E4A7A}"/>
    <cellStyle name="Percentagem 3 3 3 2 3" xfId="2095" xr:uid="{428B3019-3CD2-46DA-BF2B-75A20A76A75A}"/>
    <cellStyle name="Percentagem 3 3 3 3" xfId="1260" xr:uid="{AB923C1E-FD38-4864-B42F-4108BA973A89}"/>
    <cellStyle name="Percentagem 3 3 3 3 2" xfId="2429" xr:uid="{3FFE89F5-B3FC-412F-A95B-50BC7B20DE6F}"/>
    <cellStyle name="Percentagem 3 3 3 4" xfId="1844" xr:uid="{47A166C8-FCD7-4833-B86D-60C12EB487EC}"/>
    <cellStyle name="Percentagem 3 3 4" xfId="475" xr:uid="{00000000-0005-0000-0000-00005B030000}"/>
    <cellStyle name="Percentagem 3 3 4 2" xfId="758" xr:uid="{00000000-0005-0000-0000-00005C030000}"/>
    <cellStyle name="Percentagem 3 3 4 2 2" xfId="1515" xr:uid="{FC31EAE1-7A5E-47A9-9986-A95756472C15}"/>
    <cellStyle name="Percentagem 3 3 4 2 2 2" xfId="2684" xr:uid="{0D0A7007-F37B-4007-B9F9-47EC7A336879}"/>
    <cellStyle name="Percentagem 3 3 4 2 3" xfId="2096" xr:uid="{24DC1EE8-A787-4D09-A12D-B17F135DFC65}"/>
    <cellStyle name="Percentagem 3 3 4 3" xfId="1261" xr:uid="{61166839-A403-46CC-93CB-A0B7CC7E3257}"/>
    <cellStyle name="Percentagem 3 3 4 3 2" xfId="2430" xr:uid="{7788843B-99F9-48F2-BD66-BC34B712757C}"/>
    <cellStyle name="Percentagem 3 3 4 4" xfId="1845" xr:uid="{B9CC8EB8-9010-4827-A9B8-4D5773D15E4F}"/>
    <cellStyle name="Percentagem 3 3 5" xfId="755" xr:uid="{00000000-0005-0000-0000-00005D030000}"/>
    <cellStyle name="Percentagem 3 3 5 2" xfId="1512" xr:uid="{AB1ED56D-B8B9-4D4D-8E75-B1F41E90D3D0}"/>
    <cellStyle name="Percentagem 3 3 5 2 2" xfId="2681" xr:uid="{BFD7D088-1DBD-4628-BFE7-B15019448AEC}"/>
    <cellStyle name="Percentagem 3 3 5 3" xfId="2093" xr:uid="{DD00D9E7-6940-4DD2-8A74-3A06BDB200F7}"/>
    <cellStyle name="Percentagem 3 3 6" xfId="1258" xr:uid="{751EF645-AE86-42C7-824A-522D163AA317}"/>
    <cellStyle name="Percentagem 3 3 6 2" xfId="2427" xr:uid="{0138CE67-3916-49C8-BC76-11B2F3331C57}"/>
    <cellStyle name="Percentagem 3 3 7" xfId="1842" xr:uid="{9B749D56-B36B-4AC3-B193-0581AF6EF90E}"/>
    <cellStyle name="Percentagem 3 4" xfId="476" xr:uid="{00000000-0005-0000-0000-00005E030000}"/>
    <cellStyle name="Percentagem 3 4 2" xfId="759" xr:uid="{00000000-0005-0000-0000-00005F030000}"/>
    <cellStyle name="Percentagem 3 4 2 2" xfId="1516" xr:uid="{092AA4DF-9597-4A52-9968-5E2388089FC3}"/>
    <cellStyle name="Percentagem 3 4 2 2 2" xfId="2685" xr:uid="{3ECAE782-0558-46B3-9B80-352E5358E10D}"/>
    <cellStyle name="Percentagem 3 4 2 3" xfId="2097" xr:uid="{3FA6444D-3CF6-4A40-A733-9412D953237E}"/>
    <cellStyle name="Percentagem 3 4 3" xfId="1262" xr:uid="{17AB13A7-8B5C-4794-A219-0A9EE25F0CB8}"/>
    <cellStyle name="Percentagem 3 4 3 2" xfId="2431" xr:uid="{9728AE86-66F5-4B7F-AE9C-3BB96F6B8A44}"/>
    <cellStyle name="Percentagem 3 4 4" xfId="1846" xr:uid="{6FA284CD-D007-4D34-92EC-6D0292630430}"/>
    <cellStyle name="Percentagem 3 5" xfId="477" xr:uid="{00000000-0005-0000-0000-000060030000}"/>
    <cellStyle name="Percentagem 3 5 2" xfId="760" xr:uid="{00000000-0005-0000-0000-000061030000}"/>
    <cellStyle name="Percentagem 3 5 2 2" xfId="1517" xr:uid="{EB5E7EC3-5172-41BB-B5CC-BB7601C1F64F}"/>
    <cellStyle name="Percentagem 3 5 2 2 2" xfId="2686" xr:uid="{467D9886-DE5F-4929-8BD4-14C22656DD80}"/>
    <cellStyle name="Percentagem 3 5 2 3" xfId="2098" xr:uid="{92912765-2F17-47BA-A28B-D33C13A683FC}"/>
    <cellStyle name="Percentagem 3 5 3" xfId="1263" xr:uid="{B5497FDA-F1A9-429D-B6AB-F5A46D1E3915}"/>
    <cellStyle name="Percentagem 3 5 3 2" xfId="2432" xr:uid="{BB604B49-4921-4D9E-A9D4-07119757E036}"/>
    <cellStyle name="Percentagem 3 5 4" xfId="1847" xr:uid="{3D97D52A-7F32-4EE3-B9E1-9A27C4440B10}"/>
    <cellStyle name="Percentagem 3 6" xfId="478" xr:uid="{00000000-0005-0000-0000-000062030000}"/>
    <cellStyle name="Percentagem 3 6 2" xfId="761" xr:uid="{00000000-0005-0000-0000-000063030000}"/>
    <cellStyle name="Percentagem 3 6 2 2" xfId="1518" xr:uid="{E96BA962-F94E-4B4B-BFB9-10B7670A6DCD}"/>
    <cellStyle name="Percentagem 3 6 2 2 2" xfId="2687" xr:uid="{D482BAA9-AB6F-4A88-A41B-26DCD0D96FC4}"/>
    <cellStyle name="Percentagem 3 6 2 3" xfId="2099" xr:uid="{399AB909-9915-4A48-A125-1E07F0651AA1}"/>
    <cellStyle name="Percentagem 3 6 3" xfId="1264" xr:uid="{5659D7A8-350C-4E5C-973D-1E23F725816D}"/>
    <cellStyle name="Percentagem 3 6 3 2" xfId="2433" xr:uid="{85916CC8-A775-4D2E-B1F6-DDA8C9FA5023}"/>
    <cellStyle name="Percentagem 3 6 4" xfId="1848" xr:uid="{B174428B-D0BD-4882-9158-A2482A810964}"/>
    <cellStyle name="Percentagem 3 7" xfId="750" xr:uid="{00000000-0005-0000-0000-000064030000}"/>
    <cellStyle name="Percentagem 3 7 2" xfId="1507" xr:uid="{4C4EF698-1763-431C-9667-691DA4CE060F}"/>
    <cellStyle name="Percentagem 3 7 2 2" xfId="2676" xr:uid="{2F47D493-B379-418A-AE2C-E72BA83DD598}"/>
    <cellStyle name="Percentagem 3 7 3" xfId="2088" xr:uid="{411EA1F7-0036-490B-A290-3F164B59D4B8}"/>
    <cellStyle name="Percentagem 3 8" xfId="1253" xr:uid="{96C2989B-E620-47B3-8132-22E09670548B}"/>
    <cellStyle name="Percentagem 3 8 2" xfId="2422" xr:uid="{9FE30689-F237-4D3F-A823-9C9EB035414C}"/>
    <cellStyle name="Percentagem 3 9" xfId="1837" xr:uid="{C8F47B12-928A-4F3F-AECE-92EB07304411}"/>
    <cellStyle name="Percentagem 4" xfId="479" xr:uid="{00000000-0005-0000-0000-000065030000}"/>
    <cellStyle name="Percentagem 4 2" xfId="762" xr:uid="{00000000-0005-0000-0000-000066030000}"/>
    <cellStyle name="Percentagem 4 2 2" xfId="1519" xr:uid="{732A7937-13B1-41E1-880D-EA9F62E0EF28}"/>
    <cellStyle name="Percentagem 4 2 2 2" xfId="2688" xr:uid="{43ECA165-E387-4A64-8318-58585813F562}"/>
    <cellStyle name="Percentagem 4 2 3" xfId="2100" xr:uid="{F85DCA2F-9714-4988-AC45-01085DFBE9F1}"/>
    <cellStyle name="Percentagem 4 3" xfId="1265" xr:uid="{1D4CF78D-B672-406E-9B85-BE02B6985E5E}"/>
    <cellStyle name="Percentagem 4 3 2" xfId="2434" xr:uid="{7C0DF841-513B-4CEA-AAA5-D214B0EDA479}"/>
    <cellStyle name="Percentagem 4 4" xfId="1849" xr:uid="{3E38DDEF-F299-4526-826F-FDA84347EABE}"/>
    <cellStyle name="Percentagem 5" xfId="480" xr:uid="{00000000-0005-0000-0000-000067030000}"/>
    <cellStyle name="Percentagem 5 2" xfId="763" xr:uid="{00000000-0005-0000-0000-000068030000}"/>
    <cellStyle name="Percentagem 5 2 2" xfId="1520" xr:uid="{9E1E9D3A-0964-42CD-8787-15D2A5A2B8E9}"/>
    <cellStyle name="Percentagem 5 2 2 2" xfId="2689" xr:uid="{EB86272C-D09C-4F59-96D6-60B362AE1263}"/>
    <cellStyle name="Percentagem 5 2 3" xfId="2101" xr:uid="{E5B60B33-56D8-4E67-8DF1-57D48FBBA91A}"/>
    <cellStyle name="Percentagem 5 3" xfId="1266" xr:uid="{E276BB0C-C033-4839-9786-E4B4D6AC0813}"/>
    <cellStyle name="Percentagem 5 3 2" xfId="2435" xr:uid="{BCF4B3A7-FF8D-4A4F-9572-512382DD3CE1}"/>
    <cellStyle name="Percentagem 5 4" xfId="1850" xr:uid="{F4D78E2A-000F-4513-BD3D-2A8473063506}"/>
    <cellStyle name="Percentagem 6" xfId="481" xr:uid="{00000000-0005-0000-0000-000069030000}"/>
    <cellStyle name="Percentagem 6 2" xfId="764" xr:uid="{00000000-0005-0000-0000-00006A030000}"/>
    <cellStyle name="Percentagem 6 2 2" xfId="1521" xr:uid="{0CE1DD02-17F4-4CCC-8C90-8612BE508D5C}"/>
    <cellStyle name="Percentagem 6 2 2 2" xfId="2690" xr:uid="{A5F87938-8121-4CAD-96C4-FE4BFEF63F53}"/>
    <cellStyle name="Percentagem 6 2 3" xfId="2102" xr:uid="{FB58BE0D-7AC3-4C1D-AA0C-95EFCD0332B9}"/>
    <cellStyle name="Percentagem 6 3" xfId="1267" xr:uid="{EBAE740F-A13F-4432-8584-76A8BB5FFCE8}"/>
    <cellStyle name="Percentagem 6 3 2" xfId="2436" xr:uid="{04D60AB1-1037-44AE-BD76-6319D81FDCCD}"/>
    <cellStyle name="Percentagem 6 4" xfId="1851" xr:uid="{01CBBF4A-5E08-4973-B9E9-EEED0164526B}"/>
    <cellStyle name="Porcentagem 2" xfId="482" xr:uid="{00000000-0005-0000-0000-00006B030000}"/>
    <cellStyle name="Porcentagem 3" xfId="483" xr:uid="{00000000-0005-0000-0000-00006C030000}"/>
    <cellStyle name="Porcentaje" xfId="42" builtinId="5"/>
    <cellStyle name="Porcentaje 2" xfId="45" xr:uid="{00000000-0005-0000-0000-00006E030000}"/>
    <cellStyle name="Porcentaje 2 2" xfId="521" xr:uid="{00000000-0005-0000-0000-00006F030000}"/>
    <cellStyle name="Porcentaje 2 2 2" xfId="1290" xr:uid="{3CDE613B-916C-4A6C-9862-1E4D95767835}"/>
    <cellStyle name="Porcentaje 2 2 2 2" xfId="2459" xr:uid="{06B6B863-177F-4FBA-977F-EBE7E8782149}"/>
    <cellStyle name="Porcentaje 2 2 3" xfId="1872" xr:uid="{D9371F0C-BBDB-4646-A495-1D5AD040B935}"/>
    <cellStyle name="Porcentaje 2 3" xfId="1022" xr:uid="{FB392D0B-E623-49BD-8D82-04B34221FFE0}"/>
    <cellStyle name="Porcentaje 2 3 2" xfId="2191" xr:uid="{43B6F3F2-190D-4041-904D-B4180F508069}"/>
    <cellStyle name="Porcentaje 2 4" xfId="1612" xr:uid="{51BCEA77-2EBF-436C-B830-A33A8A2DAFDC}"/>
    <cellStyle name="Porcentaje 3" xfId="140" xr:uid="{00000000-0005-0000-0000-000070030000}"/>
    <cellStyle name="Porcentaje 3 2" xfId="554" xr:uid="{00000000-0005-0000-0000-000071030000}"/>
    <cellStyle name="Porcentaje 3 2 2" xfId="1319" xr:uid="{9A463415-85F6-4461-90EC-9D6C0911B5CA}"/>
    <cellStyle name="Porcentaje 3 2 2 2" xfId="2488" xr:uid="{80AD894A-E727-45B6-997A-1A9521450893}"/>
    <cellStyle name="Porcentaje 3 2 3" xfId="1901" xr:uid="{99C8A33F-CFD8-4230-933D-BDB09D4A1A1A}"/>
    <cellStyle name="Porcentaje 3 3" xfId="1051" xr:uid="{156E5588-FA17-4117-8DDD-B13DD185C590}"/>
    <cellStyle name="Porcentaje 3 3 2" xfId="2220" xr:uid="{B0E40C1C-1110-4D2A-AF49-95EB3597BF52}"/>
    <cellStyle name="Porcentaje 3 4" xfId="1640" xr:uid="{14C3F304-1481-4F53-A78A-2BCFF83F24B2}"/>
    <cellStyle name="Porcentaje 4" xfId="243" xr:uid="{00000000-0005-0000-0000-000072030000}"/>
    <cellStyle name="Porcentaje 4 2" xfId="619" xr:uid="{00000000-0005-0000-0000-000073030000}"/>
    <cellStyle name="Porcentaje 4 2 2" xfId="1380" xr:uid="{9CD1BD7F-E04E-4C23-BE61-0374439C35C4}"/>
    <cellStyle name="Porcentaje 4 2 2 2" xfId="2549" xr:uid="{449F127A-0CAE-44EE-948E-DC4D4178C860}"/>
    <cellStyle name="Porcentaje 4 2 3" xfId="1961" xr:uid="{F7C4DED5-CD37-4D00-88BE-698035229855}"/>
    <cellStyle name="Porcentaje 4 3" xfId="1115" xr:uid="{3DB6CA81-753D-4535-AC34-7E10AEF94ED6}"/>
    <cellStyle name="Porcentaje 4 3 2" xfId="2284" xr:uid="{43B861A4-B33C-4C22-AFEE-0BDEC5D61839}"/>
    <cellStyle name="Porcentaje 4 4" xfId="1700" xr:uid="{0A262D17-33D9-4C1F-97CC-13EC21BB54DC}"/>
    <cellStyle name="Porcentaje 5" xfId="518" xr:uid="{00000000-0005-0000-0000-000074030000}"/>
    <cellStyle name="Porcentaje 6" xfId="939" xr:uid="{00000000-0005-0000-0000-000075030000}"/>
    <cellStyle name="Porcentaje 6 2" xfId="1546" xr:uid="{770535BF-A2AC-4D5B-9747-841BE5877897}"/>
    <cellStyle name="Porcentaje 6 2 2" xfId="2715" xr:uid="{B60EA394-0E43-4F27-8EC6-5318B5CC6EBE}"/>
    <cellStyle name="Porcentaje 6 3" xfId="2127" xr:uid="{44A38215-C21B-4E20-B2AB-F8440AC23123}"/>
    <cellStyle name="Porcentaje 7" xfId="997" xr:uid="{C609731A-A2E4-43EF-ACF3-9C42CA8CC594}"/>
    <cellStyle name="Porcentaje 7 2" xfId="1597" xr:uid="{97191190-90E7-4A23-9031-A2187349589E}"/>
    <cellStyle name="Porcentaje 7 2 2" xfId="2766" xr:uid="{81E66A29-CEDF-4390-A303-90275166455A}"/>
    <cellStyle name="Porcentaje 7 3" xfId="2178" xr:uid="{65496D00-881C-4314-BA61-2A7D5267DBF3}"/>
    <cellStyle name="Porcentaje 8" xfId="2783" xr:uid="{E0AC83C3-D3A5-42DE-9481-B4843F0D1A4B}"/>
    <cellStyle name="Porcentual 2" xfId="953" xr:uid="{00000000-0005-0000-0000-000076030000}"/>
    <cellStyle name="Salida" xfId="34" builtinId="21" customBuiltin="1"/>
    <cellStyle name="Salida 2" xfId="121" xr:uid="{00000000-0005-0000-0000-000078030000}"/>
    <cellStyle name="Salida 3" xfId="122" xr:uid="{00000000-0005-0000-0000-000079030000}"/>
    <cellStyle name="Salida 4" xfId="219" xr:uid="{00000000-0005-0000-0000-00007A030000}"/>
    <cellStyle name="Texto de advertencia" xfId="35" builtinId="11" customBuiltin="1"/>
    <cellStyle name="Texto de advertencia 2" xfId="123" xr:uid="{00000000-0005-0000-0000-00007C030000}"/>
    <cellStyle name="Texto de advertencia 3" xfId="124" xr:uid="{00000000-0005-0000-0000-00007D030000}"/>
    <cellStyle name="Texto de advertencia 4" xfId="220" xr:uid="{00000000-0005-0000-0000-00007E030000}"/>
    <cellStyle name="Texto explicativo" xfId="36" builtinId="53" customBuiltin="1"/>
    <cellStyle name="Texto explicativo 2" xfId="125" xr:uid="{00000000-0005-0000-0000-000080030000}"/>
    <cellStyle name="Texto explicativo 3" xfId="126" xr:uid="{00000000-0005-0000-0000-000081030000}"/>
    <cellStyle name="Texto explicativo 4" xfId="221" xr:uid="{00000000-0005-0000-0000-000082030000}"/>
    <cellStyle name="Título" xfId="37" builtinId="15" customBuiltin="1"/>
    <cellStyle name="Título 1" xfId="503" xr:uid="{00000000-0005-0000-0000-000084030000}"/>
    <cellStyle name="Título 1 2" xfId="127" xr:uid="{00000000-0005-0000-0000-000085030000}"/>
    <cellStyle name="Título 1 3" xfId="128" xr:uid="{00000000-0005-0000-0000-000086030000}"/>
    <cellStyle name="Título 1 4" xfId="222" xr:uid="{00000000-0005-0000-0000-000087030000}"/>
    <cellStyle name="Título 2" xfId="39" builtinId="17" customBuiltin="1"/>
    <cellStyle name="Título 2 2" xfId="129" xr:uid="{00000000-0005-0000-0000-000089030000}"/>
    <cellStyle name="Título 2 3" xfId="130" xr:uid="{00000000-0005-0000-0000-00008A030000}"/>
    <cellStyle name="Título 2 4" xfId="223" xr:uid="{00000000-0005-0000-0000-00008B030000}"/>
    <cellStyle name="Título 3" xfId="40" builtinId="18" customBuiltin="1"/>
    <cellStyle name="Título 3 2" xfId="131" xr:uid="{00000000-0005-0000-0000-00008D030000}"/>
    <cellStyle name="Título 3 3" xfId="132" xr:uid="{00000000-0005-0000-0000-00008E030000}"/>
    <cellStyle name="Título 3 4" xfId="224" xr:uid="{00000000-0005-0000-0000-00008F030000}"/>
    <cellStyle name="Título 4" xfId="133" xr:uid="{00000000-0005-0000-0000-000090030000}"/>
    <cellStyle name="Título 5" xfId="134" xr:uid="{00000000-0005-0000-0000-000091030000}"/>
    <cellStyle name="Título 6" xfId="225" xr:uid="{00000000-0005-0000-0000-000092030000}"/>
    <cellStyle name="Título 7" xfId="244" xr:uid="{00000000-0005-0000-0000-000093030000}"/>
    <cellStyle name="Título 8" xfId="245" xr:uid="{00000000-0005-0000-0000-000094030000}"/>
    <cellStyle name="Título 9" xfId="2802" xr:uid="{8AC451D0-84D8-4624-8558-1649839167E6}"/>
    <cellStyle name="Total" xfId="147" builtinId="25" customBuiltin="1"/>
    <cellStyle name="Vírgula 2" xfId="273" xr:uid="{00000000-0005-0000-0000-000096030000}"/>
    <cellStyle name="Vírgula 2 10" xfId="956" xr:uid="{00000000-0005-0000-0000-000097030000}"/>
    <cellStyle name="Vírgula 2 10 2" xfId="1560" xr:uid="{9DB85166-230B-40E8-B398-A3679CDDEBC3}"/>
    <cellStyle name="Vírgula 2 10 2 2" xfId="2729" xr:uid="{57718CC9-179A-4869-9536-D4B6D495339C}"/>
    <cellStyle name="Vírgula 2 10 2 3" xfId="2856" xr:uid="{0CD74743-37E3-4C68-9046-21C722A63971}"/>
    <cellStyle name="Vírgula 2 10 3" xfId="2141" xr:uid="{707D63ED-A8CE-4F58-89DA-025A79FA486D}"/>
    <cellStyle name="Vírgula 2 10 3 2" xfId="2837" xr:uid="{D77CAADD-FADA-4BC9-8332-A1A680D47C79}"/>
    <cellStyle name="Vírgula 2 10 4" xfId="2797" xr:uid="{1735EF9E-1F6A-4529-AA0A-BED9C8C0DA4A}"/>
    <cellStyle name="Vírgula 2 11" xfId="957" xr:uid="{00000000-0005-0000-0000-000098030000}"/>
    <cellStyle name="Vírgula 2 11 2" xfId="1561" xr:uid="{383F0ACE-0552-42E3-AD39-AB685464A0F4}"/>
    <cellStyle name="Vírgula 2 11 2 2" xfId="2730" xr:uid="{0AE8B47D-A9C3-41F7-A1D3-DF18D12087EF}"/>
    <cellStyle name="Vírgula 2 11 2 3" xfId="2857" xr:uid="{774E73F0-D0D8-42F0-84C0-A1F015425A3A}"/>
    <cellStyle name="Vírgula 2 11 3" xfId="2142" xr:uid="{FF2BD27E-599A-423E-892A-511988F762E9}"/>
    <cellStyle name="Vírgula 2 11 3 2" xfId="2838" xr:uid="{697C1C3A-6645-4245-80F3-A3B81A4D5317}"/>
    <cellStyle name="Vírgula 2 11 4" xfId="2798" xr:uid="{77CEDA37-5B0A-4B3F-BBF6-10D63C62625E}"/>
    <cellStyle name="Vírgula 2 12" xfId="959" xr:uid="{00000000-0005-0000-0000-000099030000}"/>
    <cellStyle name="Vírgula 2 12 2" xfId="1563" xr:uid="{206214DA-DBF8-4783-8B59-5061A9582594}"/>
    <cellStyle name="Vírgula 2 12 2 2" xfId="2732" xr:uid="{F4F20C3A-82AD-4F09-909D-6D04BC7602D9}"/>
    <cellStyle name="Vírgula 2 12 2 3" xfId="2859" xr:uid="{099C1A5B-BF9B-4571-B4FA-DE2367E0EBB8}"/>
    <cellStyle name="Vírgula 2 12 3" xfId="2144" xr:uid="{6185A560-AD8C-4358-8780-D85F578D34F4}"/>
    <cellStyle name="Vírgula 2 12 3 2" xfId="2840" xr:uid="{4F00FD85-12FB-4201-90E0-4AA76F68FFA0}"/>
    <cellStyle name="Vírgula 2 12 4" xfId="2800" xr:uid="{97EBCC61-7940-4025-A112-DE78DFB75A1F}"/>
    <cellStyle name="Vírgula 2 13" xfId="941" xr:uid="{00000000-0005-0000-0000-00009A030000}"/>
    <cellStyle name="Vírgula 2 13 2" xfId="1548" xr:uid="{9B36F213-5ACA-4617-AB1B-03A1203E1989}"/>
    <cellStyle name="Vírgula 2 13 2 2" xfId="2717" xr:uid="{6533B158-35F8-43DB-A570-50B26B45C3EA}"/>
    <cellStyle name="Vírgula 2 13 2 3" xfId="2844" xr:uid="{3950B268-D499-4ED8-BDDE-82CE11D80762}"/>
    <cellStyle name="Vírgula 2 13 3" xfId="2129" xr:uid="{CBF4C984-C9D2-44BD-82D8-A8AF21C6A70B}"/>
    <cellStyle name="Vírgula 2 13 3 2" xfId="2825" xr:uid="{D1AFDC52-02DD-42CA-B604-D9999504CDCC}"/>
    <cellStyle name="Vírgula 2 13 4" xfId="2784" xr:uid="{335DC228-11ED-414A-8460-F88F7E54EFC8}"/>
    <cellStyle name="Vírgula 2 14" xfId="937" xr:uid="{00000000-0005-0000-0000-00009B030000}"/>
    <cellStyle name="Vírgula 2 14 2" xfId="1544" xr:uid="{271E21B0-7628-404E-85E3-381B6EB73FBA}"/>
    <cellStyle name="Vírgula 2 14 2 2" xfId="2713" xr:uid="{0FDA3943-38BF-41AF-B200-10CDAF1A107A}"/>
    <cellStyle name="Vírgula 2 14 2 3" xfId="2861" xr:uid="{BE7B5418-D3FB-48A6-AB92-689F50DB2665}"/>
    <cellStyle name="Vírgula 2 14 3" xfId="2125" xr:uid="{EE97D16B-D626-4CDE-A58D-8ACE963EF6D1}"/>
    <cellStyle name="Vírgula 2 14 3 2" xfId="2823" xr:uid="{206D0137-2D8A-4069-923B-5211874A8570}"/>
    <cellStyle name="Vírgula 2 14 4" xfId="2820" xr:uid="{027DF49A-AA84-4200-B80E-EAA0E4C944FB}"/>
    <cellStyle name="Vírgula 2 15" xfId="964" xr:uid="{00000000-0005-0000-0000-00009C030000}"/>
    <cellStyle name="Vírgula 2 15 2" xfId="1567" xr:uid="{09A9163B-E0F7-41B2-A737-FE2D047FA9B0}"/>
    <cellStyle name="Vírgula 2 15 2 2" xfId="2736" xr:uid="{C457C7CE-E197-443C-BFBC-817D5D2E0E4B}"/>
    <cellStyle name="Vírgula 2 15 3" xfId="2148" xr:uid="{3DF49E17-5802-4066-9774-8304393A0533}"/>
    <cellStyle name="Vírgula 2 15 4" xfId="2842" xr:uid="{800548F5-E015-460E-A48F-E0901E419494}"/>
    <cellStyle name="Vírgula 2 16" xfId="968" xr:uid="{00000000-0005-0000-0000-00009D030000}"/>
    <cellStyle name="Vírgula 2 16 2" xfId="1570" xr:uid="{22CE56AC-C166-40DB-8D7D-70930B8ED038}"/>
    <cellStyle name="Vírgula 2 16 2 2" xfId="2739" xr:uid="{98EFE4B3-27C7-4202-8B7C-6F1378540FAD}"/>
    <cellStyle name="Vírgula 2 16 3" xfId="2151" xr:uid="{97170B54-D5F6-4D8E-AEF9-594D544E8C61}"/>
    <cellStyle name="Vírgula 2 16 4" xfId="2822" xr:uid="{D2A657AE-DA65-48AC-8C19-7EF30F242B93}"/>
    <cellStyle name="Vírgula 2 17" xfId="973" xr:uid="{6AE0558D-3BB5-45DB-8250-1687B0EB02C4}"/>
    <cellStyle name="Vírgula 2 17 2" xfId="1575" xr:uid="{DC22F394-65CA-4ABC-9F48-56F1E3C032D5}"/>
    <cellStyle name="Vírgula 2 17 2 2" xfId="2744" xr:uid="{55193398-2BBF-4C3D-9013-C826D5A1C28F}"/>
    <cellStyle name="Vírgula 2 17 3" xfId="2156" xr:uid="{00A3E037-D682-4471-A903-0B39B1C07512}"/>
    <cellStyle name="Vírgula 2 17 4" xfId="2863" xr:uid="{D9B1C8C6-C2E5-4231-A2C5-6B63B9EFA2A2}"/>
    <cellStyle name="Vírgula 2 18" xfId="1005" xr:uid="{6A021630-B9C7-4CE4-8241-4BF76C3D0276}"/>
    <cellStyle name="Vírgula 2 18 2" xfId="1605" xr:uid="{1C61B6E2-5083-4A2C-8749-E6DADF490047}"/>
    <cellStyle name="Vírgula 2 18 2 2" xfId="2774" xr:uid="{E7C81DE3-9434-4AE4-A4DA-BEC00F3B1770}"/>
    <cellStyle name="Vírgula 2 18 3" xfId="2186" xr:uid="{F3DDB6BD-593B-4AFE-8A41-E0A4C3011238}"/>
    <cellStyle name="Vírgula 2 18 4" xfId="2864" xr:uid="{0D0C8310-F044-4962-878C-899ED1E765E9}"/>
    <cellStyle name="Vírgula 2 19" xfId="1117" xr:uid="{FC8A01C2-7D68-4AC8-9C06-13BAFAF46637}"/>
    <cellStyle name="Vírgula 2 19 2" xfId="2286" xr:uid="{75B81F4B-ABF3-41A6-9E03-2408A9B781AC}"/>
    <cellStyle name="Vírgula 2 19 3" xfId="2865" xr:uid="{E34C5D00-7D7C-4792-99CC-D4344F523371}"/>
    <cellStyle name="Vírgula 2 2" xfId="484" xr:uid="{00000000-0005-0000-0000-00009E030000}"/>
    <cellStyle name="Vírgula 2 2 10" xfId="2782" xr:uid="{446639F7-6809-4ADB-9E99-3F8CF6C63D52}"/>
    <cellStyle name="Vírgula 2 2 2" xfId="945" xr:uid="{00000000-0005-0000-0000-00009F030000}"/>
    <cellStyle name="Vírgula 2 2 2 2" xfId="1552" xr:uid="{3229AA15-C867-4937-A482-D7055AE2BC38}"/>
    <cellStyle name="Vírgula 2 2 2 2 2" xfId="2721" xr:uid="{1ED81077-29A1-4C2C-A9A5-AC94A860A1BB}"/>
    <cellStyle name="Vírgula 2 2 2 2 3" xfId="2848" xr:uid="{42673E28-168E-4E84-836D-2EA76840E8D4}"/>
    <cellStyle name="Vírgula 2 2 2 3" xfId="2133" xr:uid="{B24202D7-2A7E-4A89-ACB5-933B391D8650}"/>
    <cellStyle name="Vírgula 2 2 2 3 2" xfId="2829" xr:uid="{628FE0F6-7883-4894-BF82-12B921805952}"/>
    <cellStyle name="Vírgula 2 2 2 4" xfId="2788" xr:uid="{42A027EB-CDBF-439D-AE27-A06266C2705D}"/>
    <cellStyle name="Vírgula 2 2 3" xfId="947" xr:uid="{00000000-0005-0000-0000-0000A0030000}"/>
    <cellStyle name="Vírgula 2 2 3 2" xfId="1554" xr:uid="{2BC0C91D-B7B2-4143-A009-42F8BB578AF8}"/>
    <cellStyle name="Vírgula 2 2 3 2 2" xfId="2723" xr:uid="{71A6F049-FBA4-4B45-807B-F64612431B4E}"/>
    <cellStyle name="Vírgula 2 2 3 2 3" xfId="2850" xr:uid="{39A1F149-A874-4319-AB85-07AB913D391A}"/>
    <cellStyle name="Vírgula 2 2 3 3" xfId="2135" xr:uid="{B8F25E36-9B3F-4F2E-9F80-96D128754E60}"/>
    <cellStyle name="Vírgula 2 2 3 3 2" xfId="2831" xr:uid="{619EFA43-7C1F-4F6E-9D25-80640AE654E6}"/>
    <cellStyle name="Vírgula 2 2 3 4" xfId="2790" xr:uid="{E8C38F8C-9161-4EF7-8BE6-871FE6FC0009}"/>
    <cellStyle name="Vírgula 2 2 4" xfId="949" xr:uid="{00000000-0005-0000-0000-0000A1030000}"/>
    <cellStyle name="Vírgula 2 2 4 2" xfId="1556" xr:uid="{989357D9-3FE4-4940-9E2E-4F19781F6FE8}"/>
    <cellStyle name="Vírgula 2 2 4 2 2" xfId="2725" xr:uid="{B12C5C61-8756-4645-8117-295C12AE2A8F}"/>
    <cellStyle name="Vírgula 2 2 4 2 3" xfId="2852" xr:uid="{4D0EBAA8-A531-41C7-BD8E-AB859DA062DB}"/>
    <cellStyle name="Vírgula 2 2 4 3" xfId="2137" xr:uid="{E32B0E00-9DD6-48C6-80A6-49F6F4FD2652}"/>
    <cellStyle name="Vírgula 2 2 4 3 2" xfId="2833" xr:uid="{2F1BB506-22DE-43E7-93D7-9A2B8030B86A}"/>
    <cellStyle name="Vírgula 2 2 4 4" xfId="2792" xr:uid="{20BEA7B6-0D09-4B2A-BD15-ED4BC55B26F3}"/>
    <cellStyle name="Vírgula 2 2 5" xfId="958" xr:uid="{00000000-0005-0000-0000-0000A2030000}"/>
    <cellStyle name="Vírgula 2 2 5 2" xfId="1562" xr:uid="{526BA5F3-10BD-4F51-BF18-61F0B24E9117}"/>
    <cellStyle name="Vírgula 2 2 5 2 2" xfId="2731" xr:uid="{657F69BC-7F12-4DB6-BEF7-893E5FF3DA41}"/>
    <cellStyle name="Vírgula 2 2 5 2 3" xfId="2858" xr:uid="{336CBCA6-383A-4552-A0CE-918B7ADC8AC3}"/>
    <cellStyle name="Vírgula 2 2 5 3" xfId="2143" xr:uid="{DA672A3D-AB1B-4038-8E67-93E31F918234}"/>
    <cellStyle name="Vírgula 2 2 5 3 2" xfId="2839" xr:uid="{503611AE-355A-473F-A6EF-02055ACF4B30}"/>
    <cellStyle name="Vírgula 2 2 5 4" xfId="2799" xr:uid="{3AACF7B0-EB40-45D2-9DF7-3552B34F6F61}"/>
    <cellStyle name="Vírgula 2 2 6" xfId="960" xr:uid="{00000000-0005-0000-0000-0000A3030000}"/>
    <cellStyle name="Vírgula 2 2 6 2" xfId="1564" xr:uid="{14EFF014-CEDE-4C67-8FAB-CDE980541EB4}"/>
    <cellStyle name="Vírgula 2 2 6 2 2" xfId="2733" xr:uid="{656DA786-C74F-45BE-8B19-4A425312D43C}"/>
    <cellStyle name="Vírgula 2 2 6 2 3" xfId="2860" xr:uid="{66701D83-FFA8-41F0-B8A8-8F2F34B11923}"/>
    <cellStyle name="Vírgula 2 2 6 3" xfId="2145" xr:uid="{3EA6C7F9-56DA-4DB0-821C-DCD0076911DB}"/>
    <cellStyle name="Vírgula 2 2 6 3 2" xfId="2841" xr:uid="{95144E83-D51E-4B89-8153-1A262C298C62}"/>
    <cellStyle name="Vírgula 2 2 6 4" xfId="2801" xr:uid="{6F53D1DA-C379-4C74-917C-10D72201CB54}"/>
    <cellStyle name="Vírgula 2 2 7" xfId="942" xr:uid="{00000000-0005-0000-0000-0000A4030000}"/>
    <cellStyle name="Vírgula 2 2 7 2" xfId="1549" xr:uid="{231F72D2-C8B3-4FD6-A9D6-8BB54D020475}"/>
    <cellStyle name="Vírgula 2 2 7 2 2" xfId="2718" xr:uid="{09DE6B3B-BAA7-4FDA-9FCD-B970C3DE29ED}"/>
    <cellStyle name="Vírgula 2 2 7 2 3" xfId="2845" xr:uid="{81850620-A469-44D5-BB0C-37D10CF72357}"/>
    <cellStyle name="Vírgula 2 2 7 3" xfId="2130" xr:uid="{79C22B07-852A-48CD-BA4B-030DBC3F0CB1}"/>
    <cellStyle name="Vírgula 2 2 7 3 2" xfId="2826" xr:uid="{58529A34-F685-4B2B-8102-2240F9AD62DC}"/>
    <cellStyle name="Vírgula 2 2 7 4" xfId="2785" xr:uid="{285B265E-8268-4721-A1E4-8DBACD8BFF61}"/>
    <cellStyle name="Vírgula 2 2 8" xfId="938" xr:uid="{00000000-0005-0000-0000-0000A5030000}"/>
    <cellStyle name="Vírgula 2 2 8 2" xfId="1545" xr:uid="{419FD07C-DFF7-4F81-A2A4-85AEE39D4A17}"/>
    <cellStyle name="Vírgula 2 2 8 2 2" xfId="2714" xr:uid="{F1935521-F3C0-47DD-A691-9318C6448427}"/>
    <cellStyle name="Vírgula 2 2 8 3" xfId="2126" xr:uid="{1B63792B-AAE9-4C3A-B810-22F4E9805C6C}"/>
    <cellStyle name="Vírgula 2 2 8 4" xfId="2843" xr:uid="{1F810BF8-448D-4CF1-B57A-2A072A2ABBE1}"/>
    <cellStyle name="Vírgula 2 2 9" xfId="2824" xr:uid="{5008608C-0790-465E-ABC7-DE6B0E703D0F}"/>
    <cellStyle name="Vírgula 2 20" xfId="1702" xr:uid="{DB16C9C0-118A-472B-A9A4-DC67637504C6}"/>
    <cellStyle name="Vírgula 2 20 2" xfId="2866" xr:uid="{F99317C2-DF94-4443-AD18-CF35A5A3AFD5}"/>
    <cellStyle name="Vírgula 2 21" xfId="2781" xr:uid="{BC955304-3722-4256-A017-C002739BFC49}"/>
    <cellStyle name="Vírgula 2 3" xfId="932" xr:uid="{00000000-0005-0000-0000-0000A6030000}"/>
    <cellStyle name="Vírgula 2 3 2" xfId="943" xr:uid="{00000000-0005-0000-0000-0000A7030000}"/>
    <cellStyle name="Vírgula 2 3 2 2" xfId="1550" xr:uid="{B16D2C70-6B3C-491A-A7FE-71DB59D771C0}"/>
    <cellStyle name="Vírgula 2 3 2 2 2" xfId="2719" xr:uid="{4A854F9E-242A-4FBE-BCB2-D40DA5803C08}"/>
    <cellStyle name="Vírgula 2 3 2 3" xfId="2131" xr:uid="{25EDE204-F561-4836-9F5B-6C263C325856}"/>
    <cellStyle name="Vírgula 2 3 2 4" xfId="2846" xr:uid="{15EAAF2B-0BC7-4D1E-820B-713C3CF941FB}"/>
    <cellStyle name="Vírgula 2 3 3" xfId="1539" xr:uid="{509CA31E-2D16-42CF-8C34-0792F1DCB0DE}"/>
    <cellStyle name="Vírgula 2 3 3 2" xfId="2708" xr:uid="{241CA335-DF2D-477F-B97E-D9D27CFD3DCE}"/>
    <cellStyle name="Vírgula 2 3 3 3" xfId="2827" xr:uid="{8ED2D149-98D3-4D20-BC92-2BC4C0BC19DB}"/>
    <cellStyle name="Vírgula 2 3 4" xfId="2120" xr:uid="{FD431AB6-9E32-46B0-8E2C-8C5F2F15690F}"/>
    <cellStyle name="Vírgula 2 3 5" xfId="2786" xr:uid="{A34E5FE6-C9F1-4F53-84B8-33F6B8347013}"/>
    <cellStyle name="Vírgula 2 4" xfId="944" xr:uid="{00000000-0005-0000-0000-0000A8030000}"/>
    <cellStyle name="Vírgula 2 4 2" xfId="1551" xr:uid="{966804EB-9469-4937-97BB-2CDFC05B53B2}"/>
    <cellStyle name="Vírgula 2 4 2 2" xfId="2720" xr:uid="{40680A4F-E2CD-4988-9B70-5E0794445781}"/>
    <cellStyle name="Vírgula 2 4 2 3" xfId="2847" xr:uid="{C411701A-093C-49F2-B472-4BB5E702B48E}"/>
    <cellStyle name="Vírgula 2 4 3" xfId="2132" xr:uid="{5C25FBEA-3CB9-47ED-8F4F-939956D96488}"/>
    <cellStyle name="Vírgula 2 4 3 2" xfId="2828" xr:uid="{52E1C682-DB12-49A2-87DB-6C51911F7BAE}"/>
    <cellStyle name="Vírgula 2 4 4" xfId="2787" xr:uid="{A5CED660-563E-4146-A0D8-AAC1A6BE44BC}"/>
    <cellStyle name="Vírgula 2 5" xfId="946" xr:uid="{00000000-0005-0000-0000-0000A9030000}"/>
    <cellStyle name="Vírgula 2 5 2" xfId="1553" xr:uid="{3DC3FD3A-DAFE-4E1B-8669-922927373792}"/>
    <cellStyle name="Vírgula 2 5 2 2" xfId="2722" xr:uid="{285EFFBA-DE76-41DE-9EAC-721EF671B49D}"/>
    <cellStyle name="Vírgula 2 5 2 3" xfId="2849" xr:uid="{84660E99-098B-40E9-924B-1F831B2C0D28}"/>
    <cellStyle name="Vírgula 2 5 3" xfId="2134" xr:uid="{5598E24B-F278-4E19-BA5C-57AEE1259693}"/>
    <cellStyle name="Vírgula 2 5 3 2" xfId="2830" xr:uid="{326555D7-09FC-4BED-A782-962D1FE64BBD}"/>
    <cellStyle name="Vírgula 2 5 4" xfId="2789" xr:uid="{A5C7224E-415F-4BE5-AF57-562B0E549949}"/>
    <cellStyle name="Vírgula 2 6" xfId="948" xr:uid="{00000000-0005-0000-0000-0000AA030000}"/>
    <cellStyle name="Vírgula 2 6 2" xfId="1555" xr:uid="{1B715EE4-FA3E-4B84-B567-790DA335D6E0}"/>
    <cellStyle name="Vírgula 2 6 2 2" xfId="2724" xr:uid="{110A496B-62F2-4355-9A59-8E41F9C2E42B}"/>
    <cellStyle name="Vírgula 2 6 2 3" xfId="2851" xr:uid="{C7503CE7-7226-4F5B-A6D5-FFDC55B4C899}"/>
    <cellStyle name="Vírgula 2 6 3" xfId="2136" xr:uid="{A95ACF9F-4AAB-4629-8584-462EF90006CD}"/>
    <cellStyle name="Vírgula 2 6 3 2" xfId="2832" xr:uid="{5CCA9C79-BECE-4CCD-8AF0-A25562D3DED6}"/>
    <cellStyle name="Vírgula 2 6 4" xfId="2791" xr:uid="{7E2D546B-2B94-4500-9221-32EA9350D964}"/>
    <cellStyle name="Vírgula 2 7" xfId="950" xr:uid="{00000000-0005-0000-0000-0000AB030000}"/>
    <cellStyle name="Vírgula 2 7 2" xfId="1557" xr:uid="{889AB2CC-93EA-436E-B247-2044D6DE2492}"/>
    <cellStyle name="Vírgula 2 7 2 2" xfId="2726" xr:uid="{DBEE9736-3C9C-47CA-9000-18A549102E93}"/>
    <cellStyle name="Vírgula 2 7 2 3" xfId="2853" xr:uid="{FD07E842-747E-4F95-B078-DE59E0AF7337}"/>
    <cellStyle name="Vírgula 2 7 3" xfId="2138" xr:uid="{DBAC020E-3CE3-4B8E-AAC1-137D2A46F112}"/>
    <cellStyle name="Vírgula 2 7 3 2" xfId="2834" xr:uid="{8695DA92-2BB2-4C8A-8424-9FDD19AEED9C}"/>
    <cellStyle name="Vírgula 2 7 4" xfId="2793" xr:uid="{9E8C9FCB-E7B7-4A70-8BA4-98B811FD5555}"/>
    <cellStyle name="Vírgula 2 8" xfId="951" xr:uid="{00000000-0005-0000-0000-0000AC030000}"/>
    <cellStyle name="Vírgula 2 8 2" xfId="1558" xr:uid="{D674E19B-76AF-44DE-A3F4-F30ABE01B5E4}"/>
    <cellStyle name="Vírgula 2 8 2 2" xfId="2727" xr:uid="{B4EBD73C-B3E5-410A-B7DC-0192C4C0ED51}"/>
    <cellStyle name="Vírgula 2 8 2 3" xfId="2854" xr:uid="{E20B39CF-D9A9-4537-A524-B7803C4430C8}"/>
    <cellStyle name="Vírgula 2 8 3" xfId="2139" xr:uid="{DF28AA1C-A4DE-4B17-9DB5-016C5FCDE070}"/>
    <cellStyle name="Vírgula 2 8 3 2" xfId="2835" xr:uid="{3987F978-21CD-474A-BED1-E2279CF43828}"/>
    <cellStyle name="Vírgula 2 8 4" xfId="2794" xr:uid="{C9F88C59-C56B-45F7-90FA-33BDA244C3DD}"/>
    <cellStyle name="Vírgula 2 9" xfId="955" xr:uid="{00000000-0005-0000-0000-0000AD030000}"/>
    <cellStyle name="Vírgula 2 9 2" xfId="1559" xr:uid="{47B7C66A-342A-492D-8234-2F2F929550A7}"/>
    <cellStyle name="Vírgula 2 9 2 2" xfId="2728" xr:uid="{55EAF5B7-D594-424B-9E9A-EC9DCF43C2A8}"/>
    <cellStyle name="Vírgula 2 9 2 3" xfId="2855" xr:uid="{E69B19EC-D74B-4C21-BA70-2C08857B6547}"/>
    <cellStyle name="Vírgula 2 9 3" xfId="2140" xr:uid="{4DE981B0-EE7E-4C36-97C8-322B5D97220F}"/>
    <cellStyle name="Vírgula 2 9 3 2" xfId="2836" xr:uid="{9C513D64-9F7B-4AE5-99BD-176966A8E6C6}"/>
    <cellStyle name="Vírgula 2 9 4" xfId="2796" xr:uid="{10EC1CB7-068E-485B-A4AE-B2C6AEDBCAD7}"/>
    <cellStyle name="Vírgula 3" xfId="485" xr:uid="{00000000-0005-0000-0000-0000AE030000}"/>
    <cellStyle name="Vírgula 3 2" xfId="486" xr:uid="{00000000-0005-0000-0000-0000AF030000}"/>
    <cellStyle name="Vírgula 3 2 2" xfId="487" xr:uid="{00000000-0005-0000-0000-0000B0030000}"/>
    <cellStyle name="Vírgula 3 2 2 2" xfId="768" xr:uid="{00000000-0005-0000-0000-0000B1030000}"/>
    <cellStyle name="Vírgula 3 2 2 2 2" xfId="1524" xr:uid="{8151767A-F74B-4BA3-B71B-D912E19FA95E}"/>
    <cellStyle name="Vírgula 3 2 2 2 2 2" xfId="2693" xr:uid="{E34DD21B-ACC6-42C2-869E-1683D46461BB}"/>
    <cellStyle name="Vírgula 3 2 2 2 3" xfId="2105" xr:uid="{D8FF7BE9-F30D-4E7D-AE4F-B2574C843F0F}"/>
    <cellStyle name="Vírgula 3 2 2 3" xfId="1270" xr:uid="{1CB0C40D-3A1C-42C6-BBAD-AE8041D05AF6}"/>
    <cellStyle name="Vírgula 3 2 2 3 2" xfId="2439" xr:uid="{405BF217-92D2-461C-BB22-AB04A08A71EB}"/>
    <cellStyle name="Vírgula 3 2 2 4" xfId="1854" xr:uid="{96D9C9CF-B4AC-4399-A6C8-0E53E4F759B7}"/>
    <cellStyle name="Vírgula 3 2 3" xfId="488" xr:uid="{00000000-0005-0000-0000-0000B2030000}"/>
    <cellStyle name="Vírgula 3 2 3 2" xfId="769" xr:uid="{00000000-0005-0000-0000-0000B3030000}"/>
    <cellStyle name="Vírgula 3 2 3 2 2" xfId="1525" xr:uid="{70FA491B-B77F-4FD2-94E8-BCA1BBEECC50}"/>
    <cellStyle name="Vírgula 3 2 3 2 2 2" xfId="2694" xr:uid="{7065D2C5-B153-4381-A7E0-956B8216F403}"/>
    <cellStyle name="Vírgula 3 2 3 2 3" xfId="2106" xr:uid="{487C54A6-CC6B-4821-A765-2073C5588026}"/>
    <cellStyle name="Vírgula 3 2 3 3" xfId="1271" xr:uid="{6E66C534-482E-41D9-834D-CE636617A183}"/>
    <cellStyle name="Vírgula 3 2 3 3 2" xfId="2440" xr:uid="{28847E8A-3EDF-436E-A161-719A3231E208}"/>
    <cellStyle name="Vírgula 3 2 3 4" xfId="1855" xr:uid="{F063DB57-8802-4859-B1C6-AB2F4F7C1456}"/>
    <cellStyle name="Vírgula 3 2 4" xfId="489" xr:uid="{00000000-0005-0000-0000-0000B4030000}"/>
    <cellStyle name="Vírgula 3 2 4 2" xfId="770" xr:uid="{00000000-0005-0000-0000-0000B5030000}"/>
    <cellStyle name="Vírgula 3 2 4 2 2" xfId="1526" xr:uid="{309DAD9E-B3D3-412A-9F6A-7C54313BDDA4}"/>
    <cellStyle name="Vírgula 3 2 4 2 2 2" xfId="2695" xr:uid="{537C3FED-DD8B-4E7D-953B-654147C06D04}"/>
    <cellStyle name="Vírgula 3 2 4 2 3" xfId="2107" xr:uid="{4197560B-5B9D-4DAA-AE18-0F9DA7B44825}"/>
    <cellStyle name="Vírgula 3 2 4 3" xfId="1272" xr:uid="{42491837-8BCE-4DB8-9B1C-7CF257D31451}"/>
    <cellStyle name="Vírgula 3 2 4 3 2" xfId="2441" xr:uid="{6E52BC0A-7690-4269-BFEC-3006DB9B9307}"/>
    <cellStyle name="Vírgula 3 2 4 4" xfId="1856" xr:uid="{18E778A5-C7D0-4810-A147-47F98DD0C518}"/>
    <cellStyle name="Vírgula 3 2 5" xfId="767" xr:uid="{00000000-0005-0000-0000-0000B6030000}"/>
    <cellStyle name="Vírgula 3 2 5 2" xfId="1523" xr:uid="{8490AB5B-055F-43C9-AF68-F423E2662E41}"/>
    <cellStyle name="Vírgula 3 2 5 2 2" xfId="2692" xr:uid="{F80D77F4-1CA4-429A-A127-FCB076448814}"/>
    <cellStyle name="Vírgula 3 2 5 3" xfId="2104" xr:uid="{512CF346-A1B4-4323-995E-6814216AEE8F}"/>
    <cellStyle name="Vírgula 3 2 6" xfId="1269" xr:uid="{8EE04E26-FF66-4DDD-96E9-AC600E956F80}"/>
    <cellStyle name="Vírgula 3 2 6 2" xfId="2438" xr:uid="{B3CE4D62-2AB0-44E0-8AE2-8FB0E1F07B2B}"/>
    <cellStyle name="Vírgula 3 2 7" xfId="1853" xr:uid="{72FAA02A-4C24-4F16-9C76-4B28955DCB99}"/>
    <cellStyle name="Vírgula 3 3" xfId="490" xr:uid="{00000000-0005-0000-0000-0000B7030000}"/>
    <cellStyle name="Vírgula 3 3 2" xfId="491" xr:uid="{00000000-0005-0000-0000-0000B8030000}"/>
    <cellStyle name="Vírgula 3 3 2 2" xfId="772" xr:uid="{00000000-0005-0000-0000-0000B9030000}"/>
    <cellStyle name="Vírgula 3 3 2 2 2" xfId="1528" xr:uid="{06CB5663-5E4D-45D1-941D-4DC5F518C528}"/>
    <cellStyle name="Vírgula 3 3 2 2 2 2" xfId="2697" xr:uid="{A2E4BE59-019A-4354-96C8-346049E635F2}"/>
    <cellStyle name="Vírgula 3 3 2 2 3" xfId="2109" xr:uid="{7CE37CBB-9B1E-4E38-A645-F46C73AA8564}"/>
    <cellStyle name="Vírgula 3 3 2 3" xfId="1274" xr:uid="{7B060353-8D22-486D-B107-84CAF6A6B07C}"/>
    <cellStyle name="Vírgula 3 3 2 3 2" xfId="2443" xr:uid="{223151C8-FE29-4146-AAE9-24BBCCB4A0B6}"/>
    <cellStyle name="Vírgula 3 3 2 4" xfId="1858" xr:uid="{6B9B1E7C-BFD0-4712-B084-D5E98DB5F59D}"/>
    <cellStyle name="Vírgula 3 3 3" xfId="492" xr:uid="{00000000-0005-0000-0000-0000BA030000}"/>
    <cellStyle name="Vírgula 3 3 3 2" xfId="773" xr:uid="{00000000-0005-0000-0000-0000BB030000}"/>
    <cellStyle name="Vírgula 3 3 3 2 2" xfId="1529" xr:uid="{FE35F2A1-1E83-437E-9165-5BB0533752CE}"/>
    <cellStyle name="Vírgula 3 3 3 2 2 2" xfId="2698" xr:uid="{1308CA86-BE75-40F7-B37E-A55232FCA19C}"/>
    <cellStyle name="Vírgula 3 3 3 2 3" xfId="2110" xr:uid="{B18A816C-F2B0-4CCD-86D0-0382304149C5}"/>
    <cellStyle name="Vírgula 3 3 3 3" xfId="1275" xr:uid="{0BB251E9-3C14-41AC-A4D9-263078B319A1}"/>
    <cellStyle name="Vírgula 3 3 3 3 2" xfId="2444" xr:uid="{EFF2CD51-40FE-4413-932A-A674349367F2}"/>
    <cellStyle name="Vírgula 3 3 3 4" xfId="1859" xr:uid="{47C9ED65-D3CE-4D30-AF64-8C13B98E3FC6}"/>
    <cellStyle name="Vírgula 3 3 4" xfId="493" xr:uid="{00000000-0005-0000-0000-0000BC030000}"/>
    <cellStyle name="Vírgula 3 3 4 2" xfId="774" xr:uid="{00000000-0005-0000-0000-0000BD030000}"/>
    <cellStyle name="Vírgula 3 3 4 2 2" xfId="1530" xr:uid="{0D9DB36A-1AE8-4BD8-BB5B-FD1C23ED0235}"/>
    <cellStyle name="Vírgula 3 3 4 2 2 2" xfId="2699" xr:uid="{E679E1D4-ACD1-426F-B1B0-9E3FF949B7BD}"/>
    <cellStyle name="Vírgula 3 3 4 2 3" xfId="2111" xr:uid="{7733BBB7-AC7C-4E4F-B3A1-BFE6911B098D}"/>
    <cellStyle name="Vírgula 3 3 4 3" xfId="1276" xr:uid="{DFC4D002-A128-43DE-A0CF-14B92674B86D}"/>
    <cellStyle name="Vírgula 3 3 4 3 2" xfId="2445" xr:uid="{15FA15D5-E788-495A-9315-E3770DBA5490}"/>
    <cellStyle name="Vírgula 3 3 4 4" xfId="1860" xr:uid="{4AFDBED5-681D-4CCB-AA23-845C9118B8B2}"/>
    <cellStyle name="Vírgula 3 3 5" xfId="771" xr:uid="{00000000-0005-0000-0000-0000BE030000}"/>
    <cellStyle name="Vírgula 3 3 5 2" xfId="1527" xr:uid="{C2C08FE4-3855-4087-A1A3-C3EDE7158533}"/>
    <cellStyle name="Vírgula 3 3 5 2 2" xfId="2696" xr:uid="{058629D6-BB48-42C0-9CAA-AF3D8E2BFF12}"/>
    <cellStyle name="Vírgula 3 3 5 3" xfId="2108" xr:uid="{A842FC0E-2B5C-40DA-84A2-4AFF805C3717}"/>
    <cellStyle name="Vírgula 3 3 6" xfId="1273" xr:uid="{89759ABB-40B2-480C-B763-B7EC6EC67AD0}"/>
    <cellStyle name="Vírgula 3 3 6 2" xfId="2442" xr:uid="{BF01322F-D54B-41AF-A8D4-86928CA5CD70}"/>
    <cellStyle name="Vírgula 3 3 7" xfId="1857" xr:uid="{4023CAE8-756C-4ABC-A5AA-BBD4767A844C}"/>
    <cellStyle name="Vírgula 3 4" xfId="494" xr:uid="{00000000-0005-0000-0000-0000BF030000}"/>
    <cellStyle name="Vírgula 3 4 2" xfId="775" xr:uid="{00000000-0005-0000-0000-0000C0030000}"/>
    <cellStyle name="Vírgula 3 4 2 2" xfId="1531" xr:uid="{93FA9BB5-AAF5-410B-89CB-6B3EB631D20E}"/>
    <cellStyle name="Vírgula 3 4 2 2 2" xfId="2700" xr:uid="{45F76B5A-805E-4FC9-B45A-E32B96FD18D3}"/>
    <cellStyle name="Vírgula 3 4 2 3" xfId="2112" xr:uid="{603A1BA0-84FE-4872-A6F4-220C439DC631}"/>
    <cellStyle name="Vírgula 3 4 3" xfId="1277" xr:uid="{AB956C00-3DE4-47C5-955F-245B9FBF02E2}"/>
    <cellStyle name="Vírgula 3 4 3 2" xfId="2446" xr:uid="{C5E60FCB-1F6A-45B9-8E35-0DDFD7A3945B}"/>
    <cellStyle name="Vírgula 3 4 4" xfId="1861" xr:uid="{55390E45-AE2F-4FEA-A6CD-22C0625022AD}"/>
    <cellStyle name="Vírgula 3 5" xfId="495" xr:uid="{00000000-0005-0000-0000-0000C1030000}"/>
    <cellStyle name="Vírgula 3 5 2" xfId="776" xr:uid="{00000000-0005-0000-0000-0000C2030000}"/>
    <cellStyle name="Vírgula 3 5 2 2" xfId="1532" xr:uid="{D3B41C9D-486D-4255-8B72-358AAA496A3B}"/>
    <cellStyle name="Vírgula 3 5 2 2 2" xfId="2701" xr:uid="{878AE597-E189-47E8-93F2-D7D8CF2ABB70}"/>
    <cellStyle name="Vírgula 3 5 2 3" xfId="2113" xr:uid="{1E44DA40-0022-4C46-9D9D-72BDE43EEC9A}"/>
    <cellStyle name="Vírgula 3 5 3" xfId="1278" xr:uid="{E7454600-1938-48EC-839C-D302491C2C48}"/>
    <cellStyle name="Vírgula 3 5 3 2" xfId="2447" xr:uid="{1A70CEFA-D751-4EDC-8781-B873B7D5B2AF}"/>
    <cellStyle name="Vírgula 3 5 4" xfId="1862" xr:uid="{22D64750-517B-4F1F-A707-E3060E452176}"/>
    <cellStyle name="Vírgula 3 6" xfId="496" xr:uid="{00000000-0005-0000-0000-0000C3030000}"/>
    <cellStyle name="Vírgula 3 6 2" xfId="777" xr:uid="{00000000-0005-0000-0000-0000C4030000}"/>
    <cellStyle name="Vírgula 3 6 2 2" xfId="1533" xr:uid="{6F76F76A-219B-464E-BDD9-86E275AE03EC}"/>
    <cellStyle name="Vírgula 3 6 2 2 2" xfId="2702" xr:uid="{3B2FC208-4944-4BFE-B232-E3FE9B2ADD6C}"/>
    <cellStyle name="Vírgula 3 6 2 3" xfId="2114" xr:uid="{7A764943-8D01-4EB7-AAA9-17B3789E43B4}"/>
    <cellStyle name="Vírgula 3 6 3" xfId="1279" xr:uid="{D34F1204-A934-4FF9-B06D-30CD147F448C}"/>
    <cellStyle name="Vírgula 3 6 3 2" xfId="2448" xr:uid="{475A1739-B629-4DC2-A53A-87B2799CA79C}"/>
    <cellStyle name="Vírgula 3 6 4" xfId="1863" xr:uid="{1E7C98B8-83C3-439C-B7B9-ADB07BD1F579}"/>
    <cellStyle name="Vírgula 3 7" xfId="766" xr:uid="{00000000-0005-0000-0000-0000C5030000}"/>
    <cellStyle name="Vírgula 3 7 2" xfId="1522" xr:uid="{3B09733D-D5B4-4002-9D1C-D8A06CCF6D84}"/>
    <cellStyle name="Vírgula 3 7 2 2" xfId="2691" xr:uid="{47F5A804-7094-442E-8365-EA6972CDFF79}"/>
    <cellStyle name="Vírgula 3 7 3" xfId="2103" xr:uid="{41A28FFB-94F7-44F9-9D8B-AAFE8088E5CC}"/>
    <cellStyle name="Vírgula 3 8" xfId="1268" xr:uid="{790C5630-1166-44A6-82DB-7CA563E62590}"/>
    <cellStyle name="Vírgula 3 8 2" xfId="2437" xr:uid="{98BB14BE-0BF1-42D9-B4AA-5E4349CDAD51}"/>
    <cellStyle name="Vírgula 3 9" xfId="1852" xr:uid="{9AE8B875-1215-42A9-84B1-092FCBD1FAC6}"/>
    <cellStyle name="Vírgula 4" xfId="497" xr:uid="{00000000-0005-0000-0000-0000C6030000}"/>
    <cellStyle name="Vírgula 4 2" xfId="498" xr:uid="{00000000-0005-0000-0000-0000C7030000}"/>
    <cellStyle name="Vírgula 4 2 2" xfId="1281" xr:uid="{BCB60AF7-1970-4A71-B5B7-DB168FF4CB46}"/>
    <cellStyle name="Vírgula 4 2 2 2" xfId="2450" xr:uid="{616187C0-DC36-4EDC-89ED-BC8E938DFDE5}"/>
    <cellStyle name="Vírgula 4 3" xfId="1280" xr:uid="{E20E9F45-E58E-49B3-AB71-5847C97C0722}"/>
    <cellStyle name="Vírgula 4 3 2" xfId="2449" xr:uid="{0080F9FA-061C-46E1-AAAF-15F629A029F3}"/>
    <cellStyle name="Vírgula 4 4" xfId="1864" xr:uid="{2281903B-CC8B-411F-A8AF-6F3E3655DE22}"/>
    <cellStyle name="Vírgula 5" xfId="499" xr:uid="{00000000-0005-0000-0000-0000C8030000}"/>
    <cellStyle name="Vírgula 5 2" xfId="500" xr:uid="{00000000-0005-0000-0000-0000C9030000}"/>
    <cellStyle name="Vírgula 5 2 2" xfId="1283" xr:uid="{6509F8A2-0C2F-4D00-967B-D1C5A52697DD}"/>
    <cellStyle name="Vírgula 5 2 2 2" xfId="2452" xr:uid="{5D734D6E-08A9-44D8-8F83-606F7C2B32F7}"/>
    <cellStyle name="Vírgula 5 3" xfId="1282" xr:uid="{65DC574E-F406-44EF-A047-B09063655540}"/>
    <cellStyle name="Vírgula 5 3 2" xfId="2451" xr:uid="{ED755515-BBFD-4728-9024-87863B8874C9}"/>
    <cellStyle name="Vírgula 5 4" xfId="1865" xr:uid="{E0BDFBE4-9A43-4618-860E-56AC27E937AB}"/>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3333"/>
      <rgbColor rgb="0099FF99"/>
      <rgbColor rgb="000000FF"/>
      <rgbColor rgb="00FFFF00"/>
      <rgbColor rgb="00FF00FF"/>
      <rgbColor rgb="0000FFFF"/>
      <rgbColor rgb="00800000"/>
      <rgbColor rgb="00008000"/>
      <rgbColor rgb="00000080"/>
      <rgbColor rgb="00808000"/>
      <rgbColor rgb="00800080"/>
      <rgbColor rgb="00008080"/>
      <rgbColor rgb="00D4D4D4"/>
      <rgbColor rgb="00C0C4C7"/>
      <rgbColor rgb="009999FF"/>
      <rgbColor rgb="00993366"/>
      <rgbColor rgb="00FFFFCC"/>
      <rgbColor rgb="00CCFFFF"/>
      <rgbColor rgb="00660066"/>
      <rgbColor rgb="00F87C7C"/>
      <rgbColor rgb="000066CC"/>
      <rgbColor rgb="00E0E5E8"/>
      <rgbColor rgb="00000080"/>
      <rgbColor rgb="00FF00FF"/>
      <rgbColor rgb="00FFFF00"/>
      <rgbColor rgb="00F2F2F2"/>
      <rgbColor rgb="00800080"/>
      <rgbColor rgb="00800000"/>
      <rgbColor rgb="00008080"/>
      <rgbColor rgb="000000FF"/>
      <rgbColor rgb="0000CCFF"/>
      <rgbColor rgb="00CCFFFF"/>
      <rgbColor rgb="00CCFFCC"/>
      <rgbColor rgb="00FFFF99"/>
      <rgbColor rgb="0099CCFF"/>
      <rgbColor rgb="00FFBBBB"/>
      <rgbColor rgb="00CC99FF"/>
      <rgbColor rgb="00FFCC99"/>
      <rgbColor rgb="003366FF"/>
      <rgbColor rgb="0033CCCC"/>
      <rgbColor rgb="0060ED84"/>
      <rgbColor rgb="00FFCC33"/>
      <rgbColor rgb="00FFAB1D"/>
      <rgbColor rgb="00FF8800"/>
      <rgbColor rgb="00666699"/>
      <rgbColor rgb="00C0CACF"/>
      <rgbColor rgb="00003366"/>
      <rgbColor rgb="005BCB77"/>
      <rgbColor rgb="00003300"/>
      <rgbColor rgb="00333300"/>
      <rgbColor rgb="00993300"/>
      <rgbColor rgb="00993366"/>
      <rgbColor rgb="00333399"/>
      <rgbColor rgb="00333333"/>
    </indexedColors>
    <mruColors>
      <color rgb="FFFFF5EB"/>
      <color rgb="FFF6FBFC"/>
      <color rgb="FFFFF1E7"/>
      <color rgb="FFEDF7F9"/>
      <color rgb="FFFFE9D9"/>
      <color rgb="FFFFFFCC"/>
      <color rgb="FFE8F5F8"/>
      <color rgb="FFFFCC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worksheet" Target="worksheets/sheet25.xml"/><Relationship Id="rId39" Type="http://schemas.openxmlformats.org/officeDocument/2006/relationships/worksheet" Target="worksheets/sheet38.xml"/><Relationship Id="rId21" Type="http://schemas.openxmlformats.org/officeDocument/2006/relationships/worksheet" Target="worksheets/sheet20.xml"/><Relationship Id="rId34" Type="http://schemas.openxmlformats.org/officeDocument/2006/relationships/worksheet" Target="worksheets/sheet33.xml"/><Relationship Id="rId42" Type="http://schemas.openxmlformats.org/officeDocument/2006/relationships/worksheet" Target="worksheets/sheet41.xml"/><Relationship Id="rId47" Type="http://schemas.openxmlformats.org/officeDocument/2006/relationships/externalLink" Target="externalLinks/externalLink3.xml"/><Relationship Id="rId50" Type="http://schemas.openxmlformats.org/officeDocument/2006/relationships/externalLink" Target="externalLinks/externalLink6.xml"/><Relationship Id="rId55" Type="http://schemas.openxmlformats.org/officeDocument/2006/relationships/externalLink" Target="externalLinks/externalLink11.xml"/><Relationship Id="rId63" Type="http://schemas.microsoft.com/office/2017/10/relationships/person" Target="persons/person.xml"/><Relationship Id="rId7" Type="http://schemas.openxmlformats.org/officeDocument/2006/relationships/worksheet" Target="worksheets/sheet6.xml"/><Relationship Id="rId2" Type="http://schemas.openxmlformats.org/officeDocument/2006/relationships/worksheet" Target="worksheets/sheet2.xml"/><Relationship Id="rId16" Type="http://schemas.openxmlformats.org/officeDocument/2006/relationships/worksheet" Target="worksheets/sheet15.xml"/><Relationship Id="rId29" Type="http://schemas.openxmlformats.org/officeDocument/2006/relationships/worksheet" Target="worksheets/sheet28.xml"/><Relationship Id="rId11" Type="http://schemas.openxmlformats.org/officeDocument/2006/relationships/worksheet" Target="worksheets/sheet10.xml"/><Relationship Id="rId24" Type="http://schemas.openxmlformats.org/officeDocument/2006/relationships/worksheet" Target="worksheets/sheet23.xml"/><Relationship Id="rId32" Type="http://schemas.openxmlformats.org/officeDocument/2006/relationships/worksheet" Target="worksheets/sheet31.xml"/><Relationship Id="rId37" Type="http://schemas.openxmlformats.org/officeDocument/2006/relationships/worksheet" Target="worksheets/sheet36.xml"/><Relationship Id="rId40" Type="http://schemas.openxmlformats.org/officeDocument/2006/relationships/worksheet" Target="worksheets/sheet39.xml"/><Relationship Id="rId45" Type="http://schemas.openxmlformats.org/officeDocument/2006/relationships/externalLink" Target="externalLinks/externalLink1.xml"/><Relationship Id="rId53" Type="http://schemas.openxmlformats.org/officeDocument/2006/relationships/externalLink" Target="externalLinks/externalLink9.xml"/><Relationship Id="rId58" Type="http://schemas.openxmlformats.org/officeDocument/2006/relationships/pivotCacheDefinition" Target="pivotCache/pivotCacheDefinition1.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8.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worksheet" Target="worksheets/sheet26.xml"/><Relationship Id="rId30" Type="http://schemas.openxmlformats.org/officeDocument/2006/relationships/worksheet" Target="worksheets/sheet29.xml"/><Relationship Id="rId35" Type="http://schemas.openxmlformats.org/officeDocument/2006/relationships/worksheet" Target="worksheets/sheet34.xml"/><Relationship Id="rId43" Type="http://schemas.openxmlformats.org/officeDocument/2006/relationships/worksheet" Target="worksheets/sheet42.xml"/><Relationship Id="rId48" Type="http://schemas.openxmlformats.org/officeDocument/2006/relationships/externalLink" Target="externalLinks/externalLink4.xml"/><Relationship Id="rId56" Type="http://schemas.openxmlformats.org/officeDocument/2006/relationships/externalLink" Target="externalLinks/externalLink12.xml"/><Relationship Id="rId64" Type="http://schemas.openxmlformats.org/officeDocument/2006/relationships/calcChain" Target="calcChain.xml"/><Relationship Id="rId8" Type="http://schemas.openxmlformats.org/officeDocument/2006/relationships/worksheet" Target="worksheets/sheet7.xml"/><Relationship Id="rId51" Type="http://schemas.openxmlformats.org/officeDocument/2006/relationships/externalLink" Target="externalLinks/externalLink7.xml"/><Relationship Id="rId3" Type="http://schemas.openxmlformats.org/officeDocument/2006/relationships/worksheet" Target="worksheets/sheet3.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worksheet" Target="worksheets/sheet24.xml"/><Relationship Id="rId33" Type="http://schemas.openxmlformats.org/officeDocument/2006/relationships/worksheet" Target="worksheets/sheet32.xml"/><Relationship Id="rId38" Type="http://schemas.openxmlformats.org/officeDocument/2006/relationships/worksheet" Target="worksheets/sheet37.xml"/><Relationship Id="rId46" Type="http://schemas.openxmlformats.org/officeDocument/2006/relationships/externalLink" Target="externalLinks/externalLink2.xml"/><Relationship Id="rId59" Type="http://schemas.openxmlformats.org/officeDocument/2006/relationships/pivotCacheDefinition" Target="pivotCache/pivotCacheDefinition2.xml"/><Relationship Id="rId20" Type="http://schemas.openxmlformats.org/officeDocument/2006/relationships/worksheet" Target="worksheets/sheet19.xml"/><Relationship Id="rId41" Type="http://schemas.openxmlformats.org/officeDocument/2006/relationships/worksheet" Target="worksheets/sheet40.xml"/><Relationship Id="rId54" Type="http://schemas.openxmlformats.org/officeDocument/2006/relationships/externalLink" Target="externalLinks/externalLink10.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chartsheet" Target="chartsheets/sheet1.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worksheet" Target="worksheets/sheet27.xml"/><Relationship Id="rId36" Type="http://schemas.openxmlformats.org/officeDocument/2006/relationships/worksheet" Target="worksheets/sheet35.xml"/><Relationship Id="rId49" Type="http://schemas.openxmlformats.org/officeDocument/2006/relationships/externalLink" Target="externalLinks/externalLink5.xml"/><Relationship Id="rId57" Type="http://schemas.openxmlformats.org/officeDocument/2006/relationships/externalLink" Target="externalLinks/externalLink13.xml"/><Relationship Id="rId10" Type="http://schemas.openxmlformats.org/officeDocument/2006/relationships/worksheet" Target="worksheets/sheet9.xml"/><Relationship Id="rId31" Type="http://schemas.openxmlformats.org/officeDocument/2006/relationships/worksheet" Target="worksheets/sheet30.xml"/><Relationship Id="rId44" Type="http://schemas.openxmlformats.org/officeDocument/2006/relationships/worksheet" Target="worksheets/sheet43.xml"/><Relationship Id="rId52" Type="http://schemas.openxmlformats.org/officeDocument/2006/relationships/externalLink" Target="externalLinks/externalLink8.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3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4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14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7.xml"/><Relationship Id="rId1" Type="http://schemas.microsoft.com/office/2011/relationships/chartStyle" Target="style27.xml"/></Relationships>
</file>

<file path=xl/charts/_rels/chart15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152.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153.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154.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155.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199.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00.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201.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202.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203.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204.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205.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06.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22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22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22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234.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235.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236.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237.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23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239.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253.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254.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255.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256.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257.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Ex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Ex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Ex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tx>
            <c:strRef>
              <c:f>'HISTORICO ACCIDENTES'!$E$751:$E$775</c:f>
              <c:strCache>
                <c:ptCount val="25"/>
                <c:pt idx="0">
                  <c:v>DAVID RAMOS</c:v>
                </c:pt>
                <c:pt idx="1">
                  <c:v>Carlos Anselmo Alvarez</c:v>
                </c:pt>
                <c:pt idx="2">
                  <c:v>Angel Yosimar Morales Sanchez </c:v>
                </c:pt>
                <c:pt idx="3">
                  <c:v>Wilmer Azañero Cueva</c:v>
                </c:pt>
                <c:pt idx="4">
                  <c:v>Sigueñas Tequen Luisa Del Carmen</c:v>
                </c:pt>
                <c:pt idx="5">
                  <c:v>Ada Torres Carrasco</c:v>
                </c:pt>
                <c:pt idx="6">
                  <c:v>Alan Pereira Lopes</c:v>
                </c:pt>
                <c:pt idx="7">
                  <c:v>Walter Marrufo Suarez</c:v>
                </c:pt>
                <c:pt idx="8">
                  <c:v>Avendaño Galindo Haydee</c:v>
                </c:pt>
                <c:pt idx="9">
                  <c:v>Zoila Luz Chanchari Inuma                          </c:v>
                </c:pt>
                <c:pt idx="10">
                  <c:v>Erick Colca Asto</c:v>
                </c:pt>
                <c:pt idx="11">
                  <c:v>Juan Agreda Pasos</c:v>
                </c:pt>
                <c:pt idx="12">
                  <c:v>Yahuarcani Zegarra Emir</c:v>
                </c:pt>
                <c:pt idx="13">
                  <c:v>Luis Alberto Oliva Manrique</c:v>
                </c:pt>
                <c:pt idx="14">
                  <c:v>Jhoans Gutierrez Taquio</c:v>
                </c:pt>
                <c:pt idx="15">
                  <c:v>Reynaldo Valdivia Bernedo</c:v>
                </c:pt>
                <c:pt idx="16">
                  <c:v>Miguel Ramos Zavala </c:v>
                </c:pt>
                <c:pt idx="17">
                  <c:v>Mendez Saenz Manuel Antonio</c:v>
                </c:pt>
                <c:pt idx="18">
                  <c:v>Jonathan Silva</c:v>
                </c:pt>
                <c:pt idx="19">
                  <c:v>Ambar Torres Berrospi </c:v>
                </c:pt>
                <c:pt idx="20">
                  <c:v>José Luis Albarracín Caceres </c:v>
                </c:pt>
                <c:pt idx="21">
                  <c:v>Cantalicio Carbajal Jean Pierre Junior</c:v>
                </c:pt>
                <c:pt idx="22">
                  <c:v>Ricardo Agreda Linares</c:v>
                </c:pt>
                <c:pt idx="23">
                  <c:v>Carlos Yampufé Riva   (Obrero Contratado)  </c:v>
                </c:pt>
                <c:pt idx="24">
                  <c:v>Heber Chira Huallpa  (Obrero Contratado)  </c:v>
                </c:pt>
              </c:strCache>
            </c:strRef>
          </c:tx>
          <c:spPr>
            <a:solidFill>
              <a:schemeClr val="accent1"/>
            </a:solidFill>
            <a:ln>
              <a:noFill/>
            </a:ln>
            <a:effectLst/>
          </c:spPr>
          <c:invertIfNegative val="0"/>
          <c:val>
            <c:numRef>
              <c:f>'HISTORICO ACCIDENTES'!$E$776</c:f>
            </c:numRef>
          </c:val>
          <c:extLst>
            <c:ext xmlns:c16="http://schemas.microsoft.com/office/drawing/2014/chart" uri="{C3380CC4-5D6E-409C-BE32-E72D297353CC}">
              <c16:uniqueId val="{00000000-D8CF-4B5B-8C86-B4ED07131B44}"/>
            </c:ext>
          </c:extLst>
        </c:ser>
        <c:dLbls>
          <c:showLegendKey val="0"/>
          <c:showVal val="0"/>
          <c:showCatName val="0"/>
          <c:showSerName val="0"/>
          <c:showPercent val="0"/>
          <c:showBubbleSize val="0"/>
        </c:dLbls>
        <c:gapWidth val="219"/>
        <c:overlap val="-27"/>
        <c:axId val="1087406352"/>
        <c:axId val="1087406896"/>
      </c:barChart>
      <c:catAx>
        <c:axId val="10874063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087406896"/>
        <c:crosses val="autoZero"/>
        <c:auto val="1"/>
        <c:lblAlgn val="ctr"/>
        <c:lblOffset val="100"/>
        <c:noMultiLvlLbl val="0"/>
      </c:catAx>
      <c:valAx>
        <c:axId val="108740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08740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FRECUENCIA  ECUADOR</a:t>
            </a:r>
            <a:endParaRPr lang="es-PE" sz="1200">
              <a:latin typeface="Arial Nova" panose="020B0504020202020204" pitchFamily="34" charset="0"/>
            </a:endParaRPr>
          </a:p>
        </c:rich>
      </c:tx>
      <c:layout>
        <c:manualLayout>
          <c:xMode val="edge"/>
          <c:yMode val="edge"/>
          <c:x val="0.27739619218765621"/>
          <c:y val="5.769747082161758E-2"/>
        </c:manualLayout>
      </c:layout>
      <c:overlay val="0"/>
    </c:title>
    <c:autoTitleDeleted val="0"/>
    <c:plotArea>
      <c:layout>
        <c:manualLayout>
          <c:layoutTarget val="inner"/>
          <c:xMode val="edge"/>
          <c:yMode val="edge"/>
          <c:x val="8.5389537174500513E-2"/>
          <c:y val="0.16747694442897823"/>
          <c:w val="0.87490259586763608"/>
          <c:h val="0.61824510478540673"/>
        </c:manualLayout>
      </c:layout>
      <c:lineChart>
        <c:grouping val="standard"/>
        <c:varyColors val="0"/>
        <c:ser>
          <c:idx val="1"/>
          <c:order val="0"/>
          <c:tx>
            <c:v>2023</c:v>
          </c:tx>
          <c:spPr>
            <a:ln>
              <a:solidFill>
                <a:schemeClr val="tx1"/>
              </a:solidFill>
            </a:ln>
          </c:spPr>
          <c:marker>
            <c:symbol val="circle"/>
            <c:size val="5"/>
            <c:spPr>
              <a:solidFill>
                <a:schemeClr val="tx1"/>
              </a:solidFill>
              <a:ln>
                <a:noFill/>
              </a:ln>
            </c:spPr>
          </c:marker>
          <c:dLbls>
            <c:dLbl>
              <c:idx val="0"/>
              <c:layout>
                <c:manualLayout>
                  <c:x val="-4.1824175299704912E-2"/>
                  <c:y val="-5.03386191508922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0C-4BD8-AF01-7C2B095FB8F8}"/>
                </c:ext>
              </c:extLst>
            </c:dLbl>
            <c:dLbl>
              <c:idx val="1"/>
              <c:layout>
                <c:manualLayout>
                  <c:x val="-4.2660320249414539E-2"/>
                  <c:y val="5.6337174729112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0C-4BD8-AF01-7C2B095FB8F8}"/>
                </c:ext>
              </c:extLst>
            </c:dLbl>
            <c:dLbl>
              <c:idx val="2"/>
              <c:layout>
                <c:manualLayout>
                  <c:x val="-3.514621690422752E-2"/>
                  <c:y val="7.52149946071132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0C-4BD8-AF01-7C2B095FB8F8}"/>
                </c:ext>
              </c:extLst>
            </c:dLbl>
            <c:dLbl>
              <c:idx val="3"/>
              <c:layout>
                <c:manualLayout>
                  <c:x val="-5.116672071381128E-2"/>
                  <c:y val="4.55992953724632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0C-4BD8-AF01-7C2B095FB8F8}"/>
                </c:ext>
              </c:extLst>
            </c:dLbl>
            <c:dLbl>
              <c:idx val="4"/>
              <c:layout>
                <c:manualLayout>
                  <c:x val="-6.3472980726097722E-2"/>
                  <c:y val="5.1186042583312462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8.152204933242968E-2"/>
                      <c:h val="0.12590592096266923"/>
                    </c:manualLayout>
                  </c15:layout>
                </c:ext>
                <c:ext xmlns:c16="http://schemas.microsoft.com/office/drawing/2014/chart" uri="{C3380CC4-5D6E-409C-BE32-E72D297353CC}">
                  <c16:uniqueId val="{00000004-5B0C-4BD8-AF01-7C2B095FB8F8}"/>
                </c:ext>
              </c:extLst>
            </c:dLbl>
            <c:dLbl>
              <c:idx val="5"/>
              <c:layout>
                <c:manualLayout>
                  <c:x val="-5.726552171278864E-2"/>
                  <c:y val="4.67085206843573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0C-4BD8-AF01-7C2B095FB8F8}"/>
                </c:ext>
              </c:extLst>
            </c:dLbl>
            <c:dLbl>
              <c:idx val="6"/>
              <c:layout>
                <c:manualLayout>
                  <c:x val="-3.528319278232623E-2"/>
                  <c:y val="-4.60269455832845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B0C-4BD8-AF01-7C2B095FB8F8}"/>
                </c:ext>
              </c:extLst>
            </c:dLbl>
            <c:dLbl>
              <c:idx val="7"/>
              <c:layout>
                <c:manualLayout>
                  <c:x val="-3.310286527653334E-2"/>
                  <c:y val="-3.74035984480691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B0C-4BD8-AF01-7C2B095FB8F8}"/>
                </c:ext>
              </c:extLst>
            </c:dLbl>
            <c:dLbl>
              <c:idx val="8"/>
              <c:layout>
                <c:manualLayout>
                  <c:x val="-3.310286527653334E-2"/>
                  <c:y val="-5.8961966286107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B0C-4BD8-AF01-7C2B095FB8F8}"/>
                </c:ext>
              </c:extLst>
            </c:dLbl>
            <c:dLbl>
              <c:idx val="9"/>
              <c:layout>
                <c:manualLayout>
                  <c:x val="-3.528319278232623E-2"/>
                  <c:y val="-5.03386191508922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B0C-4BD8-AF01-7C2B095FB8F8}"/>
                </c:ext>
              </c:extLst>
            </c:dLbl>
            <c:dLbl>
              <c:idx val="10"/>
              <c:layout>
                <c:manualLayout>
                  <c:x val="-3.7463520288119119E-2"/>
                  <c:y val="-4.1715272015676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B0C-4BD8-AF01-7C2B095FB8F8}"/>
                </c:ext>
              </c:extLst>
            </c:dLbl>
            <c:dLbl>
              <c:idx val="11"/>
              <c:layout>
                <c:manualLayout>
                  <c:x val="-3.7463520288119119E-2"/>
                  <c:y val="-5.03386191508923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B0C-4BD8-AF01-7C2B095FB8F8}"/>
                </c:ext>
              </c:extLst>
            </c:dLbl>
            <c:spPr>
              <a:noFill/>
              <a:ln>
                <a:noFill/>
              </a:ln>
              <a:effectLst/>
            </c:spPr>
            <c:txPr>
              <a:bodyPr/>
              <a:lstStyle/>
              <a:p>
                <a:pPr>
                  <a:defRPr sz="1050" b="1">
                    <a:solidFill>
                      <a:sysClr val="windowText" lastClr="000000"/>
                    </a:solidFil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CORP'!$O$22:$Z$22</c:f>
              <c:numCache>
                <c:formatCode>0.0</c:formatCode>
                <c:ptCount val="12"/>
                <c:pt idx="0">
                  <c:v>7.8932360685669218</c:v>
                </c:pt>
                <c:pt idx="1">
                  <c:v>4.2126406122192002</c:v>
                </c:pt>
                <c:pt idx="2">
                  <c:v>2.5327998830833427</c:v>
                </c:pt>
                <c:pt idx="3">
                  <c:v>1.8033480010775991</c:v>
                </c:pt>
                <c:pt idx="4">
                  <c:v>1.307666575280177</c:v>
                </c:pt>
                <c:pt idx="5">
                  <c:v>2.0510983142682941</c:v>
                </c:pt>
                <c:pt idx="6">
                  <c:v>1.6673713251299704</c:v>
                </c:pt>
                <c:pt idx="7">
                  <c:v>2.1068233007299946</c:v>
                </c:pt>
                <c:pt idx="8">
                  <c:v>1.8114921493204896</c:v>
                </c:pt>
                <c:pt idx="9">
                  <c:v>2.1266144863656766</c:v>
                </c:pt>
                <c:pt idx="10">
                  <c:v>1.8618707562551589</c:v>
                </c:pt>
                <c:pt idx="11">
                  <c:v>1.6653312558124764</c:v>
                </c:pt>
              </c:numCache>
            </c:numRef>
          </c:val>
          <c:smooth val="0"/>
          <c:extLst>
            <c:ext xmlns:c16="http://schemas.microsoft.com/office/drawing/2014/chart" uri="{C3380CC4-5D6E-409C-BE32-E72D297353CC}">
              <c16:uniqueId val="{0000000C-5B0C-4BD8-AF01-7C2B095FB8F8}"/>
            </c:ext>
          </c:extLst>
        </c:ser>
        <c:ser>
          <c:idx val="2"/>
          <c:order val="1"/>
          <c:tx>
            <c:v>2022</c:v>
          </c:tx>
          <c:spPr>
            <a:ln>
              <a:solidFill>
                <a:srgbClr val="00B050"/>
              </a:solidFill>
            </a:ln>
          </c:spPr>
          <c:marker>
            <c:symbol val="circle"/>
            <c:size val="7"/>
            <c:spPr>
              <a:solidFill>
                <a:srgbClr val="00B050"/>
              </a:solidFill>
              <a:ln>
                <a:solidFill>
                  <a:srgbClr val="00B050"/>
                </a:solidFill>
              </a:ln>
            </c:spPr>
          </c:marker>
          <c:dPt>
            <c:idx val="1"/>
            <c:bubble3D val="0"/>
            <c:extLst>
              <c:ext xmlns:c16="http://schemas.microsoft.com/office/drawing/2014/chart" uri="{C3380CC4-5D6E-409C-BE32-E72D297353CC}">
                <c16:uniqueId val="{0000000D-5B0C-4BD8-AF01-7C2B095FB8F8}"/>
              </c:ext>
            </c:extLst>
          </c:dPt>
          <c:dLbls>
            <c:dLbl>
              <c:idx val="0"/>
              <c:layout>
                <c:manualLayout>
                  <c:x val="3.7235178578305916E-4"/>
                  <c:y val="-3.4538429213371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B0C-4BD8-AF01-7C2B095FB8F8}"/>
                </c:ext>
              </c:extLst>
            </c:dLbl>
            <c:dLbl>
              <c:idx val="1"/>
              <c:layout>
                <c:manualLayout>
                  <c:x val="-3.7392732225322765E-2"/>
                  <c:y val="-3.51785021420794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B0C-4BD8-AF01-7C2B095FB8F8}"/>
                </c:ext>
              </c:extLst>
            </c:dLbl>
            <c:spPr>
              <a:noFill/>
              <a:ln>
                <a:noFill/>
              </a:ln>
              <a:effectLst/>
            </c:spPr>
            <c:txPr>
              <a:bodyPr/>
              <a:lstStyle/>
              <a:p>
                <a:pPr>
                  <a:defRPr sz="1000" b="0">
                    <a:solidFill>
                      <a:schemeClr val="tx1"/>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CORP'!$O$24:$Z$24</c:f>
              <c:numCache>
                <c:formatCode>0.0</c:formatCode>
                <c:ptCount val="12"/>
                <c:pt idx="0">
                  <c:v>9.7102462518449464</c:v>
                </c:pt>
                <c:pt idx="1">
                  <c:v>4.9061454377753577</c:v>
                </c:pt>
                <c:pt idx="2">
                  <c:v>6.5437199837519433</c:v>
                </c:pt>
                <c:pt idx="3">
                  <c:v>4.9304430353128685</c:v>
                </c:pt>
                <c:pt idx="4">
                  <c:v>3.9424747982719421</c:v>
                </c:pt>
                <c:pt idx="5">
                  <c:v>3.2587553591250242</c:v>
                </c:pt>
                <c:pt idx="6">
                  <c:v>5.515568070073086</c:v>
                </c:pt>
                <c:pt idx="7">
                  <c:v>4.7616400373931596</c:v>
                </c:pt>
                <c:pt idx="8">
                  <c:v>4.1981859911214459</c:v>
                </c:pt>
                <c:pt idx="9">
                  <c:v>4.6874166225768263</c:v>
                </c:pt>
                <c:pt idx="10">
                  <c:v>4.2248973709055146</c:v>
                </c:pt>
                <c:pt idx="11">
                  <c:v>3.8692527493246258</c:v>
                </c:pt>
              </c:numCache>
            </c:numRef>
          </c:val>
          <c:smooth val="0"/>
          <c:extLst>
            <c:ext xmlns:c16="http://schemas.microsoft.com/office/drawing/2014/chart" uri="{C3380CC4-5D6E-409C-BE32-E72D297353CC}">
              <c16:uniqueId val="{0000000E-5B0C-4BD8-AF01-7C2B095FB8F8}"/>
            </c:ext>
          </c:extLst>
        </c:ser>
        <c:ser>
          <c:idx val="0"/>
          <c:order val="2"/>
          <c:tx>
            <c:v>OBJ</c:v>
          </c:tx>
          <c:spPr>
            <a:ln>
              <a:solidFill>
                <a:srgbClr val="FF0000"/>
              </a:solidFill>
            </a:ln>
          </c:spPr>
          <c:marker>
            <c:symbol val="none"/>
          </c:marker>
          <c:dLbls>
            <c:delete val="1"/>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CORP'!$O$30:$Z$30</c:f>
              <c:numCache>
                <c:formatCode>General</c:formatCode>
                <c:ptCount val="12"/>
                <c:pt idx="0">
                  <c:v>1.5</c:v>
                </c:pt>
                <c:pt idx="1">
                  <c:v>1.5</c:v>
                </c:pt>
                <c:pt idx="2">
                  <c:v>1.5</c:v>
                </c:pt>
                <c:pt idx="3">
                  <c:v>1.5</c:v>
                </c:pt>
                <c:pt idx="4">
                  <c:v>1.5</c:v>
                </c:pt>
                <c:pt idx="5">
                  <c:v>1.5</c:v>
                </c:pt>
                <c:pt idx="6">
                  <c:v>1.5</c:v>
                </c:pt>
                <c:pt idx="7">
                  <c:v>1.5</c:v>
                </c:pt>
                <c:pt idx="8">
                  <c:v>1.5</c:v>
                </c:pt>
                <c:pt idx="9">
                  <c:v>1.5</c:v>
                </c:pt>
                <c:pt idx="10">
                  <c:v>1.5</c:v>
                </c:pt>
                <c:pt idx="11">
                  <c:v>1.5</c:v>
                </c:pt>
              </c:numCache>
            </c:numRef>
          </c:val>
          <c:smooth val="0"/>
          <c:extLst>
            <c:ext xmlns:c16="http://schemas.microsoft.com/office/drawing/2014/chart" uri="{C3380CC4-5D6E-409C-BE32-E72D297353CC}">
              <c16:uniqueId val="{0000000F-5B0C-4BD8-AF01-7C2B095FB8F8}"/>
            </c:ext>
          </c:extLst>
        </c:ser>
        <c:dLbls>
          <c:showLegendKey val="0"/>
          <c:showVal val="1"/>
          <c:showCatName val="0"/>
          <c:showSerName val="0"/>
          <c:showPercent val="0"/>
          <c:showBubbleSize val="0"/>
        </c:dLbls>
        <c:marker val="1"/>
        <c:smooth val="0"/>
        <c:axId val="1128694464"/>
        <c:axId val="1128696096"/>
      </c:lineChart>
      <c:catAx>
        <c:axId val="1128694464"/>
        <c:scaling>
          <c:orientation val="minMax"/>
        </c:scaling>
        <c:delete val="0"/>
        <c:axPos val="b"/>
        <c:numFmt formatCode="General" sourceLinked="1"/>
        <c:majorTickMark val="none"/>
        <c:minorTickMark val="none"/>
        <c:tickLblPos val="nextTo"/>
        <c:txPr>
          <a:bodyPr/>
          <a:lstStyle/>
          <a:p>
            <a:pPr>
              <a:defRPr sz="1000"/>
            </a:pPr>
            <a:endParaRPr lang="es-PE"/>
          </a:p>
        </c:txPr>
        <c:crossAx val="1128696096"/>
        <c:crosses val="autoZero"/>
        <c:auto val="1"/>
        <c:lblAlgn val="ctr"/>
        <c:lblOffset val="100"/>
        <c:noMultiLvlLbl val="0"/>
      </c:catAx>
      <c:valAx>
        <c:axId val="1128696096"/>
        <c:scaling>
          <c:orientation val="minMax"/>
          <c:min val="0"/>
        </c:scaling>
        <c:delete val="0"/>
        <c:axPos val="l"/>
        <c:majorGridlines/>
        <c:numFmt formatCode="0.0" sourceLinked="1"/>
        <c:majorTickMark val="none"/>
        <c:minorTickMark val="none"/>
        <c:tickLblPos val="nextTo"/>
        <c:crossAx val="1128694464"/>
        <c:crosses val="autoZero"/>
        <c:crossBetween val="between"/>
      </c:valAx>
    </c:plotArea>
    <c:legend>
      <c:legendPos val="b"/>
      <c:overlay val="0"/>
    </c:legend>
    <c:plotVisOnly val="1"/>
    <c:dispBlanksAs val="gap"/>
    <c:showDLblsOverMax val="0"/>
  </c:chart>
  <c:spPr>
    <a:ln>
      <a:noFill/>
    </a:ln>
  </c:spPr>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SEVERIDAD ECUADOR</a:t>
            </a:r>
            <a:endParaRPr lang="es-PE" sz="1200">
              <a:latin typeface="Arial Nova" panose="020B0504020202020204" pitchFamily="34" charset="0"/>
            </a:endParaRPr>
          </a:p>
        </c:rich>
      </c:tx>
      <c:layout>
        <c:manualLayout>
          <c:xMode val="edge"/>
          <c:yMode val="edge"/>
          <c:x val="0.30256737102324455"/>
          <c:y val="4.4285988582288008E-2"/>
        </c:manualLayout>
      </c:layout>
      <c:overlay val="0"/>
    </c:title>
    <c:autoTitleDeleted val="0"/>
    <c:plotArea>
      <c:layout>
        <c:manualLayout>
          <c:layoutTarget val="inner"/>
          <c:xMode val="edge"/>
          <c:yMode val="edge"/>
          <c:x val="8.0302288976999439E-2"/>
          <c:y val="0.16069473134613393"/>
          <c:w val="0.8914880350677985"/>
          <c:h val="0.65854916188606716"/>
        </c:manualLayout>
      </c:layout>
      <c:lineChart>
        <c:grouping val="standard"/>
        <c:varyColors val="0"/>
        <c:ser>
          <c:idx val="3"/>
          <c:order val="0"/>
          <c:tx>
            <c:v>2023</c:v>
          </c:tx>
          <c:spPr>
            <a:ln>
              <a:solidFill>
                <a:schemeClr val="tx1"/>
              </a:solidFill>
            </a:ln>
          </c:spPr>
          <c:marker>
            <c:symbol val="circle"/>
            <c:size val="7"/>
            <c:spPr>
              <a:solidFill>
                <a:schemeClr val="tx1"/>
              </a:solidFill>
              <a:ln>
                <a:solidFill>
                  <a:schemeClr val="tx1"/>
                </a:solidFill>
              </a:ln>
            </c:spPr>
          </c:marker>
          <c:dPt>
            <c:idx val="1"/>
            <c:bubble3D val="0"/>
            <c:extLst>
              <c:ext xmlns:c16="http://schemas.microsoft.com/office/drawing/2014/chart" uri="{C3380CC4-5D6E-409C-BE32-E72D297353CC}">
                <c16:uniqueId val="{00000000-9333-41A4-9317-1494E0E9CAA6}"/>
              </c:ext>
            </c:extLst>
          </c:dPt>
          <c:dLbls>
            <c:dLbl>
              <c:idx val="0"/>
              <c:layout>
                <c:manualLayout>
                  <c:x val="-4.9240770273976109E-2"/>
                  <c:y val="-5.18326137217930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33-41A4-9317-1494E0E9CAA6}"/>
                </c:ext>
              </c:extLst>
            </c:dLbl>
            <c:dLbl>
              <c:idx val="1"/>
              <c:layout>
                <c:manualLayout>
                  <c:x val="-1.3047637912282627E-2"/>
                  <c:y val="-5.1792978544176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33-41A4-9317-1494E0E9CAA6}"/>
                </c:ext>
              </c:extLst>
            </c:dLbl>
            <c:dLbl>
              <c:idx val="2"/>
              <c:layout>
                <c:manualLayout>
                  <c:x val="-3.0121817828592988E-2"/>
                  <c:y val="-4.78830045456400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33-41A4-9317-1494E0E9CAA6}"/>
                </c:ext>
              </c:extLst>
            </c:dLbl>
            <c:dLbl>
              <c:idx val="3"/>
              <c:layout>
                <c:manualLayout>
                  <c:x val="-3.2099771934596774E-2"/>
                  <c:y val="-7.2176712013914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33-41A4-9317-1494E0E9CAA6}"/>
                </c:ext>
              </c:extLst>
            </c:dLbl>
            <c:dLbl>
              <c:idx val="4"/>
              <c:layout>
                <c:manualLayout>
                  <c:x val="-3.4210626592530262E-2"/>
                  <c:y val="-5.0467736253709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333-41A4-9317-1494E0E9CAA6}"/>
                </c:ext>
              </c:extLst>
            </c:dLbl>
            <c:dLbl>
              <c:idx val="5"/>
              <c:layout>
                <c:manualLayout>
                  <c:x val="-3.5304432130022309E-2"/>
                  <c:y val="-5.4906877902684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33-41A4-9317-1494E0E9CAA6}"/>
                </c:ext>
              </c:extLst>
            </c:dLbl>
            <c:dLbl>
              <c:idx val="6"/>
              <c:layout>
                <c:manualLayout>
                  <c:x val="-3.5785275540921438E-2"/>
                  <c:y val="-5.09100982711777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333-41A4-9317-1494E0E9CAA6}"/>
                </c:ext>
              </c:extLst>
            </c:dLbl>
            <c:dLbl>
              <c:idx val="7"/>
              <c:layout>
                <c:manualLayout>
                  <c:x val="-3.7422985402979558E-2"/>
                  <c:y val="-4.60264823682777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33-41A4-9317-1494E0E9CAA6}"/>
                </c:ext>
              </c:extLst>
            </c:dLbl>
            <c:dLbl>
              <c:idx val="8"/>
              <c:layout>
                <c:manualLayout>
                  <c:x val="-2.783403583263171E-2"/>
                  <c:y val="-5.2534159816370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333-41A4-9317-1494E0E9CAA6}"/>
                </c:ext>
              </c:extLst>
            </c:dLbl>
            <c:dLbl>
              <c:idx val="9"/>
              <c:layout>
                <c:manualLayout>
                  <c:x val="-2.6669685096419711E-2"/>
                  <c:y val="-5.2053966769894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333-41A4-9317-1494E0E9CAA6}"/>
                </c:ext>
              </c:extLst>
            </c:dLbl>
            <c:dLbl>
              <c:idx val="10"/>
              <c:layout>
                <c:manualLayout>
                  <c:x val="-4.35614884292179E-2"/>
                  <c:y val="-5.37073454007932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333-41A4-9317-1494E0E9CAA6}"/>
                </c:ext>
              </c:extLst>
            </c:dLbl>
            <c:dLbl>
              <c:idx val="11"/>
              <c:layout>
                <c:manualLayout>
                  <c:x val="-3.0253663388700665E-2"/>
                  <c:y val="-4.58920923602816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333-41A4-9317-1494E0E9CAA6}"/>
                </c:ext>
              </c:extLst>
            </c:dLbl>
            <c:spPr>
              <a:ln>
                <a:noFill/>
              </a:ln>
            </c:spPr>
            <c:txPr>
              <a:bodyPr/>
              <a:lstStyle/>
              <a:p>
                <a:pPr>
                  <a:defRPr sz="1200" b="1">
                    <a:solidFill>
                      <a:sysClr val="windowText" lastClr="00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CORP'!$O$23:$Z$23</c:f>
              <c:numCache>
                <c:formatCode>0</c:formatCode>
                <c:ptCount val="12"/>
                <c:pt idx="0">
                  <c:v>157.86472137133842</c:v>
                </c:pt>
                <c:pt idx="1">
                  <c:v>84.252812244384003</c:v>
                </c:pt>
                <c:pt idx="2">
                  <c:v>50.655997661666852</c:v>
                </c:pt>
                <c:pt idx="3">
                  <c:v>36.066960021551985</c:v>
                </c:pt>
                <c:pt idx="4">
                  <c:v>26.153331505603539</c:v>
                </c:pt>
                <c:pt idx="5">
                  <c:v>22.562081456951237</c:v>
                </c:pt>
                <c:pt idx="6">
                  <c:v>18.341084576429676</c:v>
                </c:pt>
                <c:pt idx="7">
                  <c:v>26.686428475913264</c:v>
                </c:pt>
                <c:pt idx="8">
                  <c:v>22.945567224726201</c:v>
                </c:pt>
                <c:pt idx="9">
                  <c:v>36.152446268216501</c:v>
                </c:pt>
                <c:pt idx="10">
                  <c:v>31.651802856337703</c:v>
                </c:pt>
                <c:pt idx="11">
                  <c:v>28.310631348812098</c:v>
                </c:pt>
              </c:numCache>
            </c:numRef>
          </c:val>
          <c:smooth val="0"/>
          <c:extLst>
            <c:ext xmlns:c16="http://schemas.microsoft.com/office/drawing/2014/chart" uri="{C3380CC4-5D6E-409C-BE32-E72D297353CC}">
              <c16:uniqueId val="{0000000C-9333-41A4-9317-1494E0E9CAA6}"/>
            </c:ext>
          </c:extLst>
        </c:ser>
        <c:ser>
          <c:idx val="1"/>
          <c:order val="1"/>
          <c:tx>
            <c:v>2022</c:v>
          </c:tx>
          <c:spPr>
            <a:ln>
              <a:solidFill>
                <a:srgbClr val="00B050"/>
              </a:solidFill>
            </a:ln>
          </c:spPr>
          <c:marker>
            <c:symbol val="circle"/>
            <c:size val="7"/>
            <c:spPr>
              <a:solidFill>
                <a:srgbClr val="00B050"/>
              </a:solidFill>
              <a:ln>
                <a:solidFill>
                  <a:srgbClr val="00B050"/>
                </a:solidFill>
              </a:ln>
            </c:spPr>
          </c:marker>
          <c:dLbls>
            <c:dLbl>
              <c:idx val="0"/>
              <c:layout>
                <c:manualLayout>
                  <c:x val="-4.8663182477185672E-2"/>
                  <c:y val="-4.10102839102073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333-41A4-9317-1494E0E9CAA6}"/>
                </c:ext>
              </c:extLst>
            </c:dLbl>
            <c:dLbl>
              <c:idx val="1"/>
              <c:layout>
                <c:manualLayout>
                  <c:x val="-4.3417710523975687E-2"/>
                  <c:y val="4.4892062692745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41-4E6B-9401-2BF8CDC57EA5}"/>
                </c:ext>
              </c:extLst>
            </c:dLbl>
            <c:dLbl>
              <c:idx val="2"/>
              <c:layout>
                <c:manualLayout>
                  <c:x val="-4.0352625118969095E-2"/>
                  <c:y val="4.69942017960681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333-41A4-9317-1494E0E9CAA6}"/>
                </c:ext>
              </c:extLst>
            </c:dLbl>
            <c:dLbl>
              <c:idx val="3"/>
              <c:layout>
                <c:manualLayout>
                  <c:x val="-5.6436689666498653E-2"/>
                  <c:y val="4.27984950026874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333-41A4-9317-1494E0E9CAA6}"/>
                </c:ext>
              </c:extLst>
            </c:dLbl>
            <c:dLbl>
              <c:idx val="4"/>
              <c:layout>
                <c:manualLayout>
                  <c:x val="-4.272984065723557E-2"/>
                  <c:y val="5.2406334988687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333-41A4-9317-1494E0E9CAA6}"/>
                </c:ext>
              </c:extLst>
            </c:dLbl>
            <c:dLbl>
              <c:idx val="5"/>
              <c:layout>
                <c:manualLayout>
                  <c:x val="-4.3417710523975687E-2"/>
                  <c:y val="3.58206503202672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41-4E6B-9401-2BF8CDC57EA5}"/>
                </c:ext>
              </c:extLst>
            </c:dLbl>
            <c:dLbl>
              <c:idx val="6"/>
              <c:layout>
                <c:manualLayout>
                  <c:x val="-3.8177190243471687E-2"/>
                  <c:y val="4.48920626927450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41-4E6B-9401-2BF8CDC57EA5}"/>
                </c:ext>
              </c:extLst>
            </c:dLbl>
            <c:dLbl>
              <c:idx val="7"/>
              <c:layout>
                <c:manualLayout>
                  <c:x val="-4.0797450383723684E-2"/>
                  <c:y val="4.48920626927450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41-4E6B-9401-2BF8CDC57EA5}"/>
                </c:ext>
              </c:extLst>
            </c:dLbl>
            <c:dLbl>
              <c:idx val="8"/>
              <c:layout>
                <c:manualLayout>
                  <c:x val="-3.8177190243471777E-2"/>
                  <c:y val="4.94277688789841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41-4E6B-9401-2BF8CDC57EA5}"/>
                </c:ext>
              </c:extLst>
            </c:dLbl>
            <c:dLbl>
              <c:idx val="9"/>
              <c:layout>
                <c:manualLayout>
                  <c:x val="-3.5556930103219586E-2"/>
                  <c:y val="4.4892062692745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41-4E6B-9401-2BF8CDC57EA5}"/>
                </c:ext>
              </c:extLst>
            </c:dLbl>
            <c:dLbl>
              <c:idx val="10"/>
              <c:layout>
                <c:manualLayout>
                  <c:x val="-4.3417710523975687E-2"/>
                  <c:y val="4.03563565065062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341-4E6B-9401-2BF8CDC57EA5}"/>
                </c:ext>
              </c:extLst>
            </c:dLbl>
            <c:dLbl>
              <c:idx val="11"/>
              <c:layout>
                <c:manualLayout>
                  <c:x val="-3.1232675593019545E-2"/>
                  <c:y val="3.58206503202672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341-4E6B-9401-2BF8CDC57EA5}"/>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CORP'!$O$25:$Z$25</c:f>
              <c:numCache>
                <c:formatCode>0</c:formatCode>
                <c:ptCount val="12"/>
                <c:pt idx="0">
                  <c:v>48.551231259224735</c:v>
                </c:pt>
                <c:pt idx="1">
                  <c:v>24.530727188876789</c:v>
                </c:pt>
                <c:pt idx="2">
                  <c:v>26.174879935007773</c:v>
                </c:pt>
                <c:pt idx="3">
                  <c:v>19.721772141251474</c:v>
                </c:pt>
                <c:pt idx="4">
                  <c:v>15.769899193087769</c:v>
                </c:pt>
                <c:pt idx="5">
                  <c:v>13.035021436500097</c:v>
                </c:pt>
                <c:pt idx="6">
                  <c:v>24.820056315328888</c:v>
                </c:pt>
                <c:pt idx="7">
                  <c:v>21.427380168269217</c:v>
                </c:pt>
                <c:pt idx="8">
                  <c:v>18.891836960046504</c:v>
                </c:pt>
                <c:pt idx="9">
                  <c:v>19.687149814822671</c:v>
                </c:pt>
                <c:pt idx="10">
                  <c:v>17.74456895780316</c:v>
                </c:pt>
                <c:pt idx="11">
                  <c:v>16.250861547163428</c:v>
                </c:pt>
              </c:numCache>
            </c:numRef>
          </c:val>
          <c:smooth val="0"/>
          <c:extLst>
            <c:ext xmlns:c16="http://schemas.microsoft.com/office/drawing/2014/chart" uri="{C3380CC4-5D6E-409C-BE32-E72D297353CC}">
              <c16:uniqueId val="{00000011-9333-41A4-9317-1494E0E9CAA6}"/>
            </c:ext>
          </c:extLst>
        </c:ser>
        <c:ser>
          <c:idx val="0"/>
          <c:order val="2"/>
          <c:tx>
            <c:v>OBJ</c:v>
          </c:tx>
          <c:spPr>
            <a:ln>
              <a:solidFill>
                <a:srgbClr val="FF0000"/>
              </a:solidFill>
            </a:ln>
          </c:spPr>
          <c:marker>
            <c:symbol val="none"/>
          </c:marker>
          <c:dLbls>
            <c:delete val="1"/>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CORP'!$O$31:$Z$31</c:f>
              <c:numCache>
                <c:formatCode>0</c:formatCode>
                <c:ptCount val="12"/>
                <c:pt idx="0">
                  <c:v>23</c:v>
                </c:pt>
                <c:pt idx="1">
                  <c:v>23</c:v>
                </c:pt>
                <c:pt idx="2">
                  <c:v>23</c:v>
                </c:pt>
                <c:pt idx="3">
                  <c:v>23</c:v>
                </c:pt>
                <c:pt idx="4">
                  <c:v>23</c:v>
                </c:pt>
                <c:pt idx="5">
                  <c:v>23</c:v>
                </c:pt>
                <c:pt idx="6">
                  <c:v>23</c:v>
                </c:pt>
                <c:pt idx="7">
                  <c:v>23</c:v>
                </c:pt>
                <c:pt idx="8">
                  <c:v>23</c:v>
                </c:pt>
                <c:pt idx="9">
                  <c:v>23</c:v>
                </c:pt>
                <c:pt idx="10">
                  <c:v>23</c:v>
                </c:pt>
                <c:pt idx="11">
                  <c:v>23</c:v>
                </c:pt>
              </c:numCache>
            </c:numRef>
          </c:val>
          <c:smooth val="0"/>
          <c:extLst>
            <c:ext xmlns:c16="http://schemas.microsoft.com/office/drawing/2014/chart" uri="{C3380CC4-5D6E-409C-BE32-E72D297353CC}">
              <c16:uniqueId val="{00000012-9333-41A4-9317-1494E0E9CAA6}"/>
            </c:ext>
          </c:extLst>
        </c:ser>
        <c:dLbls>
          <c:showLegendKey val="0"/>
          <c:showVal val="1"/>
          <c:showCatName val="0"/>
          <c:showSerName val="0"/>
          <c:showPercent val="0"/>
          <c:showBubbleSize val="0"/>
        </c:dLbls>
        <c:marker val="1"/>
        <c:smooth val="0"/>
        <c:axId val="1087408528"/>
        <c:axId val="1234624992"/>
      </c:lineChart>
      <c:catAx>
        <c:axId val="1087408528"/>
        <c:scaling>
          <c:orientation val="minMax"/>
        </c:scaling>
        <c:delete val="0"/>
        <c:axPos val="b"/>
        <c:numFmt formatCode="General" sourceLinked="1"/>
        <c:majorTickMark val="none"/>
        <c:minorTickMark val="none"/>
        <c:tickLblPos val="nextTo"/>
        <c:txPr>
          <a:bodyPr/>
          <a:lstStyle/>
          <a:p>
            <a:pPr>
              <a:defRPr sz="900"/>
            </a:pPr>
            <a:endParaRPr lang="es-PE"/>
          </a:p>
        </c:txPr>
        <c:crossAx val="1234624992"/>
        <c:crosses val="autoZero"/>
        <c:auto val="1"/>
        <c:lblAlgn val="ctr"/>
        <c:lblOffset val="100"/>
        <c:noMultiLvlLbl val="0"/>
      </c:catAx>
      <c:valAx>
        <c:axId val="1234624992"/>
        <c:scaling>
          <c:orientation val="minMax"/>
        </c:scaling>
        <c:delete val="0"/>
        <c:axPos val="l"/>
        <c:majorGridlines/>
        <c:numFmt formatCode="0" sourceLinked="1"/>
        <c:majorTickMark val="none"/>
        <c:minorTickMark val="none"/>
        <c:tickLblPos val="nextTo"/>
        <c:crossAx val="1087408528"/>
        <c:crosses val="autoZero"/>
        <c:crossBetween val="between"/>
      </c:valAx>
    </c:plotArea>
    <c:legend>
      <c:legendPos val="b"/>
      <c:layout>
        <c:manualLayout>
          <c:xMode val="edge"/>
          <c:yMode val="edge"/>
          <c:x val="0.31269222898693882"/>
          <c:y val="0.89727500337273747"/>
          <c:w val="0.37461554202612235"/>
          <c:h val="8.0473690020026176E-2"/>
        </c:manualLayout>
      </c:layout>
      <c:overlay val="0"/>
    </c:legend>
    <c:plotVisOnly val="1"/>
    <c:dispBlanksAs val="gap"/>
    <c:showDLblsOverMax val="0"/>
  </c:chart>
  <c:spPr>
    <a:ln>
      <a:noFill/>
    </a:ln>
  </c:spPr>
  <c:printSettings>
    <c:headerFooter/>
    <c:pageMargins b="0.750000000000002" l="0.70000000000000062" r="0.70000000000000062" t="0.75000000000000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FRECUENCIA  CHILE</a:t>
            </a:r>
            <a:endParaRPr lang="es-PE" sz="1200">
              <a:latin typeface="Arial Nova" panose="020B0504020202020204" pitchFamily="34" charset="0"/>
            </a:endParaRPr>
          </a:p>
        </c:rich>
      </c:tx>
      <c:layout>
        <c:manualLayout>
          <c:xMode val="edge"/>
          <c:yMode val="edge"/>
          <c:x val="0.30250887701801238"/>
          <c:y val="4.0304593877893993E-2"/>
        </c:manualLayout>
      </c:layout>
      <c:overlay val="0"/>
    </c:title>
    <c:autoTitleDeleted val="0"/>
    <c:plotArea>
      <c:layout>
        <c:manualLayout>
          <c:layoutTarget val="inner"/>
          <c:xMode val="edge"/>
          <c:yMode val="edge"/>
          <c:x val="8.3622298730499284E-2"/>
          <c:y val="0.16747694442897823"/>
          <c:w val="0.87512913111933621"/>
          <c:h val="0.61824510478540673"/>
        </c:manualLayout>
      </c:layout>
      <c:lineChart>
        <c:grouping val="standard"/>
        <c:varyColors val="0"/>
        <c:ser>
          <c:idx val="1"/>
          <c:order val="0"/>
          <c:tx>
            <c:v>2023</c:v>
          </c:tx>
          <c:spPr>
            <a:ln>
              <a:solidFill>
                <a:schemeClr val="tx1"/>
              </a:solidFill>
            </a:ln>
          </c:spPr>
          <c:marker>
            <c:symbol val="circle"/>
            <c:size val="5"/>
            <c:spPr>
              <a:solidFill>
                <a:schemeClr val="tx1"/>
              </a:solidFill>
              <a:ln>
                <a:noFill/>
              </a:ln>
            </c:spPr>
          </c:marker>
          <c:dLbls>
            <c:dLbl>
              <c:idx val="0"/>
              <c:layout>
                <c:manualLayout>
                  <c:x val="-4.1824175299704912E-2"/>
                  <c:y val="-5.03386191508922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92D-486E-8087-D259F9D79386}"/>
                </c:ext>
              </c:extLst>
            </c:dLbl>
            <c:dLbl>
              <c:idx val="1"/>
              <c:layout>
                <c:manualLayout>
                  <c:x val="-4.2660230150128653E-2"/>
                  <c:y val="-6.57290583186729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2D-486E-8087-D259F9D79386}"/>
                </c:ext>
              </c:extLst>
            </c:dLbl>
            <c:dLbl>
              <c:idx val="2"/>
              <c:layout>
                <c:manualLayout>
                  <c:x val="-7.1317778681743412E-3"/>
                  <c:y val="-5.388695232707170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92D-486E-8087-D259F9D79386}"/>
                </c:ext>
              </c:extLst>
            </c:dLbl>
            <c:dLbl>
              <c:idx val="3"/>
              <c:layout>
                <c:manualLayout>
                  <c:x val="-2.2393244234208572E-2"/>
                  <c:y val="-5.83482636222158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2D-486E-8087-D259F9D79386}"/>
                </c:ext>
              </c:extLst>
            </c:dLbl>
            <c:dLbl>
              <c:idx val="4"/>
              <c:layout>
                <c:manualLayout>
                  <c:x val="-2.3243940753129879E-2"/>
                  <c:y val="-4.75840514480490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92D-486E-8087-D259F9D79386}"/>
                </c:ext>
              </c:extLst>
            </c:dLbl>
            <c:dLbl>
              <c:idx val="5"/>
              <c:layout>
                <c:manualLayout>
                  <c:x val="-4.5418957902438876E-2"/>
                  <c:y val="-5.20551698436564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92D-486E-8087-D259F9D79386}"/>
                </c:ext>
              </c:extLst>
            </c:dLbl>
            <c:dLbl>
              <c:idx val="6"/>
              <c:layout>
                <c:manualLayout>
                  <c:x val="-3.1617633957857195E-2"/>
                  <c:y val="-4.08487104059189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92D-486E-8087-D259F9D79386}"/>
                </c:ext>
              </c:extLst>
            </c:dLbl>
            <c:dLbl>
              <c:idx val="7"/>
              <c:layout>
                <c:manualLayout>
                  <c:x val="-3.310286527653334E-2"/>
                  <c:y val="-3.74035984480691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92D-486E-8087-D259F9D79386}"/>
                </c:ext>
              </c:extLst>
            </c:dLbl>
            <c:dLbl>
              <c:idx val="8"/>
              <c:layout>
                <c:manualLayout>
                  <c:x val="-3.310286527653334E-2"/>
                  <c:y val="-5.8961966286107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92D-486E-8087-D259F9D79386}"/>
                </c:ext>
              </c:extLst>
            </c:dLbl>
            <c:dLbl>
              <c:idx val="9"/>
              <c:layout>
                <c:manualLayout>
                  <c:x val="-3.528319278232623E-2"/>
                  <c:y val="-5.03386191508922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92D-486E-8087-D259F9D79386}"/>
                </c:ext>
              </c:extLst>
            </c:dLbl>
            <c:dLbl>
              <c:idx val="10"/>
              <c:layout>
                <c:manualLayout>
                  <c:x val="-3.7463520288119119E-2"/>
                  <c:y val="-4.1715272015676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92D-486E-8087-D259F9D79386}"/>
                </c:ext>
              </c:extLst>
            </c:dLbl>
            <c:dLbl>
              <c:idx val="11"/>
              <c:layout>
                <c:manualLayout>
                  <c:x val="-2.8035962923030018E-2"/>
                  <c:y val="-3.56056669338299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92D-486E-8087-D259F9D79386}"/>
                </c:ext>
              </c:extLst>
            </c:dLbl>
            <c:spPr>
              <a:noFill/>
              <a:ln>
                <a:noFill/>
              </a:ln>
              <a:effectLst/>
            </c:spPr>
            <c:txPr>
              <a:bodyPr/>
              <a:lstStyle/>
              <a:p>
                <a:pPr>
                  <a:defRPr sz="1200" b="1">
                    <a:solidFill>
                      <a:sysClr val="windowText" lastClr="000000"/>
                    </a:solidFil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CORP'!$O$60:$Z$60</c:f>
              <c:numCache>
                <c:formatCode>0.0</c:formatCode>
                <c:ptCount val="12"/>
                <c:pt idx="0">
                  <c:v>0</c:v>
                </c:pt>
                <c:pt idx="1">
                  <c:v>0</c:v>
                </c:pt>
                <c:pt idx="2">
                  <c:v>7.4072702357363749</c:v>
                </c:pt>
                <c:pt idx="3">
                  <c:v>5.7113973790397425</c:v>
                </c:pt>
                <c:pt idx="4">
                  <c:v>4.6970298331849856</c:v>
                </c:pt>
                <c:pt idx="5">
                  <c:v>3.9834289356277885</c:v>
                </c:pt>
                <c:pt idx="6">
                  <c:v>3.449697375297752</c:v>
                </c:pt>
                <c:pt idx="7">
                  <c:v>3.0448676472155447</c:v>
                </c:pt>
                <c:pt idx="8">
                  <c:v>4.1176325260028497</c:v>
                </c:pt>
                <c:pt idx="9">
                  <c:v>3.7445937427838558</c:v>
                </c:pt>
                <c:pt idx="10">
                  <c:v>3.4241923756932562</c:v>
                </c:pt>
                <c:pt idx="11">
                  <c:v>3.1624553303184593</c:v>
                </c:pt>
              </c:numCache>
            </c:numRef>
          </c:val>
          <c:smooth val="0"/>
          <c:extLst>
            <c:ext xmlns:c16="http://schemas.microsoft.com/office/drawing/2014/chart" uri="{C3380CC4-5D6E-409C-BE32-E72D297353CC}">
              <c16:uniqueId val="{0000000C-D92D-486E-8087-D259F9D79386}"/>
            </c:ext>
          </c:extLst>
        </c:ser>
        <c:ser>
          <c:idx val="2"/>
          <c:order val="1"/>
          <c:tx>
            <c:v>2022</c:v>
          </c:tx>
          <c:spPr>
            <a:ln>
              <a:solidFill>
                <a:srgbClr val="00B050"/>
              </a:solidFill>
            </a:ln>
          </c:spPr>
          <c:marker>
            <c:symbol val="circle"/>
            <c:size val="7"/>
            <c:spPr>
              <a:solidFill>
                <a:srgbClr val="00B050"/>
              </a:solidFill>
              <a:ln>
                <a:solidFill>
                  <a:srgbClr val="00B050"/>
                </a:solidFill>
              </a:ln>
            </c:spPr>
          </c:marker>
          <c:dPt>
            <c:idx val="1"/>
            <c:bubble3D val="0"/>
            <c:extLst>
              <c:ext xmlns:c16="http://schemas.microsoft.com/office/drawing/2014/chart" uri="{C3380CC4-5D6E-409C-BE32-E72D297353CC}">
                <c16:uniqueId val="{0000000D-D92D-486E-8087-D259F9D79386}"/>
              </c:ext>
            </c:extLst>
          </c:dPt>
          <c:dLbls>
            <c:dLbl>
              <c:idx val="0"/>
              <c:layout>
                <c:manualLayout>
                  <c:x val="3.7235178578305916E-4"/>
                  <c:y val="-3.4538429213371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92D-486E-8087-D259F9D79386}"/>
                </c:ext>
              </c:extLst>
            </c:dLbl>
            <c:dLbl>
              <c:idx val="1"/>
              <c:layout>
                <c:manualLayout>
                  <c:x val="-3.7392732225322765E-2"/>
                  <c:y val="-3.51785021420794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92D-486E-8087-D259F9D79386}"/>
                </c:ext>
              </c:extLst>
            </c:dLbl>
            <c:dLbl>
              <c:idx val="4"/>
              <c:layout>
                <c:manualLayout>
                  <c:x val="-3.9963247115478127E-2"/>
                  <c:y val="-5.34803453036578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92D-486E-8087-D259F9D79386}"/>
                </c:ext>
              </c:extLst>
            </c:dLbl>
            <c:dLbl>
              <c:idx val="5"/>
              <c:layout>
                <c:manualLayout>
                  <c:x val="-1.7142013139994296E-3"/>
                  <c:y val="-1.9859991382010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F5-4010-B4B4-F63FAE3881D7}"/>
                </c:ext>
              </c:extLst>
            </c:dLbl>
            <c:spPr>
              <a:noFill/>
              <a:ln>
                <a:noFill/>
              </a:ln>
              <a:effectLst/>
            </c:spPr>
            <c:txPr>
              <a:bodyPr/>
              <a:lstStyle/>
              <a:p>
                <a:pPr>
                  <a:defRPr sz="1000" b="0">
                    <a:solidFill>
                      <a:schemeClr val="tx1"/>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CORP'!$O$62:$Z$62</c:f>
              <c:numCache>
                <c:formatCode>0.0</c:formatCode>
                <c:ptCount val="12"/>
                <c:pt idx="0">
                  <c:v>0</c:v>
                </c:pt>
                <c:pt idx="1">
                  <c:v>0</c:v>
                </c:pt>
                <c:pt idx="2">
                  <c:v>4.22156459627067</c:v>
                </c:pt>
                <c:pt idx="3">
                  <c:v>3.1944697339965051</c:v>
                </c:pt>
                <c:pt idx="4">
                  <c:v>2.5615869543499588</c:v>
                </c:pt>
                <c:pt idx="5">
                  <c:v>2.1571994374023866</c:v>
                </c:pt>
                <c:pt idx="6">
                  <c:v>1.8452533625129399</c:v>
                </c:pt>
                <c:pt idx="7">
                  <c:v>1.6212290212964644</c:v>
                </c:pt>
                <c:pt idx="8">
                  <c:v>1.4411796920487234</c:v>
                </c:pt>
                <c:pt idx="9">
                  <c:v>1.2979714004981615</c:v>
                </c:pt>
                <c:pt idx="10">
                  <c:v>1.1713085624998536</c:v>
                </c:pt>
                <c:pt idx="11">
                  <c:v>2.1220271725579445</c:v>
                </c:pt>
              </c:numCache>
            </c:numRef>
          </c:val>
          <c:smooth val="0"/>
          <c:extLst>
            <c:ext xmlns:c16="http://schemas.microsoft.com/office/drawing/2014/chart" uri="{C3380CC4-5D6E-409C-BE32-E72D297353CC}">
              <c16:uniqueId val="{00000010-D92D-486E-8087-D259F9D79386}"/>
            </c:ext>
          </c:extLst>
        </c:ser>
        <c:ser>
          <c:idx val="0"/>
          <c:order val="2"/>
          <c:tx>
            <c:v>OBJ</c:v>
          </c:tx>
          <c:spPr>
            <a:ln>
              <a:solidFill>
                <a:srgbClr val="FF0000"/>
              </a:solidFill>
            </a:ln>
          </c:spPr>
          <c:marker>
            <c:symbol val="none"/>
          </c:marker>
          <c:dLbls>
            <c:delete val="1"/>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CORP'!$O$68:$Z$68</c:f>
              <c:numCache>
                <c:formatCode>0.0</c:formatCode>
                <c:ptCount val="12"/>
                <c:pt idx="0">
                  <c:v>2.1</c:v>
                </c:pt>
                <c:pt idx="1">
                  <c:v>2.1</c:v>
                </c:pt>
                <c:pt idx="2">
                  <c:v>2.1</c:v>
                </c:pt>
                <c:pt idx="3">
                  <c:v>2.1</c:v>
                </c:pt>
                <c:pt idx="4">
                  <c:v>2.1</c:v>
                </c:pt>
                <c:pt idx="5">
                  <c:v>2.1</c:v>
                </c:pt>
                <c:pt idx="6">
                  <c:v>2.1</c:v>
                </c:pt>
                <c:pt idx="7">
                  <c:v>2.1</c:v>
                </c:pt>
                <c:pt idx="8">
                  <c:v>2.1</c:v>
                </c:pt>
                <c:pt idx="9">
                  <c:v>2.1</c:v>
                </c:pt>
                <c:pt idx="10">
                  <c:v>2.1</c:v>
                </c:pt>
                <c:pt idx="11">
                  <c:v>2.1</c:v>
                </c:pt>
              </c:numCache>
            </c:numRef>
          </c:val>
          <c:smooth val="0"/>
          <c:extLst>
            <c:ext xmlns:c16="http://schemas.microsoft.com/office/drawing/2014/chart" uri="{C3380CC4-5D6E-409C-BE32-E72D297353CC}">
              <c16:uniqueId val="{00000011-D92D-486E-8087-D259F9D79386}"/>
            </c:ext>
          </c:extLst>
        </c:ser>
        <c:dLbls>
          <c:showLegendKey val="0"/>
          <c:showVal val="1"/>
          <c:showCatName val="0"/>
          <c:showSerName val="0"/>
          <c:showPercent val="0"/>
          <c:showBubbleSize val="0"/>
        </c:dLbls>
        <c:marker val="1"/>
        <c:smooth val="0"/>
        <c:axId val="1234617920"/>
        <c:axId val="1234621728"/>
      </c:lineChart>
      <c:catAx>
        <c:axId val="1234617920"/>
        <c:scaling>
          <c:orientation val="minMax"/>
        </c:scaling>
        <c:delete val="0"/>
        <c:axPos val="b"/>
        <c:numFmt formatCode="General" sourceLinked="1"/>
        <c:majorTickMark val="none"/>
        <c:minorTickMark val="none"/>
        <c:tickLblPos val="nextTo"/>
        <c:txPr>
          <a:bodyPr/>
          <a:lstStyle/>
          <a:p>
            <a:pPr>
              <a:defRPr sz="1000"/>
            </a:pPr>
            <a:endParaRPr lang="es-PE"/>
          </a:p>
        </c:txPr>
        <c:crossAx val="1234621728"/>
        <c:crosses val="autoZero"/>
        <c:auto val="1"/>
        <c:lblAlgn val="ctr"/>
        <c:lblOffset val="100"/>
        <c:noMultiLvlLbl val="0"/>
      </c:catAx>
      <c:valAx>
        <c:axId val="1234621728"/>
        <c:scaling>
          <c:orientation val="minMax"/>
          <c:min val="0"/>
        </c:scaling>
        <c:delete val="0"/>
        <c:axPos val="l"/>
        <c:majorGridlines/>
        <c:numFmt formatCode="0.0" sourceLinked="1"/>
        <c:majorTickMark val="none"/>
        <c:minorTickMark val="none"/>
        <c:tickLblPos val="nextTo"/>
        <c:crossAx val="1234617920"/>
        <c:crosses val="autoZero"/>
        <c:crossBetween val="between"/>
      </c:valAx>
    </c:plotArea>
    <c:legend>
      <c:legendPos val="b"/>
      <c:overlay val="0"/>
    </c:legend>
    <c:plotVisOnly val="1"/>
    <c:dispBlanksAs val="gap"/>
    <c:showDLblsOverMax val="0"/>
  </c:chart>
  <c:spPr>
    <a:ln>
      <a:noFill/>
    </a:ln>
  </c:spPr>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SEVERIDAD CHILE</a:t>
            </a:r>
            <a:endParaRPr lang="es-PE" sz="1200">
              <a:latin typeface="Arial Nova" panose="020B0504020202020204" pitchFamily="34" charset="0"/>
            </a:endParaRPr>
          </a:p>
        </c:rich>
      </c:tx>
      <c:layout>
        <c:manualLayout>
          <c:xMode val="edge"/>
          <c:yMode val="edge"/>
          <c:x val="0.32859141174431389"/>
          <c:y val="3.2071985327308192E-2"/>
        </c:manualLayout>
      </c:layout>
      <c:overlay val="0"/>
    </c:title>
    <c:autoTitleDeleted val="0"/>
    <c:plotArea>
      <c:layout>
        <c:manualLayout>
          <c:layoutTarget val="inner"/>
          <c:xMode val="edge"/>
          <c:yMode val="edge"/>
          <c:x val="7.620810494749379E-2"/>
          <c:y val="0.16471761034811672"/>
          <c:w val="0.90075722630336064"/>
          <c:h val="0.65854916188606716"/>
        </c:manualLayout>
      </c:layout>
      <c:lineChart>
        <c:grouping val="standard"/>
        <c:varyColors val="0"/>
        <c:ser>
          <c:idx val="3"/>
          <c:order val="0"/>
          <c:tx>
            <c:v>2023</c:v>
          </c:tx>
          <c:spPr>
            <a:ln>
              <a:solidFill>
                <a:schemeClr val="tx1"/>
              </a:solidFill>
            </a:ln>
          </c:spPr>
          <c:marker>
            <c:symbol val="circle"/>
            <c:size val="7"/>
            <c:spPr>
              <a:solidFill>
                <a:schemeClr val="tx1"/>
              </a:solidFill>
              <a:ln>
                <a:solidFill>
                  <a:schemeClr val="tx1"/>
                </a:solidFill>
              </a:ln>
            </c:spPr>
          </c:marker>
          <c:dPt>
            <c:idx val="1"/>
            <c:bubble3D val="0"/>
            <c:extLst>
              <c:ext xmlns:c16="http://schemas.microsoft.com/office/drawing/2014/chart" uri="{C3380CC4-5D6E-409C-BE32-E72D297353CC}">
                <c16:uniqueId val="{00000000-718A-48AE-B8C1-6C420CE81025}"/>
              </c:ext>
            </c:extLst>
          </c:dPt>
          <c:dLbls>
            <c:dLbl>
              <c:idx val="0"/>
              <c:layout>
                <c:manualLayout>
                  <c:x val="-4.9240770273976109E-2"/>
                  <c:y val="-5.18326137217930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8A-48AE-B8C1-6C420CE81025}"/>
                </c:ext>
              </c:extLst>
            </c:dLbl>
            <c:dLbl>
              <c:idx val="1"/>
              <c:layout>
                <c:manualLayout>
                  <c:x val="-1.3047637912282627E-2"/>
                  <c:y val="-5.1792978544176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8A-48AE-B8C1-6C420CE81025}"/>
                </c:ext>
              </c:extLst>
            </c:dLbl>
            <c:dLbl>
              <c:idx val="2"/>
              <c:layout>
                <c:manualLayout>
                  <c:x val="-3.0121817828592988E-2"/>
                  <c:y val="-4.78830045456400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18A-48AE-B8C1-6C420CE81025}"/>
                </c:ext>
              </c:extLst>
            </c:dLbl>
            <c:dLbl>
              <c:idx val="3"/>
              <c:layout>
                <c:manualLayout>
                  <c:x val="-3.2099771934596774E-2"/>
                  <c:y val="-7.2176712013914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8A-48AE-B8C1-6C420CE81025}"/>
                </c:ext>
              </c:extLst>
            </c:dLbl>
            <c:dLbl>
              <c:idx val="4"/>
              <c:layout>
                <c:manualLayout>
                  <c:x val="-3.4210626592530262E-2"/>
                  <c:y val="-5.0467736253709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18A-48AE-B8C1-6C420CE81025}"/>
                </c:ext>
              </c:extLst>
            </c:dLbl>
            <c:dLbl>
              <c:idx val="5"/>
              <c:layout>
                <c:manualLayout>
                  <c:x val="-3.5304432130022309E-2"/>
                  <c:y val="-5.4906877902684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8A-48AE-B8C1-6C420CE81025}"/>
                </c:ext>
              </c:extLst>
            </c:dLbl>
            <c:dLbl>
              <c:idx val="6"/>
              <c:layout>
                <c:manualLayout>
                  <c:x val="-3.5785275540921438E-2"/>
                  <c:y val="-5.09100982711777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18A-48AE-B8C1-6C420CE81025}"/>
                </c:ext>
              </c:extLst>
            </c:dLbl>
            <c:dLbl>
              <c:idx val="7"/>
              <c:layout>
                <c:manualLayout>
                  <c:x val="-3.7422985402979558E-2"/>
                  <c:y val="-4.60264823682777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18A-48AE-B8C1-6C420CE81025}"/>
                </c:ext>
              </c:extLst>
            </c:dLbl>
            <c:dLbl>
              <c:idx val="8"/>
              <c:layout>
                <c:manualLayout>
                  <c:x val="-2.783403583263171E-2"/>
                  <c:y val="-5.2534159816370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18A-48AE-B8C1-6C420CE81025}"/>
                </c:ext>
              </c:extLst>
            </c:dLbl>
            <c:dLbl>
              <c:idx val="9"/>
              <c:layout>
                <c:manualLayout>
                  <c:x val="-2.6669685096419711E-2"/>
                  <c:y val="-5.2053966769894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18A-48AE-B8C1-6C420CE81025}"/>
                </c:ext>
              </c:extLst>
            </c:dLbl>
            <c:dLbl>
              <c:idx val="10"/>
              <c:layout>
                <c:manualLayout>
                  <c:x val="-4.35614884292179E-2"/>
                  <c:y val="-5.37073454007932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18A-48AE-B8C1-6C420CE81025}"/>
                </c:ext>
              </c:extLst>
            </c:dLbl>
            <c:dLbl>
              <c:idx val="11"/>
              <c:layout>
                <c:manualLayout>
                  <c:x val="-3.0253663388700665E-2"/>
                  <c:y val="-4.58920923602816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18A-48AE-B8C1-6C420CE81025}"/>
                </c:ext>
              </c:extLst>
            </c:dLbl>
            <c:spPr>
              <a:ln>
                <a:noFill/>
              </a:ln>
            </c:spPr>
            <c:txPr>
              <a:bodyPr/>
              <a:lstStyle/>
              <a:p>
                <a:pPr>
                  <a:defRPr sz="1200" b="1">
                    <a:solidFill>
                      <a:sysClr val="windowText" lastClr="00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CORP'!$O$61:$Z$61</c:f>
              <c:numCache>
                <c:formatCode>0</c:formatCode>
                <c:ptCount val="12"/>
                <c:pt idx="0">
                  <c:v>0</c:v>
                </c:pt>
                <c:pt idx="1">
                  <c:v>0</c:v>
                </c:pt>
                <c:pt idx="2">
                  <c:v>85.183607710968317</c:v>
                </c:pt>
                <c:pt idx="3">
                  <c:v>65.681069858957045</c:v>
                </c:pt>
                <c:pt idx="4">
                  <c:v>54.015843081627331</c:v>
                </c:pt>
                <c:pt idx="5">
                  <c:v>45.80943275971957</c:v>
                </c:pt>
                <c:pt idx="6">
                  <c:v>39.67151981592415</c:v>
                </c:pt>
                <c:pt idx="7">
                  <c:v>35.015977942978765</c:v>
                </c:pt>
                <c:pt idx="8">
                  <c:v>42.548869435362775</c:v>
                </c:pt>
                <c:pt idx="9">
                  <c:v>38.694135342099841</c:v>
                </c:pt>
                <c:pt idx="10">
                  <c:v>35.383321215496984</c:v>
                </c:pt>
                <c:pt idx="11">
                  <c:v>32.67870507995741</c:v>
                </c:pt>
              </c:numCache>
            </c:numRef>
          </c:val>
          <c:smooth val="0"/>
          <c:extLst>
            <c:ext xmlns:c16="http://schemas.microsoft.com/office/drawing/2014/chart" uri="{C3380CC4-5D6E-409C-BE32-E72D297353CC}">
              <c16:uniqueId val="{0000000C-718A-48AE-B8C1-6C420CE81025}"/>
            </c:ext>
          </c:extLst>
        </c:ser>
        <c:ser>
          <c:idx val="1"/>
          <c:order val="1"/>
          <c:tx>
            <c:v>2022</c:v>
          </c:tx>
          <c:spPr>
            <a:ln>
              <a:solidFill>
                <a:srgbClr val="00B050"/>
              </a:solidFill>
            </a:ln>
          </c:spPr>
          <c:marker>
            <c:symbol val="circle"/>
            <c:size val="7"/>
            <c:spPr>
              <a:solidFill>
                <a:srgbClr val="00B050"/>
              </a:solidFill>
              <a:ln>
                <a:solidFill>
                  <a:srgbClr val="00B050"/>
                </a:solidFill>
              </a:ln>
            </c:spPr>
          </c:marker>
          <c:dLbls>
            <c:dLbl>
              <c:idx val="0"/>
              <c:layout>
                <c:manualLayout>
                  <c:x val="-6.9625313820991949E-2"/>
                  <c:y val="-4.724601806699608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18A-48AE-B8C1-6C420CE81025}"/>
                </c:ext>
              </c:extLst>
            </c:dLbl>
            <c:dLbl>
              <c:idx val="2"/>
              <c:layout>
                <c:manualLayout>
                  <c:x val="-3.2491753601597582E-2"/>
                  <c:y val="-4.37198865471096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18A-48AE-B8C1-6C420CE81025}"/>
                </c:ext>
              </c:extLst>
            </c:dLbl>
            <c:dLbl>
              <c:idx val="3"/>
              <c:layout>
                <c:manualLayout>
                  <c:x val="-2.2373347805346767E-2"/>
                  <c:y val="-3.88442751215794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18A-48AE-B8C1-6C420CE81025}"/>
                </c:ext>
              </c:extLst>
            </c:dLbl>
            <c:dLbl>
              <c:idx val="4"/>
              <c:layout>
                <c:manualLayout>
                  <c:x val="-2.4388050055356721E-2"/>
                  <c:y val="-4.7379115246215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18A-48AE-B8C1-6C420CE81025}"/>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CORP'!$O$63:$Z$63</c:f>
              <c:numCache>
                <c:formatCode>0</c:formatCode>
                <c:ptCount val="12"/>
                <c:pt idx="0">
                  <c:v>0</c:v>
                </c:pt>
                <c:pt idx="1">
                  <c:v>0</c:v>
                </c:pt>
                <c:pt idx="2">
                  <c:v>29.550952173894689</c:v>
                </c:pt>
                <c:pt idx="3">
                  <c:v>22.361288137975535</c:v>
                </c:pt>
                <c:pt idx="4">
                  <c:v>17.931108680449711</c:v>
                </c:pt>
                <c:pt idx="5">
                  <c:v>15.100396061816706</c:v>
                </c:pt>
                <c:pt idx="6">
                  <c:v>12.916773537590579</c:v>
                </c:pt>
                <c:pt idx="7">
                  <c:v>11.348603149075251</c:v>
                </c:pt>
                <c:pt idx="8">
                  <c:v>10.088257844341063</c:v>
                </c:pt>
                <c:pt idx="9">
                  <c:v>9.0857998034871308</c:v>
                </c:pt>
                <c:pt idx="10">
                  <c:v>8.1991599374989743</c:v>
                </c:pt>
                <c:pt idx="11">
                  <c:v>18.037230966742531</c:v>
                </c:pt>
              </c:numCache>
            </c:numRef>
          </c:val>
          <c:smooth val="0"/>
          <c:extLst>
            <c:ext xmlns:c16="http://schemas.microsoft.com/office/drawing/2014/chart" uri="{C3380CC4-5D6E-409C-BE32-E72D297353CC}">
              <c16:uniqueId val="{00000011-718A-48AE-B8C1-6C420CE81025}"/>
            </c:ext>
          </c:extLst>
        </c:ser>
        <c:ser>
          <c:idx val="0"/>
          <c:order val="2"/>
          <c:tx>
            <c:v>OBJ</c:v>
          </c:tx>
          <c:spPr>
            <a:ln>
              <a:solidFill>
                <a:srgbClr val="FF0000"/>
              </a:solidFill>
            </a:ln>
          </c:spPr>
          <c:marker>
            <c:symbol val="none"/>
          </c:marker>
          <c:dLbls>
            <c:delete val="1"/>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CORP'!$O$69:$Z$69</c:f>
              <c:numCache>
                <c:formatCode>0</c:formatCode>
                <c:ptCount val="12"/>
                <c:pt idx="0">
                  <c:v>32</c:v>
                </c:pt>
                <c:pt idx="1">
                  <c:v>32</c:v>
                </c:pt>
                <c:pt idx="2">
                  <c:v>32</c:v>
                </c:pt>
                <c:pt idx="3">
                  <c:v>32</c:v>
                </c:pt>
                <c:pt idx="4">
                  <c:v>32</c:v>
                </c:pt>
                <c:pt idx="5">
                  <c:v>32</c:v>
                </c:pt>
                <c:pt idx="6">
                  <c:v>32</c:v>
                </c:pt>
                <c:pt idx="7">
                  <c:v>32</c:v>
                </c:pt>
                <c:pt idx="8">
                  <c:v>32</c:v>
                </c:pt>
                <c:pt idx="9">
                  <c:v>32</c:v>
                </c:pt>
                <c:pt idx="10">
                  <c:v>32</c:v>
                </c:pt>
                <c:pt idx="11">
                  <c:v>32</c:v>
                </c:pt>
              </c:numCache>
            </c:numRef>
          </c:val>
          <c:smooth val="0"/>
          <c:extLst>
            <c:ext xmlns:c16="http://schemas.microsoft.com/office/drawing/2014/chart" uri="{C3380CC4-5D6E-409C-BE32-E72D297353CC}">
              <c16:uniqueId val="{00000012-718A-48AE-B8C1-6C420CE81025}"/>
            </c:ext>
          </c:extLst>
        </c:ser>
        <c:dLbls>
          <c:showLegendKey val="0"/>
          <c:showVal val="1"/>
          <c:showCatName val="0"/>
          <c:showSerName val="0"/>
          <c:showPercent val="0"/>
          <c:showBubbleSize val="0"/>
        </c:dLbls>
        <c:marker val="1"/>
        <c:smooth val="0"/>
        <c:axId val="1234626624"/>
        <c:axId val="1234619008"/>
      </c:lineChart>
      <c:catAx>
        <c:axId val="1234626624"/>
        <c:scaling>
          <c:orientation val="minMax"/>
        </c:scaling>
        <c:delete val="0"/>
        <c:axPos val="b"/>
        <c:numFmt formatCode="General" sourceLinked="1"/>
        <c:majorTickMark val="none"/>
        <c:minorTickMark val="none"/>
        <c:tickLblPos val="nextTo"/>
        <c:txPr>
          <a:bodyPr/>
          <a:lstStyle/>
          <a:p>
            <a:pPr>
              <a:defRPr sz="900"/>
            </a:pPr>
            <a:endParaRPr lang="es-PE"/>
          </a:p>
        </c:txPr>
        <c:crossAx val="1234619008"/>
        <c:crosses val="autoZero"/>
        <c:auto val="1"/>
        <c:lblAlgn val="ctr"/>
        <c:lblOffset val="100"/>
        <c:noMultiLvlLbl val="0"/>
      </c:catAx>
      <c:valAx>
        <c:axId val="1234619008"/>
        <c:scaling>
          <c:orientation val="minMax"/>
        </c:scaling>
        <c:delete val="0"/>
        <c:axPos val="l"/>
        <c:majorGridlines/>
        <c:numFmt formatCode="0" sourceLinked="1"/>
        <c:majorTickMark val="none"/>
        <c:minorTickMark val="none"/>
        <c:tickLblPos val="nextTo"/>
        <c:crossAx val="1234626624"/>
        <c:crosses val="autoZero"/>
        <c:crossBetween val="between"/>
      </c:valAx>
    </c:plotArea>
    <c:legend>
      <c:legendPos val="b"/>
      <c:layout>
        <c:manualLayout>
          <c:xMode val="edge"/>
          <c:yMode val="edge"/>
          <c:x val="0.31342028469505878"/>
          <c:y val="0.90300865477381564"/>
          <c:w val="0.38315198522331734"/>
          <c:h val="8.7332254101025727E-2"/>
        </c:manualLayout>
      </c:layout>
      <c:overlay val="0"/>
    </c:legend>
    <c:plotVisOnly val="1"/>
    <c:dispBlanksAs val="gap"/>
    <c:showDLblsOverMax val="0"/>
  </c:chart>
  <c:spPr>
    <a:ln>
      <a:noFill/>
    </a:ln>
  </c:spPr>
  <c:printSettings>
    <c:headerFooter/>
    <c:pageMargins b="0.750000000000002" l="0.70000000000000062" r="0.70000000000000062" t="0.750000000000002"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FRECUENCIA  BOLIVIA</a:t>
            </a:r>
            <a:endParaRPr lang="es-PE" sz="1200">
              <a:latin typeface="Arial Nova" panose="020B0504020202020204" pitchFamily="34" charset="0"/>
            </a:endParaRPr>
          </a:p>
        </c:rich>
      </c:tx>
      <c:layout>
        <c:manualLayout>
          <c:xMode val="edge"/>
          <c:yMode val="edge"/>
          <c:x val="0.29532210897619054"/>
          <c:y val="4.4818636541565884E-2"/>
        </c:manualLayout>
      </c:layout>
      <c:overlay val="0"/>
    </c:title>
    <c:autoTitleDeleted val="0"/>
    <c:plotArea>
      <c:layout>
        <c:manualLayout>
          <c:layoutTarget val="inner"/>
          <c:xMode val="edge"/>
          <c:yMode val="edge"/>
          <c:x val="8.0260812415125421E-2"/>
          <c:y val="0.17753498081875868"/>
          <c:w val="0.88682014150262023"/>
          <c:h val="0.61824510478540673"/>
        </c:manualLayout>
      </c:layout>
      <c:lineChart>
        <c:grouping val="standard"/>
        <c:varyColors val="0"/>
        <c:ser>
          <c:idx val="1"/>
          <c:order val="0"/>
          <c:tx>
            <c:v>2023</c:v>
          </c:tx>
          <c:spPr>
            <a:ln>
              <a:solidFill>
                <a:schemeClr val="tx1"/>
              </a:solidFill>
            </a:ln>
          </c:spPr>
          <c:marker>
            <c:symbol val="circle"/>
            <c:size val="5"/>
            <c:spPr>
              <a:solidFill>
                <a:schemeClr val="tx1"/>
              </a:solidFill>
              <a:ln>
                <a:noFill/>
              </a:ln>
            </c:spPr>
          </c:marker>
          <c:dLbls>
            <c:dLbl>
              <c:idx val="7"/>
              <c:layout>
                <c:manualLayout>
                  <c:x val="-3.7257274444253669E-2"/>
                  <c:y val="-9.49237818882197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8B3-40AE-B1F4-632964261DA2}"/>
                </c:ext>
              </c:extLst>
            </c:dLbl>
            <c:dLbl>
              <c:idx val="8"/>
              <c:layout>
                <c:manualLayout>
                  <c:x val="-5.0547459190206909E-2"/>
                  <c:y val="6.1726838036768476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6.612610945659389E-2"/>
                      <c:h val="0.12518792644847923"/>
                    </c:manualLayout>
                  </c15:layout>
                </c:ext>
                <c:ext xmlns:c16="http://schemas.microsoft.com/office/drawing/2014/chart" uri="{C3380CC4-5D6E-409C-BE32-E72D297353CC}">
                  <c16:uniqueId val="{00000007-E8B3-40AE-B1F4-632964261DA2}"/>
                </c:ext>
              </c:extLst>
            </c:dLbl>
            <c:dLbl>
              <c:idx val="9"/>
              <c:layout>
                <c:manualLayout>
                  <c:x val="-4.5884951333697521E-2"/>
                  <c:y val="5.3053309645418878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6.612610945659389E-2"/>
                      <c:h val="0.13097027870937897"/>
                    </c:manualLayout>
                  </c15:layout>
                </c:ext>
                <c:ext xmlns:c16="http://schemas.microsoft.com/office/drawing/2014/chart" uri="{C3380CC4-5D6E-409C-BE32-E72D297353CC}">
                  <c16:uniqueId val="{00000008-E8B3-40AE-B1F4-632964261DA2}"/>
                </c:ext>
              </c:extLst>
            </c:dLbl>
            <c:dLbl>
              <c:idx val="10"/>
              <c:layout>
                <c:manualLayout>
                  <c:x val="-5.6375502229192735E-2"/>
                  <c:y val="7.6182718689017812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6.3794855528339231E-2"/>
                      <c:h val="0.14253498323117844"/>
                    </c:manualLayout>
                  </c15:layout>
                </c:ext>
                <c:ext xmlns:c16="http://schemas.microsoft.com/office/drawing/2014/chart" uri="{C3380CC4-5D6E-409C-BE32-E72D297353CC}">
                  <c16:uniqueId val="{00000009-E8B3-40AE-B1F4-632964261DA2}"/>
                </c:ext>
              </c:extLst>
            </c:dLbl>
            <c:dLbl>
              <c:idx val="11"/>
              <c:layout>
                <c:manualLayout>
                  <c:x val="-4.0056816513060894E-2"/>
                  <c:y val="6.1726838036768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21-4C5F-BE66-E96BEE3A6786}"/>
                </c:ext>
              </c:extLst>
            </c:dLbl>
            <c:spPr>
              <a:noFill/>
              <a:ln>
                <a:noFill/>
              </a:ln>
              <a:effectLst/>
            </c:spPr>
            <c:txPr>
              <a:bodyPr/>
              <a:lstStyle/>
              <a:p>
                <a:pPr>
                  <a:defRPr sz="1200" b="1">
                    <a:solidFill>
                      <a:sysClr val="windowText" lastClr="00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CORP'!$O$74:$Z$74</c:f>
              <c:numCache>
                <c:formatCode>0.0</c:formatCode>
                <c:ptCount val="12"/>
                <c:pt idx="0">
                  <c:v>8.0598937149875702</c:v>
                </c:pt>
                <c:pt idx="1">
                  <c:v>7.9298732758671289</c:v>
                </c:pt>
                <c:pt idx="2">
                  <c:v>6.0065518987587518</c:v>
                </c:pt>
                <c:pt idx="3">
                  <c:v>4.882738233742197</c:v>
                </c:pt>
                <c:pt idx="4">
                  <c:v>3.8513091677336049</c:v>
                </c:pt>
                <c:pt idx="5">
                  <c:v>3.7808454322004912</c:v>
                </c:pt>
                <c:pt idx="6">
                  <c:v>3.2412061380940012</c:v>
                </c:pt>
                <c:pt idx="7">
                  <c:v>3.2354431792591081</c:v>
                </c:pt>
                <c:pt idx="8">
                  <c:v>2.8960701400047708</c:v>
                </c:pt>
                <c:pt idx="9">
                  <c:v>2.6313485867931088</c:v>
                </c:pt>
                <c:pt idx="10">
                  <c:v>2.4057623812933686</c:v>
                </c:pt>
                <c:pt idx="11">
                  <c:v>2.5183276923239917</c:v>
                </c:pt>
              </c:numCache>
            </c:numRef>
          </c:val>
          <c:smooth val="0"/>
          <c:extLst>
            <c:ext xmlns:c16="http://schemas.microsoft.com/office/drawing/2014/chart" uri="{C3380CC4-5D6E-409C-BE32-E72D297353CC}">
              <c16:uniqueId val="{0000000C-BE6D-4E63-AB22-71100165C9BA}"/>
            </c:ext>
          </c:extLst>
        </c:ser>
        <c:ser>
          <c:idx val="2"/>
          <c:order val="1"/>
          <c:tx>
            <c:v>2022</c:v>
          </c:tx>
          <c:spPr>
            <a:ln>
              <a:solidFill>
                <a:srgbClr val="00B050"/>
              </a:solidFill>
            </a:ln>
          </c:spPr>
          <c:marker>
            <c:symbol val="circle"/>
            <c:size val="7"/>
            <c:spPr>
              <a:solidFill>
                <a:srgbClr val="00B050"/>
              </a:solidFill>
              <a:ln>
                <a:solidFill>
                  <a:srgbClr val="00B050"/>
                </a:solidFill>
              </a:ln>
            </c:spPr>
          </c:marker>
          <c:dPt>
            <c:idx val="1"/>
            <c:bubble3D val="0"/>
            <c:extLst>
              <c:ext xmlns:c16="http://schemas.microsoft.com/office/drawing/2014/chart" uri="{C3380CC4-5D6E-409C-BE32-E72D297353CC}">
                <c16:uniqueId val="{0000000D-BE6D-4E63-AB22-71100165C9BA}"/>
              </c:ext>
            </c:extLst>
          </c:dPt>
          <c:dLbls>
            <c:dLbl>
              <c:idx val="7"/>
              <c:layout>
                <c:manualLayout>
                  <c:x val="-4.5073981678803367E-2"/>
                  <c:y val="4.68700997551264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B3-40AE-B1F4-632964261DA2}"/>
                </c:ext>
              </c:extLst>
            </c:dLbl>
            <c:dLbl>
              <c:idx val="8"/>
              <c:layout>
                <c:manualLayout>
                  <c:x val="-3.9240892426094166E-2"/>
                  <c:y val="4.68700997551264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B3-40AE-B1F4-632964261DA2}"/>
                </c:ext>
              </c:extLst>
            </c:dLbl>
            <c:dLbl>
              <c:idx val="9"/>
              <c:layout>
                <c:manualLayout>
                  <c:x val="-4.2274494753108148E-2"/>
                  <c:y val="4.10876128145263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B3-40AE-B1F4-632964261DA2}"/>
                </c:ext>
              </c:extLst>
            </c:dLbl>
            <c:dLbl>
              <c:idx val="10"/>
              <c:layout>
                <c:manualLayout>
                  <c:x val="-4.4839866277484319E-2"/>
                  <c:y val="4.10876128145263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8B3-40AE-B1F4-632964261DA2}"/>
                </c:ext>
              </c:extLst>
            </c:dLbl>
            <c:dLbl>
              <c:idx val="11"/>
              <c:layout>
                <c:manualLayout>
                  <c:x val="-2.9213521729908799E-2"/>
                  <c:y val="5.61744273346151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B3-40AE-B1F4-632964261DA2}"/>
                </c:ext>
              </c:extLst>
            </c:dLbl>
            <c:spPr>
              <a:noFill/>
              <a:ln>
                <a:noFill/>
              </a:ln>
              <a:effectLst/>
            </c:spPr>
            <c:txPr>
              <a:bodyPr/>
              <a:lstStyle/>
              <a:p>
                <a:pPr>
                  <a:defRPr sz="1000" b="0">
                    <a:solidFill>
                      <a:schemeClr val="tx1"/>
                    </a:solidFil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CORP'!$O$76:$Z$76</c:f>
              <c:numCache>
                <c:formatCode>0.0</c:formatCode>
                <c:ptCount val="12"/>
                <c:pt idx="0">
                  <c:v>4.5211124649331218</c:v>
                </c:pt>
                <c:pt idx="1">
                  <c:v>4.2528624422275216</c:v>
                </c:pt>
                <c:pt idx="2">
                  <c:v>5.2159199840319834</c:v>
                </c:pt>
                <c:pt idx="3">
                  <c:v>3.9029312887385448</c:v>
                </c:pt>
                <c:pt idx="4">
                  <c:v>3.1463125311524269</c:v>
                </c:pt>
                <c:pt idx="5">
                  <c:v>2.6636894609561561</c:v>
                </c:pt>
                <c:pt idx="6">
                  <c:v>2.2662143657832812</c:v>
                </c:pt>
                <c:pt idx="7">
                  <c:v>2.4357864046511697</c:v>
                </c:pt>
                <c:pt idx="8">
                  <c:v>2.1520797780096115</c:v>
                </c:pt>
                <c:pt idx="9">
                  <c:v>2.3331345252481923</c:v>
                </c:pt>
                <c:pt idx="10">
                  <c:v>2.1452293875266566</c:v>
                </c:pt>
                <c:pt idx="11">
                  <c:v>1.9810344382218723</c:v>
                </c:pt>
              </c:numCache>
            </c:numRef>
          </c:val>
          <c:smooth val="0"/>
          <c:extLst>
            <c:ext xmlns:c16="http://schemas.microsoft.com/office/drawing/2014/chart" uri="{C3380CC4-5D6E-409C-BE32-E72D297353CC}">
              <c16:uniqueId val="{00000010-BE6D-4E63-AB22-71100165C9BA}"/>
            </c:ext>
          </c:extLst>
        </c:ser>
        <c:ser>
          <c:idx val="0"/>
          <c:order val="2"/>
          <c:tx>
            <c:v>OBJ</c:v>
          </c:tx>
          <c:spPr>
            <a:ln>
              <a:solidFill>
                <a:srgbClr val="FF0000"/>
              </a:solidFill>
            </a:ln>
          </c:spPr>
          <c:marker>
            <c:symbol val="none"/>
          </c:marker>
          <c:dLbls>
            <c:delete val="1"/>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CORP'!$O$82:$Z$82</c:f>
              <c:numCache>
                <c:formatCode>0.0</c:formatCode>
                <c:ptCount val="12"/>
                <c:pt idx="0">
                  <c:v>1.6501650165016502</c:v>
                </c:pt>
                <c:pt idx="1">
                  <c:v>1.6501650165016502</c:v>
                </c:pt>
                <c:pt idx="2">
                  <c:v>1.6501650165016502</c:v>
                </c:pt>
                <c:pt idx="3">
                  <c:v>1.6501650165016502</c:v>
                </c:pt>
                <c:pt idx="4">
                  <c:v>1.6501650165016502</c:v>
                </c:pt>
                <c:pt idx="5">
                  <c:v>1.6501650165016502</c:v>
                </c:pt>
                <c:pt idx="6">
                  <c:v>1.6501650165016502</c:v>
                </c:pt>
                <c:pt idx="7">
                  <c:v>1.6501650165016502</c:v>
                </c:pt>
                <c:pt idx="8">
                  <c:v>1.6501650165016502</c:v>
                </c:pt>
                <c:pt idx="9">
                  <c:v>1.6501650165016502</c:v>
                </c:pt>
                <c:pt idx="10">
                  <c:v>1.6501650165016502</c:v>
                </c:pt>
                <c:pt idx="11" formatCode="General">
                  <c:v>1.6501650165016502</c:v>
                </c:pt>
              </c:numCache>
            </c:numRef>
          </c:val>
          <c:smooth val="0"/>
          <c:extLst>
            <c:ext xmlns:c16="http://schemas.microsoft.com/office/drawing/2014/chart" uri="{C3380CC4-5D6E-409C-BE32-E72D297353CC}">
              <c16:uniqueId val="{00000011-BE6D-4E63-AB22-71100165C9BA}"/>
            </c:ext>
          </c:extLst>
        </c:ser>
        <c:dLbls>
          <c:showLegendKey val="0"/>
          <c:showVal val="1"/>
          <c:showCatName val="0"/>
          <c:showSerName val="0"/>
          <c:showPercent val="0"/>
          <c:showBubbleSize val="0"/>
        </c:dLbls>
        <c:marker val="1"/>
        <c:smooth val="0"/>
        <c:axId val="1234616832"/>
        <c:axId val="1234631520"/>
      </c:lineChart>
      <c:catAx>
        <c:axId val="1234616832"/>
        <c:scaling>
          <c:orientation val="minMax"/>
        </c:scaling>
        <c:delete val="0"/>
        <c:axPos val="b"/>
        <c:numFmt formatCode="General" sourceLinked="1"/>
        <c:majorTickMark val="none"/>
        <c:minorTickMark val="none"/>
        <c:tickLblPos val="nextTo"/>
        <c:txPr>
          <a:bodyPr/>
          <a:lstStyle/>
          <a:p>
            <a:pPr>
              <a:defRPr sz="1000"/>
            </a:pPr>
            <a:endParaRPr lang="es-PE"/>
          </a:p>
        </c:txPr>
        <c:crossAx val="1234631520"/>
        <c:crosses val="autoZero"/>
        <c:auto val="1"/>
        <c:lblAlgn val="ctr"/>
        <c:lblOffset val="100"/>
        <c:noMultiLvlLbl val="0"/>
      </c:catAx>
      <c:valAx>
        <c:axId val="1234631520"/>
        <c:scaling>
          <c:orientation val="minMax"/>
          <c:min val="0"/>
        </c:scaling>
        <c:delete val="0"/>
        <c:axPos val="l"/>
        <c:majorGridlines/>
        <c:numFmt formatCode="0.0" sourceLinked="1"/>
        <c:majorTickMark val="none"/>
        <c:minorTickMark val="none"/>
        <c:tickLblPos val="nextTo"/>
        <c:crossAx val="1234616832"/>
        <c:crosses val="autoZero"/>
        <c:crossBetween val="between"/>
      </c:valAx>
    </c:plotArea>
    <c:legend>
      <c:legendPos val="b"/>
      <c:overlay val="0"/>
    </c:legend>
    <c:plotVisOnly val="1"/>
    <c:dispBlanksAs val="gap"/>
    <c:showDLblsOverMax val="0"/>
  </c:chart>
  <c:spPr>
    <a:ln>
      <a:noFill/>
    </a:ln>
  </c:spPr>
  <c:printSettings>
    <c:headerFooter/>
    <c:pageMargins b="0.750000000000002" l="0.70000000000000062" r="0.70000000000000062" t="0.750000000000002"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SEVERIDAD BOLIVIA</a:t>
            </a:r>
            <a:endParaRPr lang="es-PE" sz="1200">
              <a:latin typeface="Arial Nova" panose="020B0504020202020204" pitchFamily="34" charset="0"/>
            </a:endParaRPr>
          </a:p>
        </c:rich>
      </c:tx>
      <c:layout>
        <c:manualLayout>
          <c:xMode val="edge"/>
          <c:yMode val="edge"/>
          <c:x val="0.32651578863165581"/>
          <c:y val="2.6911981634101769E-2"/>
        </c:manualLayout>
      </c:layout>
      <c:overlay val="0"/>
    </c:title>
    <c:autoTitleDeleted val="0"/>
    <c:plotArea>
      <c:layout>
        <c:manualLayout>
          <c:layoutTarget val="inner"/>
          <c:xMode val="edge"/>
          <c:yMode val="edge"/>
          <c:x val="8.5541110438490553E-2"/>
          <c:y val="0.13354981710407213"/>
          <c:w val="0.88549638972130817"/>
          <c:h val="0.65854916188606716"/>
        </c:manualLayout>
      </c:layout>
      <c:lineChart>
        <c:grouping val="standard"/>
        <c:varyColors val="0"/>
        <c:ser>
          <c:idx val="3"/>
          <c:order val="0"/>
          <c:tx>
            <c:v>2023</c:v>
          </c:tx>
          <c:spPr>
            <a:ln>
              <a:solidFill>
                <a:schemeClr val="tx1"/>
              </a:solidFill>
            </a:ln>
          </c:spPr>
          <c:marker>
            <c:symbol val="circle"/>
            <c:size val="7"/>
            <c:spPr>
              <a:solidFill>
                <a:schemeClr val="tx1"/>
              </a:solidFill>
              <a:ln>
                <a:solidFill>
                  <a:schemeClr val="tx1"/>
                </a:solidFill>
              </a:ln>
            </c:spPr>
          </c:marker>
          <c:dPt>
            <c:idx val="1"/>
            <c:bubble3D val="0"/>
            <c:extLst>
              <c:ext xmlns:c16="http://schemas.microsoft.com/office/drawing/2014/chart" uri="{C3380CC4-5D6E-409C-BE32-E72D297353CC}">
                <c16:uniqueId val="{00000000-66BB-4F06-A481-A82BED597111}"/>
              </c:ext>
            </c:extLst>
          </c:dPt>
          <c:dLbls>
            <c:dLbl>
              <c:idx val="0"/>
              <c:layout>
                <c:manualLayout>
                  <c:x val="-5.4056872532150191E-2"/>
                  <c:y val="5.7075924005831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BB-4F06-A481-A82BED597111}"/>
                </c:ext>
              </c:extLst>
            </c:dLbl>
            <c:dLbl>
              <c:idx val="1"/>
              <c:layout>
                <c:manualLayout>
                  <c:x val="-6.8026561595000937E-2"/>
                  <c:y val="-7.57496836754847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BB-4F06-A481-A82BED597111}"/>
                </c:ext>
              </c:extLst>
            </c:dLbl>
            <c:dLbl>
              <c:idx val="2"/>
              <c:layout>
                <c:manualLayout>
                  <c:x val="-4.0878221286801596E-2"/>
                  <c:y val="-7.1419528417842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BB-4F06-A481-A82BED597111}"/>
                </c:ext>
              </c:extLst>
            </c:dLbl>
            <c:dLbl>
              <c:idx val="3"/>
              <c:layout>
                <c:manualLayout>
                  <c:x val="-3.2099771934596774E-2"/>
                  <c:y val="-7.2176712013914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BB-4F06-A481-A82BED597111}"/>
                </c:ext>
              </c:extLst>
            </c:dLbl>
            <c:dLbl>
              <c:idx val="4"/>
              <c:layout>
                <c:manualLayout>
                  <c:x val="-3.4210626592530262E-2"/>
                  <c:y val="-5.0467736253709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BB-4F06-A481-A82BED597111}"/>
                </c:ext>
              </c:extLst>
            </c:dLbl>
            <c:dLbl>
              <c:idx val="5"/>
              <c:layout>
                <c:manualLayout>
                  <c:x val="-3.5304432130022309E-2"/>
                  <c:y val="-5.4906877902684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BB-4F06-A481-A82BED597111}"/>
                </c:ext>
              </c:extLst>
            </c:dLbl>
            <c:dLbl>
              <c:idx val="6"/>
              <c:layout>
                <c:manualLayout>
                  <c:x val="-3.5785275540921438E-2"/>
                  <c:y val="-5.09100982711777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BB-4F06-A481-A82BED597111}"/>
                </c:ext>
              </c:extLst>
            </c:dLbl>
            <c:dLbl>
              <c:idx val="7"/>
              <c:layout>
                <c:manualLayout>
                  <c:x val="-3.7422985402979558E-2"/>
                  <c:y val="-4.60264823682777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BB-4F06-A481-A82BED597111}"/>
                </c:ext>
              </c:extLst>
            </c:dLbl>
            <c:dLbl>
              <c:idx val="8"/>
              <c:layout>
                <c:manualLayout>
                  <c:x val="-2.783403583263171E-2"/>
                  <c:y val="-5.2534159816370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6BB-4F06-A481-A82BED597111}"/>
                </c:ext>
              </c:extLst>
            </c:dLbl>
            <c:dLbl>
              <c:idx val="9"/>
              <c:layout>
                <c:manualLayout>
                  <c:x val="-2.6669685096419711E-2"/>
                  <c:y val="-5.2053966769894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6BB-4F06-A481-A82BED597111}"/>
                </c:ext>
              </c:extLst>
            </c:dLbl>
            <c:dLbl>
              <c:idx val="10"/>
              <c:layout>
                <c:manualLayout>
                  <c:x val="-4.35614884292179E-2"/>
                  <c:y val="-5.37073454007932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6BB-4F06-A481-A82BED597111}"/>
                </c:ext>
              </c:extLst>
            </c:dLbl>
            <c:dLbl>
              <c:idx val="11"/>
              <c:layout>
                <c:manualLayout>
                  <c:x val="-3.0253663388700665E-2"/>
                  <c:y val="-4.58920923602816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6BB-4F06-A481-A82BED597111}"/>
                </c:ext>
              </c:extLst>
            </c:dLbl>
            <c:spPr>
              <a:ln>
                <a:noFill/>
              </a:ln>
            </c:spPr>
            <c:txPr>
              <a:bodyPr/>
              <a:lstStyle/>
              <a:p>
                <a:pPr>
                  <a:defRPr sz="1100" b="1">
                    <a:solidFill>
                      <a:sysClr val="windowText" lastClr="00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CORP'!$O$75:$Z$75</c:f>
              <c:numCache>
                <c:formatCode>0</c:formatCode>
                <c:ptCount val="12"/>
                <c:pt idx="0">
                  <c:v>92.688777722357059</c:v>
                </c:pt>
                <c:pt idx="1">
                  <c:v>132.82537737077442</c:v>
                </c:pt>
                <c:pt idx="2">
                  <c:v>86.494347342126034</c:v>
                </c:pt>
                <c:pt idx="3">
                  <c:v>71.613494094885553</c:v>
                </c:pt>
                <c:pt idx="4">
                  <c:v>56.485867793426202</c:v>
                </c:pt>
                <c:pt idx="5">
                  <c:v>51.311473722720947</c:v>
                </c:pt>
                <c:pt idx="6">
                  <c:v>43.987797588418587</c:v>
                </c:pt>
                <c:pt idx="7">
                  <c:v>60.664559611108281</c:v>
                </c:pt>
                <c:pt idx="8">
                  <c:v>54.301315125089452</c:v>
                </c:pt>
                <c:pt idx="9">
                  <c:v>49.337786002370784</c:v>
                </c:pt>
                <c:pt idx="10">
                  <c:v>45.108044649250658</c:v>
                </c:pt>
                <c:pt idx="11">
                  <c:v>65.476520000423776</c:v>
                </c:pt>
              </c:numCache>
            </c:numRef>
          </c:val>
          <c:smooth val="0"/>
          <c:extLst>
            <c:ext xmlns:c16="http://schemas.microsoft.com/office/drawing/2014/chart" uri="{C3380CC4-5D6E-409C-BE32-E72D297353CC}">
              <c16:uniqueId val="{0000000C-66BB-4F06-A481-A82BED597111}"/>
            </c:ext>
          </c:extLst>
        </c:ser>
        <c:ser>
          <c:idx val="1"/>
          <c:order val="1"/>
          <c:tx>
            <c:v>2022</c:v>
          </c:tx>
          <c:spPr>
            <a:ln>
              <a:solidFill>
                <a:srgbClr val="00B050"/>
              </a:solidFill>
            </a:ln>
          </c:spPr>
          <c:marker>
            <c:symbol val="circle"/>
            <c:size val="7"/>
            <c:spPr>
              <a:solidFill>
                <a:srgbClr val="00B050"/>
              </a:solidFill>
              <a:ln>
                <a:solidFill>
                  <a:srgbClr val="00B050"/>
                </a:solidFill>
              </a:ln>
            </c:spPr>
          </c:marker>
          <c:dLbls>
            <c:dLbl>
              <c:idx val="0"/>
              <c:layout>
                <c:manualLayout>
                  <c:x val="-6.4445110659716268E-2"/>
                  <c:y val="-4.60690755800368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6BB-4F06-A481-A82BED597111}"/>
                </c:ext>
              </c:extLst>
            </c:dLbl>
            <c:dLbl>
              <c:idx val="1"/>
              <c:layout>
                <c:manualLayout>
                  <c:x val="-3.9123287894732572E-2"/>
                  <c:y val="5.00613839568308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DA-47AF-A67A-BBB7D24A3A4C}"/>
                </c:ext>
              </c:extLst>
            </c:dLbl>
            <c:dLbl>
              <c:idx val="2"/>
              <c:layout>
                <c:manualLayout>
                  <c:x val="-3.2491753601597582E-2"/>
                  <c:y val="-4.37198865471096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6BB-4F06-A481-A82BED597111}"/>
                </c:ext>
              </c:extLst>
            </c:dLbl>
            <c:dLbl>
              <c:idx val="3"/>
              <c:layout>
                <c:manualLayout>
                  <c:x val="-2.2373347805346767E-2"/>
                  <c:y val="-3.88442751215794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6BB-4F06-A481-A82BED597111}"/>
                </c:ext>
              </c:extLst>
            </c:dLbl>
            <c:dLbl>
              <c:idx val="4"/>
              <c:layout>
                <c:manualLayout>
                  <c:x val="-2.4388050055356721E-2"/>
                  <c:y val="-4.7379115246215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6BB-4F06-A481-A82BED597111}"/>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CORP'!$O$77:$Z$77</c:f>
              <c:numCache>
                <c:formatCode>0</c:formatCode>
                <c:ptCount val="12"/>
                <c:pt idx="0">
                  <c:v>189.88672352719109</c:v>
                </c:pt>
                <c:pt idx="1">
                  <c:v>140.34446059350822</c:v>
                </c:pt>
                <c:pt idx="2">
                  <c:v>740.66063773254155</c:v>
                </c:pt>
                <c:pt idx="3">
                  <c:v>554.21624300087331</c:v>
                </c:pt>
                <c:pt idx="4">
                  <c:v>446.77637942364464</c:v>
                </c:pt>
                <c:pt idx="5">
                  <c:v>378.24390345577416</c:v>
                </c:pt>
                <c:pt idx="6">
                  <c:v>321.80243994122594</c:v>
                </c:pt>
                <c:pt idx="7">
                  <c:v>309.34487339069858</c:v>
                </c:pt>
                <c:pt idx="8">
                  <c:v>273.31413180722069</c:v>
                </c:pt>
                <c:pt idx="9">
                  <c:v>254.700519006261</c:v>
                </c:pt>
                <c:pt idx="10">
                  <c:v>234.18754147166004</c:v>
                </c:pt>
                <c:pt idx="11">
                  <c:v>216.26292617255439</c:v>
                </c:pt>
              </c:numCache>
            </c:numRef>
          </c:val>
          <c:smooth val="0"/>
          <c:extLst>
            <c:ext xmlns:c16="http://schemas.microsoft.com/office/drawing/2014/chart" uri="{C3380CC4-5D6E-409C-BE32-E72D297353CC}">
              <c16:uniqueId val="{00000011-66BB-4F06-A481-A82BED597111}"/>
            </c:ext>
          </c:extLst>
        </c:ser>
        <c:ser>
          <c:idx val="0"/>
          <c:order val="2"/>
          <c:tx>
            <c:v>OBJ</c:v>
          </c:tx>
          <c:spPr>
            <a:ln>
              <a:solidFill>
                <a:srgbClr val="FF0000"/>
              </a:solidFill>
            </a:ln>
          </c:spPr>
          <c:marker>
            <c:symbol val="none"/>
          </c:marker>
          <c:dLbls>
            <c:delete val="1"/>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CORP'!$O$83:$Z$83</c:f>
              <c:numCache>
                <c:formatCode>0</c:formatCode>
                <c:ptCount val="12"/>
                <c:pt idx="0">
                  <c:v>50</c:v>
                </c:pt>
                <c:pt idx="1">
                  <c:v>50</c:v>
                </c:pt>
                <c:pt idx="2">
                  <c:v>50</c:v>
                </c:pt>
                <c:pt idx="3">
                  <c:v>50</c:v>
                </c:pt>
                <c:pt idx="4">
                  <c:v>50</c:v>
                </c:pt>
                <c:pt idx="5">
                  <c:v>50</c:v>
                </c:pt>
                <c:pt idx="6">
                  <c:v>50</c:v>
                </c:pt>
                <c:pt idx="7">
                  <c:v>50</c:v>
                </c:pt>
                <c:pt idx="8">
                  <c:v>50</c:v>
                </c:pt>
                <c:pt idx="9">
                  <c:v>50</c:v>
                </c:pt>
                <c:pt idx="10">
                  <c:v>50</c:v>
                </c:pt>
                <c:pt idx="11">
                  <c:v>50</c:v>
                </c:pt>
              </c:numCache>
            </c:numRef>
          </c:val>
          <c:smooth val="0"/>
          <c:extLst>
            <c:ext xmlns:c16="http://schemas.microsoft.com/office/drawing/2014/chart" uri="{C3380CC4-5D6E-409C-BE32-E72D297353CC}">
              <c16:uniqueId val="{00000012-66BB-4F06-A481-A82BED597111}"/>
            </c:ext>
          </c:extLst>
        </c:ser>
        <c:dLbls>
          <c:showLegendKey val="0"/>
          <c:showVal val="1"/>
          <c:showCatName val="0"/>
          <c:showSerName val="0"/>
          <c:showPercent val="0"/>
          <c:showBubbleSize val="0"/>
        </c:dLbls>
        <c:marker val="1"/>
        <c:smooth val="0"/>
        <c:axId val="1234619552"/>
        <c:axId val="1234627712"/>
      </c:lineChart>
      <c:catAx>
        <c:axId val="1234619552"/>
        <c:scaling>
          <c:orientation val="minMax"/>
        </c:scaling>
        <c:delete val="0"/>
        <c:axPos val="b"/>
        <c:numFmt formatCode="General" sourceLinked="1"/>
        <c:majorTickMark val="none"/>
        <c:minorTickMark val="none"/>
        <c:tickLblPos val="nextTo"/>
        <c:txPr>
          <a:bodyPr/>
          <a:lstStyle/>
          <a:p>
            <a:pPr>
              <a:defRPr sz="900"/>
            </a:pPr>
            <a:endParaRPr lang="es-PE"/>
          </a:p>
        </c:txPr>
        <c:crossAx val="1234627712"/>
        <c:crosses val="autoZero"/>
        <c:auto val="1"/>
        <c:lblAlgn val="ctr"/>
        <c:lblOffset val="100"/>
        <c:noMultiLvlLbl val="0"/>
      </c:catAx>
      <c:valAx>
        <c:axId val="1234627712"/>
        <c:scaling>
          <c:orientation val="minMax"/>
        </c:scaling>
        <c:delete val="0"/>
        <c:axPos val="l"/>
        <c:majorGridlines/>
        <c:numFmt formatCode="0" sourceLinked="1"/>
        <c:majorTickMark val="none"/>
        <c:minorTickMark val="none"/>
        <c:tickLblPos val="nextTo"/>
        <c:crossAx val="1234619552"/>
        <c:crosses val="autoZero"/>
        <c:crossBetween val="between"/>
      </c:valAx>
    </c:plotArea>
    <c:legend>
      <c:legendPos val="b"/>
      <c:layout>
        <c:manualLayout>
          <c:xMode val="edge"/>
          <c:yMode val="edge"/>
          <c:x val="0.34505307447359068"/>
          <c:y val="0.89001282362020218"/>
          <c:w val="0.37910388326593641"/>
          <c:h val="8.2585049082891798E-2"/>
        </c:manualLayout>
      </c:layout>
      <c:overlay val="0"/>
    </c:legend>
    <c:plotVisOnly val="1"/>
    <c:dispBlanksAs val="gap"/>
    <c:showDLblsOverMax val="0"/>
  </c:chart>
  <c:spPr>
    <a:ln>
      <a:noFill/>
    </a:ln>
  </c:spPr>
  <c:printSettings>
    <c:headerFooter/>
    <c:pageMargins b="0.750000000000002" l="0.70000000000000062" r="0.70000000000000062" t="0.750000000000002"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FRECUENCIA  HONDURAS</a:t>
            </a:r>
            <a:endParaRPr lang="es-PE" sz="1200">
              <a:latin typeface="Arial Nova" panose="020B0504020202020204" pitchFamily="34" charset="0"/>
            </a:endParaRPr>
          </a:p>
        </c:rich>
      </c:tx>
      <c:layout>
        <c:manualLayout>
          <c:xMode val="edge"/>
          <c:yMode val="edge"/>
          <c:x val="0.24970225065368412"/>
          <c:y val="3.557891472221153E-2"/>
        </c:manualLayout>
      </c:layout>
      <c:overlay val="0"/>
    </c:title>
    <c:autoTitleDeleted val="0"/>
    <c:plotArea>
      <c:layout>
        <c:manualLayout>
          <c:layoutTarget val="inner"/>
          <c:xMode val="edge"/>
          <c:yMode val="edge"/>
          <c:x val="8.9054441640543353E-2"/>
          <c:y val="0.17711055190034908"/>
          <c:w val="0.88074373595802391"/>
          <c:h val="0.61824510478540673"/>
        </c:manualLayout>
      </c:layout>
      <c:lineChart>
        <c:grouping val="standard"/>
        <c:varyColors val="0"/>
        <c:ser>
          <c:idx val="1"/>
          <c:order val="0"/>
          <c:tx>
            <c:v>2023</c:v>
          </c:tx>
          <c:spPr>
            <a:ln>
              <a:solidFill>
                <a:schemeClr val="tx1"/>
              </a:solidFill>
            </a:ln>
          </c:spPr>
          <c:marker>
            <c:symbol val="circle"/>
            <c:size val="5"/>
            <c:spPr>
              <a:solidFill>
                <a:schemeClr val="tx1"/>
              </a:solidFill>
              <a:ln>
                <a:noFill/>
              </a:ln>
            </c:spPr>
          </c:marker>
          <c:dLbls>
            <c:dLbl>
              <c:idx val="5"/>
              <c:layout>
                <c:manualLayout>
                  <c:x val="-7.6455427162920891E-2"/>
                  <c:y val="-6.497510774160240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E5-44C9-9775-B9694CD1C2B0}"/>
                </c:ext>
              </c:extLst>
            </c:dLbl>
            <c:dLbl>
              <c:idx val="6"/>
              <c:layout>
                <c:manualLayout>
                  <c:x val="-4.8257911157331745E-2"/>
                  <c:y val="7.19653280746756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07-4A86-9565-D1DB9E66457D}"/>
                </c:ext>
              </c:extLst>
            </c:dLbl>
            <c:dLbl>
              <c:idx val="7"/>
              <c:layout>
                <c:manualLayout>
                  <c:x val="-4.3226464616451243E-2"/>
                  <c:y val="5.23496183624667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07-4A86-9565-D1DB9E66457D}"/>
                </c:ext>
              </c:extLst>
            </c:dLbl>
            <c:dLbl>
              <c:idx val="8"/>
              <c:layout>
                <c:manualLayout>
                  <c:x val="-4.4792045521775015E-2"/>
                  <c:y val="4.89887255854277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24-4DD1-926B-1FC054F22B74}"/>
                </c:ext>
              </c:extLst>
            </c:dLbl>
            <c:dLbl>
              <c:idx val="9"/>
              <c:layout>
                <c:manualLayout>
                  <c:x val="-4.9718980434831195E-2"/>
                  <c:y val="5.31847478884427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24-4DD1-926B-1FC054F22B74}"/>
                </c:ext>
              </c:extLst>
            </c:dLbl>
            <c:spPr>
              <a:noFill/>
              <a:ln>
                <a:noFill/>
              </a:ln>
              <a:effectLst/>
            </c:spPr>
            <c:txPr>
              <a:bodyPr/>
              <a:lstStyle/>
              <a:p>
                <a:pPr>
                  <a:defRPr sz="1200" b="1">
                    <a:solidFill>
                      <a:sysClr val="windowText" lastClr="00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CORP'!$O$88:$Z$88</c:f>
              <c:numCache>
                <c:formatCode>0.0</c:formatCode>
                <c:ptCount val="12"/>
                <c:pt idx="0">
                  <c:v>0</c:v>
                </c:pt>
                <c:pt idx="1">
                  <c:v>0</c:v>
                </c:pt>
                <c:pt idx="2">
                  <c:v>0</c:v>
                </c:pt>
                <c:pt idx="3">
                  <c:v>0</c:v>
                </c:pt>
                <c:pt idx="4">
                  <c:v>0</c:v>
                </c:pt>
                <c:pt idx="5">
                  <c:v>6.1190118432250431</c:v>
                </c:pt>
                <c:pt idx="6">
                  <c:v>5.2199657006493743</c:v>
                </c:pt>
                <c:pt idx="7">
                  <c:v>4.4930664122392932</c:v>
                </c:pt>
                <c:pt idx="8">
                  <c:v>3.8874174365988456</c:v>
                </c:pt>
                <c:pt idx="9">
                  <c:v>3.4653447162052475</c:v>
                </c:pt>
                <c:pt idx="10">
                  <c:v>6.2738405942581812</c:v>
                </c:pt>
                <c:pt idx="11">
                  <c:v>5.8189874199601919</c:v>
                </c:pt>
              </c:numCache>
            </c:numRef>
          </c:val>
          <c:smooth val="0"/>
          <c:extLst>
            <c:ext xmlns:c16="http://schemas.microsoft.com/office/drawing/2014/chart" uri="{C3380CC4-5D6E-409C-BE32-E72D297353CC}">
              <c16:uniqueId val="{0000000C-BAF9-4B25-8C33-652D663437FC}"/>
            </c:ext>
          </c:extLst>
        </c:ser>
        <c:ser>
          <c:idx val="2"/>
          <c:order val="1"/>
          <c:tx>
            <c:v>2022</c:v>
          </c:tx>
          <c:spPr>
            <a:ln>
              <a:solidFill>
                <a:srgbClr val="00B050"/>
              </a:solidFill>
            </a:ln>
          </c:spPr>
          <c:marker>
            <c:symbol val="circle"/>
            <c:size val="7"/>
            <c:spPr>
              <a:solidFill>
                <a:srgbClr val="00B050"/>
              </a:solidFill>
              <a:ln>
                <a:solidFill>
                  <a:srgbClr val="00B050"/>
                </a:solidFill>
              </a:ln>
            </c:spPr>
          </c:marker>
          <c:dPt>
            <c:idx val="1"/>
            <c:bubble3D val="0"/>
            <c:extLst>
              <c:ext xmlns:c16="http://schemas.microsoft.com/office/drawing/2014/chart" uri="{C3380CC4-5D6E-409C-BE32-E72D297353CC}">
                <c16:uniqueId val="{0000000D-BAF9-4B25-8C33-652D663437FC}"/>
              </c:ext>
            </c:extLst>
          </c:dPt>
          <c:dLbls>
            <c:dLbl>
              <c:idx val="0"/>
              <c:layout>
                <c:manualLayout>
                  <c:x val="3.7235178578305916E-4"/>
                  <c:y val="-3.4538429213371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AF9-4B25-8C33-652D663437FC}"/>
                </c:ext>
              </c:extLst>
            </c:dLbl>
            <c:dLbl>
              <c:idx val="1"/>
              <c:layout>
                <c:manualLayout>
                  <c:x val="-3.7392732225322765E-2"/>
                  <c:y val="-3.51785021420794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AF9-4B25-8C33-652D663437FC}"/>
                </c:ext>
              </c:extLst>
            </c:dLbl>
            <c:dLbl>
              <c:idx val="4"/>
              <c:layout>
                <c:manualLayout>
                  <c:x val="-3.9963247115478127E-2"/>
                  <c:y val="-5.34803453036578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AF9-4B25-8C33-652D663437FC}"/>
                </c:ext>
              </c:extLst>
            </c:dLbl>
            <c:dLbl>
              <c:idx val="6"/>
              <c:layout>
                <c:manualLayout>
                  <c:x val="-3.8915465755459906E-2"/>
                  <c:y val="-4.48435203094031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C2-4834-92E7-D924545B7634}"/>
                </c:ext>
              </c:extLst>
            </c:dLbl>
            <c:spPr>
              <a:noFill/>
              <a:ln>
                <a:noFill/>
              </a:ln>
              <a:effectLst/>
            </c:spPr>
            <c:txPr>
              <a:bodyPr/>
              <a:lstStyle/>
              <a:p>
                <a:pPr>
                  <a:defRPr sz="1000" b="0">
                    <a:solidFill>
                      <a:schemeClr val="tx1"/>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CORP'!$O$90:$Z$90</c:f>
              <c:numCache>
                <c:formatCode>0.0</c:formatCode>
                <c:ptCount val="12"/>
                <c:pt idx="0">
                  <c:v>0</c:v>
                </c:pt>
                <c:pt idx="1">
                  <c:v>0</c:v>
                </c:pt>
                <c:pt idx="2">
                  <c:v>15.679646016311537</c:v>
                </c:pt>
                <c:pt idx="3">
                  <c:v>11.707742563375392</c:v>
                </c:pt>
                <c:pt idx="4">
                  <c:v>8.6728958226046728</c:v>
                </c:pt>
                <c:pt idx="5">
                  <c:v>6.9193496737945939</c:v>
                </c:pt>
                <c:pt idx="6">
                  <c:v>5.9495565987042713</c:v>
                </c:pt>
                <c:pt idx="7">
                  <c:v>4.9881085387916446</c:v>
                </c:pt>
                <c:pt idx="8">
                  <c:v>4.3080869369393486</c:v>
                </c:pt>
                <c:pt idx="9">
                  <c:v>3.86165016705321</c:v>
                </c:pt>
                <c:pt idx="10">
                  <c:v>3.5027777258549357</c:v>
                </c:pt>
                <c:pt idx="11">
                  <c:v>3.2084981318506789</c:v>
                </c:pt>
              </c:numCache>
            </c:numRef>
          </c:val>
          <c:smooth val="0"/>
          <c:extLst>
            <c:ext xmlns:c16="http://schemas.microsoft.com/office/drawing/2014/chart" uri="{C3380CC4-5D6E-409C-BE32-E72D297353CC}">
              <c16:uniqueId val="{00000010-BAF9-4B25-8C33-652D663437FC}"/>
            </c:ext>
          </c:extLst>
        </c:ser>
        <c:ser>
          <c:idx val="0"/>
          <c:order val="2"/>
          <c:tx>
            <c:v>OBJ</c:v>
          </c:tx>
          <c:spPr>
            <a:ln>
              <a:solidFill>
                <a:srgbClr val="FF0000"/>
              </a:solidFill>
            </a:ln>
          </c:spPr>
          <c:marker>
            <c:symbol val="none"/>
          </c:marker>
          <c:dLbls>
            <c:delete val="1"/>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CORP'!$O$96:$Z$96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11-BAF9-4B25-8C33-652D663437FC}"/>
            </c:ext>
          </c:extLst>
        </c:ser>
        <c:dLbls>
          <c:showLegendKey val="0"/>
          <c:showVal val="1"/>
          <c:showCatName val="0"/>
          <c:showSerName val="0"/>
          <c:showPercent val="0"/>
          <c:showBubbleSize val="0"/>
        </c:dLbls>
        <c:marker val="1"/>
        <c:smooth val="0"/>
        <c:axId val="1234630432"/>
        <c:axId val="1234622272"/>
      </c:lineChart>
      <c:catAx>
        <c:axId val="1234630432"/>
        <c:scaling>
          <c:orientation val="minMax"/>
        </c:scaling>
        <c:delete val="0"/>
        <c:axPos val="b"/>
        <c:numFmt formatCode="General" sourceLinked="1"/>
        <c:majorTickMark val="none"/>
        <c:minorTickMark val="none"/>
        <c:tickLblPos val="nextTo"/>
        <c:txPr>
          <a:bodyPr/>
          <a:lstStyle/>
          <a:p>
            <a:pPr>
              <a:defRPr sz="1000"/>
            </a:pPr>
            <a:endParaRPr lang="es-PE"/>
          </a:p>
        </c:txPr>
        <c:crossAx val="1234622272"/>
        <c:crosses val="autoZero"/>
        <c:auto val="1"/>
        <c:lblAlgn val="ctr"/>
        <c:lblOffset val="100"/>
        <c:noMultiLvlLbl val="0"/>
      </c:catAx>
      <c:valAx>
        <c:axId val="1234622272"/>
        <c:scaling>
          <c:orientation val="minMax"/>
          <c:min val="0"/>
        </c:scaling>
        <c:delete val="0"/>
        <c:axPos val="l"/>
        <c:majorGridlines/>
        <c:numFmt formatCode="0.0" sourceLinked="1"/>
        <c:majorTickMark val="none"/>
        <c:minorTickMark val="none"/>
        <c:tickLblPos val="nextTo"/>
        <c:crossAx val="1234630432"/>
        <c:crosses val="autoZero"/>
        <c:crossBetween val="between"/>
      </c:valAx>
    </c:plotArea>
    <c:legend>
      <c:legendPos val="b"/>
      <c:overlay val="0"/>
    </c:legend>
    <c:plotVisOnly val="1"/>
    <c:dispBlanksAs val="gap"/>
    <c:showDLblsOverMax val="0"/>
  </c:chart>
  <c:spPr>
    <a:ln>
      <a:noFill/>
    </a:ln>
  </c:spPr>
  <c:printSettings>
    <c:headerFooter/>
    <c:pageMargins b="0.750000000000002" l="0.70000000000000062" r="0.70000000000000062" t="0.750000000000002"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SEVERIDAD HONDURAS</a:t>
            </a:r>
            <a:endParaRPr lang="es-PE" sz="1200">
              <a:latin typeface="Arial Nova" panose="020B0504020202020204" pitchFamily="34" charset="0"/>
            </a:endParaRPr>
          </a:p>
        </c:rich>
      </c:tx>
      <c:layout>
        <c:manualLayout>
          <c:xMode val="edge"/>
          <c:yMode val="edge"/>
          <c:x val="0.29369313027555438"/>
          <c:y val="3.8025933246496904E-2"/>
        </c:manualLayout>
      </c:layout>
      <c:overlay val="0"/>
    </c:title>
    <c:autoTitleDeleted val="0"/>
    <c:plotArea>
      <c:layout>
        <c:manualLayout>
          <c:layoutTarget val="inner"/>
          <c:xMode val="edge"/>
          <c:yMode val="edge"/>
          <c:x val="8.3467104635941911E-2"/>
          <c:y val="0.16471761034811672"/>
          <c:w val="0.87412231618604719"/>
          <c:h val="0.65854916188606716"/>
        </c:manualLayout>
      </c:layout>
      <c:lineChart>
        <c:grouping val="standard"/>
        <c:varyColors val="0"/>
        <c:ser>
          <c:idx val="3"/>
          <c:order val="0"/>
          <c:tx>
            <c:v>2023</c:v>
          </c:tx>
          <c:spPr>
            <a:ln>
              <a:solidFill>
                <a:schemeClr val="tx1"/>
              </a:solidFill>
            </a:ln>
          </c:spPr>
          <c:marker>
            <c:symbol val="circle"/>
            <c:size val="7"/>
            <c:spPr>
              <a:solidFill>
                <a:schemeClr val="tx1"/>
              </a:solidFill>
              <a:ln>
                <a:solidFill>
                  <a:schemeClr val="tx1"/>
                </a:solidFill>
              </a:ln>
            </c:spPr>
          </c:marker>
          <c:dPt>
            <c:idx val="1"/>
            <c:bubble3D val="0"/>
            <c:extLst>
              <c:ext xmlns:c16="http://schemas.microsoft.com/office/drawing/2014/chart" uri="{C3380CC4-5D6E-409C-BE32-E72D297353CC}">
                <c16:uniqueId val="{00000000-3B9F-4606-9369-01D8C806C59C}"/>
              </c:ext>
            </c:extLst>
          </c:dPt>
          <c:dLbls>
            <c:dLbl>
              <c:idx val="0"/>
              <c:layout>
                <c:manualLayout>
                  <c:x val="-4.9240770273976109E-2"/>
                  <c:y val="-5.18326137217930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9F-4606-9369-01D8C806C59C}"/>
                </c:ext>
              </c:extLst>
            </c:dLbl>
            <c:dLbl>
              <c:idx val="1"/>
              <c:layout>
                <c:manualLayout>
                  <c:x val="-1.3047637912282627E-2"/>
                  <c:y val="-5.1792978544176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9F-4606-9369-01D8C806C59C}"/>
                </c:ext>
              </c:extLst>
            </c:dLbl>
            <c:dLbl>
              <c:idx val="2"/>
              <c:layout>
                <c:manualLayout>
                  <c:x val="-3.0121817828592988E-2"/>
                  <c:y val="-4.78830045456400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9F-4606-9369-01D8C806C59C}"/>
                </c:ext>
              </c:extLst>
            </c:dLbl>
            <c:dLbl>
              <c:idx val="3"/>
              <c:layout>
                <c:manualLayout>
                  <c:x val="-3.2099771934596774E-2"/>
                  <c:y val="-7.2176712013914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9F-4606-9369-01D8C806C59C}"/>
                </c:ext>
              </c:extLst>
            </c:dLbl>
            <c:dLbl>
              <c:idx val="4"/>
              <c:layout>
                <c:manualLayout>
                  <c:x val="-3.4210626592530262E-2"/>
                  <c:y val="-5.0467736253709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9F-4606-9369-01D8C806C59C}"/>
                </c:ext>
              </c:extLst>
            </c:dLbl>
            <c:dLbl>
              <c:idx val="5"/>
              <c:layout>
                <c:manualLayout>
                  <c:x val="-9.4148161376108264E-2"/>
                  <c:y val="-5.0336763076739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9F-4606-9369-01D8C806C59C}"/>
                </c:ext>
              </c:extLst>
            </c:dLbl>
            <c:dLbl>
              <c:idx val="6"/>
              <c:layout>
                <c:manualLayout>
                  <c:x val="-5.0474559248339108E-2"/>
                  <c:y val="5.382397212746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9F-4606-9369-01D8C806C59C}"/>
                </c:ext>
              </c:extLst>
            </c:dLbl>
            <c:dLbl>
              <c:idx val="7"/>
              <c:layout>
                <c:manualLayout>
                  <c:x val="-3.7422986898184456E-2"/>
                  <c:y val="3.59616687591533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9F-4606-9369-01D8C806C59C}"/>
                </c:ext>
              </c:extLst>
            </c:dLbl>
            <c:dLbl>
              <c:idx val="8"/>
              <c:layout>
                <c:manualLayout>
                  <c:x val="-3.7291916612488464E-2"/>
                  <c:y val="5.67833458554622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9F-4606-9369-01D8C806C59C}"/>
                </c:ext>
              </c:extLst>
            </c:dLbl>
            <c:dLbl>
              <c:idx val="9"/>
              <c:layout>
                <c:manualLayout>
                  <c:x val="-4.7949941576909676E-2"/>
                  <c:y val="3.38383378810590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9F-4606-9369-01D8C806C59C}"/>
                </c:ext>
              </c:extLst>
            </c:dLbl>
            <c:dLbl>
              <c:idx val="10"/>
              <c:layout>
                <c:manualLayout>
                  <c:x val="-4.35614884292179E-2"/>
                  <c:y val="-5.37073454007932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9F-4606-9369-01D8C806C59C}"/>
                </c:ext>
              </c:extLst>
            </c:dLbl>
            <c:dLbl>
              <c:idx val="11"/>
              <c:layout>
                <c:manualLayout>
                  <c:x val="-3.0253663388700665E-2"/>
                  <c:y val="-4.58920923602816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9F-4606-9369-01D8C806C59C}"/>
                </c:ext>
              </c:extLst>
            </c:dLbl>
            <c:spPr>
              <a:ln>
                <a:noFill/>
              </a:ln>
            </c:spPr>
            <c:txPr>
              <a:bodyPr/>
              <a:lstStyle/>
              <a:p>
                <a:pPr>
                  <a:defRPr sz="1200" b="1">
                    <a:solidFill>
                      <a:sysClr val="windowText" lastClr="00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CORP'!$O$89:$Z$89</c:f>
              <c:numCache>
                <c:formatCode>0</c:formatCode>
                <c:ptCount val="12"/>
                <c:pt idx="0">
                  <c:v>0</c:v>
                </c:pt>
                <c:pt idx="1">
                  <c:v>0</c:v>
                </c:pt>
                <c:pt idx="2">
                  <c:v>0</c:v>
                </c:pt>
                <c:pt idx="3">
                  <c:v>0</c:v>
                </c:pt>
                <c:pt idx="4">
                  <c:v>0</c:v>
                </c:pt>
                <c:pt idx="5">
                  <c:v>440.56885271220307</c:v>
                </c:pt>
                <c:pt idx="6">
                  <c:v>375.83753044675495</c:v>
                </c:pt>
                <c:pt idx="7">
                  <c:v>323.50078168122906</c:v>
                </c:pt>
                <c:pt idx="8">
                  <c:v>279.89405543511685</c:v>
                </c:pt>
                <c:pt idx="9">
                  <c:v>249.50481956677783</c:v>
                </c:pt>
                <c:pt idx="10">
                  <c:v>257.22746436458544</c:v>
                </c:pt>
                <c:pt idx="11">
                  <c:v>238.57848421836789</c:v>
                </c:pt>
              </c:numCache>
            </c:numRef>
          </c:val>
          <c:smooth val="0"/>
          <c:extLst>
            <c:ext xmlns:c16="http://schemas.microsoft.com/office/drawing/2014/chart" uri="{C3380CC4-5D6E-409C-BE32-E72D297353CC}">
              <c16:uniqueId val="{0000000C-3B9F-4606-9369-01D8C806C59C}"/>
            </c:ext>
          </c:extLst>
        </c:ser>
        <c:ser>
          <c:idx val="1"/>
          <c:order val="1"/>
          <c:tx>
            <c:v>2022</c:v>
          </c:tx>
          <c:spPr>
            <a:ln>
              <a:solidFill>
                <a:srgbClr val="00B050"/>
              </a:solidFill>
            </a:ln>
          </c:spPr>
          <c:marker>
            <c:symbol val="circle"/>
            <c:size val="7"/>
            <c:spPr>
              <a:solidFill>
                <a:srgbClr val="00B050"/>
              </a:solidFill>
              <a:ln>
                <a:solidFill>
                  <a:srgbClr val="00B050"/>
                </a:solidFill>
              </a:ln>
            </c:spPr>
          </c:marker>
          <c:dLbls>
            <c:dLbl>
              <c:idx val="0"/>
              <c:layout>
                <c:manualLayout>
                  <c:x val="-6.9625313820991949E-2"/>
                  <c:y val="-4.724601806699608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9F-4606-9369-01D8C806C59C}"/>
                </c:ext>
              </c:extLst>
            </c:dLbl>
            <c:dLbl>
              <c:idx val="2"/>
              <c:layout>
                <c:manualLayout>
                  <c:x val="-3.2491753601597582E-2"/>
                  <c:y val="-4.37198865471096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9F-4606-9369-01D8C806C59C}"/>
                </c:ext>
              </c:extLst>
            </c:dLbl>
            <c:dLbl>
              <c:idx val="3"/>
              <c:layout>
                <c:manualLayout>
                  <c:x val="-2.2373347805346767E-2"/>
                  <c:y val="-3.88442751215794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9F-4606-9369-01D8C806C59C}"/>
                </c:ext>
              </c:extLst>
            </c:dLbl>
            <c:dLbl>
              <c:idx val="4"/>
              <c:layout>
                <c:manualLayout>
                  <c:x val="-2.4388050055356721E-2"/>
                  <c:y val="-4.7379115246215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9F-4606-9369-01D8C806C59C}"/>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CORP'!$O$91:$Z$91</c:f>
              <c:numCache>
                <c:formatCode>0</c:formatCode>
                <c:ptCount val="12"/>
                <c:pt idx="0">
                  <c:v>0</c:v>
                </c:pt>
                <c:pt idx="1">
                  <c:v>0</c:v>
                </c:pt>
                <c:pt idx="2">
                  <c:v>329.27256634254229</c:v>
                </c:pt>
                <c:pt idx="3">
                  <c:v>245.86259383088324</c:v>
                </c:pt>
                <c:pt idx="4">
                  <c:v>182.13081227469814</c:v>
                </c:pt>
                <c:pt idx="5">
                  <c:v>145.30634314968648</c:v>
                </c:pt>
                <c:pt idx="6">
                  <c:v>124.94068857278968</c:v>
                </c:pt>
                <c:pt idx="7">
                  <c:v>104.75027931462455</c:v>
                </c:pt>
                <c:pt idx="8">
                  <c:v>90.469825675726327</c:v>
                </c:pt>
                <c:pt idx="9">
                  <c:v>81.094653508117403</c:v>
                </c:pt>
                <c:pt idx="10">
                  <c:v>73.558332242953654</c:v>
                </c:pt>
                <c:pt idx="11">
                  <c:v>67.378460768864258</c:v>
                </c:pt>
              </c:numCache>
            </c:numRef>
          </c:val>
          <c:smooth val="0"/>
          <c:extLst>
            <c:ext xmlns:c16="http://schemas.microsoft.com/office/drawing/2014/chart" uri="{C3380CC4-5D6E-409C-BE32-E72D297353CC}">
              <c16:uniqueId val="{00000011-3B9F-4606-9369-01D8C806C59C}"/>
            </c:ext>
          </c:extLst>
        </c:ser>
        <c:ser>
          <c:idx val="0"/>
          <c:order val="2"/>
          <c:tx>
            <c:v>OBJ</c:v>
          </c:tx>
          <c:spPr>
            <a:ln>
              <a:solidFill>
                <a:srgbClr val="FF0000"/>
              </a:solidFill>
            </a:ln>
          </c:spPr>
          <c:marker>
            <c:symbol val="none"/>
          </c:marker>
          <c:dLbls>
            <c:delete val="1"/>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CORP'!$O$69:$Z$69</c:f>
              <c:numCache>
                <c:formatCode>0</c:formatCode>
                <c:ptCount val="12"/>
                <c:pt idx="0">
                  <c:v>32</c:v>
                </c:pt>
                <c:pt idx="1">
                  <c:v>32</c:v>
                </c:pt>
                <c:pt idx="2">
                  <c:v>32</c:v>
                </c:pt>
                <c:pt idx="3">
                  <c:v>32</c:v>
                </c:pt>
                <c:pt idx="4">
                  <c:v>32</c:v>
                </c:pt>
                <c:pt idx="5">
                  <c:v>32</c:v>
                </c:pt>
                <c:pt idx="6">
                  <c:v>32</c:v>
                </c:pt>
                <c:pt idx="7">
                  <c:v>32</c:v>
                </c:pt>
                <c:pt idx="8">
                  <c:v>32</c:v>
                </c:pt>
                <c:pt idx="9">
                  <c:v>32</c:v>
                </c:pt>
                <c:pt idx="10">
                  <c:v>32</c:v>
                </c:pt>
                <c:pt idx="11">
                  <c:v>32</c:v>
                </c:pt>
              </c:numCache>
            </c:numRef>
          </c:val>
          <c:smooth val="0"/>
          <c:extLst>
            <c:ext xmlns:c16="http://schemas.microsoft.com/office/drawing/2014/chart" uri="{C3380CC4-5D6E-409C-BE32-E72D297353CC}">
              <c16:uniqueId val="{00000012-3B9F-4606-9369-01D8C806C59C}"/>
            </c:ext>
          </c:extLst>
        </c:ser>
        <c:dLbls>
          <c:showLegendKey val="0"/>
          <c:showVal val="1"/>
          <c:showCatName val="0"/>
          <c:showSerName val="0"/>
          <c:showPercent val="0"/>
          <c:showBubbleSize val="0"/>
        </c:dLbls>
        <c:marker val="1"/>
        <c:smooth val="0"/>
        <c:axId val="1234628256"/>
        <c:axId val="1234625536"/>
      </c:lineChart>
      <c:catAx>
        <c:axId val="1234628256"/>
        <c:scaling>
          <c:orientation val="minMax"/>
        </c:scaling>
        <c:delete val="0"/>
        <c:axPos val="b"/>
        <c:numFmt formatCode="General" sourceLinked="1"/>
        <c:majorTickMark val="none"/>
        <c:minorTickMark val="none"/>
        <c:tickLblPos val="nextTo"/>
        <c:txPr>
          <a:bodyPr/>
          <a:lstStyle/>
          <a:p>
            <a:pPr>
              <a:defRPr sz="900"/>
            </a:pPr>
            <a:endParaRPr lang="es-PE"/>
          </a:p>
        </c:txPr>
        <c:crossAx val="1234625536"/>
        <c:crosses val="autoZero"/>
        <c:auto val="1"/>
        <c:lblAlgn val="ctr"/>
        <c:lblOffset val="100"/>
        <c:noMultiLvlLbl val="0"/>
      </c:catAx>
      <c:valAx>
        <c:axId val="1234625536"/>
        <c:scaling>
          <c:orientation val="minMax"/>
        </c:scaling>
        <c:delete val="0"/>
        <c:axPos val="l"/>
        <c:majorGridlines/>
        <c:numFmt formatCode="0" sourceLinked="1"/>
        <c:majorTickMark val="none"/>
        <c:minorTickMark val="none"/>
        <c:tickLblPos val="nextTo"/>
        <c:crossAx val="1234628256"/>
        <c:crosses val="autoZero"/>
        <c:crossBetween val="between"/>
      </c:valAx>
    </c:plotArea>
    <c:legend>
      <c:legendPos val="b"/>
      <c:layout>
        <c:manualLayout>
          <c:xMode val="edge"/>
          <c:yMode val="edge"/>
          <c:x val="0.33867915753183198"/>
          <c:y val="0.90623637608556684"/>
          <c:w val="0.37667214128260718"/>
          <c:h val="7.6779701136451772E-2"/>
        </c:manualLayout>
      </c:layout>
      <c:overlay val="0"/>
    </c:legend>
    <c:plotVisOnly val="1"/>
    <c:dispBlanksAs val="gap"/>
    <c:showDLblsOverMax val="0"/>
  </c:chart>
  <c:spPr>
    <a:ln>
      <a:noFill/>
    </a:ln>
  </c:spPr>
  <c:printSettings>
    <c:headerFooter/>
    <c:pageMargins b="0.750000000000002" l="0.70000000000000062" r="0.70000000000000062" t="0.750000000000002"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FRECUENCIA CORPORATIVO</a:t>
            </a:r>
            <a:endParaRPr lang="es-PE" sz="1200">
              <a:latin typeface="Arial Nova" panose="020B0504020202020204" pitchFamily="34" charset="0"/>
            </a:endParaRPr>
          </a:p>
        </c:rich>
      </c:tx>
      <c:layout>
        <c:manualLayout>
          <c:xMode val="edge"/>
          <c:yMode val="edge"/>
          <c:x val="0.25134253558769376"/>
          <c:y val="5.1620819239396667E-2"/>
        </c:manualLayout>
      </c:layout>
      <c:overlay val="0"/>
    </c:title>
    <c:autoTitleDeleted val="0"/>
    <c:plotArea>
      <c:layout>
        <c:manualLayout>
          <c:layoutTarget val="inner"/>
          <c:xMode val="edge"/>
          <c:yMode val="edge"/>
          <c:x val="7.7595326880718019E-2"/>
          <c:y val="0.17235764296425768"/>
          <c:w val="0.89322052681125641"/>
          <c:h val="0.61824510478540673"/>
        </c:manualLayout>
      </c:layout>
      <c:lineChart>
        <c:grouping val="standard"/>
        <c:varyColors val="0"/>
        <c:ser>
          <c:idx val="1"/>
          <c:order val="0"/>
          <c:tx>
            <c:v>2023</c:v>
          </c:tx>
          <c:spPr>
            <a:ln>
              <a:solidFill>
                <a:schemeClr val="tx1"/>
              </a:solidFill>
            </a:ln>
          </c:spPr>
          <c:marker>
            <c:symbol val="circle"/>
            <c:size val="5"/>
            <c:spPr>
              <a:solidFill>
                <a:schemeClr val="tx1"/>
              </a:solidFill>
              <a:ln>
                <a:noFill/>
              </a:ln>
            </c:spPr>
          </c:marker>
          <c:dLbls>
            <c:dLbl>
              <c:idx val="0"/>
              <c:layout>
                <c:manualLayout>
                  <c:x val="-4.4594699766267829E-2"/>
                  <c:y val="5.72535457905188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AB-4A52-ADDB-B853B5356FF0}"/>
                </c:ext>
              </c:extLst>
            </c:dLbl>
            <c:dLbl>
              <c:idx val="1"/>
              <c:layout>
                <c:manualLayout>
                  <c:x val="-4.4594699766267856E-2"/>
                  <c:y val="5.23496183624666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AB-4A52-ADDB-B853B5356FF0}"/>
                </c:ext>
              </c:extLst>
            </c:dLbl>
            <c:dLbl>
              <c:idx val="3"/>
              <c:layout>
                <c:manualLayout>
                  <c:x val="-4.4594699766267829E-2"/>
                  <c:y val="4.25417635063622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AB-4A52-ADDB-B853B5356FF0}"/>
                </c:ext>
              </c:extLst>
            </c:dLbl>
            <c:dLbl>
              <c:idx val="5"/>
              <c:layout>
                <c:manualLayout>
                  <c:x val="-4.4594699766267829E-2"/>
                  <c:y val="-6.04407124827348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AB-4A52-ADDB-B853B5356FF0}"/>
                </c:ext>
              </c:extLst>
            </c:dLbl>
            <c:spPr>
              <a:noFill/>
              <a:ln>
                <a:noFill/>
              </a:ln>
              <a:effectLst/>
            </c:spPr>
            <c:txPr>
              <a:bodyPr/>
              <a:lstStyle/>
              <a:p>
                <a:pPr>
                  <a:defRPr sz="1200" b="1">
                    <a:solidFill>
                      <a:sysClr val="windowText" lastClr="00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CORP'!$O$118:$Z$118</c:f>
              <c:numCache>
                <c:formatCode>0.0</c:formatCode>
                <c:ptCount val="12"/>
                <c:pt idx="0">
                  <c:v>5.3</c:v>
                </c:pt>
                <c:pt idx="1">
                  <c:v>5.2684970077591702</c:v>
                </c:pt>
                <c:pt idx="2">
                  <c:v>4.4966024691249471</c:v>
                </c:pt>
                <c:pt idx="3">
                  <c:v>3.92564261831183</c:v>
                </c:pt>
                <c:pt idx="4">
                  <c:v>3.4732438165710082</c:v>
                </c:pt>
                <c:pt idx="5">
                  <c:v>3.3788736493236349</c:v>
                </c:pt>
                <c:pt idx="6">
                  <c:v>3.4217637002960357</c:v>
                </c:pt>
                <c:pt idx="7">
                  <c:v>3.3988256420482763</c:v>
                </c:pt>
                <c:pt idx="8">
                  <c:v>3.3851623437849652</c:v>
                </c:pt>
                <c:pt idx="9">
                  <c:v>3.3508119807118901</c:v>
                </c:pt>
                <c:pt idx="10">
                  <c:v>3.3202222495822915</c:v>
                </c:pt>
                <c:pt idx="11">
                  <c:v>3.3032329859569969</c:v>
                </c:pt>
              </c:numCache>
            </c:numRef>
          </c:val>
          <c:smooth val="0"/>
          <c:extLst>
            <c:ext xmlns:c16="http://schemas.microsoft.com/office/drawing/2014/chart" uri="{C3380CC4-5D6E-409C-BE32-E72D297353CC}">
              <c16:uniqueId val="{0000000C-A432-4CD1-966D-E31B25CF7D91}"/>
            </c:ext>
          </c:extLst>
        </c:ser>
        <c:ser>
          <c:idx val="2"/>
          <c:order val="1"/>
          <c:tx>
            <c:v>2022</c:v>
          </c:tx>
          <c:spPr>
            <a:ln>
              <a:solidFill>
                <a:srgbClr val="00B050"/>
              </a:solidFill>
            </a:ln>
          </c:spPr>
          <c:marker>
            <c:symbol val="circle"/>
            <c:size val="7"/>
            <c:spPr>
              <a:solidFill>
                <a:srgbClr val="00B050"/>
              </a:solidFill>
              <a:ln>
                <a:solidFill>
                  <a:srgbClr val="00B050"/>
                </a:solidFill>
              </a:ln>
            </c:spPr>
          </c:marker>
          <c:dPt>
            <c:idx val="1"/>
            <c:bubble3D val="0"/>
            <c:extLst>
              <c:ext xmlns:c16="http://schemas.microsoft.com/office/drawing/2014/chart" uri="{C3380CC4-5D6E-409C-BE32-E72D297353CC}">
                <c16:uniqueId val="{0000000D-A432-4CD1-966D-E31B25CF7D91}"/>
              </c:ext>
            </c:extLst>
          </c:dPt>
          <c:dLbls>
            <c:dLbl>
              <c:idx val="3"/>
              <c:layout>
                <c:manualLayout>
                  <c:x val="-3.147321562203019E-2"/>
                  <c:y val="-5.8344380041247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B1-4D3B-84F5-DD62B0A32F24}"/>
                </c:ext>
              </c:extLst>
            </c:dLbl>
            <c:spPr>
              <a:noFill/>
              <a:ln>
                <a:noFill/>
              </a:ln>
              <a:effectLst/>
            </c:spPr>
            <c:txPr>
              <a:bodyPr/>
              <a:lstStyle/>
              <a:p>
                <a:pPr>
                  <a:defRPr sz="1000" b="0">
                    <a:solidFill>
                      <a:schemeClr val="tx1"/>
                    </a:solidFil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CORP'!$O$120:$Z$120</c:f>
              <c:numCache>
                <c:formatCode>0.0</c:formatCode>
                <c:ptCount val="12"/>
                <c:pt idx="0">
                  <c:v>2.9678601017228119</c:v>
                </c:pt>
                <c:pt idx="1">
                  <c:v>3.1507885677048075</c:v>
                </c:pt>
                <c:pt idx="2">
                  <c:v>4.8037590767697278</c:v>
                </c:pt>
                <c:pt idx="3">
                  <c:v>4.3322421443761501</c:v>
                </c:pt>
                <c:pt idx="4">
                  <c:v>3.6131966452720699</c:v>
                </c:pt>
                <c:pt idx="5">
                  <c:v>3.4405771497458915</c:v>
                </c:pt>
                <c:pt idx="6">
                  <c:v>3.5340345286303663</c:v>
                </c:pt>
                <c:pt idx="7">
                  <c:v>3.3432381018056212</c:v>
                </c:pt>
                <c:pt idx="8">
                  <c:v>3.0864664282347083</c:v>
                </c:pt>
                <c:pt idx="9">
                  <c:v>3.2388313961977953</c:v>
                </c:pt>
                <c:pt idx="10">
                  <c:v>3.3747814180371458</c:v>
                </c:pt>
                <c:pt idx="11">
                  <c:v>3.3615609727581166</c:v>
                </c:pt>
              </c:numCache>
            </c:numRef>
          </c:val>
          <c:smooth val="0"/>
          <c:extLst>
            <c:ext xmlns:c16="http://schemas.microsoft.com/office/drawing/2014/chart" uri="{C3380CC4-5D6E-409C-BE32-E72D297353CC}">
              <c16:uniqueId val="{00000010-A432-4CD1-966D-E31B25CF7D91}"/>
            </c:ext>
          </c:extLst>
        </c:ser>
        <c:ser>
          <c:idx val="0"/>
          <c:order val="2"/>
          <c:tx>
            <c:v>OBJ</c:v>
          </c:tx>
          <c:spPr>
            <a:ln>
              <a:solidFill>
                <a:srgbClr val="FF0000"/>
              </a:solidFill>
            </a:ln>
          </c:spPr>
          <c:marker>
            <c:symbol val="none"/>
          </c:marker>
          <c:dLbls>
            <c:delete val="1"/>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CORP'!$O$126:$Z$126</c:f>
              <c:numCache>
                <c:formatCode>0.0</c:formatCode>
                <c:ptCount val="12"/>
                <c:pt idx="0">
                  <c:v>3.2</c:v>
                </c:pt>
                <c:pt idx="1">
                  <c:v>3.2</c:v>
                </c:pt>
                <c:pt idx="2">
                  <c:v>3.2</c:v>
                </c:pt>
                <c:pt idx="3">
                  <c:v>3.2</c:v>
                </c:pt>
                <c:pt idx="4">
                  <c:v>3.2</c:v>
                </c:pt>
                <c:pt idx="5">
                  <c:v>3.2</c:v>
                </c:pt>
                <c:pt idx="6">
                  <c:v>3.2</c:v>
                </c:pt>
                <c:pt idx="7">
                  <c:v>3.2</c:v>
                </c:pt>
                <c:pt idx="8">
                  <c:v>3.2</c:v>
                </c:pt>
                <c:pt idx="9">
                  <c:v>3.2</c:v>
                </c:pt>
                <c:pt idx="10">
                  <c:v>3.2</c:v>
                </c:pt>
                <c:pt idx="11">
                  <c:v>3.2</c:v>
                </c:pt>
              </c:numCache>
            </c:numRef>
          </c:val>
          <c:smooth val="0"/>
          <c:extLst>
            <c:ext xmlns:c16="http://schemas.microsoft.com/office/drawing/2014/chart" uri="{C3380CC4-5D6E-409C-BE32-E72D297353CC}">
              <c16:uniqueId val="{00000011-A432-4CD1-966D-E31B25CF7D91}"/>
            </c:ext>
          </c:extLst>
        </c:ser>
        <c:dLbls>
          <c:showLegendKey val="0"/>
          <c:showVal val="1"/>
          <c:showCatName val="0"/>
          <c:showSerName val="0"/>
          <c:showPercent val="0"/>
          <c:showBubbleSize val="0"/>
        </c:dLbls>
        <c:marker val="1"/>
        <c:smooth val="0"/>
        <c:axId val="1234629344"/>
        <c:axId val="1234617376"/>
      </c:lineChart>
      <c:catAx>
        <c:axId val="1234629344"/>
        <c:scaling>
          <c:orientation val="minMax"/>
        </c:scaling>
        <c:delete val="0"/>
        <c:axPos val="b"/>
        <c:numFmt formatCode="General" sourceLinked="1"/>
        <c:majorTickMark val="none"/>
        <c:minorTickMark val="none"/>
        <c:tickLblPos val="nextTo"/>
        <c:txPr>
          <a:bodyPr/>
          <a:lstStyle/>
          <a:p>
            <a:pPr>
              <a:defRPr sz="1000"/>
            </a:pPr>
            <a:endParaRPr lang="es-PE"/>
          </a:p>
        </c:txPr>
        <c:crossAx val="1234617376"/>
        <c:crosses val="autoZero"/>
        <c:auto val="1"/>
        <c:lblAlgn val="ctr"/>
        <c:lblOffset val="100"/>
        <c:noMultiLvlLbl val="0"/>
      </c:catAx>
      <c:valAx>
        <c:axId val="1234617376"/>
        <c:scaling>
          <c:orientation val="minMax"/>
          <c:min val="0"/>
        </c:scaling>
        <c:delete val="0"/>
        <c:axPos val="l"/>
        <c:majorGridlines/>
        <c:numFmt formatCode="0.0" sourceLinked="1"/>
        <c:majorTickMark val="none"/>
        <c:minorTickMark val="none"/>
        <c:tickLblPos val="nextTo"/>
        <c:crossAx val="1234629344"/>
        <c:crosses val="autoZero"/>
        <c:crossBetween val="between"/>
      </c:valAx>
    </c:plotArea>
    <c:legend>
      <c:legendPos val="b"/>
      <c:overlay val="0"/>
    </c:legend>
    <c:plotVisOnly val="1"/>
    <c:dispBlanksAs val="gap"/>
    <c:showDLblsOverMax val="0"/>
  </c:chart>
  <c:spPr>
    <a:ln>
      <a:solidFill>
        <a:schemeClr val="bg1">
          <a:lumMod val="85000"/>
        </a:schemeClr>
      </a:solidFill>
    </a:ln>
  </c:sp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SEVERIDAD CORPORATIVO</a:t>
            </a:r>
            <a:endParaRPr lang="es-PE" sz="1200">
              <a:latin typeface="Arial Nova" panose="020B0504020202020204" pitchFamily="34" charset="0"/>
            </a:endParaRPr>
          </a:p>
        </c:rich>
      </c:tx>
      <c:layout>
        <c:manualLayout>
          <c:xMode val="edge"/>
          <c:yMode val="edge"/>
          <c:x val="0.27470095703942515"/>
          <c:y val="5.5818943597045825E-2"/>
        </c:manualLayout>
      </c:layout>
      <c:overlay val="0"/>
    </c:title>
    <c:autoTitleDeleted val="0"/>
    <c:plotArea>
      <c:layout>
        <c:manualLayout>
          <c:layoutTarget val="inner"/>
          <c:xMode val="edge"/>
          <c:yMode val="edge"/>
          <c:x val="7.9091546029025531E-2"/>
          <c:y val="0.16471761034811672"/>
          <c:w val="0.89446814182632894"/>
          <c:h val="0.65854916188606716"/>
        </c:manualLayout>
      </c:layout>
      <c:lineChart>
        <c:grouping val="standard"/>
        <c:varyColors val="0"/>
        <c:ser>
          <c:idx val="3"/>
          <c:order val="0"/>
          <c:tx>
            <c:v>2023</c:v>
          </c:tx>
          <c:spPr>
            <a:ln>
              <a:solidFill>
                <a:schemeClr val="tx1"/>
              </a:solidFill>
            </a:ln>
          </c:spPr>
          <c:marker>
            <c:symbol val="circle"/>
            <c:size val="7"/>
            <c:spPr>
              <a:solidFill>
                <a:schemeClr val="tx1"/>
              </a:solidFill>
              <a:ln>
                <a:solidFill>
                  <a:schemeClr val="tx1"/>
                </a:solidFill>
              </a:ln>
            </c:spPr>
          </c:marker>
          <c:dPt>
            <c:idx val="1"/>
            <c:bubble3D val="0"/>
            <c:extLst>
              <c:ext xmlns:c16="http://schemas.microsoft.com/office/drawing/2014/chart" uri="{C3380CC4-5D6E-409C-BE32-E72D297353CC}">
                <c16:uniqueId val="{00000000-C1DB-428E-8A26-A39695C67736}"/>
              </c:ext>
            </c:extLst>
          </c:dPt>
          <c:dLbls>
            <c:dLbl>
              <c:idx val="0"/>
              <c:layout>
                <c:manualLayout>
                  <c:x val="-6.8938007188943495E-2"/>
                  <c:y val="-3.7206444719168688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7.9324531167189044E-2"/>
                      <c:h val="9.8187469533448993E-2"/>
                    </c:manualLayout>
                  </c15:layout>
                </c:ext>
                <c:ext xmlns:c16="http://schemas.microsoft.com/office/drawing/2014/chart" uri="{C3380CC4-5D6E-409C-BE32-E72D297353CC}">
                  <c16:uniqueId val="{00000002-C918-4E87-A76A-069A55821073}"/>
                </c:ext>
              </c:extLst>
            </c:dLbl>
            <c:dLbl>
              <c:idx val="1"/>
              <c:layout>
                <c:manualLayout>
                  <c:x val="-2.6933682276921053E-2"/>
                  <c:y val="4.12484340847979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1DB-428E-8A26-A39695C67736}"/>
                </c:ext>
              </c:extLst>
            </c:dLbl>
            <c:dLbl>
              <c:idx val="3"/>
              <c:layout>
                <c:manualLayout>
                  <c:x val="-2.1842244575970886E-2"/>
                  <c:y val="-5.38483887078888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12-4FF1-843A-FDC56C541525}"/>
                </c:ext>
              </c:extLst>
            </c:dLbl>
            <c:spPr>
              <a:ln>
                <a:noFill/>
              </a:ln>
            </c:spPr>
            <c:txPr>
              <a:bodyPr/>
              <a:lstStyle/>
              <a:p>
                <a:pPr>
                  <a:defRPr sz="1200" b="1">
                    <a:solidFill>
                      <a:sysClr val="windowText" lastClr="00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CORP'!$O$119:$Z$119</c:f>
              <c:numCache>
                <c:formatCode>0</c:formatCode>
                <c:ptCount val="12"/>
                <c:pt idx="0">
                  <c:v>45.160002357212562</c:v>
                </c:pt>
                <c:pt idx="1">
                  <c:v>72.393051476987111</c:v>
                </c:pt>
                <c:pt idx="2">
                  <c:v>68.219883174438493</c:v>
                </c:pt>
                <c:pt idx="3">
                  <c:v>54.767501894496753</c:v>
                </c:pt>
                <c:pt idx="4">
                  <c:v>47.794855128031479</c:v>
                </c:pt>
                <c:pt idx="5">
                  <c:v>51.43396555081533</c:v>
                </c:pt>
                <c:pt idx="6">
                  <c:v>52.235361487331673</c:v>
                </c:pt>
                <c:pt idx="7">
                  <c:v>151.64349474179775</c:v>
                </c:pt>
                <c:pt idx="8">
                  <c:v>140.97962687836164</c:v>
                </c:pt>
                <c:pt idx="9">
                  <c:v>129.78811738624054</c:v>
                </c:pt>
                <c:pt idx="10">
                  <c:v>121.06831027600583</c:v>
                </c:pt>
                <c:pt idx="11">
                  <c:v>117.28050068235891</c:v>
                </c:pt>
              </c:numCache>
            </c:numRef>
          </c:val>
          <c:smooth val="0"/>
          <c:extLst>
            <c:ext xmlns:c16="http://schemas.microsoft.com/office/drawing/2014/chart" uri="{C3380CC4-5D6E-409C-BE32-E72D297353CC}">
              <c16:uniqueId val="{0000000C-C1DB-428E-8A26-A39695C67736}"/>
            </c:ext>
          </c:extLst>
        </c:ser>
        <c:ser>
          <c:idx val="1"/>
          <c:order val="1"/>
          <c:tx>
            <c:v>2022</c:v>
          </c:tx>
          <c:spPr>
            <a:ln>
              <a:solidFill>
                <a:srgbClr val="00B050"/>
              </a:solidFill>
            </a:ln>
          </c:spPr>
          <c:marker>
            <c:symbol val="circle"/>
            <c:size val="7"/>
            <c:spPr>
              <a:solidFill>
                <a:srgbClr val="00B050"/>
              </a:solidFill>
              <a:ln>
                <a:solidFill>
                  <a:srgbClr val="00B050"/>
                </a:solidFill>
              </a:ln>
            </c:spPr>
          </c:marker>
          <c:dLbls>
            <c:dLbl>
              <c:idx val="0"/>
              <c:layout>
                <c:manualLayout>
                  <c:x val="-4.4728241739650558E-2"/>
                  <c:y val="5.65706288595643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6E-4A93-9856-134D0DD2E95A}"/>
                </c:ext>
              </c:extLst>
            </c:dLbl>
            <c:dLbl>
              <c:idx val="1"/>
              <c:layout>
                <c:manualLayout>
                  <c:x val="-4.9819665075961563E-2"/>
                  <c:y val="-8.60746053294656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18-4E87-A76A-069A55821073}"/>
                </c:ext>
              </c:extLst>
            </c:dLbl>
            <c:dLbl>
              <c:idx val="7"/>
              <c:layout>
                <c:manualLayout>
                  <c:x val="-2.499278945540865E-2"/>
                  <c:y val="-4.3281035072756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51-438D-AEF6-91D928217101}"/>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CORP'!$O$121:$Z$121</c:f>
              <c:numCache>
                <c:formatCode>0</c:formatCode>
                <c:ptCount val="12"/>
                <c:pt idx="0">
                  <c:v>35.190341206141909</c:v>
                </c:pt>
                <c:pt idx="1">
                  <c:v>74.778715340194097</c:v>
                </c:pt>
                <c:pt idx="2">
                  <c:v>228.93343257291161</c:v>
                </c:pt>
                <c:pt idx="3">
                  <c:v>181.64472419634288</c:v>
                </c:pt>
                <c:pt idx="4">
                  <c:v>145.75963739449827</c:v>
                </c:pt>
                <c:pt idx="5">
                  <c:v>123.92823968790593</c:v>
                </c:pt>
                <c:pt idx="6">
                  <c:v>120.27304395797772</c:v>
                </c:pt>
                <c:pt idx="7">
                  <c:v>108.87978415134127</c:v>
                </c:pt>
                <c:pt idx="8">
                  <c:v>105.95398324354291</c:v>
                </c:pt>
                <c:pt idx="9">
                  <c:v>106.1309751412619</c:v>
                </c:pt>
                <c:pt idx="10">
                  <c:v>108.10071116712602</c:v>
                </c:pt>
                <c:pt idx="11">
                  <c:v>106.87786504563306</c:v>
                </c:pt>
              </c:numCache>
            </c:numRef>
          </c:val>
          <c:smooth val="0"/>
          <c:extLst>
            <c:ext xmlns:c16="http://schemas.microsoft.com/office/drawing/2014/chart" uri="{C3380CC4-5D6E-409C-BE32-E72D297353CC}">
              <c16:uniqueId val="{00000011-C1DB-428E-8A26-A39695C67736}"/>
            </c:ext>
          </c:extLst>
        </c:ser>
        <c:ser>
          <c:idx val="0"/>
          <c:order val="2"/>
          <c:tx>
            <c:v>OBJ</c:v>
          </c:tx>
          <c:spPr>
            <a:ln>
              <a:solidFill>
                <a:srgbClr val="FF0000"/>
              </a:solidFill>
            </a:ln>
          </c:spPr>
          <c:marker>
            <c:symbol val="none"/>
          </c:marker>
          <c:dLbls>
            <c:delete val="1"/>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CORP'!$O$127:$Z$127</c:f>
              <c:numCache>
                <c:formatCode>0</c:formatCode>
                <c:ptCount val="12"/>
                <c:pt idx="0">
                  <c:v>88</c:v>
                </c:pt>
                <c:pt idx="1">
                  <c:v>88</c:v>
                </c:pt>
                <c:pt idx="2">
                  <c:v>88</c:v>
                </c:pt>
                <c:pt idx="3">
                  <c:v>88</c:v>
                </c:pt>
                <c:pt idx="4">
                  <c:v>88</c:v>
                </c:pt>
                <c:pt idx="5">
                  <c:v>88</c:v>
                </c:pt>
                <c:pt idx="6">
                  <c:v>88</c:v>
                </c:pt>
                <c:pt idx="7">
                  <c:v>88</c:v>
                </c:pt>
                <c:pt idx="8">
                  <c:v>88</c:v>
                </c:pt>
                <c:pt idx="9">
                  <c:v>88</c:v>
                </c:pt>
                <c:pt idx="10">
                  <c:v>88</c:v>
                </c:pt>
                <c:pt idx="11">
                  <c:v>88</c:v>
                </c:pt>
              </c:numCache>
            </c:numRef>
          </c:val>
          <c:smooth val="0"/>
          <c:extLst>
            <c:ext xmlns:c16="http://schemas.microsoft.com/office/drawing/2014/chart" uri="{C3380CC4-5D6E-409C-BE32-E72D297353CC}">
              <c16:uniqueId val="{00000012-C1DB-428E-8A26-A39695C67736}"/>
            </c:ext>
          </c:extLst>
        </c:ser>
        <c:dLbls>
          <c:showLegendKey val="0"/>
          <c:showVal val="1"/>
          <c:showCatName val="0"/>
          <c:showSerName val="0"/>
          <c:showPercent val="0"/>
          <c:showBubbleSize val="0"/>
        </c:dLbls>
        <c:marker val="1"/>
        <c:smooth val="0"/>
        <c:axId val="1234622816"/>
        <c:axId val="1234623360"/>
      </c:lineChart>
      <c:catAx>
        <c:axId val="1234622816"/>
        <c:scaling>
          <c:orientation val="minMax"/>
        </c:scaling>
        <c:delete val="0"/>
        <c:axPos val="b"/>
        <c:numFmt formatCode="General" sourceLinked="1"/>
        <c:majorTickMark val="none"/>
        <c:minorTickMark val="none"/>
        <c:tickLblPos val="nextTo"/>
        <c:txPr>
          <a:bodyPr/>
          <a:lstStyle/>
          <a:p>
            <a:pPr>
              <a:defRPr sz="900"/>
            </a:pPr>
            <a:endParaRPr lang="es-PE"/>
          </a:p>
        </c:txPr>
        <c:crossAx val="1234623360"/>
        <c:crosses val="autoZero"/>
        <c:auto val="1"/>
        <c:lblAlgn val="ctr"/>
        <c:lblOffset val="100"/>
        <c:noMultiLvlLbl val="0"/>
      </c:catAx>
      <c:valAx>
        <c:axId val="1234623360"/>
        <c:scaling>
          <c:orientation val="minMax"/>
          <c:max val="300"/>
          <c:min val="0"/>
        </c:scaling>
        <c:delete val="0"/>
        <c:axPos val="l"/>
        <c:majorGridlines/>
        <c:numFmt formatCode="0" sourceLinked="1"/>
        <c:majorTickMark val="none"/>
        <c:minorTickMark val="none"/>
        <c:tickLblPos val="nextTo"/>
        <c:crossAx val="1234622816"/>
        <c:crosses val="autoZero"/>
        <c:crossBetween val="between"/>
      </c:valAx>
    </c:plotArea>
    <c:legend>
      <c:legendPos val="b"/>
      <c:layout>
        <c:manualLayout>
          <c:xMode val="edge"/>
          <c:yMode val="edge"/>
          <c:x val="0.34010403185260413"/>
          <c:y val="0.89965090603663522"/>
          <c:w val="0.36774661403714465"/>
          <c:h val="7.5348191699831688E-2"/>
        </c:manualLayout>
      </c:layout>
      <c:overlay val="0"/>
    </c:legend>
    <c:plotVisOnly val="1"/>
    <c:dispBlanksAs val="gap"/>
    <c:showDLblsOverMax val="0"/>
  </c:chart>
  <c:spPr>
    <a:ln>
      <a:solidFill>
        <a:schemeClr val="bg1">
          <a:lumMod val="85000"/>
        </a:schemeClr>
      </a:solidFill>
    </a:ln>
  </c:sp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ITDC</a:t>
            </a:r>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F048-4AE0-8DE5-51C50887905F}"/>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CORP'!$AA$167:$AF$167</c:f>
              <c:numCache>
                <c:formatCode>0.0</c:formatCode>
                <c:ptCount val="6"/>
                <c:pt idx="1">
                  <c:v>25.525733890172493</c:v>
                </c:pt>
                <c:pt idx="2">
                  <c:v>17.037750613576339</c:v>
                </c:pt>
                <c:pt idx="3">
                  <c:v>11.2</c:v>
                </c:pt>
                <c:pt idx="4">
                  <c:v>5.9649752351495273</c:v>
                </c:pt>
                <c:pt idx="5">
                  <c:v>3.0240387959273667</c:v>
                </c:pt>
              </c:numCache>
            </c:numRef>
          </c:val>
          <c:extLst>
            <c:ext xmlns:c16="http://schemas.microsoft.com/office/drawing/2014/chart" uri="{C3380CC4-5D6E-409C-BE32-E72D297353CC}">
              <c16:uniqueId val="{00000000-68E1-46E7-ABFE-5C48BEC87C51}"/>
            </c:ext>
          </c:extLst>
        </c:ser>
        <c:dLbls>
          <c:showLegendKey val="0"/>
          <c:showVal val="0"/>
          <c:showCatName val="0"/>
          <c:showSerName val="0"/>
          <c:showPercent val="0"/>
          <c:showBubbleSize val="0"/>
        </c:dLbls>
        <c:gapWidth val="150"/>
        <c:overlap val="100"/>
        <c:axId val="1234623904"/>
        <c:axId val="1234624448"/>
      </c:barChart>
      <c:catAx>
        <c:axId val="1234623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24448"/>
        <c:crosses val="autoZero"/>
        <c:auto val="1"/>
        <c:lblAlgn val="ctr"/>
        <c:lblOffset val="100"/>
        <c:noMultiLvlLbl val="0"/>
      </c:catAx>
      <c:valAx>
        <c:axId val="12346244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23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Galleteria</a:t>
            </a:r>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4"/>
            <c:invertIfNegative val="0"/>
            <c:bubble3D val="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0A23-460C-B29A-BF369CB368A5}"/>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CORP'!$AA$170:$AF$170</c:f>
              <c:numCache>
                <c:formatCode>0.0</c:formatCode>
                <c:ptCount val="6"/>
                <c:pt idx="0">
                  <c:v>14.229057791318219</c:v>
                </c:pt>
                <c:pt idx="1">
                  <c:v>11.205159751962583</c:v>
                </c:pt>
                <c:pt idx="2">
                  <c:v>15.480025929043432</c:v>
                </c:pt>
                <c:pt idx="3">
                  <c:v>5.7</c:v>
                </c:pt>
                <c:pt idx="4">
                  <c:v>8.4955305723389696</c:v>
                </c:pt>
                <c:pt idx="5">
                  <c:v>11.19122126419942</c:v>
                </c:pt>
              </c:numCache>
            </c:numRef>
          </c:val>
          <c:extLst>
            <c:ext xmlns:c16="http://schemas.microsoft.com/office/drawing/2014/chart" uri="{C3380CC4-5D6E-409C-BE32-E72D297353CC}">
              <c16:uniqueId val="{00000000-054F-4355-8343-B1321BC78F58}"/>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Severidad ITDC</a:t>
            </a:r>
          </a:p>
        </c:rich>
      </c:tx>
      <c:layout>
        <c:manualLayout>
          <c:xMode val="edge"/>
          <c:yMode val="edge"/>
          <c:x val="0.2630277777777778"/>
          <c:y val="4.166666666666666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CORP'!$AA$166:$AD$166</c:f>
              <c:numCache>
                <c:formatCode>General</c:formatCode>
                <c:ptCount val="4"/>
                <c:pt idx="0">
                  <c:v>2018</c:v>
                </c:pt>
                <c:pt idx="1">
                  <c:v>2019</c:v>
                </c:pt>
                <c:pt idx="2">
                  <c:v>2020</c:v>
                </c:pt>
                <c:pt idx="3">
                  <c:v>2021</c:v>
                </c:pt>
              </c:numCache>
            </c:numRef>
          </c:cat>
          <c:val>
            <c:numRef>
              <c:f>'BSC CORP'!$AA$168:$AF$168</c:f>
              <c:numCache>
                <c:formatCode>0</c:formatCode>
                <c:ptCount val="6"/>
                <c:pt idx="0">
                  <c:v>602.33028191097492</c:v>
                </c:pt>
                <c:pt idx="1">
                  <c:v>1742.8403861678885</c:v>
                </c:pt>
                <c:pt idx="2">
                  <c:v>420.55427279837926</c:v>
                </c:pt>
                <c:pt idx="3">
                  <c:v>208</c:v>
                </c:pt>
                <c:pt idx="4">
                  <c:v>240.01176669851648</c:v>
                </c:pt>
                <c:pt idx="5" formatCode="#,##0">
                  <c:v>223.95675553367971</c:v>
                </c:pt>
              </c:numCache>
            </c:numRef>
          </c:val>
          <c:extLst>
            <c:ext xmlns:c16="http://schemas.microsoft.com/office/drawing/2014/chart" uri="{C3380CC4-5D6E-409C-BE32-E72D297353CC}">
              <c16:uniqueId val="{00000000-CB58-48A0-AD01-9F6DE858E029}"/>
            </c:ext>
          </c:extLst>
        </c:ser>
        <c:dLbls>
          <c:showLegendKey val="0"/>
          <c:showVal val="0"/>
          <c:showCatName val="0"/>
          <c:showSerName val="0"/>
          <c:showPercent val="0"/>
          <c:showBubbleSize val="0"/>
        </c:dLbls>
        <c:gapWidth val="150"/>
        <c:overlap val="100"/>
        <c:axId val="1237427664"/>
        <c:axId val="1237429840"/>
      </c:barChart>
      <c:catAx>
        <c:axId val="12374276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7429840"/>
        <c:crosses val="autoZero"/>
        <c:auto val="1"/>
        <c:lblAlgn val="ctr"/>
        <c:lblOffset val="100"/>
        <c:noMultiLvlLbl val="0"/>
      </c:catAx>
      <c:valAx>
        <c:axId val="1237429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7427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Severidad Galleteria</a:t>
            </a:r>
          </a:p>
        </c:rich>
      </c:tx>
      <c:layout>
        <c:manualLayout>
          <c:xMode val="edge"/>
          <c:yMode val="edge"/>
          <c:x val="0.24080555555555555"/>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3"/>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s-PE"/>
                </a:p>
              </c:txPr>
              <c:showLegendKey val="0"/>
              <c:showVal val="1"/>
              <c:showCatName val="0"/>
              <c:showSerName val="0"/>
              <c:showPercent val="0"/>
              <c:showBubbleSize val="0"/>
              <c:extLst>
                <c:ext xmlns:c16="http://schemas.microsoft.com/office/drawing/2014/chart" uri="{C3380CC4-5D6E-409C-BE32-E72D297353CC}">
                  <c16:uniqueId val="{00000001-9A8F-445F-804C-EE6870CD8D4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CORP'!$AA$166:$AD$166</c:f>
              <c:numCache>
                <c:formatCode>General</c:formatCode>
                <c:ptCount val="4"/>
                <c:pt idx="0">
                  <c:v>2018</c:v>
                </c:pt>
                <c:pt idx="1">
                  <c:v>2019</c:v>
                </c:pt>
                <c:pt idx="2">
                  <c:v>2020</c:v>
                </c:pt>
                <c:pt idx="3">
                  <c:v>2021</c:v>
                </c:pt>
              </c:numCache>
            </c:numRef>
          </c:cat>
          <c:val>
            <c:numRef>
              <c:f>'BSC CORP'!$AA$171:$AF$171</c:f>
              <c:numCache>
                <c:formatCode>0</c:formatCode>
                <c:ptCount val="6"/>
                <c:pt idx="0">
                  <c:v>275.88562050944768</c:v>
                </c:pt>
                <c:pt idx="1">
                  <c:v>386.20450611764375</c:v>
                </c:pt>
                <c:pt idx="2">
                  <c:v>3039.8900918159038</c:v>
                </c:pt>
                <c:pt idx="3">
                  <c:v>44</c:v>
                </c:pt>
                <c:pt idx="4">
                  <c:v>84.955305723389699</c:v>
                </c:pt>
                <c:pt idx="5" formatCode="#,##0">
                  <c:v>64.095176331323955</c:v>
                </c:pt>
              </c:numCache>
            </c:numRef>
          </c:val>
          <c:extLst>
            <c:ext xmlns:c16="http://schemas.microsoft.com/office/drawing/2014/chart" uri="{C3380CC4-5D6E-409C-BE32-E72D297353CC}">
              <c16:uniqueId val="{00000000-43F0-4C7A-BD97-83A0AC080C1E}"/>
            </c:ext>
          </c:extLst>
        </c:ser>
        <c:dLbls>
          <c:showLegendKey val="0"/>
          <c:showVal val="0"/>
          <c:showCatName val="0"/>
          <c:showSerName val="0"/>
          <c:showPercent val="0"/>
          <c:showBubbleSize val="0"/>
        </c:dLbls>
        <c:gapWidth val="150"/>
        <c:overlap val="100"/>
        <c:axId val="1237423312"/>
        <c:axId val="1237419504"/>
      </c:barChart>
      <c:catAx>
        <c:axId val="1237423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7419504"/>
        <c:crosses val="autoZero"/>
        <c:auto val="1"/>
        <c:lblAlgn val="ctr"/>
        <c:lblOffset val="100"/>
        <c:noMultiLvlLbl val="0"/>
      </c:catAx>
      <c:valAx>
        <c:axId val="1237419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7423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Molinos Lima</a:t>
            </a:r>
          </a:p>
        </c:rich>
      </c:tx>
      <c:layout>
        <c:manualLayout>
          <c:xMode val="edge"/>
          <c:yMode val="edge"/>
          <c:x val="0.2378765305871913"/>
          <c:y val="3.716310337667021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CORP'!$AA$173:$AF$173</c:f>
              <c:numCache>
                <c:formatCode>0.0</c:formatCode>
                <c:ptCount val="6"/>
                <c:pt idx="0">
                  <c:v>4</c:v>
                </c:pt>
                <c:pt idx="1">
                  <c:v>11</c:v>
                </c:pt>
                <c:pt idx="2" formatCode="General">
                  <c:v>9.4</c:v>
                </c:pt>
                <c:pt idx="3" formatCode="General">
                  <c:v>11.5</c:v>
                </c:pt>
                <c:pt idx="4">
                  <c:v>7.0461042194455663</c:v>
                </c:pt>
                <c:pt idx="5" formatCode="#,##0.0">
                  <c:v>15.196719805455563</c:v>
                </c:pt>
              </c:numCache>
            </c:numRef>
          </c:val>
          <c:extLst>
            <c:ext xmlns:c16="http://schemas.microsoft.com/office/drawing/2014/chart" uri="{C3380CC4-5D6E-409C-BE32-E72D297353CC}">
              <c16:uniqueId val="{00000000-0CF5-4D93-A399-6BFEB84111C8}"/>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Perú</a:t>
            </a:r>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CORP'!$AA$176:$AF$176</c:f>
              <c:numCache>
                <c:formatCode>General</c:formatCode>
                <c:ptCount val="6"/>
                <c:pt idx="0">
                  <c:v>10.199999999999999</c:v>
                </c:pt>
                <c:pt idx="1">
                  <c:v>8.9</c:v>
                </c:pt>
                <c:pt idx="2">
                  <c:v>6.6</c:v>
                </c:pt>
                <c:pt idx="3">
                  <c:v>5.5</c:v>
                </c:pt>
                <c:pt idx="4" formatCode="0.0">
                  <c:v>3.5529831881946592</c:v>
                </c:pt>
                <c:pt idx="5" formatCode="0.0">
                  <c:v>3.5478682869288742</c:v>
                </c:pt>
              </c:numCache>
            </c:numRef>
          </c:val>
          <c:extLst>
            <c:ext xmlns:c16="http://schemas.microsoft.com/office/drawing/2014/chart" uri="{C3380CC4-5D6E-409C-BE32-E72D297353CC}">
              <c16:uniqueId val="{00000000-1F64-499E-85BC-7175F0A6C74A}"/>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Perú</a:t>
            </a:r>
            <a:r>
              <a:rPr lang="es-PE" baseline="0"/>
              <a:t> + Países</a:t>
            </a:r>
            <a:endParaRPr lang="es-PE"/>
          </a:p>
        </c:rich>
      </c:tx>
      <c:layout>
        <c:manualLayout>
          <c:xMode val="edge"/>
          <c:yMode val="edge"/>
          <c:x val="0.22674015471159661"/>
          <c:y val="2.777792147041413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CORP'!$AA$180:$AF$180</c:f>
              <c:numCache>
                <c:formatCode>General</c:formatCode>
                <c:ptCount val="6"/>
                <c:pt idx="0">
                  <c:v>8.6</c:v>
                </c:pt>
                <c:pt idx="1">
                  <c:v>7.3</c:v>
                </c:pt>
                <c:pt idx="2" formatCode="0.0">
                  <c:v>5.5733489093632054</c:v>
                </c:pt>
                <c:pt idx="3">
                  <c:v>4.8</c:v>
                </c:pt>
                <c:pt idx="4" formatCode="0.0">
                  <c:v>3.3615609727581162</c:v>
                </c:pt>
                <c:pt idx="5" formatCode="0.0">
                  <c:v>3.3029437046904491</c:v>
                </c:pt>
              </c:numCache>
            </c:numRef>
          </c:val>
          <c:extLst>
            <c:ext xmlns:c16="http://schemas.microsoft.com/office/drawing/2014/chart" uri="{C3380CC4-5D6E-409C-BE32-E72D297353CC}">
              <c16:uniqueId val="{00000000-B1D8-413E-B141-65095AF790E9}"/>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a:t>
            </a:r>
            <a:r>
              <a:rPr lang="es-PE" baseline="0"/>
              <a:t>Países</a:t>
            </a:r>
            <a:endParaRPr lang="es-PE"/>
          </a:p>
        </c:rich>
      </c:tx>
      <c:layout>
        <c:manualLayout>
          <c:xMode val="edge"/>
          <c:yMode val="edge"/>
          <c:x val="0.29355809708287506"/>
          <c:y val="2.30853305172861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CORP'!$AA$178:$AF$178</c:f>
              <c:numCache>
                <c:formatCode>0.0</c:formatCode>
                <c:ptCount val="6"/>
                <c:pt idx="0" formatCode="General">
                  <c:v>4.2</c:v>
                </c:pt>
                <c:pt idx="1">
                  <c:v>4</c:v>
                </c:pt>
                <c:pt idx="2" formatCode="General">
                  <c:v>3.2</c:v>
                </c:pt>
                <c:pt idx="3" formatCode="General">
                  <c:v>2.6</c:v>
                </c:pt>
                <c:pt idx="4">
                  <c:v>2.5111534777986058</c:v>
                </c:pt>
                <c:pt idx="5">
                  <c:v>2.4765903259347399</c:v>
                </c:pt>
              </c:numCache>
            </c:numRef>
          </c:val>
          <c:extLst>
            <c:ext xmlns:c16="http://schemas.microsoft.com/office/drawing/2014/chart" uri="{C3380CC4-5D6E-409C-BE32-E72D297353CC}">
              <c16:uniqueId val="{00000000-59C2-4597-B038-7EDB6A100CB5}"/>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TEAL</a:t>
            </a:r>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CORP'!$AA$182:$AF$182</c:f>
              <c:numCache>
                <c:formatCode>0.0</c:formatCode>
                <c:ptCount val="6"/>
                <c:pt idx="0">
                  <c:v>1.7019374288377414</c:v>
                </c:pt>
                <c:pt idx="1">
                  <c:v>3.9917490547039272</c:v>
                </c:pt>
                <c:pt idx="2">
                  <c:v>3.1405654273995491</c:v>
                </c:pt>
                <c:pt idx="3">
                  <c:v>2.2000000000000002</c:v>
                </c:pt>
                <c:pt idx="4">
                  <c:v>1.6550278762137791</c:v>
                </c:pt>
                <c:pt idx="5">
                  <c:v>2.1079863545194906</c:v>
                </c:pt>
              </c:numCache>
            </c:numRef>
          </c:val>
          <c:extLst>
            <c:ext xmlns:c16="http://schemas.microsoft.com/office/drawing/2014/chart" uri="{C3380CC4-5D6E-409C-BE32-E72D297353CC}">
              <c16:uniqueId val="{00000000-A7E5-44E6-95C8-B53E69C552DB}"/>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GLOBAL</a:t>
            </a:r>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solidFill>
              <a:schemeClr val="tx2">
                <a:lumMod val="60000"/>
                <a:lumOff val="40000"/>
              </a:schemeClr>
            </a:solidFill>
            <a:ln>
              <a:solidFill>
                <a:schemeClr val="tx2">
                  <a:lumMod val="60000"/>
                  <a:lumOff val="4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4"/>
            <c:invertIfNegative val="0"/>
            <c:bubble3D val="0"/>
            <c:spPr>
              <a:solidFill>
                <a:schemeClr val="tx2">
                  <a:lumMod val="60000"/>
                  <a:lumOff val="40000"/>
                </a:schemeClr>
              </a:solidFill>
              <a:ln>
                <a:solidFill>
                  <a:schemeClr val="tx2">
                    <a:lumMod val="60000"/>
                    <a:lumOff val="4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0323-4F88-AA79-ED776A588F5F}"/>
              </c:ext>
            </c:extLst>
          </c:dPt>
          <c:dLbls>
            <c:dLbl>
              <c:idx val="5"/>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s-PE"/>
                </a:p>
              </c:txPr>
              <c:showLegendKey val="0"/>
              <c:showVal val="1"/>
              <c:showCatName val="0"/>
              <c:showSerName val="0"/>
              <c:showPercent val="0"/>
              <c:showBubbleSize val="0"/>
              <c:extLst>
                <c:ext xmlns:c16="http://schemas.microsoft.com/office/drawing/2014/chart" uri="{C3380CC4-5D6E-409C-BE32-E72D297353CC}">
                  <c16:uniqueId val="{00000002-AED9-4312-8DDD-C25B797EA35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CORP'!$AA$184:$AF$184</c:f>
              <c:numCache>
                <c:formatCode>0.0</c:formatCode>
                <c:ptCount val="6"/>
                <c:pt idx="0">
                  <c:v>10.159865483380999</c:v>
                </c:pt>
                <c:pt idx="1">
                  <c:v>6.7011777319863963</c:v>
                </c:pt>
                <c:pt idx="2">
                  <c:v>6.9028452147406121</c:v>
                </c:pt>
                <c:pt idx="3">
                  <c:v>2.8850869853726091</c:v>
                </c:pt>
                <c:pt idx="4">
                  <c:v>5.0531251894921949</c:v>
                </c:pt>
                <c:pt idx="5">
                  <c:v>0</c:v>
                </c:pt>
              </c:numCache>
            </c:numRef>
          </c:val>
          <c:extLst>
            <c:ext xmlns:c16="http://schemas.microsoft.com/office/drawing/2014/chart" uri="{C3380CC4-5D6E-409C-BE32-E72D297353CC}">
              <c16:uniqueId val="{00000000-603E-49E2-BB24-6BDEDBAB35DD}"/>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COPSA</a:t>
            </a:r>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manualLayout>
          <c:layoutTarget val="inner"/>
          <c:xMode val="edge"/>
          <c:yMode val="edge"/>
          <c:x val="6.432370184907453E-2"/>
          <c:y val="0.17225220582447565"/>
          <c:w val="0.91807695279114188"/>
          <c:h val="0.70421345519514178"/>
        </c:manualLayout>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CORP'!$AA$186:$AF$186</c:f>
              <c:numCache>
                <c:formatCode>0.0</c:formatCode>
                <c:ptCount val="6"/>
                <c:pt idx="0">
                  <c:v>4.9215592931567063</c:v>
                </c:pt>
                <c:pt idx="1">
                  <c:v>3.5034491456839256</c:v>
                </c:pt>
                <c:pt idx="2">
                  <c:v>4.18649826399872</c:v>
                </c:pt>
                <c:pt idx="3">
                  <c:v>3.6</c:v>
                </c:pt>
                <c:pt idx="4">
                  <c:v>2.2216624426082623</c:v>
                </c:pt>
                <c:pt idx="5">
                  <c:v>3.6236356655017756</c:v>
                </c:pt>
              </c:numCache>
            </c:numRef>
          </c:val>
          <c:extLst>
            <c:ext xmlns:c16="http://schemas.microsoft.com/office/drawing/2014/chart" uri="{C3380CC4-5D6E-409C-BE32-E72D297353CC}">
              <c16:uniqueId val="{00000000-9A9E-4FFE-BFD8-DEFA71C34B9F}"/>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DISTRIBUCION</a:t>
            </a:r>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CORP'!$AA$192:$AF$192</c:f>
              <c:numCache>
                <c:formatCode>0.0</c:formatCode>
                <c:ptCount val="6"/>
                <c:pt idx="0">
                  <c:v>2.3141444475740491</c:v>
                </c:pt>
                <c:pt idx="1">
                  <c:v>1.8948054540080188</c:v>
                </c:pt>
                <c:pt idx="2">
                  <c:v>0.88911070554490923</c:v>
                </c:pt>
                <c:pt idx="3">
                  <c:v>1.3829992329886254</c:v>
                </c:pt>
                <c:pt idx="4">
                  <c:v>2.6513957284185352</c:v>
                </c:pt>
                <c:pt idx="5" formatCode="#,##0.0">
                  <c:v>1.9293426116191232</c:v>
                </c:pt>
              </c:numCache>
            </c:numRef>
          </c:val>
          <c:extLst>
            <c:ext xmlns:c16="http://schemas.microsoft.com/office/drawing/2014/chart" uri="{C3380CC4-5D6E-409C-BE32-E72D297353CC}">
              <c16:uniqueId val="{00000000-EB60-4943-8422-59B3F349B275}"/>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MASTERBREAD</a:t>
            </a:r>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solidFill>
              <a:srgbClr val="0070C0"/>
            </a:solidFill>
            <a:ln>
              <a:solidFill>
                <a:srgbClr val="0070C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CORP'!$AA$196:$AF$196</c:f>
              <c:numCache>
                <c:formatCode>0.0</c:formatCode>
                <c:ptCount val="6"/>
                <c:pt idx="0">
                  <c:v>10.160433240873392</c:v>
                </c:pt>
                <c:pt idx="1">
                  <c:v>32.99731071917639</c:v>
                </c:pt>
                <c:pt idx="2">
                  <c:v>28.243800485793368</c:v>
                </c:pt>
                <c:pt idx="3">
                  <c:v>46.771372178516977</c:v>
                </c:pt>
                <c:pt idx="4">
                  <c:v>7.9617336786549542</c:v>
                </c:pt>
                <c:pt idx="5">
                  <c:v>0</c:v>
                </c:pt>
              </c:numCache>
            </c:numRef>
          </c:val>
          <c:extLst>
            <c:ext xmlns:c16="http://schemas.microsoft.com/office/drawing/2014/chart" uri="{C3380CC4-5D6E-409C-BE32-E72D297353CC}">
              <c16:uniqueId val="{00000000-920D-4CE9-815F-C9FD5629E30A}"/>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a:t>
            </a:r>
            <a:r>
              <a:rPr lang="es-PE" baseline="0"/>
              <a:t>SIDSUR</a:t>
            </a:r>
            <a:endParaRPr lang="es-PE"/>
          </a:p>
        </c:rich>
      </c:tx>
      <c:layout>
        <c:manualLayout>
          <c:xMode val="edge"/>
          <c:yMode val="edge"/>
          <c:x val="0.29355809708287506"/>
          <c:y val="2.30853305172861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1"/>
              <c:layout>
                <c:manualLayout>
                  <c:x val="0"/>
                  <c:y val="-4.69259095312803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AD-4EE0-B10E-F97ACADD30AD}"/>
                </c:ext>
              </c:extLst>
            </c:dLbl>
            <c:dLbl>
              <c:idx val="4"/>
              <c:layout>
                <c:manualLayout>
                  <c:x val="-1.0142790370664953E-16"/>
                  <c:y val="-1.85655415262113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AD-4EE0-B10E-F97ACADD30A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CORP'!$AA$198:$AF$198</c:f>
              <c:numCache>
                <c:formatCode>0.0</c:formatCode>
                <c:ptCount val="6"/>
                <c:pt idx="0">
                  <c:v>1.8746039899071321</c:v>
                </c:pt>
                <c:pt idx="1">
                  <c:v>0</c:v>
                </c:pt>
                <c:pt idx="2">
                  <c:v>3.1424866287193947</c:v>
                </c:pt>
                <c:pt idx="3">
                  <c:v>2.8</c:v>
                </c:pt>
                <c:pt idx="4">
                  <c:v>1.690535706590758</c:v>
                </c:pt>
                <c:pt idx="5">
                  <c:v>5.6252323396744801</c:v>
                </c:pt>
              </c:numCache>
            </c:numRef>
          </c:val>
          <c:extLst>
            <c:ext xmlns:c16="http://schemas.microsoft.com/office/drawing/2014/chart" uri="{C3380CC4-5D6E-409C-BE32-E72D297353CC}">
              <c16:uniqueId val="{00000000-A30E-4F1E-AB4E-1BCC55E1B11C}"/>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VITAPRO</a:t>
            </a:r>
          </a:p>
        </c:rich>
      </c:tx>
      <c:layout>
        <c:manualLayout>
          <c:xMode val="edge"/>
          <c:yMode val="edge"/>
          <c:x val="0.29355809708287506"/>
          <c:y val="2.30853305172861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CORP'!$AA$188:$AF$188</c:f>
              <c:numCache>
                <c:formatCode>0.0</c:formatCode>
                <c:ptCount val="6"/>
                <c:pt idx="0">
                  <c:v>2.5839548462503799</c:v>
                </c:pt>
                <c:pt idx="1">
                  <c:v>4.211444854077647</c:v>
                </c:pt>
                <c:pt idx="2">
                  <c:v>0.74400277959438454</c:v>
                </c:pt>
                <c:pt idx="3">
                  <c:v>2.6496857141532302</c:v>
                </c:pt>
                <c:pt idx="4">
                  <c:v>3.9352215313284953</c:v>
                </c:pt>
                <c:pt idx="5">
                  <c:v>4.8236668389787658</c:v>
                </c:pt>
              </c:numCache>
            </c:numRef>
          </c:val>
          <c:extLst>
            <c:ext xmlns:c16="http://schemas.microsoft.com/office/drawing/2014/chart" uri="{C3380CC4-5D6E-409C-BE32-E72D297353CC}">
              <c16:uniqueId val="{00000000-538F-494B-898D-03B65E811A9A}"/>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FRECUENCIA - PAISES EXT </a:t>
            </a:r>
            <a:endParaRPr lang="es-PE" sz="1200">
              <a:latin typeface="Arial Nova" panose="020B0504020202020204" pitchFamily="34" charset="0"/>
            </a:endParaRPr>
          </a:p>
        </c:rich>
      </c:tx>
      <c:layout>
        <c:manualLayout>
          <c:xMode val="edge"/>
          <c:yMode val="edge"/>
          <c:x val="0.27494641381719054"/>
          <c:y val="3.9758313859899634E-2"/>
        </c:manualLayout>
      </c:layout>
      <c:overlay val="0"/>
    </c:title>
    <c:autoTitleDeleted val="0"/>
    <c:plotArea>
      <c:layout>
        <c:manualLayout>
          <c:layoutTarget val="inner"/>
          <c:xMode val="edge"/>
          <c:yMode val="edge"/>
          <c:x val="7.7816486830578818E-2"/>
          <c:y val="0.16747694442897823"/>
          <c:w val="0.88878337460487589"/>
          <c:h val="0.61824510478540673"/>
        </c:manualLayout>
      </c:layout>
      <c:lineChart>
        <c:grouping val="standard"/>
        <c:varyColors val="0"/>
        <c:ser>
          <c:idx val="1"/>
          <c:order val="0"/>
          <c:tx>
            <c:v>2023</c:v>
          </c:tx>
          <c:spPr>
            <a:ln>
              <a:solidFill>
                <a:schemeClr val="tx1"/>
              </a:solidFill>
            </a:ln>
          </c:spPr>
          <c:marker>
            <c:symbol val="circle"/>
            <c:size val="5"/>
            <c:spPr>
              <a:solidFill>
                <a:schemeClr val="tx1"/>
              </a:solidFill>
              <a:ln>
                <a:noFill/>
              </a:ln>
            </c:spPr>
          </c:marker>
          <c:dLbls>
            <c:dLbl>
              <c:idx val="0"/>
              <c:layout>
                <c:manualLayout>
                  <c:x val="-4.4044016924530915E-2"/>
                  <c:y val="3.96216206735108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C20-4062-AE8A-8CEC3BE96C00}"/>
                </c:ext>
              </c:extLst>
            </c:dLbl>
            <c:dLbl>
              <c:idx val="1"/>
              <c:layout>
                <c:manualLayout>
                  <c:x val="-4.7099864136015704E-2"/>
                  <c:y val="4.13665182058958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20-4062-AE8A-8CEC3BE96C00}"/>
                </c:ext>
              </c:extLst>
            </c:dLbl>
            <c:dLbl>
              <c:idx val="2"/>
              <c:layout>
                <c:manualLayout>
                  <c:x val="-3.8239253102909321E-2"/>
                  <c:y val="3.86987442674398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20-4062-AE8A-8CEC3BE96C00}"/>
                </c:ext>
              </c:extLst>
            </c:dLbl>
            <c:dLbl>
              <c:idx val="3"/>
              <c:layout>
                <c:manualLayout>
                  <c:x val="-4.7912286365551941E-2"/>
                  <c:y val="5.5647828204668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20-4062-AE8A-8CEC3BE96C00}"/>
                </c:ext>
              </c:extLst>
            </c:dLbl>
            <c:dLbl>
              <c:idx val="4"/>
              <c:layout>
                <c:manualLayout>
                  <c:x val="-4.6382352678992017E-2"/>
                  <c:y val="3.97329325207342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20-4062-AE8A-8CEC3BE96C00}"/>
                </c:ext>
              </c:extLst>
            </c:dLbl>
            <c:dLbl>
              <c:idx val="5"/>
              <c:layout>
                <c:manualLayout>
                  <c:x val="-3.0883056469462589E-2"/>
                  <c:y val="-5.89062295506644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20-4062-AE8A-8CEC3BE96C00}"/>
                </c:ext>
              </c:extLst>
            </c:dLbl>
            <c:dLbl>
              <c:idx val="6"/>
              <c:layout>
                <c:manualLayout>
                  <c:x val="-4.1942695916896616E-2"/>
                  <c:y val="3.10816408310744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20-4062-AE8A-8CEC3BE96C00}"/>
                </c:ext>
              </c:extLst>
            </c:dLbl>
            <c:dLbl>
              <c:idx val="7"/>
              <c:layout>
                <c:manualLayout>
                  <c:x val="-3.985429623561404E-2"/>
                  <c:y val="4.39890927882066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20-4062-AE8A-8CEC3BE96C00}"/>
                </c:ext>
              </c:extLst>
            </c:dLbl>
            <c:dLbl>
              <c:idx val="8"/>
              <c:layout>
                <c:manualLayout>
                  <c:x val="-3.7592139112053523E-2"/>
                  <c:y val="-6.30727972201137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C20-4062-AE8A-8CEC3BE96C00}"/>
                </c:ext>
              </c:extLst>
            </c:dLbl>
            <c:dLbl>
              <c:idx val="9"/>
              <c:layout>
                <c:manualLayout>
                  <c:x val="-3.7527804117616553E-2"/>
                  <c:y val="5.24342617424137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C20-4062-AE8A-8CEC3BE96C00}"/>
                </c:ext>
              </c:extLst>
            </c:dLbl>
            <c:dLbl>
              <c:idx val="10"/>
              <c:layout>
                <c:manualLayout>
                  <c:x val="-3.7463520288119119E-2"/>
                  <c:y val="-4.1715272015676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C20-4062-AE8A-8CEC3BE96C00}"/>
                </c:ext>
              </c:extLst>
            </c:dLbl>
            <c:dLbl>
              <c:idx val="11"/>
              <c:layout>
                <c:manualLayout>
                  <c:x val="-3.9683365078044611E-2"/>
                  <c:y val="5.24730793984033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C20-4062-AE8A-8CEC3BE96C00}"/>
                </c:ext>
              </c:extLst>
            </c:dLbl>
            <c:spPr>
              <a:noFill/>
              <a:ln>
                <a:noFill/>
              </a:ln>
              <a:effectLst/>
            </c:spPr>
            <c:txPr>
              <a:bodyPr/>
              <a:lstStyle/>
              <a:p>
                <a:pPr>
                  <a:defRPr sz="1200" b="1">
                    <a:solidFill>
                      <a:sysClr val="windowText" lastClr="000000"/>
                    </a:solidFil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CORP'!$O$103:$Z$103</c:f>
              <c:numCache>
                <c:formatCode>0.0</c:formatCode>
                <c:ptCount val="12"/>
                <c:pt idx="0">
                  <c:v>6.1203633056345188</c:v>
                </c:pt>
                <c:pt idx="1">
                  <c:v>5.1519667368605733</c:v>
                </c:pt>
                <c:pt idx="2">
                  <c:v>5.0801090965882949</c:v>
                </c:pt>
                <c:pt idx="3">
                  <c:v>4.0255026500695541</c:v>
                </c:pt>
                <c:pt idx="4">
                  <c:v>3.1240583341030552</c:v>
                </c:pt>
                <c:pt idx="5">
                  <c:v>3.4363964165345089</c:v>
                </c:pt>
                <c:pt idx="6">
                  <c:v>2.9052061372549427</c:v>
                </c:pt>
                <c:pt idx="7">
                  <c:v>2.9313439909908126</c:v>
                </c:pt>
                <c:pt idx="8">
                  <c:v>2.77558223081612</c:v>
                </c:pt>
                <c:pt idx="9">
                  <c:v>2.6618236517773819</c:v>
                </c:pt>
                <c:pt idx="10">
                  <c:v>2.5492496170988872</c:v>
                </c:pt>
                <c:pt idx="11">
                  <c:v>2.4765903259347399</c:v>
                </c:pt>
              </c:numCache>
            </c:numRef>
          </c:val>
          <c:smooth val="0"/>
          <c:extLst>
            <c:ext xmlns:c16="http://schemas.microsoft.com/office/drawing/2014/chart" uri="{C3380CC4-5D6E-409C-BE32-E72D297353CC}">
              <c16:uniqueId val="{0000000C-9C20-4062-AE8A-8CEC3BE96C00}"/>
            </c:ext>
          </c:extLst>
        </c:ser>
        <c:ser>
          <c:idx val="2"/>
          <c:order val="1"/>
          <c:tx>
            <c:v>2022</c:v>
          </c:tx>
          <c:spPr>
            <a:ln>
              <a:solidFill>
                <a:srgbClr val="00B050"/>
              </a:solidFill>
            </a:ln>
          </c:spPr>
          <c:marker>
            <c:symbol val="circle"/>
            <c:size val="7"/>
            <c:spPr>
              <a:solidFill>
                <a:srgbClr val="00B050"/>
              </a:solidFill>
              <a:ln>
                <a:solidFill>
                  <a:srgbClr val="00B050"/>
                </a:solidFill>
              </a:ln>
            </c:spPr>
          </c:marker>
          <c:dPt>
            <c:idx val="1"/>
            <c:bubble3D val="0"/>
            <c:extLst>
              <c:ext xmlns:c16="http://schemas.microsoft.com/office/drawing/2014/chart" uri="{C3380CC4-5D6E-409C-BE32-E72D297353CC}">
                <c16:uniqueId val="{0000000D-9C20-4062-AE8A-8CEC3BE96C00}"/>
              </c:ext>
            </c:extLst>
          </c:dPt>
          <c:dLbls>
            <c:dLbl>
              <c:idx val="0"/>
              <c:layout>
                <c:manualLayout>
                  <c:x val="-4.4024790064537578E-2"/>
                  <c:y val="5.09666590659789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6B-4944-8888-EEC2CB86BDE9}"/>
                </c:ext>
              </c:extLst>
            </c:dLbl>
            <c:dLbl>
              <c:idx val="1"/>
              <c:layout>
                <c:manualLayout>
                  <c:x val="-3.7365304921394497E-2"/>
                  <c:y val="4.66828394910148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C20-4062-AE8A-8CEC3BE96C00}"/>
                </c:ext>
              </c:extLst>
            </c:dLbl>
            <c:dLbl>
              <c:idx val="5"/>
              <c:layout>
                <c:manualLayout>
                  <c:x val="-4.1804961683489877E-2"/>
                  <c:y val="2.95475611911582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81-4621-9C98-44D12480AB5A}"/>
                </c:ext>
              </c:extLst>
            </c:dLbl>
            <c:dLbl>
              <c:idx val="7"/>
              <c:layout>
                <c:manualLayout>
                  <c:x val="-3.5630829218226225E-2"/>
                  <c:y val="-5.18450107331606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AA-48CE-AFA0-413B53C8DAB2}"/>
                </c:ext>
              </c:extLst>
            </c:dLbl>
            <c:dLbl>
              <c:idx val="8"/>
              <c:layout>
                <c:manualLayout>
                  <c:x val="-4.4517164983028108E-2"/>
                  <c:y val="4.89095549689495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FA-4B26-8AD6-44A18B9D19ED}"/>
                </c:ext>
              </c:extLst>
            </c:dLbl>
            <c:spPr>
              <a:noFill/>
              <a:ln>
                <a:noFill/>
              </a:ln>
              <a:effectLst/>
            </c:spPr>
            <c:txPr>
              <a:bodyPr/>
              <a:lstStyle/>
              <a:p>
                <a:pPr>
                  <a:defRPr sz="1000" b="0">
                    <a:solidFill>
                      <a:schemeClr val="tx1"/>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CORP'!$O$105:$Z$105</c:f>
              <c:numCache>
                <c:formatCode>0.0</c:formatCode>
                <c:ptCount val="12"/>
                <c:pt idx="0">
                  <c:v>4.7073712113840802</c:v>
                </c:pt>
                <c:pt idx="1">
                  <c:v>3.4599011697683659</c:v>
                </c:pt>
                <c:pt idx="2">
                  <c:v>5.8259125711272013</c:v>
                </c:pt>
                <c:pt idx="3">
                  <c:v>4.3740505587441056</c:v>
                </c:pt>
                <c:pt idx="4">
                  <c:v>3.5021518913635443</c:v>
                </c:pt>
                <c:pt idx="5">
                  <c:v>2.9374031468694533</c:v>
                </c:pt>
                <c:pt idx="6">
                  <c:v>3.1247180016215585</c:v>
                </c:pt>
                <c:pt idx="7">
                  <c:v>2.9649079129069671</c:v>
                </c:pt>
                <c:pt idx="8">
                  <c:v>2.6177237942897404</c:v>
                </c:pt>
                <c:pt idx="9">
                  <c:v>2.7850838757390965</c:v>
                </c:pt>
                <c:pt idx="10">
                  <c:v>2.5392618186015046</c:v>
                </c:pt>
                <c:pt idx="11">
                  <c:v>2.5111534777986058</c:v>
                </c:pt>
              </c:numCache>
            </c:numRef>
          </c:val>
          <c:smooth val="0"/>
          <c:extLst>
            <c:ext xmlns:c16="http://schemas.microsoft.com/office/drawing/2014/chart" uri="{C3380CC4-5D6E-409C-BE32-E72D297353CC}">
              <c16:uniqueId val="{0000000E-9C20-4062-AE8A-8CEC3BE96C00}"/>
            </c:ext>
          </c:extLst>
        </c:ser>
        <c:ser>
          <c:idx val="0"/>
          <c:order val="2"/>
          <c:tx>
            <c:v>OBJ</c:v>
          </c:tx>
          <c:spPr>
            <a:ln>
              <a:solidFill>
                <a:srgbClr val="FF0000"/>
              </a:solidFill>
            </a:ln>
          </c:spPr>
          <c:marker>
            <c:symbol val="none"/>
          </c:marker>
          <c:dLbls>
            <c:delete val="1"/>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CORP'!$O$111:$Z$111</c:f>
              <c:numCache>
                <c:formatCode>General</c:formatCode>
                <c:ptCount val="12"/>
                <c:pt idx="0">
                  <c:v>2.1</c:v>
                </c:pt>
                <c:pt idx="1">
                  <c:v>2.1</c:v>
                </c:pt>
                <c:pt idx="2">
                  <c:v>2.1</c:v>
                </c:pt>
                <c:pt idx="3">
                  <c:v>2.1</c:v>
                </c:pt>
                <c:pt idx="4">
                  <c:v>2.1</c:v>
                </c:pt>
                <c:pt idx="5">
                  <c:v>2.1</c:v>
                </c:pt>
                <c:pt idx="6">
                  <c:v>2.1</c:v>
                </c:pt>
                <c:pt idx="7">
                  <c:v>2.1</c:v>
                </c:pt>
                <c:pt idx="8">
                  <c:v>2.1</c:v>
                </c:pt>
                <c:pt idx="9">
                  <c:v>2.1</c:v>
                </c:pt>
                <c:pt idx="10">
                  <c:v>2.1</c:v>
                </c:pt>
                <c:pt idx="11">
                  <c:v>2.1</c:v>
                </c:pt>
              </c:numCache>
            </c:numRef>
          </c:val>
          <c:smooth val="0"/>
          <c:extLst>
            <c:ext xmlns:c16="http://schemas.microsoft.com/office/drawing/2014/chart" uri="{C3380CC4-5D6E-409C-BE32-E72D297353CC}">
              <c16:uniqueId val="{0000000F-9C20-4062-AE8A-8CEC3BE96C00}"/>
            </c:ext>
          </c:extLst>
        </c:ser>
        <c:dLbls>
          <c:showLegendKey val="0"/>
          <c:showVal val="1"/>
          <c:showCatName val="0"/>
          <c:showSerName val="0"/>
          <c:showPercent val="0"/>
          <c:showBubbleSize val="0"/>
        </c:dLbls>
        <c:marker val="1"/>
        <c:smooth val="0"/>
        <c:axId val="1408371104"/>
        <c:axId val="1408371648"/>
      </c:lineChart>
      <c:catAx>
        <c:axId val="1408371104"/>
        <c:scaling>
          <c:orientation val="minMax"/>
        </c:scaling>
        <c:delete val="0"/>
        <c:axPos val="b"/>
        <c:numFmt formatCode="General" sourceLinked="1"/>
        <c:majorTickMark val="out"/>
        <c:minorTickMark val="none"/>
        <c:tickLblPos val="nextTo"/>
        <c:txPr>
          <a:bodyPr/>
          <a:lstStyle/>
          <a:p>
            <a:pPr>
              <a:defRPr sz="1000"/>
            </a:pPr>
            <a:endParaRPr lang="es-PE"/>
          </a:p>
        </c:txPr>
        <c:crossAx val="1408371648"/>
        <c:crosses val="autoZero"/>
        <c:auto val="1"/>
        <c:lblAlgn val="ctr"/>
        <c:lblOffset val="100"/>
        <c:noMultiLvlLbl val="0"/>
      </c:catAx>
      <c:valAx>
        <c:axId val="1408371648"/>
        <c:scaling>
          <c:orientation val="minMax"/>
          <c:max val="9"/>
          <c:min val="0"/>
        </c:scaling>
        <c:delete val="0"/>
        <c:axPos val="l"/>
        <c:majorGridlines/>
        <c:numFmt formatCode="0.0" sourceLinked="1"/>
        <c:majorTickMark val="out"/>
        <c:minorTickMark val="none"/>
        <c:tickLblPos val="nextTo"/>
        <c:crossAx val="1408371104"/>
        <c:crosses val="autoZero"/>
        <c:crossBetween val="between"/>
      </c:valAx>
    </c:plotArea>
    <c:legend>
      <c:legendPos val="b"/>
      <c:overlay val="0"/>
    </c:legend>
    <c:plotVisOnly val="1"/>
    <c:dispBlanksAs val="gap"/>
    <c:showDLblsOverMax val="0"/>
  </c:chart>
  <c:spPr>
    <a:ln>
      <a:solidFill>
        <a:schemeClr val="bg1">
          <a:lumMod val="85000"/>
        </a:schemeClr>
      </a:solidFill>
    </a:ln>
  </c:spPr>
  <c:printSettings>
    <c:headerFooter/>
    <c:pageMargins b="0.750000000000002" l="0.70000000000000062" r="0.70000000000000062" t="0.750000000000002"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SEVERIDAD PAISES EXT.</a:t>
            </a:r>
            <a:endParaRPr lang="es-PE" sz="1200">
              <a:latin typeface="Arial Nova" panose="020B0504020202020204" pitchFamily="34" charset="0"/>
            </a:endParaRPr>
          </a:p>
        </c:rich>
      </c:tx>
      <c:layout>
        <c:manualLayout>
          <c:xMode val="edge"/>
          <c:yMode val="edge"/>
          <c:x val="0.3187125324193103"/>
          <c:y val="5.1560244756655133E-2"/>
        </c:manualLayout>
      </c:layout>
      <c:overlay val="0"/>
    </c:title>
    <c:autoTitleDeleted val="0"/>
    <c:plotArea>
      <c:layout>
        <c:manualLayout>
          <c:layoutTarget val="inner"/>
          <c:xMode val="edge"/>
          <c:yMode val="edge"/>
          <c:x val="7.2534067654484211E-2"/>
          <c:y val="0.16338997437736646"/>
          <c:w val="0.90345049331719385"/>
          <c:h val="0.6811776145483448"/>
        </c:manualLayout>
      </c:layout>
      <c:lineChart>
        <c:grouping val="standard"/>
        <c:varyColors val="0"/>
        <c:ser>
          <c:idx val="3"/>
          <c:order val="0"/>
          <c:tx>
            <c:v>2023</c:v>
          </c:tx>
          <c:spPr>
            <a:ln>
              <a:solidFill>
                <a:schemeClr val="tx1"/>
              </a:solidFill>
            </a:ln>
          </c:spPr>
          <c:marker>
            <c:symbol val="circle"/>
            <c:size val="7"/>
            <c:spPr>
              <a:solidFill>
                <a:schemeClr val="tx1"/>
              </a:solidFill>
              <a:ln>
                <a:solidFill>
                  <a:schemeClr val="tx1"/>
                </a:solidFill>
              </a:ln>
            </c:spPr>
          </c:marker>
          <c:dPt>
            <c:idx val="1"/>
            <c:bubble3D val="0"/>
            <c:extLst>
              <c:ext xmlns:c16="http://schemas.microsoft.com/office/drawing/2014/chart" uri="{C3380CC4-5D6E-409C-BE32-E72D297353CC}">
                <c16:uniqueId val="{00000000-9EB0-4D5E-B85C-7D94B282B5FB}"/>
              </c:ext>
            </c:extLst>
          </c:dPt>
          <c:dLbls>
            <c:dLbl>
              <c:idx val="0"/>
              <c:layout>
                <c:manualLayout>
                  <c:x val="-4.8372850793531125E-2"/>
                  <c:y val="6.1815405427218077E-2"/>
                </c:manualLayout>
              </c:layout>
              <c:showLegendKey val="0"/>
              <c:showVal val="1"/>
              <c:showCatName val="0"/>
              <c:showSerName val="0"/>
              <c:showPercent val="0"/>
              <c:showBubbleSize val="0"/>
              <c:extLst>
                <c:ext xmlns:c15="http://schemas.microsoft.com/office/drawing/2012/chart" uri="{CE6537A1-D6FC-4f65-9D91-7224C49458BB}">
                  <c15:layout>
                    <c:manualLayout>
                      <c:w val="4.7165974861166603E-2"/>
                      <c:h val="0.12286865408246894"/>
                    </c:manualLayout>
                  </c15:layout>
                </c:ext>
                <c:ext xmlns:c16="http://schemas.microsoft.com/office/drawing/2014/chart" uri="{C3380CC4-5D6E-409C-BE32-E72D297353CC}">
                  <c16:uniqueId val="{00000001-9EB0-4D5E-B85C-7D94B282B5FB}"/>
                </c:ext>
              </c:extLst>
            </c:dLbl>
            <c:dLbl>
              <c:idx val="1"/>
              <c:layout>
                <c:manualLayout>
                  <c:x val="-4.4570058994726498E-2"/>
                  <c:y val="-5.6081501134793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B0-4D5E-B85C-7D94B282B5FB}"/>
                </c:ext>
              </c:extLst>
            </c:dLbl>
            <c:dLbl>
              <c:idx val="2"/>
              <c:layout>
                <c:manualLayout>
                  <c:x val="-3.0121817828592988E-2"/>
                  <c:y val="-4.78830045456400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B0-4D5E-B85C-7D94B282B5FB}"/>
                </c:ext>
              </c:extLst>
            </c:dLbl>
            <c:dLbl>
              <c:idx val="3"/>
              <c:layout>
                <c:manualLayout>
                  <c:x val="-3.2099771934596774E-2"/>
                  <c:y val="-7.21767120139142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B0-4D5E-B85C-7D94B282B5FB}"/>
                </c:ext>
              </c:extLst>
            </c:dLbl>
            <c:dLbl>
              <c:idx val="4"/>
              <c:layout>
                <c:manualLayout>
                  <c:x val="-3.0181276360062834E-2"/>
                  <c:y val="-4.1848046133278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B0-4D5E-B85C-7D94B282B5FB}"/>
                </c:ext>
              </c:extLst>
            </c:dLbl>
            <c:dLbl>
              <c:idx val="5"/>
              <c:layout>
                <c:manualLayout>
                  <c:x val="-2.5230893602939626E-2"/>
                  <c:y val="-3.7837218476376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B0-4D5E-B85C-7D94B282B5FB}"/>
                </c:ext>
              </c:extLst>
            </c:dLbl>
            <c:dLbl>
              <c:idx val="6"/>
              <c:layout>
                <c:manualLayout>
                  <c:x val="-3.5785275540921438E-2"/>
                  <c:y val="-5.09100982711777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EB0-4D5E-B85C-7D94B282B5FB}"/>
                </c:ext>
              </c:extLst>
            </c:dLbl>
            <c:dLbl>
              <c:idx val="7"/>
              <c:layout>
                <c:manualLayout>
                  <c:x val="-3.7422985402979558E-2"/>
                  <c:y val="-4.60264823682777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EB0-4D5E-B85C-7D94B282B5FB}"/>
                </c:ext>
              </c:extLst>
            </c:dLbl>
            <c:dLbl>
              <c:idx val="8"/>
              <c:layout>
                <c:manualLayout>
                  <c:x val="-2.783403583263171E-2"/>
                  <c:y val="-5.25341598163703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EB0-4D5E-B85C-7D94B282B5FB}"/>
                </c:ext>
              </c:extLst>
            </c:dLbl>
            <c:dLbl>
              <c:idx val="9"/>
              <c:layout>
                <c:manualLayout>
                  <c:x val="-2.6669685096419711E-2"/>
                  <c:y val="-5.2053966769894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EB0-4D5E-B85C-7D94B282B5FB}"/>
                </c:ext>
              </c:extLst>
            </c:dLbl>
            <c:dLbl>
              <c:idx val="10"/>
              <c:layout>
                <c:manualLayout>
                  <c:x val="-4.35614884292179E-2"/>
                  <c:y val="-5.37073454007932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EB0-4D5E-B85C-7D94B282B5FB}"/>
                </c:ext>
              </c:extLst>
            </c:dLbl>
            <c:dLbl>
              <c:idx val="11"/>
              <c:layout>
                <c:manualLayout>
                  <c:x val="-3.0253663388700665E-2"/>
                  <c:y val="-4.58920923602816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EB0-4D5E-B85C-7D94B282B5FB}"/>
                </c:ext>
              </c:extLst>
            </c:dLbl>
            <c:spPr>
              <a:ln>
                <a:noFill/>
              </a:ln>
            </c:spPr>
            <c:txPr>
              <a:bodyPr/>
              <a:lstStyle/>
              <a:p>
                <a:pPr>
                  <a:defRPr sz="1200" b="1">
                    <a:solidFill>
                      <a:sysClr val="windowText" lastClr="00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CORP'!$O$104:$Z$104</c:f>
              <c:numCache>
                <c:formatCode>0</c:formatCode>
                <c:ptCount val="12"/>
                <c:pt idx="0">
                  <c:v>87.725207380761432</c:v>
                </c:pt>
                <c:pt idx="1">
                  <c:v>89.644221221373982</c:v>
                </c:pt>
                <c:pt idx="2">
                  <c:v>73.026568263456738</c:v>
                </c:pt>
                <c:pt idx="3">
                  <c:v>58.593427462123508</c:v>
                </c:pt>
                <c:pt idx="4">
                  <c:v>45.472404640833361</c:v>
                </c:pt>
                <c:pt idx="5">
                  <c:v>60.709670025442989</c:v>
                </c:pt>
                <c:pt idx="6">
                  <c:v>51.325308424837324</c:v>
                </c:pt>
                <c:pt idx="7">
                  <c:v>59.255024960742851</c:v>
                </c:pt>
                <c:pt idx="8">
                  <c:v>53.846295277832724</c:v>
                </c:pt>
                <c:pt idx="9">
                  <c:v>53.402837013783724</c:v>
                </c:pt>
                <c:pt idx="10">
                  <c:v>49.63538960351363</c:v>
                </c:pt>
                <c:pt idx="11">
                  <c:v>57.099165847939837</c:v>
                </c:pt>
              </c:numCache>
            </c:numRef>
          </c:val>
          <c:smooth val="0"/>
          <c:extLst>
            <c:ext xmlns:c16="http://schemas.microsoft.com/office/drawing/2014/chart" uri="{C3380CC4-5D6E-409C-BE32-E72D297353CC}">
              <c16:uniqueId val="{0000000C-9EB0-4D5E-B85C-7D94B282B5FB}"/>
            </c:ext>
          </c:extLst>
        </c:ser>
        <c:ser>
          <c:idx val="1"/>
          <c:order val="1"/>
          <c:tx>
            <c:v>2022</c:v>
          </c:tx>
          <c:spPr>
            <a:ln>
              <a:solidFill>
                <a:srgbClr val="00B050"/>
              </a:solidFill>
            </a:ln>
          </c:spPr>
          <c:marker>
            <c:symbol val="circle"/>
            <c:size val="7"/>
            <c:spPr>
              <a:solidFill>
                <a:srgbClr val="00B050"/>
              </a:solidFill>
              <a:ln>
                <a:solidFill>
                  <a:srgbClr val="00B050"/>
                </a:solidFill>
              </a:ln>
            </c:spPr>
          </c:marker>
          <c:dLbls>
            <c:dLbl>
              <c:idx val="1"/>
              <c:layout>
                <c:manualLayout>
                  <c:x val="-3.4613845538215289E-2"/>
                  <c:y val="4.67350345266810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EB-4392-9C84-54B892C33305}"/>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CORP'!$O$106:$Z$106</c:f>
              <c:numCache>
                <c:formatCode>0</c:formatCode>
                <c:ptCount val="12"/>
                <c:pt idx="0">
                  <c:v>110.62322346752589</c:v>
                </c:pt>
                <c:pt idx="1">
                  <c:v>81.884327684517999</c:v>
                </c:pt>
                <c:pt idx="2">
                  <c:v>439.85639912010373</c:v>
                </c:pt>
                <c:pt idx="3">
                  <c:v>330.24081718517994</c:v>
                </c:pt>
                <c:pt idx="4">
                  <c:v>264.41246779794761</c:v>
                </c:pt>
                <c:pt idx="5">
                  <c:v>221.77393758864375</c:v>
                </c:pt>
                <c:pt idx="6">
                  <c:v>191.85768529956371</c:v>
                </c:pt>
                <c:pt idx="7">
                  <c:v>183.55475351724041</c:v>
                </c:pt>
                <c:pt idx="8">
                  <c:v>162.06090035557395</c:v>
                </c:pt>
                <c:pt idx="9">
                  <c:v>150.82300373233261</c:v>
                </c:pt>
                <c:pt idx="10">
                  <c:v>137.51079386888148</c:v>
                </c:pt>
                <c:pt idx="11">
                  <c:v>128.06882736772891</c:v>
                </c:pt>
              </c:numCache>
            </c:numRef>
          </c:val>
          <c:smooth val="0"/>
          <c:extLst>
            <c:ext xmlns:c16="http://schemas.microsoft.com/office/drawing/2014/chart" uri="{C3380CC4-5D6E-409C-BE32-E72D297353CC}">
              <c16:uniqueId val="{0000000D-9EB0-4D5E-B85C-7D94B282B5FB}"/>
            </c:ext>
          </c:extLst>
        </c:ser>
        <c:ser>
          <c:idx val="0"/>
          <c:order val="2"/>
          <c:tx>
            <c:v>OBJ</c:v>
          </c:tx>
          <c:spPr>
            <a:ln>
              <a:solidFill>
                <a:srgbClr val="FF0000"/>
              </a:solidFill>
            </a:ln>
          </c:spPr>
          <c:marker>
            <c:symbol val="none"/>
          </c:marker>
          <c:dLbls>
            <c:delete val="1"/>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CORP'!$O$112:$Z$112</c:f>
              <c:numCache>
                <c:formatCode>0</c:formatCode>
                <c:ptCount val="12"/>
                <c:pt idx="0">
                  <c:v>97</c:v>
                </c:pt>
                <c:pt idx="1">
                  <c:v>97</c:v>
                </c:pt>
                <c:pt idx="2">
                  <c:v>97</c:v>
                </c:pt>
                <c:pt idx="3">
                  <c:v>97</c:v>
                </c:pt>
                <c:pt idx="4">
                  <c:v>97</c:v>
                </c:pt>
                <c:pt idx="5">
                  <c:v>97</c:v>
                </c:pt>
                <c:pt idx="6">
                  <c:v>97</c:v>
                </c:pt>
                <c:pt idx="7">
                  <c:v>97</c:v>
                </c:pt>
                <c:pt idx="8">
                  <c:v>97</c:v>
                </c:pt>
                <c:pt idx="9">
                  <c:v>97</c:v>
                </c:pt>
                <c:pt idx="10">
                  <c:v>97</c:v>
                </c:pt>
                <c:pt idx="11">
                  <c:v>97</c:v>
                </c:pt>
              </c:numCache>
            </c:numRef>
          </c:val>
          <c:smooth val="0"/>
          <c:extLst>
            <c:ext xmlns:c16="http://schemas.microsoft.com/office/drawing/2014/chart" uri="{C3380CC4-5D6E-409C-BE32-E72D297353CC}">
              <c16:uniqueId val="{0000000E-9EB0-4D5E-B85C-7D94B282B5FB}"/>
            </c:ext>
          </c:extLst>
        </c:ser>
        <c:dLbls>
          <c:showLegendKey val="0"/>
          <c:showVal val="1"/>
          <c:showCatName val="0"/>
          <c:showSerName val="0"/>
          <c:showPercent val="0"/>
          <c:showBubbleSize val="0"/>
        </c:dLbls>
        <c:marker val="1"/>
        <c:smooth val="0"/>
        <c:axId val="1408356416"/>
        <c:axId val="1408356960"/>
      </c:lineChart>
      <c:catAx>
        <c:axId val="1408356416"/>
        <c:scaling>
          <c:orientation val="minMax"/>
        </c:scaling>
        <c:delete val="0"/>
        <c:axPos val="b"/>
        <c:numFmt formatCode="General" sourceLinked="1"/>
        <c:majorTickMark val="none"/>
        <c:minorTickMark val="none"/>
        <c:tickLblPos val="nextTo"/>
        <c:txPr>
          <a:bodyPr/>
          <a:lstStyle/>
          <a:p>
            <a:pPr>
              <a:defRPr sz="900"/>
            </a:pPr>
            <a:endParaRPr lang="es-PE"/>
          </a:p>
        </c:txPr>
        <c:crossAx val="1408356960"/>
        <c:crosses val="autoZero"/>
        <c:auto val="1"/>
        <c:lblAlgn val="ctr"/>
        <c:lblOffset val="100"/>
        <c:noMultiLvlLbl val="0"/>
      </c:catAx>
      <c:valAx>
        <c:axId val="1408356960"/>
        <c:scaling>
          <c:orientation val="minMax"/>
        </c:scaling>
        <c:delete val="0"/>
        <c:axPos val="l"/>
        <c:majorGridlines/>
        <c:numFmt formatCode="0" sourceLinked="1"/>
        <c:majorTickMark val="none"/>
        <c:minorTickMark val="none"/>
        <c:tickLblPos val="nextTo"/>
        <c:crossAx val="1408356416"/>
        <c:crosses val="autoZero"/>
        <c:crossBetween val="between"/>
      </c:valAx>
    </c:plotArea>
    <c:legend>
      <c:legendPos val="b"/>
      <c:layout>
        <c:manualLayout>
          <c:xMode val="edge"/>
          <c:yMode val="edge"/>
          <c:x val="0.33137153832581917"/>
          <c:y val="0.91291963162074441"/>
          <c:w val="0.33725675020296969"/>
          <c:h val="7.8408283138803214E-2"/>
        </c:manualLayout>
      </c:layout>
      <c:overlay val="0"/>
    </c:legend>
    <c:plotVisOnly val="1"/>
    <c:dispBlanksAs val="gap"/>
    <c:showDLblsOverMax val="0"/>
  </c:chart>
  <c:spPr>
    <a:ln>
      <a:solidFill>
        <a:schemeClr val="bg1">
          <a:lumMod val="85000"/>
        </a:schemeClr>
      </a:solidFill>
    </a:ln>
  </c:spPr>
  <c:printSettings>
    <c:headerFooter/>
    <c:pageMargins b="0.750000000000002" l="0.70000000000000062" r="0.70000000000000062" t="0.750000000000002"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ysClr val="windowText" lastClr="000000"/>
                </a:solidFill>
                <a:latin typeface="+mn-lt"/>
                <a:ea typeface="+mn-ea"/>
                <a:cs typeface="+mn-cs"/>
              </a:defRPr>
            </a:pPr>
            <a:r>
              <a:rPr lang="es-PE" sz="1400"/>
              <a:t>Accidentes </a:t>
            </a:r>
            <a:r>
              <a:rPr lang="es-PE" sz="1400" baseline="0"/>
              <a:t> </a:t>
            </a:r>
            <a:r>
              <a:rPr lang="es-PE" sz="1400" b="1" i="0" u="none" strike="noStrike" kern="1200" baseline="0">
                <a:solidFill>
                  <a:sysClr val="windowText" lastClr="000000"/>
                </a:solidFill>
                <a:latin typeface="+mn-lt"/>
                <a:ea typeface="+mn-ea"/>
                <a:cs typeface="+mn-cs"/>
              </a:rPr>
              <a:t>Incapacitantes acumulado - Paises Ext. </a:t>
            </a:r>
            <a:endParaRPr lang="es-PE" sz="1200"/>
          </a:p>
        </c:rich>
      </c:tx>
      <c:layout>
        <c:manualLayout>
          <c:xMode val="edge"/>
          <c:yMode val="edge"/>
          <c:x val="0.23381619642846202"/>
          <c:y val="4.725548386415903E-2"/>
        </c:manualLayout>
      </c:layout>
      <c:overlay val="0"/>
    </c:title>
    <c:autoTitleDeleted val="0"/>
    <c:plotArea>
      <c:layout>
        <c:manualLayout>
          <c:layoutTarget val="inner"/>
          <c:xMode val="edge"/>
          <c:yMode val="edge"/>
          <c:x val="6.5568935389925573E-2"/>
          <c:y val="0.18574655048996619"/>
          <c:w val="0.90714605661037973"/>
          <c:h val="0.61388288944289482"/>
        </c:manualLayout>
      </c:layout>
      <c:lineChart>
        <c:grouping val="standard"/>
        <c:varyColors val="0"/>
        <c:ser>
          <c:idx val="0"/>
          <c:order val="0"/>
          <c:tx>
            <c:v>2023</c:v>
          </c:tx>
          <c:spPr>
            <a:ln>
              <a:solidFill>
                <a:schemeClr val="tx1"/>
              </a:solidFill>
            </a:ln>
          </c:spPr>
          <c:marker>
            <c:spPr>
              <a:solidFill>
                <a:schemeClr val="tx1"/>
              </a:solidFill>
              <a:ln>
                <a:solidFill>
                  <a:schemeClr val="tx1"/>
                </a:solidFill>
              </a:ln>
            </c:spPr>
          </c:marker>
          <c:dLbls>
            <c:dLbl>
              <c:idx val="11"/>
              <c:layout>
                <c:manualLayout>
                  <c:x val="-5.3016097535639756E-3"/>
                  <c:y val="-3.17575174306349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8C-416B-B909-45F552B8671D}"/>
                </c:ext>
              </c:extLst>
            </c:dLbl>
            <c:spPr>
              <a:noFill/>
              <a:ln>
                <a:noFill/>
              </a:ln>
              <a:effectLst/>
            </c:spPr>
            <c:txPr>
              <a:bodyPr anchor="b" anchorCtr="0"/>
              <a:lstStyle/>
              <a:p>
                <a:pPr>
                  <a:defRPr sz="1200" b="1">
                    <a:solidFill>
                      <a:schemeClr val="tx1"/>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'BSC CORP'!$O$2:$Z$2</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CORP'!$O$100:$Z$100</c:f>
              <c:numCache>
                <c:formatCode>#,##0</c:formatCode>
                <c:ptCount val="12"/>
                <c:pt idx="0">
                  <c:v>3</c:v>
                </c:pt>
                <c:pt idx="1">
                  <c:v>5</c:v>
                </c:pt>
                <c:pt idx="2">
                  <c:v>8</c:v>
                </c:pt>
                <c:pt idx="3">
                  <c:v>9</c:v>
                </c:pt>
                <c:pt idx="4">
                  <c:v>9</c:v>
                </c:pt>
                <c:pt idx="5">
                  <c:v>12</c:v>
                </c:pt>
                <c:pt idx="6">
                  <c:v>12</c:v>
                </c:pt>
                <c:pt idx="7">
                  <c:v>14</c:v>
                </c:pt>
                <c:pt idx="8">
                  <c:v>15</c:v>
                </c:pt>
                <c:pt idx="9">
                  <c:v>16</c:v>
                </c:pt>
                <c:pt idx="10">
                  <c:v>17</c:v>
                </c:pt>
                <c:pt idx="11">
                  <c:v>18</c:v>
                </c:pt>
              </c:numCache>
            </c:numRef>
          </c:val>
          <c:smooth val="0"/>
          <c:extLst>
            <c:ext xmlns:c16="http://schemas.microsoft.com/office/drawing/2014/chart" uri="{C3380CC4-5D6E-409C-BE32-E72D297353CC}">
              <c16:uniqueId val="{00000011-2D8C-476B-B52C-35261BBC5B0D}"/>
            </c:ext>
          </c:extLst>
        </c:ser>
        <c:ser>
          <c:idx val="1"/>
          <c:order val="1"/>
          <c:tx>
            <c:v>2022</c:v>
          </c:tx>
          <c:spPr>
            <a:ln>
              <a:solidFill>
                <a:schemeClr val="tx2">
                  <a:lumMod val="60000"/>
                  <a:lumOff val="40000"/>
                </a:schemeClr>
              </a:solidFill>
            </a:ln>
          </c:spPr>
          <c:marker>
            <c:symbol val="circle"/>
            <c:size val="5"/>
            <c:spPr>
              <a:solidFill>
                <a:schemeClr val="tx2">
                  <a:lumMod val="60000"/>
                  <a:lumOff val="40000"/>
                </a:schemeClr>
              </a:solidFill>
              <a:ln>
                <a:solidFill>
                  <a:schemeClr val="tx2">
                    <a:lumMod val="60000"/>
                    <a:lumOff val="40000"/>
                  </a:schemeClr>
                </a:solidFill>
              </a:ln>
            </c:spPr>
          </c:marker>
          <c:dLbls>
            <c:numFmt formatCode="#,##0" sourceLinked="0"/>
            <c:spPr>
              <a:noFill/>
              <a:ln>
                <a:noFill/>
              </a:ln>
              <a:effectLst/>
            </c:spPr>
            <c:txPr>
              <a:bodyPr/>
              <a:lstStyle/>
              <a:p>
                <a:pPr>
                  <a:defRPr sz="1000" b="0">
                    <a:solidFill>
                      <a:schemeClr val="tx2">
                        <a:lumMod val="60000"/>
                        <a:lumOff val="40000"/>
                      </a:schemeClr>
                    </a:solidFil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'BSC CORP'!$O$2:$Z$2</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CORP'!$O$132:$Z$132</c:f>
              <c:numCache>
                <c:formatCode>#,##0</c:formatCode>
                <c:ptCount val="12"/>
                <c:pt idx="0">
                  <c:v>2</c:v>
                </c:pt>
                <c:pt idx="1">
                  <c:v>3</c:v>
                </c:pt>
                <c:pt idx="2">
                  <c:v>8</c:v>
                </c:pt>
                <c:pt idx="3">
                  <c:v>8</c:v>
                </c:pt>
                <c:pt idx="4">
                  <c:v>8</c:v>
                </c:pt>
                <c:pt idx="5">
                  <c:v>8</c:v>
                </c:pt>
                <c:pt idx="6">
                  <c:v>10</c:v>
                </c:pt>
                <c:pt idx="7">
                  <c:v>11</c:v>
                </c:pt>
                <c:pt idx="8">
                  <c:v>11</c:v>
                </c:pt>
                <c:pt idx="9">
                  <c:v>13</c:v>
                </c:pt>
                <c:pt idx="10">
                  <c:v>13</c:v>
                </c:pt>
                <c:pt idx="11">
                  <c:v>14</c:v>
                </c:pt>
              </c:numCache>
            </c:numRef>
          </c:val>
          <c:smooth val="0"/>
          <c:extLst>
            <c:ext xmlns:c16="http://schemas.microsoft.com/office/drawing/2014/chart" uri="{C3380CC4-5D6E-409C-BE32-E72D297353CC}">
              <c16:uniqueId val="{00000012-2D8C-476B-B52C-35261BBC5B0D}"/>
            </c:ext>
          </c:extLst>
        </c:ser>
        <c:ser>
          <c:idx val="2"/>
          <c:order val="2"/>
          <c:tx>
            <c:v>OBJ</c:v>
          </c:tx>
          <c:spPr>
            <a:ln>
              <a:solidFill>
                <a:srgbClr val="FF0000"/>
              </a:solidFill>
              <a:prstDash val="dash"/>
            </a:ln>
          </c:spPr>
          <c:marker>
            <c:symbol val="none"/>
          </c:marker>
          <c:dPt>
            <c:idx val="10"/>
            <c:bubble3D val="0"/>
            <c:extLst>
              <c:ext xmlns:c16="http://schemas.microsoft.com/office/drawing/2014/chart" uri="{C3380CC4-5D6E-409C-BE32-E72D297353CC}">
                <c16:uniqueId val="{00000001-A151-4167-B54F-C14E6059ABE5}"/>
              </c:ext>
            </c:extLst>
          </c:dPt>
          <c:dLbls>
            <c:dLbl>
              <c:idx val="0"/>
              <c:delete val="1"/>
              <c:extLst>
                <c:ext xmlns:c15="http://schemas.microsoft.com/office/drawing/2012/chart" uri="{CE6537A1-D6FC-4f65-9D91-7224C49458BB}"/>
                <c:ext xmlns:c16="http://schemas.microsoft.com/office/drawing/2014/chart" uri="{C3380CC4-5D6E-409C-BE32-E72D297353CC}">
                  <c16:uniqueId val="{00000003-A151-4167-B54F-C14E6059ABE5}"/>
                </c:ext>
              </c:extLst>
            </c:dLbl>
            <c:dLbl>
              <c:idx val="1"/>
              <c:delete val="1"/>
              <c:extLst>
                <c:ext xmlns:c15="http://schemas.microsoft.com/office/drawing/2012/chart" uri="{CE6537A1-D6FC-4f65-9D91-7224C49458BB}"/>
                <c:ext xmlns:c16="http://schemas.microsoft.com/office/drawing/2014/chart" uri="{C3380CC4-5D6E-409C-BE32-E72D297353CC}">
                  <c16:uniqueId val="{00000004-A151-4167-B54F-C14E6059ABE5}"/>
                </c:ext>
              </c:extLst>
            </c:dLbl>
            <c:dLbl>
              <c:idx val="2"/>
              <c:delete val="1"/>
              <c:extLst>
                <c:ext xmlns:c15="http://schemas.microsoft.com/office/drawing/2012/chart" uri="{CE6537A1-D6FC-4f65-9D91-7224C49458BB}"/>
                <c:ext xmlns:c16="http://schemas.microsoft.com/office/drawing/2014/chart" uri="{C3380CC4-5D6E-409C-BE32-E72D297353CC}">
                  <c16:uniqueId val="{00000005-A151-4167-B54F-C14E6059ABE5}"/>
                </c:ext>
              </c:extLst>
            </c:dLbl>
            <c:dLbl>
              <c:idx val="3"/>
              <c:delete val="1"/>
              <c:extLst>
                <c:ext xmlns:c15="http://schemas.microsoft.com/office/drawing/2012/chart" uri="{CE6537A1-D6FC-4f65-9D91-7224C49458BB}"/>
                <c:ext xmlns:c16="http://schemas.microsoft.com/office/drawing/2014/chart" uri="{C3380CC4-5D6E-409C-BE32-E72D297353CC}">
                  <c16:uniqueId val="{00000006-A151-4167-B54F-C14E6059ABE5}"/>
                </c:ext>
              </c:extLst>
            </c:dLbl>
            <c:dLbl>
              <c:idx val="4"/>
              <c:delete val="1"/>
              <c:extLst>
                <c:ext xmlns:c15="http://schemas.microsoft.com/office/drawing/2012/chart" uri="{CE6537A1-D6FC-4f65-9D91-7224C49458BB}"/>
                <c:ext xmlns:c16="http://schemas.microsoft.com/office/drawing/2014/chart" uri="{C3380CC4-5D6E-409C-BE32-E72D297353CC}">
                  <c16:uniqueId val="{00000007-A151-4167-B54F-C14E6059ABE5}"/>
                </c:ext>
              </c:extLst>
            </c:dLbl>
            <c:dLbl>
              <c:idx val="5"/>
              <c:delete val="1"/>
              <c:extLst>
                <c:ext xmlns:c15="http://schemas.microsoft.com/office/drawing/2012/chart" uri="{CE6537A1-D6FC-4f65-9D91-7224C49458BB}"/>
                <c:ext xmlns:c16="http://schemas.microsoft.com/office/drawing/2014/chart" uri="{C3380CC4-5D6E-409C-BE32-E72D297353CC}">
                  <c16:uniqueId val="{00000008-A151-4167-B54F-C14E6059ABE5}"/>
                </c:ext>
              </c:extLst>
            </c:dLbl>
            <c:dLbl>
              <c:idx val="6"/>
              <c:delete val="1"/>
              <c:extLst>
                <c:ext xmlns:c15="http://schemas.microsoft.com/office/drawing/2012/chart" uri="{CE6537A1-D6FC-4f65-9D91-7224C49458BB}"/>
                <c:ext xmlns:c16="http://schemas.microsoft.com/office/drawing/2014/chart" uri="{C3380CC4-5D6E-409C-BE32-E72D297353CC}">
                  <c16:uniqueId val="{00000009-A151-4167-B54F-C14E6059ABE5}"/>
                </c:ext>
              </c:extLst>
            </c:dLbl>
            <c:dLbl>
              <c:idx val="7"/>
              <c:delete val="1"/>
              <c:extLst>
                <c:ext xmlns:c15="http://schemas.microsoft.com/office/drawing/2012/chart" uri="{CE6537A1-D6FC-4f65-9D91-7224C49458BB}"/>
                <c:ext xmlns:c16="http://schemas.microsoft.com/office/drawing/2014/chart" uri="{C3380CC4-5D6E-409C-BE32-E72D297353CC}">
                  <c16:uniqueId val="{0000000A-A151-4167-B54F-C14E6059ABE5}"/>
                </c:ext>
              </c:extLst>
            </c:dLbl>
            <c:dLbl>
              <c:idx val="8"/>
              <c:delete val="1"/>
              <c:extLst>
                <c:ext xmlns:c15="http://schemas.microsoft.com/office/drawing/2012/chart" uri="{CE6537A1-D6FC-4f65-9D91-7224C49458BB}"/>
                <c:ext xmlns:c16="http://schemas.microsoft.com/office/drawing/2014/chart" uri="{C3380CC4-5D6E-409C-BE32-E72D297353CC}">
                  <c16:uniqueId val="{0000000B-A151-4167-B54F-C14E6059ABE5}"/>
                </c:ext>
              </c:extLst>
            </c:dLbl>
            <c:dLbl>
              <c:idx val="9"/>
              <c:delete val="1"/>
              <c:extLst>
                <c:ext xmlns:c15="http://schemas.microsoft.com/office/drawing/2012/chart" uri="{CE6537A1-D6FC-4f65-9D91-7224C49458BB}"/>
                <c:ext xmlns:c16="http://schemas.microsoft.com/office/drawing/2014/chart" uri="{C3380CC4-5D6E-409C-BE32-E72D297353CC}">
                  <c16:uniqueId val="{0000000C-A151-4167-B54F-C14E6059ABE5}"/>
                </c:ext>
              </c:extLst>
            </c:dLbl>
            <c:dLbl>
              <c:idx val="10"/>
              <c:delete val="1"/>
              <c:extLst>
                <c:ext xmlns:c15="http://schemas.microsoft.com/office/drawing/2012/chart" uri="{CE6537A1-D6FC-4f65-9D91-7224C49458BB}"/>
                <c:ext xmlns:c16="http://schemas.microsoft.com/office/drawing/2014/chart" uri="{C3380CC4-5D6E-409C-BE32-E72D297353CC}">
                  <c16:uniqueId val="{00000001-A151-4167-B54F-C14E6059ABE5}"/>
                </c:ext>
              </c:extLst>
            </c:dLbl>
            <c:dLbl>
              <c:idx val="11"/>
              <c:spPr>
                <a:noFill/>
                <a:ln>
                  <a:noFill/>
                </a:ln>
                <a:effectLst/>
              </c:spPr>
              <c:txPr>
                <a:bodyPr wrap="square" lIns="38100" tIns="19050" rIns="38100" bIns="19050" anchor="ctr">
                  <a:spAutoFit/>
                </a:bodyPr>
                <a:lstStyle/>
                <a:p>
                  <a:pPr>
                    <a:defRPr>
                      <a:solidFill>
                        <a:srgbClr val="FF0000"/>
                      </a:solidFill>
                    </a:defRPr>
                  </a:pPr>
                  <a:endParaRPr lang="es-PE"/>
                </a:p>
              </c:txPr>
              <c:showLegendKey val="0"/>
              <c:showVal val="1"/>
              <c:showCatName val="0"/>
              <c:showSerName val="0"/>
              <c:showPercent val="0"/>
              <c:showBubbleSize val="0"/>
              <c:extLst>
                <c:ext xmlns:c16="http://schemas.microsoft.com/office/drawing/2014/chart" uri="{C3380CC4-5D6E-409C-BE32-E72D297353CC}">
                  <c16:uniqueId val="{00000002-A151-4167-B54F-C14E6059ABE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'BSC CORP'!$O$2:$Z$2</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CORP'!$O$130:$Z$130</c:f>
              <c:numCache>
                <c:formatCode>#,##0</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smooth val="0"/>
          <c:extLst>
            <c:ext xmlns:c16="http://schemas.microsoft.com/office/drawing/2014/chart" uri="{C3380CC4-5D6E-409C-BE32-E72D297353CC}">
              <c16:uniqueId val="{00000000-A151-4167-B54F-C14E6059ABE5}"/>
            </c:ext>
          </c:extLst>
        </c:ser>
        <c:dLbls>
          <c:showLegendKey val="0"/>
          <c:showVal val="0"/>
          <c:showCatName val="0"/>
          <c:showSerName val="0"/>
          <c:showPercent val="0"/>
          <c:showBubbleSize val="0"/>
        </c:dLbls>
        <c:marker val="1"/>
        <c:smooth val="0"/>
        <c:axId val="1408364032"/>
        <c:axId val="1408364576"/>
      </c:lineChart>
      <c:catAx>
        <c:axId val="1408364032"/>
        <c:scaling>
          <c:orientation val="minMax"/>
        </c:scaling>
        <c:delete val="0"/>
        <c:axPos val="b"/>
        <c:numFmt formatCode="General" sourceLinked="1"/>
        <c:majorTickMark val="none"/>
        <c:minorTickMark val="none"/>
        <c:tickLblPos val="nextTo"/>
        <c:crossAx val="1408364576"/>
        <c:crosses val="autoZero"/>
        <c:auto val="1"/>
        <c:lblAlgn val="ctr"/>
        <c:lblOffset val="100"/>
        <c:noMultiLvlLbl val="0"/>
      </c:catAx>
      <c:valAx>
        <c:axId val="1408364576"/>
        <c:scaling>
          <c:orientation val="minMax"/>
        </c:scaling>
        <c:delete val="0"/>
        <c:axPos val="l"/>
        <c:majorGridlines/>
        <c:numFmt formatCode="#,##0" sourceLinked="1"/>
        <c:majorTickMark val="none"/>
        <c:minorTickMark val="none"/>
        <c:tickLblPos val="nextTo"/>
        <c:spPr>
          <a:ln w="9525">
            <a:noFill/>
          </a:ln>
        </c:spPr>
        <c:crossAx val="1408364032"/>
        <c:crosses val="autoZero"/>
        <c:crossBetween val="between"/>
      </c:valAx>
      <c:spPr>
        <a:noFill/>
      </c:spPr>
    </c:plotArea>
    <c:legend>
      <c:legendPos val="b"/>
      <c:overlay val="0"/>
    </c:legend>
    <c:plotVisOnly val="1"/>
    <c:dispBlanksAs val="gap"/>
    <c:showDLblsOverMax val="0"/>
  </c:chart>
  <c:spPr>
    <a:ln>
      <a:solidFill>
        <a:schemeClr val="bg1">
          <a:lumMod val="85000"/>
        </a:schemeClr>
      </a:solidFill>
    </a:ln>
  </c:spPr>
  <c:printSettings>
    <c:headerFooter/>
    <c:pageMargins b="0.75000000000000244" l="0.70000000000000062" r="0.70000000000000062" t="0.750000000000002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sz="1400"/>
            </a:pPr>
            <a:r>
              <a:rPr lang="en-US" sz="1400"/>
              <a:t>Accidentes Incapacitantes  Ext. </a:t>
            </a:r>
            <a:endParaRPr lang="en-US" sz="1400" b="0"/>
          </a:p>
        </c:rich>
      </c:tx>
      <c:layout>
        <c:manualLayout>
          <c:xMode val="edge"/>
          <c:yMode val="edge"/>
          <c:x val="0.32998780333410266"/>
          <c:y val="5.1361099069912465E-2"/>
        </c:manualLayout>
      </c:layout>
      <c:overlay val="1"/>
    </c:title>
    <c:autoTitleDeleted val="0"/>
    <c:plotArea>
      <c:layout>
        <c:manualLayout>
          <c:layoutTarget val="inner"/>
          <c:xMode val="edge"/>
          <c:yMode val="edge"/>
          <c:x val="3.8873330929158685E-2"/>
          <c:y val="0.19646641695021874"/>
          <c:w val="0.94061385157001609"/>
          <c:h val="0.7125616904469162"/>
        </c:manualLayout>
      </c:layout>
      <c:barChart>
        <c:barDir val="col"/>
        <c:grouping val="clustered"/>
        <c:varyColors val="0"/>
        <c:ser>
          <c:idx val="0"/>
          <c:order val="0"/>
          <c:tx>
            <c:v>2023</c:v>
          </c:tx>
          <c:spPr>
            <a:solidFill>
              <a:schemeClr val="tx1">
                <a:lumMod val="50000"/>
                <a:lumOff val="50000"/>
              </a:schemeClr>
            </a:solidFill>
            <a:scene3d>
              <a:camera prst="orthographicFront"/>
              <a:lightRig rig="threePt" dir="t"/>
            </a:scene3d>
          </c:spPr>
          <c:invertIfNegative val="0"/>
          <c:dLbls>
            <c:dLbl>
              <c:idx val="0"/>
              <c:layout>
                <c:manualLayout>
                  <c:x val="0"/>
                  <c:y val="1.61498009759566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9F-4B04-AB3D-CF68F039F123}"/>
                </c:ext>
              </c:extLst>
            </c:dLbl>
            <c:spPr>
              <a:noFill/>
              <a:ln>
                <a:noFill/>
              </a:ln>
              <a:effectLst/>
            </c:spPr>
            <c:txPr>
              <a:bodyPr/>
              <a:lstStyle/>
              <a:p>
                <a:pPr>
                  <a:defRPr sz="1200" b="1"/>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'BSC CORP'!$B$2:$M$2</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CORP'!$B$100:$M$100</c:f>
              <c:numCache>
                <c:formatCode>0</c:formatCode>
                <c:ptCount val="12"/>
                <c:pt idx="0">
                  <c:v>3</c:v>
                </c:pt>
                <c:pt idx="1">
                  <c:v>2</c:v>
                </c:pt>
                <c:pt idx="2">
                  <c:v>3</c:v>
                </c:pt>
                <c:pt idx="3">
                  <c:v>1</c:v>
                </c:pt>
                <c:pt idx="4">
                  <c:v>0</c:v>
                </c:pt>
                <c:pt idx="5">
                  <c:v>3</c:v>
                </c:pt>
                <c:pt idx="6">
                  <c:v>0</c:v>
                </c:pt>
                <c:pt idx="7">
                  <c:v>2</c:v>
                </c:pt>
                <c:pt idx="8">
                  <c:v>1</c:v>
                </c:pt>
                <c:pt idx="9">
                  <c:v>1</c:v>
                </c:pt>
                <c:pt idx="10">
                  <c:v>1</c:v>
                </c:pt>
                <c:pt idx="11">
                  <c:v>1</c:v>
                </c:pt>
              </c:numCache>
            </c:numRef>
          </c:val>
          <c:extLst>
            <c:ext xmlns:c16="http://schemas.microsoft.com/office/drawing/2014/chart" uri="{C3380CC4-5D6E-409C-BE32-E72D297353CC}">
              <c16:uniqueId val="{00000001-EA9F-4B04-AB3D-CF68F039F123}"/>
            </c:ext>
          </c:extLst>
        </c:ser>
        <c:ser>
          <c:idx val="1"/>
          <c:order val="1"/>
          <c:tx>
            <c:v>2022</c:v>
          </c:tx>
          <c:spPr>
            <a:solidFill>
              <a:srgbClr val="0070C0"/>
            </a:solidFill>
            <a:ln>
              <a:noFill/>
            </a:ln>
            <a:scene3d>
              <a:camera prst="orthographicFront"/>
              <a:lightRig rig="threePt" dir="t"/>
            </a:scene3d>
          </c:spPr>
          <c:invertIfNegative val="0"/>
          <c:dLbls>
            <c:dLbl>
              <c:idx val="8"/>
              <c:layout>
                <c:manualLayout>
                  <c:x val="3.6106774270540098E-3"/>
                  <c:y val="2.339170823146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9F-4B04-AB3D-CF68F039F123}"/>
                </c:ext>
              </c:extLst>
            </c:dLbl>
            <c:spPr>
              <a:noFill/>
              <a:ln>
                <a:noFill/>
              </a:ln>
              <a:effectLst/>
            </c:spPr>
            <c:txPr>
              <a:bodyPr/>
              <a:lstStyle/>
              <a:p>
                <a:pPr>
                  <a:defRPr sz="1000" b="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'BSC CORP'!$B$2:$M$2</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'BSC CORP'!$B$131:$M$131</c:f>
              <c:numCache>
                <c:formatCode>General</c:formatCode>
                <c:ptCount val="12"/>
                <c:pt idx="0">
                  <c:v>0</c:v>
                </c:pt>
                <c:pt idx="1">
                  <c:v>2</c:v>
                </c:pt>
                <c:pt idx="2">
                  <c:v>1</c:v>
                </c:pt>
                <c:pt idx="3">
                  <c:v>2</c:v>
                </c:pt>
                <c:pt idx="4">
                  <c:v>0</c:v>
                </c:pt>
                <c:pt idx="5">
                  <c:v>1</c:v>
                </c:pt>
                <c:pt idx="6">
                  <c:v>2</c:v>
                </c:pt>
                <c:pt idx="7">
                  <c:v>2</c:v>
                </c:pt>
                <c:pt idx="8">
                  <c:v>0</c:v>
                </c:pt>
                <c:pt idx="9">
                  <c:v>1</c:v>
                </c:pt>
                <c:pt idx="10">
                  <c:v>1</c:v>
                </c:pt>
                <c:pt idx="11">
                  <c:v>3</c:v>
                </c:pt>
              </c:numCache>
            </c:numRef>
          </c:val>
          <c:extLst>
            <c:ext xmlns:c16="http://schemas.microsoft.com/office/drawing/2014/chart" uri="{C3380CC4-5D6E-409C-BE32-E72D297353CC}">
              <c16:uniqueId val="{00000003-EA9F-4B04-AB3D-CF68F039F123}"/>
            </c:ext>
          </c:extLst>
        </c:ser>
        <c:dLbls>
          <c:showLegendKey val="0"/>
          <c:showVal val="0"/>
          <c:showCatName val="0"/>
          <c:showSerName val="0"/>
          <c:showPercent val="0"/>
          <c:showBubbleSize val="0"/>
        </c:dLbls>
        <c:gapWidth val="150"/>
        <c:axId val="1408380352"/>
        <c:axId val="1408366208"/>
      </c:barChart>
      <c:catAx>
        <c:axId val="1408380352"/>
        <c:scaling>
          <c:orientation val="minMax"/>
        </c:scaling>
        <c:delete val="0"/>
        <c:axPos val="b"/>
        <c:numFmt formatCode="General" sourceLinked="0"/>
        <c:majorTickMark val="out"/>
        <c:minorTickMark val="none"/>
        <c:tickLblPos val="nextTo"/>
        <c:crossAx val="1408366208"/>
        <c:crosses val="autoZero"/>
        <c:auto val="1"/>
        <c:lblAlgn val="ctr"/>
        <c:lblOffset val="100"/>
        <c:noMultiLvlLbl val="0"/>
      </c:catAx>
      <c:valAx>
        <c:axId val="1408366208"/>
        <c:scaling>
          <c:orientation val="minMax"/>
        </c:scaling>
        <c:delete val="1"/>
        <c:axPos val="l"/>
        <c:majorGridlines/>
        <c:numFmt formatCode="0" sourceLinked="1"/>
        <c:majorTickMark val="out"/>
        <c:minorTickMark val="none"/>
        <c:tickLblPos val="nextTo"/>
        <c:crossAx val="1408380352"/>
        <c:crosses val="autoZero"/>
        <c:crossBetween val="between"/>
        <c:majorUnit val="1"/>
      </c:valAx>
    </c:plotArea>
    <c:legend>
      <c:legendPos val="b"/>
      <c:layout>
        <c:manualLayout>
          <c:xMode val="edge"/>
          <c:yMode val="edge"/>
          <c:x val="3.5792642686875528E-2"/>
          <c:y val="7.0618387192750764E-2"/>
          <c:w val="0.16549484546287677"/>
          <c:h val="7.2770984006753206E-2"/>
        </c:manualLayout>
      </c:layout>
      <c:overlay val="0"/>
    </c:legend>
    <c:plotVisOnly val="1"/>
    <c:dispBlanksAs val="gap"/>
    <c:showDLblsOverMax val="0"/>
  </c:chart>
  <c:spPr>
    <a:ln>
      <a:solidFill>
        <a:schemeClr val="bg1">
          <a:lumMod val="85000"/>
        </a:schemeClr>
      </a:solidFill>
    </a:ln>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a:t>
            </a:r>
            <a:r>
              <a:rPr lang="es-PE" baseline="0"/>
              <a:t> Det&amp;Jab</a:t>
            </a:r>
            <a:endParaRPr lang="es-PE"/>
          </a:p>
        </c:rich>
      </c:tx>
      <c:layout>
        <c:manualLayout>
          <c:xMode val="edge"/>
          <c:yMode val="edge"/>
          <c:x val="0.25472133261922192"/>
          <c:y val="3.24245018622995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4"/>
              <c:layout>
                <c:manualLayout>
                  <c:x val="-2.7483867004918475E-3"/>
                  <c:y val="-2.8109874638179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A4-4D54-AEDB-7910413B918A}"/>
                </c:ext>
              </c:extLst>
            </c:dLbl>
            <c:dLbl>
              <c:idx val="5"/>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s-PE"/>
                </a:p>
              </c:txPr>
              <c:showLegendKey val="0"/>
              <c:showVal val="1"/>
              <c:showCatName val="0"/>
              <c:showSerName val="0"/>
              <c:showPercent val="0"/>
              <c:showBubbleSize val="0"/>
              <c:extLst>
                <c:ext xmlns:c16="http://schemas.microsoft.com/office/drawing/2014/chart" uri="{C3380CC4-5D6E-409C-BE32-E72D297353CC}">
                  <c16:uniqueId val="{00000000-F2FE-466E-9EFE-D34042CB3F3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CORP'!$AA$194:$AF$194</c:f>
              <c:numCache>
                <c:formatCode>0.0</c:formatCode>
                <c:ptCount val="6"/>
                <c:pt idx="0">
                  <c:v>10.10249996464125</c:v>
                </c:pt>
                <c:pt idx="1">
                  <c:v>1.8593339493926486</c:v>
                </c:pt>
                <c:pt idx="2">
                  <c:v>5.3825755265055957</c:v>
                </c:pt>
                <c:pt idx="3">
                  <c:v>9.6988694997711082</c:v>
                </c:pt>
                <c:pt idx="4">
                  <c:v>4.1846634219762917</c:v>
                </c:pt>
                <c:pt idx="5" formatCode="#,##0.0">
                  <c:v>7.6975311580024757</c:v>
                </c:pt>
              </c:numCache>
            </c:numRef>
          </c:val>
          <c:extLst>
            <c:ext xmlns:c16="http://schemas.microsoft.com/office/drawing/2014/chart" uri="{C3380CC4-5D6E-409C-BE32-E72D297353CC}">
              <c16:uniqueId val="{00000000-40A4-4D54-AEDB-7910413B918A}"/>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Fideeria</a:t>
            </a:r>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4"/>
              <c:layout>
                <c:manualLayout>
                  <c:x val="-1.612250966003637E-16"/>
                  <c:y val="-4.692590953128036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37-4DED-8B7F-BF2A6E5776A1}"/>
                </c:ext>
              </c:extLst>
            </c:dLbl>
            <c:dLbl>
              <c:idx val="5"/>
              <c:layout>
                <c:manualLayout>
                  <c:x val="0"/>
                  <c:y val="-3.77229030001589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FE-4052-89B2-C6D03C6B900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CORP'!$AA$190:$AF$190</c:f>
              <c:numCache>
                <c:formatCode>0.0</c:formatCode>
                <c:ptCount val="6"/>
                <c:pt idx="0">
                  <c:v>2.7423105611864331</c:v>
                </c:pt>
                <c:pt idx="1">
                  <c:v>7.9473988163674028</c:v>
                </c:pt>
                <c:pt idx="2">
                  <c:v>5.4911715689100848</c:v>
                </c:pt>
                <c:pt idx="3">
                  <c:v>10.1</c:v>
                </c:pt>
                <c:pt idx="4">
                  <c:v>0</c:v>
                </c:pt>
                <c:pt idx="5">
                  <c:v>0</c:v>
                </c:pt>
              </c:numCache>
            </c:numRef>
          </c:val>
          <c:extLst>
            <c:ext xmlns:c16="http://schemas.microsoft.com/office/drawing/2014/chart" uri="{C3380CC4-5D6E-409C-BE32-E72D297353CC}">
              <c16:uniqueId val="{00000000-8E37-4DED-8B7F-BF2A6E5776A1}"/>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Perú </a:t>
            </a:r>
            <a:r>
              <a:rPr lang="es-PE" sz="1200" b="0"/>
              <a:t>(sin</a:t>
            </a:r>
            <a:r>
              <a:rPr lang="es-PE" sz="1200" b="0" baseline="0"/>
              <a:t> ITDC)</a:t>
            </a:r>
            <a:endParaRPr lang="es-PE" sz="1200" b="0"/>
          </a:p>
        </c:rich>
      </c:tx>
      <c:layout>
        <c:manualLayout>
          <c:xMode val="edge"/>
          <c:yMode val="edge"/>
          <c:x val="0.24622877521457157"/>
          <c:y val="3.716310337667021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CORP'!$AA$200:$AF$200</c:f>
              <c:numCache>
                <c:formatCode>0.0</c:formatCode>
                <c:ptCount val="6"/>
                <c:pt idx="0">
                  <c:v>4.2897689373360217</c:v>
                </c:pt>
                <c:pt idx="1">
                  <c:v>4.4000000000000004</c:v>
                </c:pt>
                <c:pt idx="2">
                  <c:v>3.4314295490496374</c:v>
                </c:pt>
                <c:pt idx="3">
                  <c:v>3.5672097002302658</c:v>
                </c:pt>
                <c:pt idx="4">
                  <c:v>2.717775625520102</c:v>
                </c:pt>
                <c:pt idx="5">
                  <c:v>3.703675064513702</c:v>
                </c:pt>
              </c:numCache>
            </c:numRef>
          </c:val>
          <c:extLst>
            <c:ext xmlns:c16="http://schemas.microsoft.com/office/drawing/2014/chart" uri="{C3380CC4-5D6E-409C-BE32-E72D297353CC}">
              <c16:uniqueId val="{00000000-499E-4803-85FC-2EF81608118D}"/>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solo</a:t>
            </a:r>
            <a:r>
              <a:rPr lang="es-PE" baseline="0"/>
              <a:t> </a:t>
            </a:r>
            <a:r>
              <a:rPr lang="es-PE" sz="1600" baseline="0"/>
              <a:t>Alicorp </a:t>
            </a:r>
            <a:r>
              <a:rPr lang="es-PE" sz="1200" b="0" baseline="0"/>
              <a:t>(sin Subsidiarias)</a:t>
            </a:r>
            <a:endParaRPr lang="es-PE" sz="1200" b="0"/>
          </a:p>
        </c:rich>
      </c:tx>
      <c:layout>
        <c:manualLayout>
          <c:xMode val="edge"/>
          <c:yMode val="edge"/>
          <c:x val="0.15464835780439157"/>
          <c:y val="3.720866854489099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solidFill>
              <a:srgbClr val="0070C0"/>
            </a:solidFill>
            <a:ln>
              <a:solidFill>
                <a:srgbClr val="0070C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CORP'!$AA$202:$AF$202</c:f>
              <c:numCache>
                <c:formatCode>0.0</c:formatCode>
                <c:ptCount val="6"/>
                <c:pt idx="0">
                  <c:v>4.3645582994258341</c:v>
                </c:pt>
                <c:pt idx="1">
                  <c:v>4.2481716754144783</c:v>
                </c:pt>
                <c:pt idx="2">
                  <c:v>3.3907688623445496</c:v>
                </c:pt>
                <c:pt idx="3">
                  <c:v>3.518227070325409</c:v>
                </c:pt>
                <c:pt idx="4">
                  <c:v>2.5600724458987503</c:v>
                </c:pt>
                <c:pt idx="5">
                  <c:v>3.8772189198070364</c:v>
                </c:pt>
              </c:numCache>
            </c:numRef>
          </c:val>
          <c:extLst>
            <c:ext xmlns:c16="http://schemas.microsoft.com/office/drawing/2014/chart" uri="{C3380CC4-5D6E-409C-BE32-E72D297353CC}">
              <c16:uniqueId val="{00000000-2F96-4467-B575-336993DC0D0B}"/>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Mol.Paita</a:t>
            </a:r>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solidFill>
              <a:srgbClr val="0070C0"/>
            </a:solidFill>
            <a:ln>
              <a:solidFill>
                <a:srgbClr val="0070C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3"/>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extLst>
                <c:ext xmlns:c16="http://schemas.microsoft.com/office/drawing/2014/chart" uri="{C3380CC4-5D6E-409C-BE32-E72D297353CC}">
                  <c16:uniqueId val="{00000001-DF2C-44DA-9E93-50DDE68D4A1D}"/>
                </c:ext>
              </c:extLst>
            </c:dLbl>
            <c:dLbl>
              <c:idx val="4"/>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extLst>
                <c:ext xmlns:c16="http://schemas.microsoft.com/office/drawing/2014/chart" uri="{C3380CC4-5D6E-409C-BE32-E72D297353CC}">
                  <c16:uniqueId val="{00000002-DF2C-44DA-9E93-50DDE68D4A1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CORP'!$AA$204:$AF$204</c:f>
              <c:numCache>
                <c:formatCode>0.0</c:formatCode>
                <c:ptCount val="6"/>
                <c:pt idx="0">
                  <c:v>0</c:v>
                </c:pt>
                <c:pt idx="1">
                  <c:v>0</c:v>
                </c:pt>
                <c:pt idx="2">
                  <c:v>0</c:v>
                </c:pt>
                <c:pt idx="3">
                  <c:v>7.5</c:v>
                </c:pt>
                <c:pt idx="4">
                  <c:v>7</c:v>
                </c:pt>
                <c:pt idx="5">
                  <c:v>0</c:v>
                </c:pt>
              </c:numCache>
            </c:numRef>
          </c:val>
          <c:extLst>
            <c:ext xmlns:c16="http://schemas.microsoft.com/office/drawing/2014/chart" uri="{C3380CC4-5D6E-409C-BE32-E72D297353CC}">
              <c16:uniqueId val="{00000000-DF2C-44DA-9E93-50DDE68D4A1D}"/>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PROYECTOS</a:t>
            </a:r>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solidFill>
              <a:srgbClr val="0070C0"/>
            </a:solidFill>
            <a:ln>
              <a:solidFill>
                <a:srgbClr val="0070C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2"/>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s-PE"/>
                </a:p>
              </c:txPr>
              <c:showLegendKey val="0"/>
              <c:showVal val="1"/>
              <c:showCatName val="0"/>
              <c:showSerName val="0"/>
              <c:showPercent val="0"/>
              <c:showBubbleSize val="0"/>
              <c:extLst>
                <c:ext xmlns:c16="http://schemas.microsoft.com/office/drawing/2014/chart" uri="{C3380CC4-5D6E-409C-BE32-E72D297353CC}">
                  <c16:uniqueId val="{00000003-8970-4ED8-B3DA-A065D612138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CORP'!$AA$206:$AF$206</c:f>
              <c:numCache>
                <c:formatCode>0.0</c:formatCode>
                <c:ptCount val="6"/>
                <c:pt idx="0">
                  <c:v>3.7187854446737694</c:v>
                </c:pt>
                <c:pt idx="1">
                  <c:v>11.819772114793627</c:v>
                </c:pt>
                <c:pt idx="2">
                  <c:v>0</c:v>
                </c:pt>
                <c:pt idx="3">
                  <c:v>8.6728639097559608</c:v>
                </c:pt>
                <c:pt idx="4">
                  <c:v>2.7182998665314764</c:v>
                </c:pt>
                <c:pt idx="5">
                  <c:v>3.5338407481027785</c:v>
                </c:pt>
              </c:numCache>
            </c:numRef>
          </c:val>
          <c:extLst>
            <c:ext xmlns:c16="http://schemas.microsoft.com/office/drawing/2014/chart" uri="{C3380CC4-5D6E-409C-BE32-E72D297353CC}">
              <c16:uniqueId val="{00000002-8970-4ED8-B3DA-A065D6121389}"/>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E</a:t>
            </a:r>
            <a:r>
              <a:rPr lang="es-PE" baseline="0"/>
              <a:t>CUADOR </a:t>
            </a:r>
            <a:r>
              <a:rPr lang="es-PE" sz="1200" baseline="0"/>
              <a:t>(Sin BICIS 2)</a:t>
            </a:r>
            <a:endParaRPr lang="es-PE" sz="1200"/>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CORP'!$AA$208:$AF$208</c:f>
              <c:numCache>
                <c:formatCode>0.0</c:formatCode>
                <c:ptCount val="6"/>
                <c:pt idx="0">
                  <c:v>1.7096559659299759</c:v>
                </c:pt>
                <c:pt idx="1">
                  <c:v>0.96953150298712654</c:v>
                </c:pt>
                <c:pt idx="2">
                  <c:v>0.91725363255369829</c:v>
                </c:pt>
                <c:pt idx="3">
                  <c:v>2.0889735619506</c:v>
                </c:pt>
                <c:pt idx="4">
                  <c:v>3.8692532882849071</c:v>
                </c:pt>
                <c:pt idx="5">
                  <c:v>0.68690068472441346</c:v>
                </c:pt>
              </c:numCache>
            </c:numRef>
          </c:val>
          <c:extLst>
            <c:ext xmlns:c16="http://schemas.microsoft.com/office/drawing/2014/chart" uri="{C3380CC4-5D6E-409C-BE32-E72D297353CC}">
              <c16:uniqueId val="{00000000-E27A-463F-88D2-B98A206EA89F}"/>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a:t>
            </a:r>
            <a:r>
              <a:rPr lang="es-PE" baseline="0"/>
              <a:t> CHILE</a:t>
            </a:r>
            <a:endParaRPr lang="es-PE" sz="1200"/>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CORP'!$AA$210:$AF$210</c:f>
              <c:numCache>
                <c:formatCode>0.0</c:formatCode>
                <c:ptCount val="6"/>
                <c:pt idx="0">
                  <c:v>14.445740994284302</c:v>
                </c:pt>
                <c:pt idx="1">
                  <c:v>7.1291589731159419</c:v>
                </c:pt>
                <c:pt idx="2">
                  <c:v>4.3028473016306714</c:v>
                </c:pt>
                <c:pt idx="3">
                  <c:v>4.2818667226163916</c:v>
                </c:pt>
                <c:pt idx="4">
                  <c:v>2.1220271725579445</c:v>
                </c:pt>
                <c:pt idx="5">
                  <c:v>3.1624553303184593</c:v>
                </c:pt>
              </c:numCache>
            </c:numRef>
          </c:val>
          <c:extLst>
            <c:ext xmlns:c16="http://schemas.microsoft.com/office/drawing/2014/chart" uri="{C3380CC4-5D6E-409C-BE32-E72D297353CC}">
              <c16:uniqueId val="{00000000-BA4C-41FF-B336-CC6A326770A8}"/>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BOLIVIA</a:t>
            </a:r>
            <a:endParaRPr lang="es-PE" sz="1200"/>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CORP'!$AA$214:$AF$214</c:f>
              <c:numCache>
                <c:formatCode>0.0</c:formatCode>
                <c:ptCount val="6"/>
                <c:pt idx="0">
                  <c:v>3.4437206508907527</c:v>
                </c:pt>
                <c:pt idx="1">
                  <c:v>3.2192260765896807</c:v>
                </c:pt>
                <c:pt idx="2">
                  <c:v>2.3615180512753042</c:v>
                </c:pt>
                <c:pt idx="3">
                  <c:v>2.830201361751385</c:v>
                </c:pt>
                <c:pt idx="4">
                  <c:v>1.9810342385449171</c:v>
                </c:pt>
                <c:pt idx="5">
                  <c:v>2.5183276923239917</c:v>
                </c:pt>
              </c:numCache>
            </c:numRef>
          </c:val>
          <c:extLst>
            <c:ext xmlns:c16="http://schemas.microsoft.com/office/drawing/2014/chart" uri="{C3380CC4-5D6E-409C-BE32-E72D297353CC}">
              <c16:uniqueId val="{00000000-B3E4-480F-9B07-C15209010EE1}"/>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s-PE"/>
              <a:t>Indice Frecuencia HONDURAS</a:t>
            </a:r>
            <a:endParaRPr lang="es-PE" sz="1200"/>
          </a:p>
        </c:rich>
      </c:tx>
      <c:layout>
        <c:manualLayout>
          <c:xMode val="edge"/>
          <c:yMode val="edge"/>
          <c:x val="0.30469444444444443"/>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stack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3"/>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s-PE"/>
                </a:p>
              </c:txPr>
              <c:showLegendKey val="0"/>
              <c:showVal val="1"/>
              <c:showCatName val="0"/>
              <c:showSerName val="0"/>
              <c:showPercent val="0"/>
              <c:showBubbleSize val="0"/>
              <c:extLst>
                <c:ext xmlns:c16="http://schemas.microsoft.com/office/drawing/2014/chart" uri="{C3380CC4-5D6E-409C-BE32-E72D297353CC}">
                  <c16:uniqueId val="{00000001-5712-4573-96C5-25C3597CF768}"/>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'BSC CORP'!$AA$166:$AF$166</c:f>
              <c:numCache>
                <c:formatCode>General</c:formatCode>
                <c:ptCount val="6"/>
                <c:pt idx="0">
                  <c:v>2018</c:v>
                </c:pt>
                <c:pt idx="1">
                  <c:v>2019</c:v>
                </c:pt>
                <c:pt idx="2">
                  <c:v>2020</c:v>
                </c:pt>
                <c:pt idx="3">
                  <c:v>2021</c:v>
                </c:pt>
                <c:pt idx="4">
                  <c:v>2022</c:v>
                </c:pt>
                <c:pt idx="5">
                  <c:v>2023</c:v>
                </c:pt>
              </c:numCache>
            </c:numRef>
          </c:cat>
          <c:val>
            <c:numRef>
              <c:f>'BSC CORP'!$AA$212:$AF$212</c:f>
              <c:numCache>
                <c:formatCode>0.0</c:formatCode>
                <c:ptCount val="6"/>
                <c:pt idx="1">
                  <c:v>3.3000033000033002</c:v>
                </c:pt>
                <c:pt idx="2">
                  <c:v>4.032258064516129</c:v>
                </c:pt>
                <c:pt idx="3">
                  <c:v>0</c:v>
                </c:pt>
                <c:pt idx="4">
                  <c:v>3.2085012448984829</c:v>
                </c:pt>
                <c:pt idx="5">
                  <c:v>5.8189874199601919</c:v>
                </c:pt>
              </c:numCache>
            </c:numRef>
          </c:val>
          <c:extLst>
            <c:ext xmlns:c16="http://schemas.microsoft.com/office/drawing/2014/chart" uri="{C3380CC4-5D6E-409C-BE32-E72D297353CC}">
              <c16:uniqueId val="{00000000-5712-4573-96C5-25C3597CF768}"/>
            </c:ext>
          </c:extLst>
        </c:ser>
        <c:dLbls>
          <c:showLegendKey val="0"/>
          <c:showVal val="0"/>
          <c:showCatName val="0"/>
          <c:showSerName val="0"/>
          <c:showPercent val="0"/>
          <c:showBubbleSize val="0"/>
        </c:dLbls>
        <c:gapWidth val="150"/>
        <c:overlap val="100"/>
        <c:axId val="1234630976"/>
        <c:axId val="1234616288"/>
      </c:barChart>
      <c:catAx>
        <c:axId val="1234630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16288"/>
        <c:crosses val="autoZero"/>
        <c:auto val="1"/>
        <c:lblAlgn val="ctr"/>
        <c:lblOffset val="100"/>
        <c:noMultiLvlLbl val="0"/>
      </c:catAx>
      <c:valAx>
        <c:axId val="1234616288"/>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3463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MTBA (Prom.Dias sin Accidentes Inca+DMR)</a:t>
            </a:r>
          </a:p>
        </c:rich>
      </c:tx>
      <c:layout>
        <c:manualLayout>
          <c:xMode val="edge"/>
          <c:yMode val="edge"/>
          <c:x val="0.2238808208675408"/>
          <c:y val="2.4271844660194455E-2"/>
        </c:manualLayout>
      </c:layout>
      <c:overlay val="0"/>
      <c:spPr>
        <a:noFill/>
        <a:ln w="25400">
          <a:noFill/>
        </a:ln>
      </c:spPr>
    </c:title>
    <c:autoTitleDeleted val="0"/>
    <c:plotArea>
      <c:layout>
        <c:manualLayout>
          <c:layoutTarget val="inner"/>
          <c:xMode val="edge"/>
          <c:yMode val="edge"/>
          <c:x val="0.10234552233134239"/>
          <c:y val="0.16019417475728159"/>
          <c:w val="0.88912672525353686"/>
          <c:h val="0.47572815533982088"/>
        </c:manualLayout>
      </c:layout>
      <c:barChart>
        <c:barDir val="col"/>
        <c:grouping val="clustered"/>
        <c:varyColors val="0"/>
        <c:ser>
          <c:idx val="1"/>
          <c:order val="0"/>
          <c:tx>
            <c:v>MTBA x Año</c:v>
          </c:tx>
          <c:spPr>
            <a:gradFill rotWithShape="0">
              <a:gsLst>
                <a:gs pos="0">
                  <a:srgbClr val="99CCFF"/>
                </a:gs>
                <a:gs pos="100000">
                  <a:srgbClr val="99CCFF">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MTBA!$AY$4:$AY$8</c:f>
              <c:numCache>
                <c:formatCode>0</c:formatCode>
                <c:ptCount val="5"/>
                <c:pt idx="0">
                  <c:v>2007</c:v>
                </c:pt>
                <c:pt idx="1">
                  <c:v>2008</c:v>
                </c:pt>
                <c:pt idx="2">
                  <c:v>2009</c:v>
                </c:pt>
                <c:pt idx="3">
                  <c:v>2010</c:v>
                </c:pt>
                <c:pt idx="4" formatCode="m/d/yyyy">
                  <c:v>40574</c:v>
                </c:pt>
              </c:numCache>
            </c:numRef>
          </c:cat>
          <c:val>
            <c:numRef>
              <c:f>MTBA!$BA$4:$BA$8</c:f>
              <c:numCache>
                <c:formatCode>0</c:formatCode>
                <c:ptCount val="5"/>
                <c:pt idx="0">
                  <c:v>40.444444444444443</c:v>
                </c:pt>
                <c:pt idx="1">
                  <c:v>22.875</c:v>
                </c:pt>
                <c:pt idx="2">
                  <c:v>45.625</c:v>
                </c:pt>
                <c:pt idx="3">
                  <c:v>36.5</c:v>
                </c:pt>
                <c:pt idx="4">
                  <c:v>15.5</c:v>
                </c:pt>
              </c:numCache>
            </c:numRef>
          </c:val>
          <c:extLst>
            <c:ext xmlns:c16="http://schemas.microsoft.com/office/drawing/2014/chart" uri="{C3380CC4-5D6E-409C-BE32-E72D297353CC}">
              <c16:uniqueId val="{00000000-A708-41F2-BB65-EA81975B1B8A}"/>
            </c:ext>
          </c:extLst>
        </c:ser>
        <c:dLbls>
          <c:showLegendKey val="1"/>
          <c:showVal val="1"/>
          <c:showCatName val="0"/>
          <c:showSerName val="0"/>
          <c:showPercent val="0"/>
          <c:showBubbleSize val="0"/>
        </c:dLbls>
        <c:gapWidth val="150"/>
        <c:axId val="1237428208"/>
        <c:axId val="1237430384"/>
      </c:barChart>
      <c:lineChart>
        <c:grouping val="standard"/>
        <c:varyColors val="0"/>
        <c:ser>
          <c:idx val="0"/>
          <c:order val="1"/>
          <c:tx>
            <c:v>MTBA Acumulado</c:v>
          </c:tx>
          <c:spPr>
            <a:ln w="38100">
              <a:solidFill>
                <a:srgbClr val="0000FF"/>
              </a:solidFill>
              <a:prstDash val="solid"/>
            </a:ln>
          </c:spPr>
          <c:marker>
            <c:symbol val="circle"/>
            <c:size val="7"/>
            <c:spPr>
              <a:solidFill>
                <a:srgbClr val="0000FF"/>
              </a:solidFill>
              <a:ln>
                <a:solidFill>
                  <a:srgbClr val="0000FF"/>
                </a:solidFill>
                <a:prstDash val="solid"/>
              </a:ln>
            </c:spPr>
          </c:marker>
          <c:dLbls>
            <c:numFmt formatCode="0" sourceLinked="0"/>
            <c:spPr>
              <a:noFill/>
              <a:ln w="25400">
                <a:noFill/>
              </a:ln>
            </c:spPr>
            <c:txPr>
              <a:bodyPr/>
              <a:lstStyle/>
              <a:p>
                <a:pPr>
                  <a:defRPr sz="11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MTBA!$AY$4:$AY$8</c:f>
              <c:numCache>
                <c:formatCode>0</c:formatCode>
                <c:ptCount val="5"/>
                <c:pt idx="0">
                  <c:v>2007</c:v>
                </c:pt>
                <c:pt idx="1">
                  <c:v>2008</c:v>
                </c:pt>
                <c:pt idx="2">
                  <c:v>2009</c:v>
                </c:pt>
                <c:pt idx="3">
                  <c:v>2010</c:v>
                </c:pt>
                <c:pt idx="4" formatCode="m/d/yyyy">
                  <c:v>40574</c:v>
                </c:pt>
              </c:numCache>
            </c:numRef>
          </c:cat>
          <c:val>
            <c:numRef>
              <c:f>MTBA!$AZ$4:$AZ$8</c:f>
              <c:numCache>
                <c:formatCode>0</c:formatCode>
                <c:ptCount val="5"/>
                <c:pt idx="0">
                  <c:v>40.444444444444443</c:v>
                </c:pt>
                <c:pt idx="1">
                  <c:v>29.2</c:v>
                </c:pt>
                <c:pt idx="2">
                  <c:v>33.18181818181818</c:v>
                </c:pt>
                <c:pt idx="3">
                  <c:v>33.953488372093027</c:v>
                </c:pt>
                <c:pt idx="4">
                  <c:v>33.133333333333333</c:v>
                </c:pt>
              </c:numCache>
            </c:numRef>
          </c:val>
          <c:smooth val="0"/>
          <c:extLst>
            <c:ext xmlns:c16="http://schemas.microsoft.com/office/drawing/2014/chart" uri="{C3380CC4-5D6E-409C-BE32-E72D297353CC}">
              <c16:uniqueId val="{00000001-A708-41F2-BB65-EA81975B1B8A}"/>
            </c:ext>
          </c:extLst>
        </c:ser>
        <c:dLbls>
          <c:showLegendKey val="1"/>
          <c:showVal val="1"/>
          <c:showCatName val="0"/>
          <c:showSerName val="0"/>
          <c:showPercent val="0"/>
          <c:showBubbleSize val="0"/>
        </c:dLbls>
        <c:marker val="1"/>
        <c:smooth val="0"/>
        <c:axId val="1237426576"/>
        <c:axId val="1237428752"/>
      </c:lineChart>
      <c:catAx>
        <c:axId val="1237428208"/>
        <c:scaling>
          <c:orientation val="minMax"/>
        </c:scaling>
        <c:delete val="0"/>
        <c:axPos val="b"/>
        <c:numFmt formatCode="0"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7430384"/>
        <c:crosses val="autoZero"/>
        <c:auto val="0"/>
        <c:lblAlgn val="ctr"/>
        <c:lblOffset val="100"/>
        <c:tickLblSkip val="1"/>
        <c:tickMarkSkip val="1"/>
        <c:noMultiLvlLbl val="0"/>
      </c:catAx>
      <c:valAx>
        <c:axId val="1237430384"/>
        <c:scaling>
          <c:orientation val="minMax"/>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7428208"/>
        <c:crosses val="autoZero"/>
        <c:crossBetween val="between"/>
      </c:valAx>
      <c:catAx>
        <c:axId val="1237426576"/>
        <c:scaling>
          <c:orientation val="minMax"/>
        </c:scaling>
        <c:delete val="1"/>
        <c:axPos val="b"/>
        <c:numFmt formatCode="0" sourceLinked="1"/>
        <c:majorTickMark val="out"/>
        <c:minorTickMark val="none"/>
        <c:tickLblPos val="none"/>
        <c:crossAx val="1237428752"/>
        <c:crosses val="autoZero"/>
        <c:auto val="0"/>
        <c:lblAlgn val="ctr"/>
        <c:lblOffset val="100"/>
        <c:noMultiLvlLbl val="0"/>
      </c:catAx>
      <c:valAx>
        <c:axId val="1237428752"/>
        <c:scaling>
          <c:orientation val="minMax"/>
        </c:scaling>
        <c:delete val="1"/>
        <c:axPos val="l"/>
        <c:numFmt formatCode="0" sourceLinked="1"/>
        <c:majorTickMark val="out"/>
        <c:minorTickMark val="none"/>
        <c:tickLblPos val="none"/>
        <c:crossAx val="1237426576"/>
        <c:crosses val="autoZero"/>
        <c:crossBetween val="between"/>
      </c:valAx>
      <c:spPr>
        <a:solidFill>
          <a:srgbClr val="FFFFFF"/>
        </a:solidFill>
        <a:ln w="12700">
          <a:solidFill>
            <a:srgbClr val="000000"/>
          </a:solidFill>
          <a:prstDash val="solid"/>
        </a:ln>
      </c:spPr>
    </c:plotArea>
    <c:legend>
      <c:legendPos val="r"/>
      <c:layout>
        <c:manualLayout>
          <c:xMode val="edge"/>
          <c:yMode val="edge"/>
          <c:x val="0.28571458317500115"/>
          <c:y val="0.8689320388349514"/>
          <c:w val="0.46908364401865282"/>
          <c:h val="9.7087378640776698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oddHeader>&amp;A</c:oddHeader>
      <c:oddFooter>Page &amp;P</c:oddFooter>
    </c:headerFooter>
    <c:pageMargins b="1" l="0.75000000000001465" r="0.75000000000001465" t="1" header="0.5" footer="0.5"/>
    <c:pageSetup paperSize="9" orientation="landscape"/>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MTTR (Prom.Dias Descanso Incap+DMR)</a:t>
            </a:r>
          </a:p>
        </c:rich>
      </c:tx>
      <c:layout>
        <c:manualLayout>
          <c:xMode val="edge"/>
          <c:yMode val="edge"/>
          <c:x val="0.22317619095896268"/>
          <c:y val="2.4509803921568631E-2"/>
        </c:manualLayout>
      </c:layout>
      <c:overlay val="0"/>
      <c:spPr>
        <a:noFill/>
        <a:ln w="25400">
          <a:noFill/>
        </a:ln>
      </c:spPr>
    </c:title>
    <c:autoTitleDeleted val="0"/>
    <c:plotArea>
      <c:layout>
        <c:manualLayout>
          <c:layoutTarget val="inner"/>
          <c:xMode val="edge"/>
          <c:yMode val="edge"/>
          <c:x val="0.10300439977492939"/>
          <c:y val="0.18627540151751426"/>
          <c:w val="0.854078148133807"/>
          <c:h val="0.48039445654515428"/>
        </c:manualLayout>
      </c:layout>
      <c:barChart>
        <c:barDir val="col"/>
        <c:grouping val="clustered"/>
        <c:varyColors val="0"/>
        <c:ser>
          <c:idx val="1"/>
          <c:order val="0"/>
          <c:tx>
            <c:v>MTBA x Año</c:v>
          </c:tx>
          <c:spPr>
            <a:gradFill rotWithShape="0">
              <a:gsLst>
                <a:gs pos="0">
                  <a:srgbClr val="99FF99"/>
                </a:gs>
                <a:gs pos="100000">
                  <a:srgbClr val="99FF99">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MTBA!$AY$4:$AY$8</c:f>
              <c:numCache>
                <c:formatCode>0</c:formatCode>
                <c:ptCount val="5"/>
                <c:pt idx="0">
                  <c:v>2007</c:v>
                </c:pt>
                <c:pt idx="1">
                  <c:v>2008</c:v>
                </c:pt>
                <c:pt idx="2">
                  <c:v>2009</c:v>
                </c:pt>
                <c:pt idx="3">
                  <c:v>2010</c:v>
                </c:pt>
                <c:pt idx="4" formatCode="m/d/yyyy">
                  <c:v>40574</c:v>
                </c:pt>
              </c:numCache>
            </c:numRef>
          </c:cat>
          <c:val>
            <c:numRef>
              <c:f>MTBA!$BC$4:$BC$8</c:f>
              <c:numCache>
                <c:formatCode>0</c:formatCode>
                <c:ptCount val="5"/>
                <c:pt idx="0">
                  <c:v>4.2222222222222223</c:v>
                </c:pt>
                <c:pt idx="1">
                  <c:v>13.375</c:v>
                </c:pt>
                <c:pt idx="2">
                  <c:v>12.25</c:v>
                </c:pt>
                <c:pt idx="3">
                  <c:v>18.399999999999999</c:v>
                </c:pt>
                <c:pt idx="4">
                  <c:v>1</c:v>
                </c:pt>
              </c:numCache>
            </c:numRef>
          </c:val>
          <c:extLst>
            <c:ext xmlns:c16="http://schemas.microsoft.com/office/drawing/2014/chart" uri="{C3380CC4-5D6E-409C-BE32-E72D297353CC}">
              <c16:uniqueId val="{00000000-AB22-4A93-8D01-DDA9E20DBCE9}"/>
            </c:ext>
          </c:extLst>
        </c:ser>
        <c:dLbls>
          <c:showLegendKey val="1"/>
          <c:showVal val="1"/>
          <c:showCatName val="0"/>
          <c:showSerName val="0"/>
          <c:showPercent val="0"/>
          <c:showBubbleSize val="0"/>
        </c:dLbls>
        <c:gapWidth val="150"/>
        <c:axId val="1237421680"/>
        <c:axId val="1237429296"/>
      </c:barChart>
      <c:lineChart>
        <c:grouping val="standard"/>
        <c:varyColors val="0"/>
        <c:ser>
          <c:idx val="0"/>
          <c:order val="1"/>
          <c:tx>
            <c:v>MTBA Acumulado</c:v>
          </c:tx>
          <c:spPr>
            <a:ln w="38100">
              <a:solidFill>
                <a:srgbClr val="008000"/>
              </a:solidFill>
              <a:prstDash val="solid"/>
            </a:ln>
          </c:spPr>
          <c:marker>
            <c:symbol val="circle"/>
            <c:size val="7"/>
            <c:spPr>
              <a:solidFill>
                <a:srgbClr val="008000"/>
              </a:solidFill>
              <a:ln>
                <a:solidFill>
                  <a:srgbClr val="008000"/>
                </a:solidFill>
                <a:prstDash val="solid"/>
              </a:ln>
            </c:spPr>
          </c:marker>
          <c:dLbls>
            <c:numFmt formatCode="0" sourceLinked="0"/>
            <c:spPr>
              <a:noFill/>
              <a:ln w="25400">
                <a:noFill/>
              </a:ln>
            </c:spPr>
            <c:txPr>
              <a:bodyPr/>
              <a:lstStyle/>
              <a:p>
                <a:pPr>
                  <a:defRPr sz="1100" b="1" i="0" u="none" strike="noStrike" baseline="0">
                    <a:solidFill>
                      <a:srgbClr val="008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MTBA!$AY$4:$AY$8</c:f>
              <c:numCache>
                <c:formatCode>0</c:formatCode>
                <c:ptCount val="5"/>
                <c:pt idx="0">
                  <c:v>2007</c:v>
                </c:pt>
                <c:pt idx="1">
                  <c:v>2008</c:v>
                </c:pt>
                <c:pt idx="2">
                  <c:v>2009</c:v>
                </c:pt>
                <c:pt idx="3">
                  <c:v>2010</c:v>
                </c:pt>
                <c:pt idx="4" formatCode="m/d/yyyy">
                  <c:v>40574</c:v>
                </c:pt>
              </c:numCache>
            </c:numRef>
          </c:cat>
          <c:val>
            <c:numRef>
              <c:f>MTBA!$BB$4:$BB$8</c:f>
              <c:numCache>
                <c:formatCode>0</c:formatCode>
                <c:ptCount val="5"/>
                <c:pt idx="0">
                  <c:v>4.2222222222222223</c:v>
                </c:pt>
                <c:pt idx="1">
                  <c:v>10.08</c:v>
                </c:pt>
                <c:pt idx="2">
                  <c:v>10.606060606060606</c:v>
                </c:pt>
                <c:pt idx="3">
                  <c:v>12.418604651162791</c:v>
                </c:pt>
                <c:pt idx="4">
                  <c:v>11.911111111111111</c:v>
                </c:pt>
              </c:numCache>
            </c:numRef>
          </c:val>
          <c:smooth val="0"/>
          <c:extLst>
            <c:ext xmlns:c16="http://schemas.microsoft.com/office/drawing/2014/chart" uri="{C3380CC4-5D6E-409C-BE32-E72D297353CC}">
              <c16:uniqueId val="{00000001-AB22-4A93-8D01-DDA9E20DBCE9}"/>
            </c:ext>
          </c:extLst>
        </c:ser>
        <c:dLbls>
          <c:showLegendKey val="1"/>
          <c:showVal val="1"/>
          <c:showCatName val="0"/>
          <c:showSerName val="0"/>
          <c:showPercent val="0"/>
          <c:showBubbleSize val="0"/>
        </c:dLbls>
        <c:marker val="1"/>
        <c:smooth val="0"/>
        <c:axId val="1237420592"/>
        <c:axId val="1237421136"/>
      </c:lineChart>
      <c:catAx>
        <c:axId val="1237421680"/>
        <c:scaling>
          <c:orientation val="minMax"/>
        </c:scaling>
        <c:delete val="0"/>
        <c:axPos val="b"/>
        <c:numFmt formatCode="0"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7429296"/>
        <c:crosses val="autoZero"/>
        <c:auto val="0"/>
        <c:lblAlgn val="ctr"/>
        <c:lblOffset val="100"/>
        <c:tickLblSkip val="1"/>
        <c:tickMarkSkip val="1"/>
        <c:noMultiLvlLbl val="0"/>
      </c:catAx>
      <c:valAx>
        <c:axId val="1237429296"/>
        <c:scaling>
          <c:orientation val="minMax"/>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s-PE"/>
          </a:p>
        </c:txPr>
        <c:crossAx val="1237421680"/>
        <c:crosses val="autoZero"/>
        <c:crossBetween val="between"/>
      </c:valAx>
      <c:catAx>
        <c:axId val="1237420592"/>
        <c:scaling>
          <c:orientation val="minMax"/>
        </c:scaling>
        <c:delete val="1"/>
        <c:axPos val="b"/>
        <c:numFmt formatCode="0" sourceLinked="1"/>
        <c:majorTickMark val="out"/>
        <c:minorTickMark val="none"/>
        <c:tickLblPos val="none"/>
        <c:crossAx val="1237421136"/>
        <c:crosses val="autoZero"/>
        <c:auto val="0"/>
        <c:lblAlgn val="ctr"/>
        <c:lblOffset val="100"/>
        <c:noMultiLvlLbl val="0"/>
      </c:catAx>
      <c:valAx>
        <c:axId val="1237421136"/>
        <c:scaling>
          <c:orientation val="minMax"/>
        </c:scaling>
        <c:delete val="1"/>
        <c:axPos val="l"/>
        <c:numFmt formatCode="0" sourceLinked="1"/>
        <c:majorTickMark val="out"/>
        <c:minorTickMark val="none"/>
        <c:tickLblPos val="none"/>
        <c:crossAx val="1237420592"/>
        <c:crosses val="autoZero"/>
        <c:crossBetween val="between"/>
      </c:valAx>
      <c:spPr>
        <a:solidFill>
          <a:srgbClr val="FFFFFF"/>
        </a:solidFill>
        <a:ln w="12700">
          <a:solidFill>
            <a:srgbClr val="000000"/>
          </a:solidFill>
          <a:prstDash val="solid"/>
        </a:ln>
      </c:spPr>
    </c:plotArea>
    <c:legend>
      <c:legendPos val="r"/>
      <c:layout>
        <c:manualLayout>
          <c:xMode val="edge"/>
          <c:yMode val="edge"/>
          <c:x val="0.30257542433885837"/>
          <c:y val="0.86765121233156506"/>
          <c:w val="0.47210349896842618"/>
          <c:h val="9.8039685009215158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MTBA (Prom.Dias sin Accidentes Inca+DMR)</a:t>
            </a:r>
          </a:p>
        </c:rich>
      </c:tx>
      <c:overlay val="0"/>
      <c:spPr>
        <a:noFill/>
        <a:ln w="25400">
          <a:noFill/>
        </a:ln>
      </c:spPr>
    </c:title>
    <c:autoTitleDeleted val="0"/>
    <c:plotArea>
      <c:layout/>
      <c:barChart>
        <c:barDir val="col"/>
        <c:grouping val="clustered"/>
        <c:varyColors val="0"/>
        <c:ser>
          <c:idx val="1"/>
          <c:order val="0"/>
          <c:tx>
            <c:v>MTBA x Año</c:v>
          </c:tx>
          <c:spPr>
            <a:gradFill rotWithShape="0">
              <a:gsLst>
                <a:gs pos="0">
                  <a:srgbClr val="99CCFF"/>
                </a:gs>
                <a:gs pos="100000">
                  <a:srgbClr val="99CCFF">
                    <a:gamma/>
                    <a:shade val="46275"/>
                    <a:invGamma/>
                  </a:srgbClr>
                </a:gs>
              </a:gsLst>
              <a:lin ang="5400000" scaled="1"/>
            </a:gradFill>
            <a:ln w="3175">
              <a:solidFill>
                <a:srgbClr val="000000"/>
              </a:solidFill>
              <a:prstDash val="solid"/>
            </a:ln>
          </c:spPr>
          <c:invertIfNegative val="0"/>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MTBA!$BM$4:$BM$8</c:f>
            </c:numRef>
          </c:val>
          <c:extLst>
            <c:ext xmlns:c15="http://schemas.microsoft.com/office/drawing/2012/chart" uri="{02D57815-91ED-43cb-92C2-25804820EDAC}">
              <c15:filteredCategoryTitle>
                <c15:cat>
                  <c:multiLvlStrRef>
                    <c:extLst>
                      <c:ext uri="{02D57815-91ED-43cb-92C2-25804820EDAC}">
                        <c15:formulaRef>
                          <c15:sqref>MTBA!$BK$4:$BK$8</c15:sqref>
                        </c15:formulaRef>
                      </c:ext>
                    </c:extLst>
                  </c:multiLvlStrRef>
                </c15:cat>
              </c15:filteredCategoryTitle>
            </c:ext>
            <c:ext xmlns:c16="http://schemas.microsoft.com/office/drawing/2014/chart" uri="{C3380CC4-5D6E-409C-BE32-E72D297353CC}">
              <c16:uniqueId val="{00000000-3B86-4B68-B9CF-7F622831F36C}"/>
            </c:ext>
          </c:extLst>
        </c:ser>
        <c:dLbls>
          <c:showLegendKey val="1"/>
          <c:showVal val="1"/>
          <c:showCatName val="0"/>
          <c:showSerName val="0"/>
          <c:showPercent val="0"/>
          <c:showBubbleSize val="0"/>
        </c:dLbls>
        <c:gapWidth val="150"/>
        <c:axId val="1237426032"/>
        <c:axId val="1237427120"/>
      </c:barChart>
      <c:lineChart>
        <c:grouping val="standard"/>
        <c:varyColors val="0"/>
        <c:ser>
          <c:idx val="0"/>
          <c:order val="1"/>
          <c:tx>
            <c:v>MTBA Acumulado</c:v>
          </c:tx>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MTBA!$BL$4:$BL$8</c:f>
            </c:numRef>
          </c:val>
          <c:smooth val="0"/>
          <c:extLst>
            <c:ext xmlns:c15="http://schemas.microsoft.com/office/drawing/2012/chart" uri="{02D57815-91ED-43cb-92C2-25804820EDAC}">
              <c15:filteredCategoryTitle>
                <c15:cat>
                  <c:multiLvlStrRef>
                    <c:extLst>
                      <c:ext uri="{02D57815-91ED-43cb-92C2-25804820EDAC}">
                        <c15:formulaRef>
                          <c15:sqref>MTBA!$BK$4:$BK$8</c15:sqref>
                        </c15:formulaRef>
                      </c:ext>
                    </c:extLst>
                  </c:multiLvlStrRef>
                </c15:cat>
              </c15:filteredCategoryTitle>
            </c:ext>
            <c:ext xmlns:c16="http://schemas.microsoft.com/office/drawing/2014/chart" uri="{C3380CC4-5D6E-409C-BE32-E72D297353CC}">
              <c16:uniqueId val="{00000001-3B86-4B68-B9CF-7F622831F36C}"/>
            </c:ext>
          </c:extLst>
        </c:ser>
        <c:dLbls>
          <c:showLegendKey val="1"/>
          <c:showVal val="1"/>
          <c:showCatName val="0"/>
          <c:showSerName val="0"/>
          <c:showPercent val="0"/>
          <c:showBubbleSize val="0"/>
        </c:dLbls>
        <c:marker val="1"/>
        <c:smooth val="0"/>
        <c:axId val="1237431472"/>
        <c:axId val="1237423856"/>
      </c:lineChart>
      <c:catAx>
        <c:axId val="123742603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7427120"/>
        <c:crosses val="autoZero"/>
        <c:auto val="0"/>
        <c:lblAlgn val="ctr"/>
        <c:lblOffset val="100"/>
        <c:tickMarkSkip val="1"/>
        <c:noMultiLvlLbl val="0"/>
      </c:catAx>
      <c:valAx>
        <c:axId val="1237427120"/>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7426032"/>
        <c:crosses val="autoZero"/>
        <c:crossBetween val="between"/>
      </c:valAx>
      <c:catAx>
        <c:axId val="1237431472"/>
        <c:scaling>
          <c:orientation val="minMax"/>
        </c:scaling>
        <c:delete val="1"/>
        <c:axPos val="b"/>
        <c:majorTickMark val="out"/>
        <c:minorTickMark val="none"/>
        <c:tickLblPos val="none"/>
        <c:crossAx val="1237423856"/>
        <c:crosses val="autoZero"/>
        <c:auto val="0"/>
        <c:lblAlgn val="ctr"/>
        <c:lblOffset val="100"/>
        <c:noMultiLvlLbl val="0"/>
      </c:catAx>
      <c:valAx>
        <c:axId val="1237423856"/>
        <c:scaling>
          <c:orientation val="minMax"/>
        </c:scaling>
        <c:delete val="1"/>
        <c:axPos val="l"/>
        <c:majorTickMark val="out"/>
        <c:minorTickMark val="none"/>
        <c:tickLblPos val="none"/>
        <c:crossAx val="1237431472"/>
        <c:crosses val="autoZero"/>
        <c:crossBetween val="between"/>
      </c:valAx>
      <c:spPr>
        <a:solidFill>
          <a:srgbClr val="FFFFFF"/>
        </a:solidFill>
        <a:ln w="12700">
          <a:solidFill>
            <a:srgbClr val="000000"/>
          </a:solidFill>
          <a:prstDash val="solid"/>
        </a:ln>
      </c:spPr>
    </c:plotArea>
    <c:legend>
      <c:legendPos val="r"/>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MTTR (Prom.Dias Descanso Incap+DMR)</a:t>
            </a:r>
          </a:p>
        </c:rich>
      </c:tx>
      <c:overlay val="0"/>
      <c:spPr>
        <a:noFill/>
        <a:ln w="25400">
          <a:noFill/>
        </a:ln>
      </c:spPr>
    </c:title>
    <c:autoTitleDeleted val="0"/>
    <c:plotArea>
      <c:layout/>
      <c:barChart>
        <c:barDir val="col"/>
        <c:grouping val="clustered"/>
        <c:varyColors val="0"/>
        <c:ser>
          <c:idx val="1"/>
          <c:order val="0"/>
          <c:tx>
            <c:v>MTBA x Año</c:v>
          </c:tx>
          <c:spPr>
            <a:gradFill rotWithShape="0">
              <a:gsLst>
                <a:gs pos="0">
                  <a:srgbClr val="99FF99"/>
                </a:gs>
                <a:gs pos="100000">
                  <a:srgbClr val="99FF99">
                    <a:gamma/>
                    <a:shade val="46275"/>
                    <a:invGamma/>
                  </a:srgbClr>
                </a:gs>
              </a:gsLst>
              <a:lin ang="5400000" scaled="1"/>
            </a:gradFill>
            <a:ln w="3175">
              <a:solidFill>
                <a:srgbClr val="000000"/>
              </a:solidFill>
              <a:prstDash val="solid"/>
            </a:ln>
          </c:spPr>
          <c:invertIfNegative val="0"/>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MTBA!$BO$4:$BO$8</c:f>
            </c:numRef>
          </c:val>
          <c:extLst>
            <c:ext xmlns:c15="http://schemas.microsoft.com/office/drawing/2012/chart" uri="{02D57815-91ED-43cb-92C2-25804820EDAC}">
              <c15:filteredCategoryTitle>
                <c15:cat>
                  <c:multiLvlStrRef>
                    <c:extLst>
                      <c:ext uri="{02D57815-91ED-43cb-92C2-25804820EDAC}">
                        <c15:formulaRef>
                          <c15:sqref>MTBA!$BK$4:$BK$8</c15:sqref>
                        </c15:formulaRef>
                      </c:ext>
                    </c:extLst>
                  </c:multiLvlStrRef>
                </c15:cat>
              </c15:filteredCategoryTitle>
            </c:ext>
            <c:ext xmlns:c16="http://schemas.microsoft.com/office/drawing/2014/chart" uri="{C3380CC4-5D6E-409C-BE32-E72D297353CC}">
              <c16:uniqueId val="{00000000-48C6-490C-9FA6-146437C4F4D4}"/>
            </c:ext>
          </c:extLst>
        </c:ser>
        <c:dLbls>
          <c:showLegendKey val="1"/>
          <c:showVal val="1"/>
          <c:showCatName val="0"/>
          <c:showSerName val="0"/>
          <c:showPercent val="0"/>
          <c:showBubbleSize val="0"/>
        </c:dLbls>
        <c:gapWidth val="150"/>
        <c:axId val="1237422224"/>
        <c:axId val="1237432016"/>
      </c:barChart>
      <c:lineChart>
        <c:grouping val="standard"/>
        <c:varyColors val="0"/>
        <c:ser>
          <c:idx val="0"/>
          <c:order val="1"/>
          <c:tx>
            <c:v>MTBA Acumulado</c:v>
          </c:tx>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MTBA!$BN$4:$BN$8</c:f>
            </c:numRef>
          </c:val>
          <c:smooth val="0"/>
          <c:extLst>
            <c:ext xmlns:c15="http://schemas.microsoft.com/office/drawing/2012/chart" uri="{02D57815-91ED-43cb-92C2-25804820EDAC}">
              <c15:filteredCategoryTitle>
                <c15:cat>
                  <c:multiLvlStrRef>
                    <c:extLst>
                      <c:ext uri="{02D57815-91ED-43cb-92C2-25804820EDAC}">
                        <c15:formulaRef>
                          <c15:sqref>MTBA!$BK$4:$BK$8</c15:sqref>
                        </c15:formulaRef>
                      </c:ext>
                    </c:extLst>
                  </c:multiLvlStrRef>
                </c15:cat>
              </c15:filteredCategoryTitle>
            </c:ext>
            <c:ext xmlns:c16="http://schemas.microsoft.com/office/drawing/2014/chart" uri="{C3380CC4-5D6E-409C-BE32-E72D297353CC}">
              <c16:uniqueId val="{00000001-48C6-490C-9FA6-146437C4F4D4}"/>
            </c:ext>
          </c:extLst>
        </c:ser>
        <c:dLbls>
          <c:showLegendKey val="1"/>
          <c:showVal val="1"/>
          <c:showCatName val="0"/>
          <c:showSerName val="0"/>
          <c:showPercent val="0"/>
          <c:showBubbleSize val="0"/>
        </c:dLbls>
        <c:marker val="1"/>
        <c:smooth val="0"/>
        <c:axId val="1237430928"/>
        <c:axId val="1237432560"/>
      </c:lineChart>
      <c:catAx>
        <c:axId val="123742222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7432016"/>
        <c:crosses val="autoZero"/>
        <c:auto val="0"/>
        <c:lblAlgn val="ctr"/>
        <c:lblOffset val="100"/>
        <c:tickMarkSkip val="1"/>
        <c:noMultiLvlLbl val="0"/>
      </c:catAx>
      <c:valAx>
        <c:axId val="1237432016"/>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s-PE"/>
          </a:p>
        </c:txPr>
        <c:crossAx val="1237422224"/>
        <c:crosses val="autoZero"/>
        <c:crossBetween val="between"/>
      </c:valAx>
      <c:catAx>
        <c:axId val="1237430928"/>
        <c:scaling>
          <c:orientation val="minMax"/>
        </c:scaling>
        <c:delete val="1"/>
        <c:axPos val="b"/>
        <c:majorTickMark val="out"/>
        <c:minorTickMark val="none"/>
        <c:tickLblPos val="none"/>
        <c:crossAx val="1237432560"/>
        <c:crosses val="autoZero"/>
        <c:auto val="0"/>
        <c:lblAlgn val="ctr"/>
        <c:lblOffset val="100"/>
        <c:noMultiLvlLbl val="0"/>
      </c:catAx>
      <c:valAx>
        <c:axId val="1237432560"/>
        <c:scaling>
          <c:orientation val="minMax"/>
        </c:scaling>
        <c:delete val="1"/>
        <c:axPos val="l"/>
        <c:majorTickMark val="out"/>
        <c:minorTickMark val="none"/>
        <c:tickLblPos val="none"/>
        <c:crossAx val="1237430928"/>
        <c:crosses val="autoZero"/>
        <c:crossBetween val="between"/>
      </c:valAx>
      <c:spPr>
        <a:solidFill>
          <a:srgbClr val="FFFFFF"/>
        </a:solidFill>
        <a:ln w="12700">
          <a:solidFill>
            <a:srgbClr val="000000"/>
          </a:solidFill>
          <a:prstDash val="solid"/>
        </a:ln>
      </c:spPr>
    </c:plotArea>
    <c:legend>
      <c:legendPos val="r"/>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MTBA (Prom.Dias sin Accidentes Inca+DMR)</a:t>
            </a:r>
          </a:p>
        </c:rich>
      </c:tx>
      <c:layout>
        <c:manualLayout>
          <c:xMode val="edge"/>
          <c:yMode val="edge"/>
          <c:x val="0.22621564482029774"/>
          <c:y val="2.4271844660194455E-2"/>
        </c:manualLayout>
      </c:layout>
      <c:overlay val="0"/>
      <c:spPr>
        <a:noFill/>
        <a:ln w="25400">
          <a:noFill/>
        </a:ln>
      </c:spPr>
    </c:title>
    <c:autoTitleDeleted val="0"/>
    <c:plotArea>
      <c:layout>
        <c:manualLayout>
          <c:layoutTarget val="inner"/>
          <c:xMode val="edge"/>
          <c:yMode val="edge"/>
          <c:x val="0.1014799154334038"/>
          <c:y val="0.16019417475728159"/>
          <c:w val="0.89006342494712787"/>
          <c:h val="0.48058252427185966"/>
        </c:manualLayout>
      </c:layout>
      <c:barChart>
        <c:barDir val="col"/>
        <c:grouping val="clustered"/>
        <c:varyColors val="0"/>
        <c:ser>
          <c:idx val="1"/>
          <c:order val="0"/>
          <c:tx>
            <c:v>MTBA x Año</c:v>
          </c:tx>
          <c:spPr>
            <a:gradFill rotWithShape="0">
              <a:gsLst>
                <a:gs pos="0">
                  <a:srgbClr val="99CCFF"/>
                </a:gs>
                <a:gs pos="100000">
                  <a:srgbClr val="99CCFF">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MTBA!$BW$4:$BW$8</c:f>
              <c:numCache>
                <c:formatCode>0</c:formatCode>
                <c:ptCount val="5"/>
                <c:pt idx="0">
                  <c:v>2007</c:v>
                </c:pt>
                <c:pt idx="1">
                  <c:v>2008</c:v>
                </c:pt>
                <c:pt idx="2">
                  <c:v>2009</c:v>
                </c:pt>
                <c:pt idx="3">
                  <c:v>2010</c:v>
                </c:pt>
                <c:pt idx="4" formatCode="m/d/yyyy">
                  <c:v>40574</c:v>
                </c:pt>
              </c:numCache>
            </c:numRef>
          </c:cat>
          <c:val>
            <c:numRef>
              <c:f>MTBA!$BY$4:$BY$8</c:f>
              <c:numCache>
                <c:formatCode>0</c:formatCode>
                <c:ptCount val="5"/>
                <c:pt idx="0">
                  <c:v>36.4</c:v>
                </c:pt>
                <c:pt idx="1">
                  <c:v>36.6</c:v>
                </c:pt>
                <c:pt idx="2">
                  <c:v>60.833333333333336</c:v>
                </c:pt>
                <c:pt idx="3">
                  <c:v>24.333333333333332</c:v>
                </c:pt>
                <c:pt idx="4">
                  <c:v>15.5</c:v>
                </c:pt>
              </c:numCache>
            </c:numRef>
          </c:val>
          <c:extLst>
            <c:ext xmlns:c16="http://schemas.microsoft.com/office/drawing/2014/chart" uri="{C3380CC4-5D6E-409C-BE32-E72D297353CC}">
              <c16:uniqueId val="{00000000-6E91-4F64-AE23-A43F5F4DA9BA}"/>
            </c:ext>
          </c:extLst>
        </c:ser>
        <c:dLbls>
          <c:showLegendKey val="1"/>
          <c:showVal val="1"/>
          <c:showCatName val="0"/>
          <c:showSerName val="0"/>
          <c:showPercent val="0"/>
          <c:showBubbleSize val="0"/>
        </c:dLbls>
        <c:gapWidth val="150"/>
        <c:axId val="1237422768"/>
        <c:axId val="1237433104"/>
      </c:barChart>
      <c:lineChart>
        <c:grouping val="standard"/>
        <c:varyColors val="0"/>
        <c:ser>
          <c:idx val="0"/>
          <c:order val="1"/>
          <c:tx>
            <c:v>MTBA Acumulado</c:v>
          </c:tx>
          <c:spPr>
            <a:ln w="38100">
              <a:solidFill>
                <a:srgbClr val="0000FF"/>
              </a:solidFill>
              <a:prstDash val="solid"/>
            </a:ln>
          </c:spPr>
          <c:marker>
            <c:symbol val="circle"/>
            <c:size val="7"/>
            <c:spPr>
              <a:solidFill>
                <a:srgbClr val="0000FF"/>
              </a:solidFill>
              <a:ln>
                <a:solidFill>
                  <a:srgbClr val="0000FF"/>
                </a:solidFill>
                <a:prstDash val="solid"/>
              </a:ln>
            </c:spPr>
          </c:marker>
          <c:dLbls>
            <c:numFmt formatCode="0" sourceLinked="0"/>
            <c:spPr>
              <a:noFill/>
              <a:ln w="25400">
                <a:noFill/>
              </a:ln>
            </c:spPr>
            <c:txPr>
              <a:bodyPr/>
              <a:lstStyle/>
              <a:p>
                <a:pPr>
                  <a:defRPr sz="11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MTBA!$BW$4:$BW$8</c:f>
              <c:numCache>
                <c:formatCode>0</c:formatCode>
                <c:ptCount val="5"/>
                <c:pt idx="0">
                  <c:v>2007</c:v>
                </c:pt>
                <c:pt idx="1">
                  <c:v>2008</c:v>
                </c:pt>
                <c:pt idx="2">
                  <c:v>2009</c:v>
                </c:pt>
                <c:pt idx="3">
                  <c:v>2010</c:v>
                </c:pt>
                <c:pt idx="4" formatCode="m/d/yyyy">
                  <c:v>40574</c:v>
                </c:pt>
              </c:numCache>
            </c:numRef>
          </c:cat>
          <c:val>
            <c:numRef>
              <c:f>MTBA!$BX$4:$BX$8</c:f>
              <c:numCache>
                <c:formatCode>0</c:formatCode>
                <c:ptCount val="5"/>
                <c:pt idx="0">
                  <c:v>36.4</c:v>
                </c:pt>
                <c:pt idx="1">
                  <c:v>36.5</c:v>
                </c:pt>
                <c:pt idx="2">
                  <c:v>42.115384615384613</c:v>
                </c:pt>
                <c:pt idx="3">
                  <c:v>35.609756097560975</c:v>
                </c:pt>
                <c:pt idx="4">
                  <c:v>34.674418604651166</c:v>
                </c:pt>
              </c:numCache>
            </c:numRef>
          </c:val>
          <c:smooth val="0"/>
          <c:extLst>
            <c:ext xmlns:c16="http://schemas.microsoft.com/office/drawing/2014/chart" uri="{C3380CC4-5D6E-409C-BE32-E72D297353CC}">
              <c16:uniqueId val="{00000001-6E91-4F64-AE23-A43F5F4DA9BA}"/>
            </c:ext>
          </c:extLst>
        </c:ser>
        <c:dLbls>
          <c:showLegendKey val="1"/>
          <c:showVal val="1"/>
          <c:showCatName val="0"/>
          <c:showSerName val="0"/>
          <c:showPercent val="0"/>
          <c:showBubbleSize val="0"/>
        </c:dLbls>
        <c:marker val="1"/>
        <c:smooth val="0"/>
        <c:axId val="1237433648"/>
        <c:axId val="1237418416"/>
      </c:lineChart>
      <c:catAx>
        <c:axId val="1237422768"/>
        <c:scaling>
          <c:orientation val="minMax"/>
        </c:scaling>
        <c:delete val="0"/>
        <c:axPos val="b"/>
        <c:numFmt formatCode="0"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7433104"/>
        <c:crosses val="autoZero"/>
        <c:auto val="0"/>
        <c:lblAlgn val="ctr"/>
        <c:lblOffset val="100"/>
        <c:tickLblSkip val="1"/>
        <c:tickMarkSkip val="1"/>
        <c:noMultiLvlLbl val="0"/>
      </c:catAx>
      <c:valAx>
        <c:axId val="1237433104"/>
        <c:scaling>
          <c:orientation val="minMax"/>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7422768"/>
        <c:crosses val="autoZero"/>
        <c:crossBetween val="between"/>
      </c:valAx>
      <c:catAx>
        <c:axId val="1237433648"/>
        <c:scaling>
          <c:orientation val="minMax"/>
        </c:scaling>
        <c:delete val="1"/>
        <c:axPos val="b"/>
        <c:numFmt formatCode="0" sourceLinked="1"/>
        <c:majorTickMark val="out"/>
        <c:minorTickMark val="none"/>
        <c:tickLblPos val="none"/>
        <c:crossAx val="1237418416"/>
        <c:crosses val="autoZero"/>
        <c:auto val="0"/>
        <c:lblAlgn val="ctr"/>
        <c:lblOffset val="100"/>
        <c:noMultiLvlLbl val="0"/>
      </c:catAx>
      <c:valAx>
        <c:axId val="1237418416"/>
        <c:scaling>
          <c:orientation val="minMax"/>
        </c:scaling>
        <c:delete val="1"/>
        <c:axPos val="l"/>
        <c:numFmt formatCode="0" sourceLinked="1"/>
        <c:majorTickMark val="out"/>
        <c:minorTickMark val="none"/>
        <c:tickLblPos val="none"/>
        <c:crossAx val="1237433648"/>
        <c:crosses val="autoZero"/>
        <c:crossBetween val="between"/>
      </c:valAx>
      <c:spPr>
        <a:solidFill>
          <a:srgbClr val="FFFFFF"/>
        </a:solidFill>
        <a:ln w="12700">
          <a:solidFill>
            <a:srgbClr val="000000"/>
          </a:solidFill>
          <a:prstDash val="solid"/>
        </a:ln>
      </c:spPr>
    </c:plotArea>
    <c:legend>
      <c:legendPos val="r"/>
      <c:layout>
        <c:manualLayout>
          <c:xMode val="edge"/>
          <c:yMode val="edge"/>
          <c:x val="0.29386892177590329"/>
          <c:y val="0.8689320388349514"/>
          <c:w val="0.46511627906977127"/>
          <c:h val="9.7087378640776698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MTTR (Prom.Dias Descanso Incap+DMR)</a:t>
            </a:r>
          </a:p>
        </c:rich>
      </c:tx>
      <c:layout>
        <c:manualLayout>
          <c:xMode val="edge"/>
          <c:yMode val="edge"/>
          <c:x val="0.22553191489361687"/>
          <c:y val="2.4509803921568631E-2"/>
        </c:manualLayout>
      </c:layout>
      <c:overlay val="0"/>
      <c:spPr>
        <a:noFill/>
        <a:ln w="25400">
          <a:noFill/>
        </a:ln>
      </c:spPr>
    </c:title>
    <c:autoTitleDeleted val="0"/>
    <c:plotArea>
      <c:layout>
        <c:manualLayout>
          <c:layoutTarget val="inner"/>
          <c:xMode val="edge"/>
          <c:yMode val="edge"/>
          <c:x val="0.10212765957446808"/>
          <c:y val="0.18627540151751426"/>
          <c:w val="0.85531914893617023"/>
          <c:h val="0.48039445654515428"/>
        </c:manualLayout>
      </c:layout>
      <c:barChart>
        <c:barDir val="col"/>
        <c:grouping val="clustered"/>
        <c:varyColors val="0"/>
        <c:ser>
          <c:idx val="1"/>
          <c:order val="0"/>
          <c:tx>
            <c:v>MTBA x Año</c:v>
          </c:tx>
          <c:spPr>
            <a:gradFill rotWithShape="0">
              <a:gsLst>
                <a:gs pos="0">
                  <a:srgbClr val="99FF99"/>
                </a:gs>
                <a:gs pos="100000">
                  <a:srgbClr val="99FF99">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MTBA!$AY$4:$AY$8</c:f>
              <c:numCache>
                <c:formatCode>0</c:formatCode>
                <c:ptCount val="5"/>
                <c:pt idx="0">
                  <c:v>2007</c:v>
                </c:pt>
                <c:pt idx="1">
                  <c:v>2008</c:v>
                </c:pt>
                <c:pt idx="2">
                  <c:v>2009</c:v>
                </c:pt>
                <c:pt idx="3">
                  <c:v>2010</c:v>
                </c:pt>
                <c:pt idx="4" formatCode="m/d/yyyy">
                  <c:v>40574</c:v>
                </c:pt>
              </c:numCache>
            </c:numRef>
          </c:cat>
          <c:val>
            <c:numRef>
              <c:f>MTBA!$CA$4:$CA$8</c:f>
              <c:numCache>
                <c:formatCode>0</c:formatCode>
                <c:ptCount val="5"/>
                <c:pt idx="0">
                  <c:v>4.9000000000000004</c:v>
                </c:pt>
                <c:pt idx="1">
                  <c:v>18</c:v>
                </c:pt>
                <c:pt idx="2">
                  <c:v>12.166666666666666</c:v>
                </c:pt>
                <c:pt idx="3">
                  <c:v>10.666666666666666</c:v>
                </c:pt>
                <c:pt idx="4">
                  <c:v>11</c:v>
                </c:pt>
              </c:numCache>
            </c:numRef>
          </c:val>
          <c:extLst>
            <c:ext xmlns:c16="http://schemas.microsoft.com/office/drawing/2014/chart" uri="{C3380CC4-5D6E-409C-BE32-E72D297353CC}">
              <c16:uniqueId val="{00000000-083F-4062-B47A-D44C7D3600C6}"/>
            </c:ext>
          </c:extLst>
        </c:ser>
        <c:dLbls>
          <c:showLegendKey val="1"/>
          <c:showVal val="1"/>
          <c:showCatName val="0"/>
          <c:showSerName val="0"/>
          <c:showPercent val="0"/>
          <c:showBubbleSize val="0"/>
        </c:dLbls>
        <c:gapWidth val="150"/>
        <c:axId val="1237418960"/>
        <c:axId val="1237420048"/>
      </c:barChart>
      <c:lineChart>
        <c:grouping val="standard"/>
        <c:varyColors val="0"/>
        <c:ser>
          <c:idx val="0"/>
          <c:order val="1"/>
          <c:tx>
            <c:v>MTBA Acumulado</c:v>
          </c:tx>
          <c:spPr>
            <a:ln w="38100">
              <a:solidFill>
                <a:srgbClr val="008000"/>
              </a:solidFill>
              <a:prstDash val="solid"/>
            </a:ln>
          </c:spPr>
          <c:marker>
            <c:symbol val="circle"/>
            <c:size val="7"/>
            <c:spPr>
              <a:solidFill>
                <a:srgbClr val="008000"/>
              </a:solidFill>
              <a:ln>
                <a:solidFill>
                  <a:srgbClr val="008000"/>
                </a:solidFill>
                <a:prstDash val="solid"/>
              </a:ln>
            </c:spPr>
          </c:marker>
          <c:dLbls>
            <c:numFmt formatCode="0" sourceLinked="0"/>
            <c:spPr>
              <a:noFill/>
              <a:ln w="25400">
                <a:noFill/>
              </a:ln>
            </c:spPr>
            <c:txPr>
              <a:bodyPr/>
              <a:lstStyle/>
              <a:p>
                <a:pPr>
                  <a:defRPr sz="1100" b="1" i="0" u="none" strike="noStrike" baseline="0">
                    <a:solidFill>
                      <a:srgbClr val="008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MTBA!$AY$4:$AY$8</c:f>
              <c:numCache>
                <c:formatCode>0</c:formatCode>
                <c:ptCount val="5"/>
                <c:pt idx="0">
                  <c:v>2007</c:v>
                </c:pt>
                <c:pt idx="1">
                  <c:v>2008</c:v>
                </c:pt>
                <c:pt idx="2">
                  <c:v>2009</c:v>
                </c:pt>
                <c:pt idx="3">
                  <c:v>2010</c:v>
                </c:pt>
                <c:pt idx="4" formatCode="m/d/yyyy">
                  <c:v>40574</c:v>
                </c:pt>
              </c:numCache>
            </c:numRef>
          </c:cat>
          <c:val>
            <c:numRef>
              <c:f>MTBA!$BZ$4:$BZ$8</c:f>
              <c:numCache>
                <c:formatCode>0</c:formatCode>
                <c:ptCount val="5"/>
                <c:pt idx="0">
                  <c:v>4.9000000000000004</c:v>
                </c:pt>
                <c:pt idx="1">
                  <c:v>11.45</c:v>
                </c:pt>
                <c:pt idx="2">
                  <c:v>11.615384615384615</c:v>
                </c:pt>
                <c:pt idx="3">
                  <c:v>11.268292682926829</c:v>
                </c:pt>
                <c:pt idx="4">
                  <c:v>11.255813953488373</c:v>
                </c:pt>
              </c:numCache>
            </c:numRef>
          </c:val>
          <c:smooth val="0"/>
          <c:extLst>
            <c:ext xmlns:c16="http://schemas.microsoft.com/office/drawing/2014/chart" uri="{C3380CC4-5D6E-409C-BE32-E72D297353CC}">
              <c16:uniqueId val="{00000001-083F-4062-B47A-D44C7D3600C6}"/>
            </c:ext>
          </c:extLst>
        </c:ser>
        <c:dLbls>
          <c:showLegendKey val="1"/>
          <c:showVal val="1"/>
          <c:showCatName val="0"/>
          <c:showSerName val="0"/>
          <c:showPercent val="0"/>
          <c:showBubbleSize val="0"/>
        </c:dLbls>
        <c:marker val="1"/>
        <c:smooth val="0"/>
        <c:axId val="1237424400"/>
        <c:axId val="1237424944"/>
      </c:lineChart>
      <c:catAx>
        <c:axId val="1237418960"/>
        <c:scaling>
          <c:orientation val="minMax"/>
        </c:scaling>
        <c:delete val="0"/>
        <c:axPos val="b"/>
        <c:numFmt formatCode="0"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7420048"/>
        <c:crosses val="autoZero"/>
        <c:auto val="0"/>
        <c:lblAlgn val="ctr"/>
        <c:lblOffset val="100"/>
        <c:tickLblSkip val="1"/>
        <c:tickMarkSkip val="1"/>
        <c:noMultiLvlLbl val="0"/>
      </c:catAx>
      <c:valAx>
        <c:axId val="1237420048"/>
        <c:scaling>
          <c:orientation val="minMax"/>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s-PE"/>
          </a:p>
        </c:txPr>
        <c:crossAx val="1237418960"/>
        <c:crosses val="autoZero"/>
        <c:crossBetween val="between"/>
      </c:valAx>
      <c:catAx>
        <c:axId val="1237424400"/>
        <c:scaling>
          <c:orientation val="minMax"/>
        </c:scaling>
        <c:delete val="1"/>
        <c:axPos val="b"/>
        <c:numFmt formatCode="0" sourceLinked="1"/>
        <c:majorTickMark val="out"/>
        <c:minorTickMark val="none"/>
        <c:tickLblPos val="none"/>
        <c:crossAx val="1237424944"/>
        <c:crosses val="autoZero"/>
        <c:auto val="0"/>
        <c:lblAlgn val="ctr"/>
        <c:lblOffset val="100"/>
        <c:noMultiLvlLbl val="0"/>
      </c:catAx>
      <c:valAx>
        <c:axId val="1237424944"/>
        <c:scaling>
          <c:orientation val="minMax"/>
        </c:scaling>
        <c:delete val="1"/>
        <c:axPos val="l"/>
        <c:numFmt formatCode="0" sourceLinked="1"/>
        <c:majorTickMark val="out"/>
        <c:minorTickMark val="none"/>
        <c:tickLblPos val="none"/>
        <c:crossAx val="1237424400"/>
        <c:crosses val="autoZero"/>
        <c:crossBetween val="between"/>
      </c:valAx>
      <c:spPr>
        <a:solidFill>
          <a:srgbClr val="FFFFFF"/>
        </a:solidFill>
        <a:ln w="12700">
          <a:solidFill>
            <a:srgbClr val="000000"/>
          </a:solidFill>
          <a:prstDash val="solid"/>
        </a:ln>
      </c:spPr>
    </c:plotArea>
    <c:legend>
      <c:legendPos val="r"/>
      <c:layout>
        <c:manualLayout>
          <c:xMode val="edge"/>
          <c:yMode val="edge"/>
          <c:x val="0.30000000000000032"/>
          <c:y val="0.86765121233156506"/>
          <c:w val="0.46808510638298112"/>
          <c:h val="9.8039685009215158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MTBA (Prom.Dias sin Accidentes Inca+DMR)</a:t>
            </a:r>
          </a:p>
        </c:rich>
      </c:tx>
      <c:layout>
        <c:manualLayout>
          <c:xMode val="edge"/>
          <c:yMode val="edge"/>
          <c:x val="0.20001499812523602"/>
          <c:y val="2.2321428571428582E-2"/>
        </c:manualLayout>
      </c:layout>
      <c:overlay val="0"/>
      <c:spPr>
        <a:noFill/>
        <a:ln w="25400">
          <a:noFill/>
        </a:ln>
      </c:spPr>
    </c:title>
    <c:autoTitleDeleted val="0"/>
    <c:plotArea>
      <c:layout/>
      <c:barChart>
        <c:barDir val="col"/>
        <c:grouping val="clustered"/>
        <c:varyColors val="0"/>
        <c:ser>
          <c:idx val="1"/>
          <c:order val="0"/>
          <c:tx>
            <c:v>MTBA x Año</c:v>
          </c:tx>
          <c:spPr>
            <a:gradFill rotWithShape="0">
              <a:gsLst>
                <a:gs pos="0">
                  <a:srgbClr val="99CCFF"/>
                </a:gs>
                <a:gs pos="100000">
                  <a:srgbClr val="99CCFF">
                    <a:gamma/>
                    <a:shade val="46275"/>
                    <a:invGamma/>
                  </a:srgbClr>
                </a:gs>
              </a:gsLst>
              <a:lin ang="5400000" scaled="1"/>
            </a:gradFill>
            <a:ln w="3175">
              <a:solidFill>
                <a:srgbClr val="000000"/>
              </a:solidFill>
              <a:prstDash val="solid"/>
            </a:ln>
          </c:spPr>
          <c:invertIfNegative val="0"/>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MTBA!$BG$4:$BG$8</c:f>
            </c:numRef>
          </c:val>
          <c:extLst>
            <c:ext xmlns:c15="http://schemas.microsoft.com/office/drawing/2012/chart" uri="{02D57815-91ED-43cb-92C2-25804820EDAC}">
              <c15:filteredCategoryTitle>
                <c15:cat>
                  <c:multiLvlStrRef>
                    <c:extLst>
                      <c:ext uri="{02D57815-91ED-43cb-92C2-25804820EDAC}">
                        <c15:formulaRef>
                          <c15:sqref>MTBA!$BE$4:$BE$8</c15:sqref>
                        </c15:formulaRef>
                      </c:ext>
                    </c:extLst>
                  </c:multiLvlStrRef>
                </c15:cat>
              </c15:filteredCategoryTitle>
            </c:ext>
            <c:ext xmlns:c16="http://schemas.microsoft.com/office/drawing/2014/chart" uri="{C3380CC4-5D6E-409C-BE32-E72D297353CC}">
              <c16:uniqueId val="{00000000-C501-4C3E-9A01-28E588720FE6}"/>
            </c:ext>
          </c:extLst>
        </c:ser>
        <c:dLbls>
          <c:showLegendKey val="1"/>
          <c:showVal val="1"/>
          <c:showCatName val="0"/>
          <c:showSerName val="0"/>
          <c:showPercent val="0"/>
          <c:showBubbleSize val="0"/>
        </c:dLbls>
        <c:gapWidth val="150"/>
        <c:axId val="1237425488"/>
        <c:axId val="1238737840"/>
      </c:barChart>
      <c:lineChart>
        <c:grouping val="standard"/>
        <c:varyColors val="0"/>
        <c:ser>
          <c:idx val="0"/>
          <c:order val="1"/>
          <c:tx>
            <c:v>MTBA Acumulado</c:v>
          </c:tx>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MTBA!$BF$4:$BF$8</c:f>
            </c:numRef>
          </c:val>
          <c:smooth val="0"/>
          <c:extLst>
            <c:ext xmlns:c15="http://schemas.microsoft.com/office/drawing/2012/chart" uri="{02D57815-91ED-43cb-92C2-25804820EDAC}">
              <c15:filteredCategoryTitle>
                <c15:cat>
                  <c:multiLvlStrRef>
                    <c:extLst>
                      <c:ext uri="{02D57815-91ED-43cb-92C2-25804820EDAC}">
                        <c15:formulaRef>
                          <c15:sqref>MTBA!$BE$4:$BE$8</c15:sqref>
                        </c15:formulaRef>
                      </c:ext>
                    </c:extLst>
                  </c:multiLvlStrRef>
                </c15:cat>
              </c15:filteredCategoryTitle>
            </c:ext>
            <c:ext xmlns:c16="http://schemas.microsoft.com/office/drawing/2014/chart" uri="{C3380CC4-5D6E-409C-BE32-E72D297353CC}">
              <c16:uniqueId val="{00000001-C501-4C3E-9A01-28E588720FE6}"/>
            </c:ext>
          </c:extLst>
        </c:ser>
        <c:dLbls>
          <c:showLegendKey val="1"/>
          <c:showVal val="1"/>
          <c:showCatName val="0"/>
          <c:showSerName val="0"/>
          <c:showPercent val="0"/>
          <c:showBubbleSize val="0"/>
        </c:dLbls>
        <c:marker val="1"/>
        <c:smooth val="0"/>
        <c:axId val="1238738384"/>
        <c:axId val="1238742736"/>
      </c:lineChart>
      <c:catAx>
        <c:axId val="123742548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8737840"/>
        <c:crosses val="autoZero"/>
        <c:auto val="0"/>
        <c:lblAlgn val="ctr"/>
        <c:lblOffset val="100"/>
        <c:tickMarkSkip val="1"/>
        <c:noMultiLvlLbl val="0"/>
      </c:catAx>
      <c:valAx>
        <c:axId val="1238737840"/>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7425488"/>
        <c:crosses val="autoZero"/>
        <c:crossBetween val="between"/>
        <c:majorUnit val="100"/>
      </c:valAx>
      <c:catAx>
        <c:axId val="1238738384"/>
        <c:scaling>
          <c:orientation val="minMax"/>
        </c:scaling>
        <c:delete val="1"/>
        <c:axPos val="b"/>
        <c:majorTickMark val="out"/>
        <c:minorTickMark val="none"/>
        <c:tickLblPos val="none"/>
        <c:crossAx val="1238742736"/>
        <c:crosses val="autoZero"/>
        <c:auto val="0"/>
        <c:lblAlgn val="ctr"/>
        <c:lblOffset val="100"/>
        <c:noMultiLvlLbl val="0"/>
      </c:catAx>
      <c:valAx>
        <c:axId val="1238742736"/>
        <c:scaling>
          <c:orientation val="minMax"/>
        </c:scaling>
        <c:delete val="1"/>
        <c:axPos val="l"/>
        <c:majorTickMark val="out"/>
        <c:minorTickMark val="none"/>
        <c:tickLblPos val="none"/>
        <c:crossAx val="1238738384"/>
        <c:crosses val="autoZero"/>
        <c:crossBetween val="between"/>
      </c:valAx>
      <c:spPr>
        <a:solidFill>
          <a:srgbClr val="FFFFFF"/>
        </a:solidFill>
        <a:ln w="12700">
          <a:solidFill>
            <a:srgbClr val="000000"/>
          </a:solidFill>
          <a:prstDash val="solid"/>
        </a:ln>
      </c:spPr>
    </c:plotArea>
    <c:legend>
      <c:legendPos val="r"/>
      <c:layout>
        <c:manualLayout>
          <c:xMode val="edge"/>
          <c:yMode val="edge"/>
          <c:x val="0.23810631074733904"/>
          <c:y val="0.32142857142857612"/>
          <c:w val="0.38097009719574643"/>
          <c:h val="1.7857142857142856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MTTR (Prom.Dias Descanso Incap+DMR)</a:t>
            </a:r>
          </a:p>
        </c:rich>
      </c:tx>
      <c:layout>
        <c:manualLayout>
          <c:xMode val="edge"/>
          <c:yMode val="edge"/>
          <c:x val="0.20617089530475227"/>
          <c:y val="2.1276595744680847E-2"/>
        </c:manualLayout>
      </c:layout>
      <c:overlay val="0"/>
      <c:spPr>
        <a:noFill/>
        <a:ln w="25400">
          <a:noFill/>
        </a:ln>
      </c:spPr>
    </c:title>
    <c:autoTitleDeleted val="0"/>
    <c:plotArea>
      <c:layout/>
      <c:barChart>
        <c:barDir val="col"/>
        <c:grouping val="clustered"/>
        <c:varyColors val="0"/>
        <c:ser>
          <c:idx val="1"/>
          <c:order val="0"/>
          <c:tx>
            <c:v>MTBA x Año</c:v>
          </c:tx>
          <c:spPr>
            <a:gradFill rotWithShape="0">
              <a:gsLst>
                <a:gs pos="0">
                  <a:srgbClr val="99FF99"/>
                </a:gs>
                <a:gs pos="100000">
                  <a:srgbClr val="99FF99">
                    <a:gamma/>
                    <a:shade val="46275"/>
                    <a:invGamma/>
                  </a:srgbClr>
                </a:gs>
              </a:gsLst>
              <a:lin ang="5400000" scaled="1"/>
            </a:gradFill>
            <a:ln w="3175">
              <a:solidFill>
                <a:srgbClr val="000000"/>
              </a:solidFill>
              <a:prstDash val="solid"/>
            </a:ln>
          </c:spPr>
          <c:invertIfNegative val="0"/>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MTBA!$BI$4:$BI$8</c:f>
            </c:numRef>
          </c:val>
          <c:extLst>
            <c:ext xmlns:c15="http://schemas.microsoft.com/office/drawing/2012/chart" uri="{02D57815-91ED-43cb-92C2-25804820EDAC}">
              <c15:filteredCategoryTitle>
                <c15:cat>
                  <c:multiLvlStrRef>
                    <c:extLst>
                      <c:ext uri="{02D57815-91ED-43cb-92C2-25804820EDAC}">
                        <c15:formulaRef>
                          <c15:sqref>MTBA!$BE$4:$BE$8</c15:sqref>
                        </c15:formulaRef>
                      </c:ext>
                    </c:extLst>
                  </c:multiLvlStrRef>
                </c15:cat>
              </c15:filteredCategoryTitle>
            </c:ext>
            <c:ext xmlns:c16="http://schemas.microsoft.com/office/drawing/2014/chart" uri="{C3380CC4-5D6E-409C-BE32-E72D297353CC}">
              <c16:uniqueId val="{00000000-F3F8-4C59-9F68-97599B2E7601}"/>
            </c:ext>
          </c:extLst>
        </c:ser>
        <c:dLbls>
          <c:showLegendKey val="1"/>
          <c:showVal val="1"/>
          <c:showCatName val="0"/>
          <c:showSerName val="0"/>
          <c:showPercent val="0"/>
          <c:showBubbleSize val="0"/>
        </c:dLbls>
        <c:gapWidth val="150"/>
        <c:axId val="1238746000"/>
        <c:axId val="1238748176"/>
      </c:barChart>
      <c:lineChart>
        <c:grouping val="standard"/>
        <c:varyColors val="0"/>
        <c:ser>
          <c:idx val="0"/>
          <c:order val="1"/>
          <c:tx>
            <c:v>MTBA Acumulado</c:v>
          </c:tx>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MTBA!$BH$4:$BH$8</c:f>
            </c:numRef>
          </c:val>
          <c:smooth val="0"/>
          <c:extLst>
            <c:ext xmlns:c15="http://schemas.microsoft.com/office/drawing/2012/chart" uri="{02D57815-91ED-43cb-92C2-25804820EDAC}">
              <c15:filteredCategoryTitle>
                <c15:cat>
                  <c:multiLvlStrRef>
                    <c:extLst>
                      <c:ext uri="{02D57815-91ED-43cb-92C2-25804820EDAC}">
                        <c15:formulaRef>
                          <c15:sqref>MTBA!$BE$4:$BE$8</c15:sqref>
                        </c15:formulaRef>
                      </c:ext>
                    </c:extLst>
                  </c:multiLvlStrRef>
                </c15:cat>
              </c15:filteredCategoryTitle>
            </c:ext>
            <c:ext xmlns:c16="http://schemas.microsoft.com/office/drawing/2014/chart" uri="{C3380CC4-5D6E-409C-BE32-E72D297353CC}">
              <c16:uniqueId val="{00000001-F3F8-4C59-9F68-97599B2E7601}"/>
            </c:ext>
          </c:extLst>
        </c:ser>
        <c:dLbls>
          <c:showLegendKey val="1"/>
          <c:showVal val="1"/>
          <c:showCatName val="0"/>
          <c:showSerName val="0"/>
          <c:showPercent val="0"/>
          <c:showBubbleSize val="0"/>
        </c:dLbls>
        <c:marker val="1"/>
        <c:smooth val="0"/>
        <c:axId val="1238743280"/>
        <c:axId val="1238734032"/>
      </c:lineChart>
      <c:catAx>
        <c:axId val="123874600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8748176"/>
        <c:crosses val="autoZero"/>
        <c:auto val="0"/>
        <c:lblAlgn val="ctr"/>
        <c:lblOffset val="100"/>
        <c:tickMarkSkip val="1"/>
        <c:noMultiLvlLbl val="0"/>
      </c:catAx>
      <c:valAx>
        <c:axId val="1238748176"/>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s-PE"/>
          </a:p>
        </c:txPr>
        <c:crossAx val="1238746000"/>
        <c:crosses val="autoZero"/>
        <c:crossBetween val="between"/>
      </c:valAx>
      <c:catAx>
        <c:axId val="1238743280"/>
        <c:scaling>
          <c:orientation val="minMax"/>
        </c:scaling>
        <c:delete val="1"/>
        <c:axPos val="b"/>
        <c:majorTickMark val="out"/>
        <c:minorTickMark val="none"/>
        <c:tickLblPos val="none"/>
        <c:crossAx val="1238734032"/>
        <c:crosses val="autoZero"/>
        <c:auto val="0"/>
        <c:lblAlgn val="ctr"/>
        <c:lblOffset val="100"/>
        <c:noMultiLvlLbl val="0"/>
      </c:catAx>
      <c:valAx>
        <c:axId val="1238734032"/>
        <c:scaling>
          <c:orientation val="minMax"/>
        </c:scaling>
        <c:delete val="1"/>
        <c:axPos val="l"/>
        <c:majorTickMark val="out"/>
        <c:minorTickMark val="none"/>
        <c:tickLblPos val="none"/>
        <c:crossAx val="1238743280"/>
        <c:crosses val="autoZero"/>
        <c:crossBetween val="between"/>
      </c:valAx>
      <c:spPr>
        <a:solidFill>
          <a:srgbClr val="FFFFFF"/>
        </a:solidFill>
        <a:ln w="12700">
          <a:solidFill>
            <a:srgbClr val="000000"/>
          </a:solidFill>
          <a:prstDash val="solid"/>
        </a:ln>
      </c:spPr>
    </c:plotArea>
    <c:legend>
      <c:legendPos val="r"/>
      <c:layout>
        <c:manualLayout>
          <c:xMode val="edge"/>
          <c:yMode val="edge"/>
          <c:x val="0.18519188338698594"/>
          <c:y val="0.33191558326875409"/>
          <c:w val="0.29630701341917748"/>
          <c:h val="1.7021311962499917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MTBA (Prom.Dias sin Accidentes Inca+DMR)</a:t>
            </a:r>
          </a:p>
        </c:rich>
      </c:tx>
      <c:overlay val="0"/>
      <c:spPr>
        <a:noFill/>
        <a:ln w="25400">
          <a:noFill/>
        </a:ln>
      </c:spPr>
    </c:title>
    <c:autoTitleDeleted val="0"/>
    <c:plotArea>
      <c:layout/>
      <c:barChart>
        <c:barDir val="col"/>
        <c:grouping val="clustered"/>
        <c:varyColors val="0"/>
        <c:ser>
          <c:idx val="1"/>
          <c:order val="0"/>
          <c:tx>
            <c:v>MTBA x Año</c:v>
          </c:tx>
          <c:spPr>
            <a:gradFill rotWithShape="0">
              <a:gsLst>
                <a:gs pos="0">
                  <a:srgbClr val="99CCFF"/>
                </a:gs>
                <a:gs pos="100000">
                  <a:srgbClr val="99CCFF">
                    <a:gamma/>
                    <a:shade val="46275"/>
                    <a:invGamma/>
                  </a:srgbClr>
                </a:gs>
              </a:gsLst>
              <a:lin ang="5400000" scaled="1"/>
            </a:gradFill>
            <a:ln w="3175">
              <a:solidFill>
                <a:srgbClr val="000000"/>
              </a:solidFill>
              <a:prstDash val="solid"/>
            </a:ln>
          </c:spPr>
          <c:invertIfNegative val="0"/>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MTBA!$BS$4:$BS$8</c:f>
            </c:numRef>
          </c:val>
          <c:extLst>
            <c:ext xmlns:c15="http://schemas.microsoft.com/office/drawing/2012/chart" uri="{02D57815-91ED-43cb-92C2-25804820EDAC}">
              <c15:filteredCategoryTitle>
                <c15:cat>
                  <c:multiLvlStrRef>
                    <c:extLst>
                      <c:ext uri="{02D57815-91ED-43cb-92C2-25804820EDAC}">
                        <c15:formulaRef>
                          <c15:sqref>MTBA!$BQ$4:$BQ$8</c15:sqref>
                        </c15:formulaRef>
                      </c:ext>
                    </c:extLst>
                  </c:multiLvlStrRef>
                </c15:cat>
              </c15:filteredCategoryTitle>
            </c:ext>
            <c:ext xmlns:c16="http://schemas.microsoft.com/office/drawing/2014/chart" uri="{C3380CC4-5D6E-409C-BE32-E72D297353CC}">
              <c16:uniqueId val="{00000000-37A0-48A9-AE23-415275C2D3D2}"/>
            </c:ext>
          </c:extLst>
        </c:ser>
        <c:dLbls>
          <c:showLegendKey val="1"/>
          <c:showVal val="1"/>
          <c:showCatName val="0"/>
          <c:showSerName val="0"/>
          <c:showPercent val="0"/>
          <c:showBubbleSize val="0"/>
        </c:dLbls>
        <c:gapWidth val="150"/>
        <c:axId val="1238746544"/>
        <c:axId val="1238733488"/>
      </c:barChart>
      <c:lineChart>
        <c:grouping val="standard"/>
        <c:varyColors val="0"/>
        <c:ser>
          <c:idx val="0"/>
          <c:order val="1"/>
          <c:tx>
            <c:v>MTBA Acumulado</c:v>
          </c:tx>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MTBA!$BR$4:$BR$8</c:f>
            </c:numRef>
          </c:val>
          <c:smooth val="0"/>
          <c:extLst>
            <c:ext xmlns:c15="http://schemas.microsoft.com/office/drawing/2012/chart" uri="{02D57815-91ED-43cb-92C2-25804820EDAC}">
              <c15:filteredCategoryTitle>
                <c15:cat>
                  <c:multiLvlStrRef>
                    <c:extLst>
                      <c:ext uri="{02D57815-91ED-43cb-92C2-25804820EDAC}">
                        <c15:formulaRef>
                          <c15:sqref>MTBA!$BQ$4:$BQ$8</c15:sqref>
                        </c15:formulaRef>
                      </c:ext>
                    </c:extLst>
                  </c:multiLvlStrRef>
                </c15:cat>
              </c15:filteredCategoryTitle>
            </c:ext>
            <c:ext xmlns:c16="http://schemas.microsoft.com/office/drawing/2014/chart" uri="{C3380CC4-5D6E-409C-BE32-E72D297353CC}">
              <c16:uniqueId val="{00000001-37A0-48A9-AE23-415275C2D3D2}"/>
            </c:ext>
          </c:extLst>
        </c:ser>
        <c:dLbls>
          <c:showLegendKey val="1"/>
          <c:showVal val="1"/>
          <c:showCatName val="0"/>
          <c:showSerName val="0"/>
          <c:showPercent val="0"/>
          <c:showBubbleSize val="0"/>
        </c:dLbls>
        <c:marker val="1"/>
        <c:smooth val="0"/>
        <c:axId val="1238747088"/>
        <c:axId val="1238734576"/>
      </c:lineChart>
      <c:catAx>
        <c:axId val="123874654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8733488"/>
        <c:crosses val="autoZero"/>
        <c:auto val="0"/>
        <c:lblAlgn val="ctr"/>
        <c:lblOffset val="100"/>
        <c:tickMarkSkip val="1"/>
        <c:noMultiLvlLbl val="0"/>
      </c:catAx>
      <c:valAx>
        <c:axId val="1238733488"/>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8746544"/>
        <c:crosses val="autoZero"/>
        <c:crossBetween val="between"/>
      </c:valAx>
      <c:catAx>
        <c:axId val="1238747088"/>
        <c:scaling>
          <c:orientation val="minMax"/>
        </c:scaling>
        <c:delete val="1"/>
        <c:axPos val="b"/>
        <c:majorTickMark val="out"/>
        <c:minorTickMark val="none"/>
        <c:tickLblPos val="none"/>
        <c:crossAx val="1238734576"/>
        <c:crosses val="autoZero"/>
        <c:auto val="0"/>
        <c:lblAlgn val="ctr"/>
        <c:lblOffset val="100"/>
        <c:noMultiLvlLbl val="0"/>
      </c:catAx>
      <c:valAx>
        <c:axId val="1238734576"/>
        <c:scaling>
          <c:orientation val="minMax"/>
        </c:scaling>
        <c:delete val="1"/>
        <c:axPos val="l"/>
        <c:majorTickMark val="out"/>
        <c:minorTickMark val="none"/>
        <c:tickLblPos val="none"/>
        <c:crossAx val="1238747088"/>
        <c:crosses val="autoZero"/>
        <c:crossBetween val="between"/>
      </c:valAx>
      <c:spPr>
        <a:solidFill>
          <a:srgbClr val="FFFFFF"/>
        </a:solidFill>
        <a:ln w="12700">
          <a:solidFill>
            <a:srgbClr val="000000"/>
          </a:solidFill>
          <a:prstDash val="solid"/>
        </a:ln>
      </c:spPr>
    </c:plotArea>
    <c:legend>
      <c:legendPos val="r"/>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MTTR (Prom.Dias Descanso Incap+DMR)</a:t>
            </a:r>
          </a:p>
        </c:rich>
      </c:tx>
      <c:overlay val="0"/>
      <c:spPr>
        <a:noFill/>
        <a:ln w="25400">
          <a:noFill/>
        </a:ln>
      </c:spPr>
    </c:title>
    <c:autoTitleDeleted val="0"/>
    <c:plotArea>
      <c:layout/>
      <c:barChart>
        <c:barDir val="col"/>
        <c:grouping val="clustered"/>
        <c:varyColors val="0"/>
        <c:ser>
          <c:idx val="1"/>
          <c:order val="0"/>
          <c:tx>
            <c:v>MTBA x Año</c:v>
          </c:tx>
          <c:spPr>
            <a:gradFill rotWithShape="0">
              <a:gsLst>
                <a:gs pos="0">
                  <a:srgbClr val="99FF99"/>
                </a:gs>
                <a:gs pos="100000">
                  <a:srgbClr val="99FF99">
                    <a:gamma/>
                    <a:shade val="46275"/>
                    <a:invGamma/>
                  </a:srgbClr>
                </a:gs>
              </a:gsLst>
              <a:lin ang="5400000" scaled="1"/>
            </a:gradFill>
            <a:ln w="3175">
              <a:solidFill>
                <a:srgbClr val="000000"/>
              </a:solidFill>
              <a:prstDash val="solid"/>
            </a:ln>
          </c:spPr>
          <c:invertIfNegative val="0"/>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MTBA!$BU$4:$BU$8</c:f>
            </c:numRef>
          </c:val>
          <c:extLst>
            <c:ext xmlns:c15="http://schemas.microsoft.com/office/drawing/2012/chart" uri="{02D57815-91ED-43cb-92C2-25804820EDAC}">
              <c15:filteredCategoryTitle>
                <c15:cat>
                  <c:multiLvlStrRef>
                    <c:extLst>
                      <c:ext uri="{02D57815-91ED-43cb-92C2-25804820EDAC}">
                        <c15:formulaRef>
                          <c15:sqref>MTBA!$BK$4:$BK$8</c15:sqref>
                        </c15:formulaRef>
                      </c:ext>
                    </c:extLst>
                  </c:multiLvlStrRef>
                </c15:cat>
              </c15:filteredCategoryTitle>
            </c:ext>
            <c:ext xmlns:c16="http://schemas.microsoft.com/office/drawing/2014/chart" uri="{C3380CC4-5D6E-409C-BE32-E72D297353CC}">
              <c16:uniqueId val="{00000000-94AC-4026-A706-02A68C3B953B}"/>
            </c:ext>
          </c:extLst>
        </c:ser>
        <c:dLbls>
          <c:showLegendKey val="1"/>
          <c:showVal val="1"/>
          <c:showCatName val="0"/>
          <c:showSerName val="0"/>
          <c:showPercent val="0"/>
          <c:showBubbleSize val="0"/>
        </c:dLbls>
        <c:gapWidth val="150"/>
        <c:axId val="1238747632"/>
        <c:axId val="1238740560"/>
      </c:barChart>
      <c:lineChart>
        <c:grouping val="standard"/>
        <c:varyColors val="0"/>
        <c:ser>
          <c:idx val="0"/>
          <c:order val="1"/>
          <c:tx>
            <c:v>MTBA Acumulado</c:v>
          </c:tx>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val>
            <c:numRef>
              <c:f>MTBA!$BT$4:$BT$8</c:f>
            </c:numRef>
          </c:val>
          <c:smooth val="0"/>
          <c:extLst>
            <c:ext xmlns:c15="http://schemas.microsoft.com/office/drawing/2012/chart" uri="{02D57815-91ED-43cb-92C2-25804820EDAC}">
              <c15:filteredCategoryTitle>
                <c15:cat>
                  <c:multiLvlStrRef>
                    <c:extLst>
                      <c:ext uri="{02D57815-91ED-43cb-92C2-25804820EDAC}">
                        <c15:formulaRef>
                          <c15:sqref>MTBA!$BK$4:$BK$8</c15:sqref>
                        </c15:formulaRef>
                      </c:ext>
                    </c:extLst>
                  </c:multiLvlStrRef>
                </c15:cat>
              </c15:filteredCategoryTitle>
            </c:ext>
            <c:ext xmlns:c16="http://schemas.microsoft.com/office/drawing/2014/chart" uri="{C3380CC4-5D6E-409C-BE32-E72D297353CC}">
              <c16:uniqueId val="{00000001-94AC-4026-A706-02A68C3B953B}"/>
            </c:ext>
          </c:extLst>
        </c:ser>
        <c:dLbls>
          <c:showLegendKey val="1"/>
          <c:showVal val="1"/>
          <c:showCatName val="0"/>
          <c:showSerName val="0"/>
          <c:showPercent val="0"/>
          <c:showBubbleSize val="0"/>
        </c:dLbls>
        <c:marker val="1"/>
        <c:smooth val="0"/>
        <c:axId val="1238741648"/>
        <c:axId val="1238736208"/>
      </c:lineChart>
      <c:catAx>
        <c:axId val="123874763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8740560"/>
        <c:crosses val="autoZero"/>
        <c:auto val="0"/>
        <c:lblAlgn val="ctr"/>
        <c:lblOffset val="100"/>
        <c:tickMarkSkip val="1"/>
        <c:noMultiLvlLbl val="0"/>
      </c:catAx>
      <c:valAx>
        <c:axId val="1238740560"/>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s-PE"/>
          </a:p>
        </c:txPr>
        <c:crossAx val="1238747632"/>
        <c:crosses val="autoZero"/>
        <c:crossBetween val="between"/>
      </c:valAx>
      <c:catAx>
        <c:axId val="1238741648"/>
        <c:scaling>
          <c:orientation val="minMax"/>
        </c:scaling>
        <c:delete val="1"/>
        <c:axPos val="b"/>
        <c:majorTickMark val="out"/>
        <c:minorTickMark val="none"/>
        <c:tickLblPos val="none"/>
        <c:crossAx val="1238736208"/>
        <c:crosses val="autoZero"/>
        <c:auto val="0"/>
        <c:lblAlgn val="ctr"/>
        <c:lblOffset val="100"/>
        <c:noMultiLvlLbl val="0"/>
      </c:catAx>
      <c:valAx>
        <c:axId val="1238736208"/>
        <c:scaling>
          <c:orientation val="minMax"/>
        </c:scaling>
        <c:delete val="1"/>
        <c:axPos val="l"/>
        <c:majorTickMark val="out"/>
        <c:minorTickMark val="none"/>
        <c:tickLblPos val="none"/>
        <c:crossAx val="1238741648"/>
        <c:crosses val="autoZero"/>
        <c:crossBetween val="between"/>
      </c:valAx>
      <c:spPr>
        <a:solidFill>
          <a:srgbClr val="FFFFFF"/>
        </a:solidFill>
        <a:ln w="12700">
          <a:solidFill>
            <a:srgbClr val="000000"/>
          </a:solidFill>
          <a:prstDash val="solid"/>
        </a:ln>
      </c:spPr>
    </c:plotArea>
    <c:legend>
      <c:legendPos val="r"/>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MTBA (Prom.Dias sin Accidentes Inca+DMR)</a:t>
            </a:r>
          </a:p>
        </c:rich>
      </c:tx>
      <c:layout>
        <c:manualLayout>
          <c:xMode val="edge"/>
          <c:yMode val="edge"/>
          <c:x val="0.18660312197817377"/>
          <c:y val="2.7624309392265192E-2"/>
        </c:manualLayout>
      </c:layout>
      <c:overlay val="0"/>
      <c:spPr>
        <a:noFill/>
        <a:ln w="25400">
          <a:noFill/>
        </a:ln>
      </c:spPr>
    </c:title>
    <c:autoTitleDeleted val="0"/>
    <c:plotArea>
      <c:layout>
        <c:manualLayout>
          <c:layoutTarget val="inner"/>
          <c:xMode val="edge"/>
          <c:yMode val="edge"/>
          <c:x val="0.11244032273325678"/>
          <c:y val="0.18232093383366571"/>
          <c:w val="0.87799145623631736"/>
          <c:h val="0.414365758712885"/>
        </c:manualLayout>
      </c:layout>
      <c:barChart>
        <c:barDir val="col"/>
        <c:grouping val="clustered"/>
        <c:varyColors val="0"/>
        <c:ser>
          <c:idx val="1"/>
          <c:order val="0"/>
          <c:tx>
            <c:v>MTBA x Año</c:v>
          </c:tx>
          <c:spPr>
            <a:gradFill rotWithShape="0">
              <a:gsLst>
                <a:gs pos="0">
                  <a:srgbClr val="99CCFF"/>
                </a:gs>
                <a:gs pos="100000">
                  <a:srgbClr val="99CCFF">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MTBA!$CC$4:$CC$8</c:f>
              <c:numCache>
                <c:formatCode>0</c:formatCode>
                <c:ptCount val="5"/>
                <c:pt idx="0">
                  <c:v>2007</c:v>
                </c:pt>
                <c:pt idx="1">
                  <c:v>2008</c:v>
                </c:pt>
                <c:pt idx="2">
                  <c:v>2009</c:v>
                </c:pt>
                <c:pt idx="3">
                  <c:v>2010</c:v>
                </c:pt>
                <c:pt idx="4" formatCode="m/d/yyyy">
                  <c:v>40574</c:v>
                </c:pt>
              </c:numCache>
            </c:numRef>
          </c:cat>
          <c:val>
            <c:numRef>
              <c:f>MTBA!$CE$4:$CE$8</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0BF9-4BE7-9496-5227116154B7}"/>
            </c:ext>
          </c:extLst>
        </c:ser>
        <c:dLbls>
          <c:showLegendKey val="1"/>
          <c:showVal val="1"/>
          <c:showCatName val="0"/>
          <c:showSerName val="0"/>
          <c:showPercent val="0"/>
          <c:showBubbleSize val="0"/>
        </c:dLbls>
        <c:gapWidth val="150"/>
        <c:axId val="1238742192"/>
        <c:axId val="1238743824"/>
      </c:barChart>
      <c:lineChart>
        <c:grouping val="standard"/>
        <c:varyColors val="0"/>
        <c:ser>
          <c:idx val="0"/>
          <c:order val="1"/>
          <c:tx>
            <c:v>MTBA Acumulado</c:v>
          </c:tx>
          <c:spPr>
            <a:ln w="38100">
              <a:solidFill>
                <a:srgbClr val="0000FF"/>
              </a:solidFill>
              <a:prstDash val="solid"/>
            </a:ln>
          </c:spPr>
          <c:marker>
            <c:symbol val="circle"/>
            <c:size val="7"/>
            <c:spPr>
              <a:solidFill>
                <a:srgbClr val="0000FF"/>
              </a:solidFill>
              <a:ln>
                <a:solidFill>
                  <a:srgbClr val="0000FF"/>
                </a:solidFill>
                <a:prstDash val="solid"/>
              </a:ln>
            </c:spPr>
          </c:marker>
          <c:dLbls>
            <c:numFmt formatCode="0" sourceLinked="0"/>
            <c:spPr>
              <a:noFill/>
              <a:ln w="25400">
                <a:noFill/>
              </a:ln>
            </c:spPr>
            <c:txPr>
              <a:bodyPr/>
              <a:lstStyle/>
              <a:p>
                <a:pPr>
                  <a:defRPr sz="11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MTBA!$CC$4:$CC$8</c:f>
              <c:numCache>
                <c:formatCode>0</c:formatCode>
                <c:ptCount val="5"/>
                <c:pt idx="0">
                  <c:v>2007</c:v>
                </c:pt>
                <c:pt idx="1">
                  <c:v>2008</c:v>
                </c:pt>
                <c:pt idx="2">
                  <c:v>2009</c:v>
                </c:pt>
                <c:pt idx="3">
                  <c:v>2010</c:v>
                </c:pt>
                <c:pt idx="4" formatCode="m/d/yyyy">
                  <c:v>40574</c:v>
                </c:pt>
              </c:numCache>
            </c:numRef>
          </c:cat>
          <c:val>
            <c:numRef>
              <c:f>MTBA!$BX$4:$BX$8</c:f>
              <c:numCache>
                <c:formatCode>0</c:formatCode>
                <c:ptCount val="5"/>
                <c:pt idx="0">
                  <c:v>36.4</c:v>
                </c:pt>
                <c:pt idx="1">
                  <c:v>36.5</c:v>
                </c:pt>
                <c:pt idx="2">
                  <c:v>42.115384615384613</c:v>
                </c:pt>
                <c:pt idx="3">
                  <c:v>35.609756097560975</c:v>
                </c:pt>
                <c:pt idx="4">
                  <c:v>34.674418604651166</c:v>
                </c:pt>
              </c:numCache>
            </c:numRef>
          </c:val>
          <c:smooth val="0"/>
          <c:extLst>
            <c:ext xmlns:c16="http://schemas.microsoft.com/office/drawing/2014/chart" uri="{C3380CC4-5D6E-409C-BE32-E72D297353CC}">
              <c16:uniqueId val="{00000001-0BF9-4BE7-9496-5227116154B7}"/>
            </c:ext>
          </c:extLst>
        </c:ser>
        <c:dLbls>
          <c:showLegendKey val="1"/>
          <c:showVal val="1"/>
          <c:showCatName val="0"/>
          <c:showSerName val="0"/>
          <c:showPercent val="0"/>
          <c:showBubbleSize val="0"/>
        </c:dLbls>
        <c:marker val="1"/>
        <c:smooth val="0"/>
        <c:axId val="1238744368"/>
        <c:axId val="1238732944"/>
      </c:lineChart>
      <c:catAx>
        <c:axId val="1238742192"/>
        <c:scaling>
          <c:orientation val="minMax"/>
        </c:scaling>
        <c:delete val="0"/>
        <c:axPos val="b"/>
        <c:numFmt formatCode="0"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8743824"/>
        <c:crosses val="autoZero"/>
        <c:auto val="0"/>
        <c:lblAlgn val="ctr"/>
        <c:lblOffset val="100"/>
        <c:tickLblSkip val="1"/>
        <c:tickMarkSkip val="1"/>
        <c:noMultiLvlLbl val="0"/>
      </c:catAx>
      <c:valAx>
        <c:axId val="1238743824"/>
        <c:scaling>
          <c:orientation val="minMax"/>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8742192"/>
        <c:crosses val="autoZero"/>
        <c:crossBetween val="between"/>
      </c:valAx>
      <c:catAx>
        <c:axId val="1238744368"/>
        <c:scaling>
          <c:orientation val="minMax"/>
        </c:scaling>
        <c:delete val="1"/>
        <c:axPos val="b"/>
        <c:numFmt formatCode="0" sourceLinked="1"/>
        <c:majorTickMark val="out"/>
        <c:minorTickMark val="none"/>
        <c:tickLblPos val="none"/>
        <c:crossAx val="1238732944"/>
        <c:crosses val="autoZero"/>
        <c:auto val="0"/>
        <c:lblAlgn val="ctr"/>
        <c:lblOffset val="100"/>
        <c:noMultiLvlLbl val="0"/>
      </c:catAx>
      <c:valAx>
        <c:axId val="1238732944"/>
        <c:scaling>
          <c:orientation val="minMax"/>
        </c:scaling>
        <c:delete val="1"/>
        <c:axPos val="l"/>
        <c:numFmt formatCode="0" sourceLinked="1"/>
        <c:majorTickMark val="out"/>
        <c:minorTickMark val="none"/>
        <c:tickLblPos val="none"/>
        <c:crossAx val="1238744368"/>
        <c:crosses val="autoZero"/>
        <c:crossBetween val="between"/>
      </c:valAx>
      <c:spPr>
        <a:solidFill>
          <a:srgbClr val="FFFFFF"/>
        </a:solidFill>
        <a:ln w="12700">
          <a:solidFill>
            <a:srgbClr val="000000"/>
          </a:solidFill>
          <a:prstDash val="solid"/>
        </a:ln>
      </c:spPr>
    </c:plotArea>
    <c:legend>
      <c:legendPos val="r"/>
      <c:layout>
        <c:manualLayout>
          <c:xMode val="edge"/>
          <c:yMode val="edge"/>
          <c:x val="0.26794289672605881"/>
          <c:y val="0.8508310245571109"/>
          <c:w val="0.52631640428332949"/>
          <c:h val="0.11049753565676637"/>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MTTR (Prom.Dias Descanso Incap+DMR)</a:t>
            </a:r>
          </a:p>
        </c:rich>
      </c:tx>
      <c:layout>
        <c:manualLayout>
          <c:xMode val="edge"/>
          <c:yMode val="edge"/>
          <c:x val="0.18990384615384742"/>
          <c:y val="2.7777777777778224E-2"/>
        </c:manualLayout>
      </c:layout>
      <c:overlay val="0"/>
      <c:spPr>
        <a:noFill/>
        <a:ln w="25400">
          <a:noFill/>
        </a:ln>
      </c:spPr>
    </c:title>
    <c:autoTitleDeleted val="0"/>
    <c:plotArea>
      <c:layout>
        <c:manualLayout>
          <c:layoutTarget val="inner"/>
          <c:xMode val="edge"/>
          <c:yMode val="edge"/>
          <c:x val="0.11298076923076918"/>
          <c:y val="0.20555667077186834"/>
          <c:w val="0.84134615384615352"/>
          <c:h val="0.41666892724028742"/>
        </c:manualLayout>
      </c:layout>
      <c:barChart>
        <c:barDir val="col"/>
        <c:grouping val="clustered"/>
        <c:varyColors val="0"/>
        <c:ser>
          <c:idx val="1"/>
          <c:order val="0"/>
          <c:tx>
            <c:v>MTBA x Año</c:v>
          </c:tx>
          <c:spPr>
            <a:gradFill rotWithShape="0">
              <a:gsLst>
                <a:gs pos="0">
                  <a:srgbClr val="99FF99"/>
                </a:gs>
                <a:gs pos="100000">
                  <a:srgbClr val="99FF99">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MTBA!$AY$4:$AY$8</c:f>
              <c:numCache>
                <c:formatCode>0</c:formatCode>
                <c:ptCount val="5"/>
                <c:pt idx="0">
                  <c:v>2007</c:v>
                </c:pt>
                <c:pt idx="1">
                  <c:v>2008</c:v>
                </c:pt>
                <c:pt idx="2">
                  <c:v>2009</c:v>
                </c:pt>
                <c:pt idx="3">
                  <c:v>2010</c:v>
                </c:pt>
                <c:pt idx="4" formatCode="m/d/yyyy">
                  <c:v>40574</c:v>
                </c:pt>
              </c:numCache>
            </c:numRef>
          </c:cat>
          <c:val>
            <c:numRef>
              <c:f>MTBA!$CA$4:$CA$8</c:f>
              <c:numCache>
                <c:formatCode>0</c:formatCode>
                <c:ptCount val="5"/>
                <c:pt idx="0">
                  <c:v>4.9000000000000004</c:v>
                </c:pt>
                <c:pt idx="1">
                  <c:v>18</c:v>
                </c:pt>
                <c:pt idx="2">
                  <c:v>12.166666666666666</c:v>
                </c:pt>
                <c:pt idx="3">
                  <c:v>10.666666666666666</c:v>
                </c:pt>
                <c:pt idx="4">
                  <c:v>11</c:v>
                </c:pt>
              </c:numCache>
            </c:numRef>
          </c:val>
          <c:extLst>
            <c:ext xmlns:c16="http://schemas.microsoft.com/office/drawing/2014/chart" uri="{C3380CC4-5D6E-409C-BE32-E72D297353CC}">
              <c16:uniqueId val="{00000000-C657-41D9-8425-03765AAB5FD0}"/>
            </c:ext>
          </c:extLst>
        </c:ser>
        <c:dLbls>
          <c:showLegendKey val="1"/>
          <c:showVal val="1"/>
          <c:showCatName val="0"/>
          <c:showSerName val="0"/>
          <c:showPercent val="0"/>
          <c:showBubbleSize val="0"/>
        </c:dLbls>
        <c:gapWidth val="150"/>
        <c:axId val="1238744912"/>
        <c:axId val="1238735120"/>
      </c:barChart>
      <c:lineChart>
        <c:grouping val="standard"/>
        <c:varyColors val="0"/>
        <c:ser>
          <c:idx val="0"/>
          <c:order val="1"/>
          <c:tx>
            <c:v>MTBA Acumulado</c:v>
          </c:tx>
          <c:spPr>
            <a:ln w="38100">
              <a:solidFill>
                <a:srgbClr val="008000"/>
              </a:solidFill>
              <a:prstDash val="solid"/>
            </a:ln>
          </c:spPr>
          <c:marker>
            <c:symbol val="circle"/>
            <c:size val="7"/>
            <c:spPr>
              <a:solidFill>
                <a:srgbClr val="008000"/>
              </a:solidFill>
              <a:ln>
                <a:solidFill>
                  <a:srgbClr val="008000"/>
                </a:solidFill>
                <a:prstDash val="solid"/>
              </a:ln>
            </c:spPr>
          </c:marker>
          <c:dLbls>
            <c:numFmt formatCode="0" sourceLinked="0"/>
            <c:spPr>
              <a:noFill/>
              <a:ln w="25400">
                <a:noFill/>
              </a:ln>
            </c:spPr>
            <c:txPr>
              <a:bodyPr/>
              <a:lstStyle/>
              <a:p>
                <a:pPr>
                  <a:defRPr sz="1100" b="1" i="0" u="none" strike="noStrike" baseline="0">
                    <a:solidFill>
                      <a:srgbClr val="008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MTBA!$AY$4:$AY$8</c:f>
              <c:numCache>
                <c:formatCode>0</c:formatCode>
                <c:ptCount val="5"/>
                <c:pt idx="0">
                  <c:v>2007</c:v>
                </c:pt>
                <c:pt idx="1">
                  <c:v>2008</c:v>
                </c:pt>
                <c:pt idx="2">
                  <c:v>2009</c:v>
                </c:pt>
                <c:pt idx="3">
                  <c:v>2010</c:v>
                </c:pt>
                <c:pt idx="4" formatCode="m/d/yyyy">
                  <c:v>40574</c:v>
                </c:pt>
              </c:numCache>
            </c:numRef>
          </c:cat>
          <c:val>
            <c:numRef>
              <c:f>MTBA!$BZ$4:$BZ$8</c:f>
              <c:numCache>
                <c:formatCode>0</c:formatCode>
                <c:ptCount val="5"/>
                <c:pt idx="0">
                  <c:v>4.9000000000000004</c:v>
                </c:pt>
                <c:pt idx="1">
                  <c:v>11.45</c:v>
                </c:pt>
                <c:pt idx="2">
                  <c:v>11.615384615384615</c:v>
                </c:pt>
                <c:pt idx="3">
                  <c:v>11.268292682926829</c:v>
                </c:pt>
                <c:pt idx="4">
                  <c:v>11.255813953488373</c:v>
                </c:pt>
              </c:numCache>
            </c:numRef>
          </c:val>
          <c:smooth val="0"/>
          <c:extLst>
            <c:ext xmlns:c16="http://schemas.microsoft.com/office/drawing/2014/chart" uri="{C3380CC4-5D6E-409C-BE32-E72D297353CC}">
              <c16:uniqueId val="{00000001-C657-41D9-8425-03765AAB5FD0}"/>
            </c:ext>
          </c:extLst>
        </c:ser>
        <c:dLbls>
          <c:showLegendKey val="1"/>
          <c:showVal val="1"/>
          <c:showCatName val="0"/>
          <c:showSerName val="0"/>
          <c:showPercent val="0"/>
          <c:showBubbleSize val="0"/>
        </c:dLbls>
        <c:marker val="1"/>
        <c:smooth val="0"/>
        <c:axId val="1238745456"/>
        <c:axId val="1238738928"/>
      </c:lineChart>
      <c:catAx>
        <c:axId val="1238744912"/>
        <c:scaling>
          <c:orientation val="minMax"/>
        </c:scaling>
        <c:delete val="0"/>
        <c:axPos val="b"/>
        <c:numFmt formatCode="0"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238735120"/>
        <c:crosses val="autoZero"/>
        <c:auto val="0"/>
        <c:lblAlgn val="ctr"/>
        <c:lblOffset val="100"/>
        <c:tickLblSkip val="1"/>
        <c:tickMarkSkip val="1"/>
        <c:noMultiLvlLbl val="0"/>
      </c:catAx>
      <c:valAx>
        <c:axId val="1238735120"/>
        <c:scaling>
          <c:orientation val="minMax"/>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s-PE"/>
          </a:p>
        </c:txPr>
        <c:crossAx val="1238744912"/>
        <c:crosses val="autoZero"/>
        <c:crossBetween val="between"/>
      </c:valAx>
      <c:catAx>
        <c:axId val="1238745456"/>
        <c:scaling>
          <c:orientation val="minMax"/>
        </c:scaling>
        <c:delete val="1"/>
        <c:axPos val="b"/>
        <c:numFmt formatCode="0" sourceLinked="1"/>
        <c:majorTickMark val="out"/>
        <c:minorTickMark val="none"/>
        <c:tickLblPos val="none"/>
        <c:crossAx val="1238738928"/>
        <c:crosses val="autoZero"/>
        <c:auto val="0"/>
        <c:lblAlgn val="ctr"/>
        <c:lblOffset val="100"/>
        <c:noMultiLvlLbl val="0"/>
      </c:catAx>
      <c:valAx>
        <c:axId val="1238738928"/>
        <c:scaling>
          <c:orientation val="minMax"/>
        </c:scaling>
        <c:delete val="1"/>
        <c:axPos val="l"/>
        <c:numFmt formatCode="0" sourceLinked="1"/>
        <c:majorTickMark val="out"/>
        <c:minorTickMark val="none"/>
        <c:tickLblPos val="none"/>
        <c:crossAx val="1238745456"/>
        <c:crosses val="autoZero"/>
        <c:crossBetween val="between"/>
      </c:valAx>
      <c:spPr>
        <a:solidFill>
          <a:srgbClr val="FFFFFF"/>
        </a:solidFill>
        <a:ln w="12700">
          <a:solidFill>
            <a:srgbClr val="000000"/>
          </a:solidFill>
          <a:prstDash val="solid"/>
        </a:ln>
      </c:spPr>
    </c:plotArea>
    <c:legend>
      <c:legendPos val="r"/>
      <c:layout>
        <c:manualLayout>
          <c:xMode val="edge"/>
          <c:yMode val="edge"/>
          <c:x val="0.27644230769230782"/>
          <c:y val="0.85000461157016383"/>
          <c:w val="0.52884615384615352"/>
          <c:h val="0.11111171393073969"/>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Estadistica Mensual de Accidentes Mol.Lima</a:t>
            </a:r>
          </a:p>
        </c:rich>
      </c:tx>
      <c:layout>
        <c:manualLayout>
          <c:xMode val="edge"/>
          <c:yMode val="edge"/>
          <c:x val="0.20754741742188046"/>
          <c:y val="3.5460992907801435E-2"/>
        </c:manualLayout>
      </c:layout>
      <c:overlay val="0"/>
      <c:spPr>
        <a:noFill/>
        <a:ln w="25400">
          <a:noFill/>
        </a:ln>
      </c:spPr>
    </c:title>
    <c:autoTitleDeleted val="0"/>
    <c:plotArea>
      <c:layout>
        <c:manualLayout>
          <c:layoutTarget val="inner"/>
          <c:xMode val="edge"/>
          <c:yMode val="edge"/>
          <c:x val="8.2547264873305659E-2"/>
          <c:y val="0.20922058268430949"/>
          <c:w val="0.87264251437495965"/>
          <c:h val="0.56028562820543903"/>
        </c:manualLayout>
      </c:layout>
      <c:barChart>
        <c:barDir val="col"/>
        <c:grouping val="clustered"/>
        <c:varyColors val="0"/>
        <c:ser>
          <c:idx val="1"/>
          <c:order val="0"/>
          <c:tx>
            <c:v>Incapacitante</c:v>
          </c:tx>
          <c:spPr>
            <a:solidFill>
              <a:srgbClr val="FF3333"/>
            </a:solidFill>
            <a:ln w="12700">
              <a:solidFill>
                <a:srgbClr val="FF3333"/>
              </a:solidFill>
              <a:prstDash val="solid"/>
            </a:ln>
          </c:spPr>
          <c:invertIfNegative val="0"/>
          <c:dLbls>
            <c:spPr>
              <a:noFill/>
              <a:ln w="25400">
                <a:noFill/>
              </a:ln>
            </c:spPr>
            <c:txPr>
              <a:bodyPr/>
              <a:lstStyle/>
              <a:p>
                <a:pPr>
                  <a:defRPr sz="800" b="1" i="0" u="none" strike="noStrike" baseline="0">
                    <a:solidFill>
                      <a:srgbClr val="FF3333"/>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Graficos!$N$13:$V$13</c:f>
              <c:numCache>
                <c:formatCode>mmm\-yy</c:formatCode>
                <c:ptCount val="9"/>
                <c:pt idx="0">
                  <c:v>40544</c:v>
                </c:pt>
                <c:pt idx="1">
                  <c:v>40575</c:v>
                </c:pt>
                <c:pt idx="2">
                  <c:v>40603</c:v>
                </c:pt>
                <c:pt idx="3">
                  <c:v>40634</c:v>
                </c:pt>
                <c:pt idx="4">
                  <c:v>40664</c:v>
                </c:pt>
                <c:pt idx="5">
                  <c:v>40695</c:v>
                </c:pt>
                <c:pt idx="6">
                  <c:v>40725</c:v>
                </c:pt>
                <c:pt idx="7">
                  <c:v>40756</c:v>
                </c:pt>
                <c:pt idx="8">
                  <c:v>40787</c:v>
                </c:pt>
              </c:numCache>
            </c:numRef>
          </c:cat>
          <c:val>
            <c:numRef>
              <c:f>Graficos!$N$14:$V$14</c:f>
              <c:numCache>
                <c:formatCode>General</c:formatCode>
                <c:ptCount val="9"/>
                <c:pt idx="0">
                  <c:v>1</c:v>
                </c:pt>
                <c:pt idx="1">
                  <c:v>0</c:v>
                </c:pt>
                <c:pt idx="2">
                  <c:v>1</c:v>
                </c:pt>
                <c:pt idx="3">
                  <c:v>0</c:v>
                </c:pt>
                <c:pt idx="4">
                  <c:v>1</c:v>
                </c:pt>
                <c:pt idx="5">
                  <c:v>0</c:v>
                </c:pt>
                <c:pt idx="6">
                  <c:v>0</c:v>
                </c:pt>
                <c:pt idx="7">
                  <c:v>3</c:v>
                </c:pt>
                <c:pt idx="8">
                  <c:v>0</c:v>
                </c:pt>
              </c:numCache>
            </c:numRef>
          </c:val>
          <c:extLst>
            <c:ext xmlns:c16="http://schemas.microsoft.com/office/drawing/2014/chart" uri="{C3380CC4-5D6E-409C-BE32-E72D297353CC}">
              <c16:uniqueId val="{00000000-BAA7-4176-9CB3-7CD1485EDEEC}"/>
            </c:ext>
          </c:extLst>
        </c:ser>
        <c:ser>
          <c:idx val="0"/>
          <c:order val="1"/>
          <c:tx>
            <c:v>DMR</c:v>
          </c:tx>
          <c:spPr>
            <a:solidFill>
              <a:srgbClr val="9999FF"/>
            </a:solidFill>
            <a:ln w="12700">
              <a:solidFill>
                <a:srgbClr val="000000"/>
              </a:solidFill>
              <a:prstDash val="solid"/>
            </a:ln>
          </c:spPr>
          <c:invertIfNegative val="0"/>
          <c:dLbls>
            <c:delete val="1"/>
          </c:dLbls>
          <c:cat>
            <c:numRef>
              <c:f>Graficos!$N$13:$V$13</c:f>
              <c:numCache>
                <c:formatCode>mmm\-yy</c:formatCode>
                <c:ptCount val="9"/>
                <c:pt idx="0">
                  <c:v>40544</c:v>
                </c:pt>
                <c:pt idx="1">
                  <c:v>40575</c:v>
                </c:pt>
                <c:pt idx="2">
                  <c:v>40603</c:v>
                </c:pt>
                <c:pt idx="3">
                  <c:v>40634</c:v>
                </c:pt>
                <c:pt idx="4">
                  <c:v>40664</c:v>
                </c:pt>
                <c:pt idx="5">
                  <c:v>40695</c:v>
                </c:pt>
                <c:pt idx="6">
                  <c:v>40725</c:v>
                </c:pt>
                <c:pt idx="7">
                  <c:v>40756</c:v>
                </c:pt>
                <c:pt idx="8">
                  <c:v>40787</c:v>
                </c:pt>
              </c:numCache>
            </c:numRef>
          </c:cat>
          <c:val>
            <c:numRef>
              <c:f>Graficos!$N$15:$V$15</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BAA7-4176-9CB3-7CD1485EDEEC}"/>
            </c:ext>
          </c:extLst>
        </c:ser>
        <c:dLbls>
          <c:showLegendKey val="0"/>
          <c:showVal val="1"/>
          <c:showCatName val="0"/>
          <c:showSerName val="0"/>
          <c:showPercent val="0"/>
          <c:showBubbleSize val="0"/>
        </c:dLbls>
        <c:gapWidth val="150"/>
        <c:axId val="1238735664"/>
        <c:axId val="1238736752"/>
      </c:barChart>
      <c:catAx>
        <c:axId val="1238735664"/>
        <c:scaling>
          <c:orientation val="minMax"/>
        </c:scaling>
        <c:delete val="0"/>
        <c:axPos val="b"/>
        <c:numFmt formatCode="mmm\-yy"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736752"/>
        <c:crosses val="autoZero"/>
        <c:auto val="0"/>
        <c:lblAlgn val="ctr"/>
        <c:lblOffset val="100"/>
        <c:tickLblSkip val="1"/>
        <c:tickMarkSkip val="1"/>
        <c:noMultiLvlLbl val="0"/>
      </c:catAx>
      <c:valAx>
        <c:axId val="1238736752"/>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735664"/>
        <c:crosses val="autoZero"/>
        <c:crossBetween val="between"/>
        <c:majorUnit val="1"/>
      </c:valAx>
      <c:spPr>
        <a:solidFill>
          <a:srgbClr val="D4D4D4"/>
        </a:solidFill>
        <a:ln w="12700">
          <a:solidFill>
            <a:srgbClr val="000000"/>
          </a:solidFill>
          <a:prstDash val="solid"/>
        </a:ln>
      </c:spPr>
    </c:plotArea>
    <c:legend>
      <c:legendPos val="r"/>
      <c:layout>
        <c:manualLayout>
          <c:xMode val="edge"/>
          <c:yMode val="edge"/>
          <c:x val="0.12971722874263394"/>
          <c:y val="0.83688241097522387"/>
          <c:w val="0.55660451641658937"/>
          <c:h val="7.8014556691051951E-2"/>
        </c:manualLayout>
      </c:layout>
      <c:overlay val="0"/>
      <c:spPr>
        <a:solidFill>
          <a:srgbClr val="FFFFFF"/>
        </a:solidFill>
        <a:ln w="3175">
          <a:solidFill>
            <a:srgbClr val="000000"/>
          </a:solidFill>
          <a:prstDash val="solid"/>
        </a:ln>
      </c:spPr>
      <c:txPr>
        <a:bodyPr/>
        <a:lstStyle/>
        <a:p>
          <a:pPr>
            <a:defRPr lang="es-PE" sz="690"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ALICORP + MOLINCA
Incapacitantes + DMR </a:t>
            </a:r>
          </a:p>
        </c:rich>
      </c:tx>
      <c:layout>
        <c:manualLayout>
          <c:xMode val="edge"/>
          <c:yMode val="edge"/>
          <c:x val="0.3243046334894476"/>
          <c:y val="3.5460689365048877E-2"/>
        </c:manualLayout>
      </c:layout>
      <c:overlay val="0"/>
      <c:spPr>
        <a:noFill/>
        <a:ln w="25400">
          <a:noFill/>
        </a:ln>
      </c:spPr>
    </c:title>
    <c:autoTitleDeleted val="0"/>
    <c:plotArea>
      <c:layout>
        <c:manualLayout>
          <c:layoutTarget val="inner"/>
          <c:xMode val="edge"/>
          <c:yMode val="edge"/>
          <c:x val="4.8355945089557657E-2"/>
          <c:y val="0.1445074485143347"/>
          <c:w val="0.93617109693385658"/>
          <c:h val="0.70372380926786893"/>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4"/>
              <c:layout>
                <c:manualLayout>
                  <c:x val="-2.5139355941310951E-2"/>
                  <c:y val="-5.39957309815019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225-4F07-8819-9B0107C7E254}"/>
                </c:ext>
              </c:extLst>
            </c:dLbl>
            <c:dLbl>
              <c:idx val="5"/>
              <c:layout>
                <c:manualLayout>
                  <c:x val="-3.2496476525643456E-2"/>
                  <c:y val="-6.32301691455234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25-4F07-8819-9B0107C7E254}"/>
                </c:ext>
              </c:extLst>
            </c:dLbl>
            <c:dLbl>
              <c:idx val="6"/>
              <c:layout>
                <c:manualLayout>
                  <c:x val="-3.8337474447327692E-2"/>
                  <c:y val="-0.124936951807794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25-4F07-8819-9B0107C7E254}"/>
                </c:ext>
              </c:extLst>
            </c:dLbl>
            <c:dLbl>
              <c:idx val="8"/>
              <c:layout>
                <c:manualLayout>
                  <c:x val="-6.3582501685397724E-2"/>
                  <c:y val="-6.6032493810797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25-4F07-8819-9B0107C7E254}"/>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463F-4E4A-B096-19D3660E4FDE}"/>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Graficos!$A$97:$A$102</c:f>
              <c:numCache>
                <c:formatCode>General</c:formatCode>
                <c:ptCount val="6"/>
                <c:pt idx="0">
                  <c:v>2007</c:v>
                </c:pt>
                <c:pt idx="1">
                  <c:v>2008</c:v>
                </c:pt>
                <c:pt idx="2">
                  <c:v>2009</c:v>
                </c:pt>
                <c:pt idx="3">
                  <c:v>2010</c:v>
                </c:pt>
                <c:pt idx="4">
                  <c:v>2011</c:v>
                </c:pt>
                <c:pt idx="5">
                  <c:v>2012</c:v>
                </c:pt>
              </c:numCache>
            </c:numRef>
          </c:cat>
          <c:val>
            <c:numRef>
              <c:f>Graficos!$G$97:$G$102</c:f>
              <c:numCache>
                <c:formatCode>#,##0.0</c:formatCode>
                <c:ptCount val="6"/>
                <c:pt idx="0">
                  <c:v>8.485348349005772</c:v>
                </c:pt>
                <c:pt idx="1">
                  <c:v>5.1543046009200504</c:v>
                </c:pt>
                <c:pt idx="2">
                  <c:v>4.0512948464218397</c:v>
                </c:pt>
                <c:pt idx="3">
                  <c:v>4.2062739641765194</c:v>
                </c:pt>
                <c:pt idx="4">
                  <c:v>4.7</c:v>
                </c:pt>
                <c:pt idx="5">
                  <c:v>4</c:v>
                </c:pt>
              </c:numCache>
            </c:numRef>
          </c:val>
          <c:smooth val="0"/>
          <c:extLst>
            <c:ext xmlns:c16="http://schemas.microsoft.com/office/drawing/2014/chart" uri="{C3380CC4-5D6E-409C-BE32-E72D297353CC}">
              <c16:uniqueId val="{00000005-2225-4F07-8819-9B0107C7E254}"/>
            </c:ext>
          </c:extLst>
        </c:ser>
        <c:dLbls>
          <c:showLegendKey val="0"/>
          <c:showVal val="1"/>
          <c:showCatName val="0"/>
          <c:showSerName val="0"/>
          <c:showPercent val="0"/>
          <c:showBubbleSize val="0"/>
        </c:dLbls>
        <c:marker val="1"/>
        <c:smooth val="0"/>
        <c:axId val="1238737296"/>
        <c:axId val="1238739472"/>
      </c:lineChart>
      <c:catAx>
        <c:axId val="12387372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739472"/>
        <c:crosses val="autoZero"/>
        <c:auto val="0"/>
        <c:lblAlgn val="ctr"/>
        <c:lblOffset val="100"/>
        <c:tickLblSkip val="1"/>
        <c:tickMarkSkip val="1"/>
        <c:noMultiLvlLbl val="0"/>
      </c:catAx>
      <c:valAx>
        <c:axId val="1238739472"/>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737296"/>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EVOLUCION ANUAL ACCIDENTES ALICORP</a:t>
            </a:r>
          </a:p>
        </c:rich>
      </c:tx>
      <c:layout>
        <c:manualLayout>
          <c:xMode val="edge"/>
          <c:yMode val="edge"/>
          <c:x val="0.26923086995078038"/>
          <c:y val="1.7668070560947321E-2"/>
        </c:manualLayout>
      </c:layout>
      <c:overlay val="0"/>
      <c:spPr>
        <a:noFill/>
        <a:ln w="25400">
          <a:noFill/>
        </a:ln>
      </c:spPr>
    </c:title>
    <c:autoTitleDeleted val="0"/>
    <c:plotArea>
      <c:layout>
        <c:manualLayout>
          <c:layoutTarget val="inner"/>
          <c:xMode val="edge"/>
          <c:yMode val="edge"/>
          <c:x val="6.6801619433198414E-2"/>
          <c:y val="0.24028310009093287"/>
          <c:w val="0.85829959514170062"/>
          <c:h val="0.50883480019255223"/>
        </c:manualLayout>
      </c:layout>
      <c:lineChart>
        <c:grouping val="standard"/>
        <c:varyColors val="0"/>
        <c:ser>
          <c:idx val="1"/>
          <c:order val="0"/>
          <c:tx>
            <c:v>Total</c:v>
          </c:tx>
          <c:spPr>
            <a:ln w="25400">
              <a:solidFill>
                <a:srgbClr val="000000"/>
              </a:solidFill>
              <a:prstDash val="solid"/>
            </a:ln>
          </c:spPr>
          <c:marker>
            <c:symbol val="circle"/>
            <c:size val="5"/>
            <c:spPr>
              <a:solidFill>
                <a:srgbClr val="000000"/>
              </a:solidFill>
              <a:ln>
                <a:solidFill>
                  <a:srgbClr val="000000"/>
                </a:solidFill>
                <a:prstDash val="solid"/>
              </a:ln>
            </c:spPr>
          </c:marker>
          <c:dLbls>
            <c:dLbl>
              <c:idx val="4"/>
              <c:layout>
                <c:manualLayout>
                  <c:x val="-6.4642375168690966E-2"/>
                  <c:y val="-8.97765189775195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CF-4886-A4E9-1CE5ECF1CF86}"/>
                </c:ext>
              </c:extLst>
            </c:dLbl>
            <c:dLbl>
              <c:idx val="5"/>
              <c:layout>
                <c:manualLayout>
                  <c:x val="-8.0431848852901444E-2"/>
                  <c:y val="-2.24969421079956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CF-4886-A4E9-1CE5ECF1CF86}"/>
                </c:ext>
              </c:extLst>
            </c:dLbl>
            <c:dLbl>
              <c:idx val="8"/>
              <c:layout>
                <c:manualLayout>
                  <c:x val="-2.0512820512820596E-2"/>
                  <c:y val="-7.60662167570044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CF-4886-A4E9-1CE5ECF1CF86}"/>
                </c:ext>
              </c:extLst>
            </c:dLbl>
            <c:dLbl>
              <c:idx val="9"/>
              <c:layout>
                <c:manualLayout>
                  <c:x val="-1.201079622132251E-2"/>
                  <c:y val="-0.1068787251420299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CF-4886-A4E9-1CE5ECF1CF86}"/>
                </c:ext>
              </c:extLst>
            </c:dLbl>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Graficos!$B$92:$B$101</c:f>
              <c:numCache>
                <c:formatCode>General</c:formatCode>
                <c:ptCount val="5"/>
                <c:pt idx="0">
                  <c:v>230</c:v>
                </c:pt>
                <c:pt idx="1">
                  <c:v>195</c:v>
                </c:pt>
                <c:pt idx="2">
                  <c:v>140</c:v>
                </c:pt>
                <c:pt idx="3">
                  <c:v>111</c:v>
                </c:pt>
                <c:pt idx="4" formatCode="0">
                  <c:v>0</c:v>
                </c:pt>
              </c:numCache>
            </c:numRef>
          </c:val>
          <c:smooth val="0"/>
          <c:extLst>
            <c:ext xmlns:c16="http://schemas.microsoft.com/office/drawing/2014/chart" uri="{C3380CC4-5D6E-409C-BE32-E72D297353CC}">
              <c16:uniqueId val="{00000004-89CF-4886-A4E9-1CE5ECF1CF86}"/>
            </c:ext>
          </c:extLst>
        </c:ser>
        <c:ser>
          <c:idx val="0"/>
          <c:order val="1"/>
          <c:tx>
            <c:v>Incapacitantes</c:v>
          </c:tx>
          <c:spPr>
            <a:ln w="38100">
              <a:solidFill>
                <a:srgbClr val="FF3333"/>
              </a:solidFill>
              <a:prstDash val="solid"/>
            </a:ln>
          </c:spPr>
          <c:marker>
            <c:symbol val="circle"/>
            <c:size val="5"/>
            <c:spPr>
              <a:solidFill>
                <a:srgbClr val="FF3333"/>
              </a:solidFill>
              <a:ln>
                <a:solidFill>
                  <a:srgbClr val="FF3333"/>
                </a:solidFill>
                <a:prstDash val="solid"/>
              </a:ln>
            </c:spPr>
          </c:marker>
          <c:dLbls>
            <c:dLbl>
              <c:idx val="1"/>
              <c:layout>
                <c:manualLayout>
                  <c:x val="-3.5492577597840802E-2"/>
                  <c:y val="2.88102616729156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CF-4886-A4E9-1CE5ECF1CF86}"/>
                </c:ext>
              </c:extLst>
            </c:dLbl>
            <c:dLbl>
              <c:idx val="2"/>
              <c:layout>
                <c:manualLayout>
                  <c:x val="-3.3063427800269919E-2"/>
                  <c:y val="2.97996548694584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CF-4886-A4E9-1CE5ECF1CF86}"/>
                </c:ext>
              </c:extLst>
            </c:dLbl>
            <c:dLbl>
              <c:idx val="3"/>
              <c:layout>
                <c:manualLayout>
                  <c:x val="-3.6707152496626892E-2"/>
                  <c:y val="2.69727753588098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CF-4886-A4E9-1CE5ECF1CF86}"/>
                </c:ext>
              </c:extLst>
            </c:dLbl>
            <c:dLbl>
              <c:idx val="4"/>
              <c:layout>
                <c:manualLayout>
                  <c:x val="-3.6302294197031064E-2"/>
                  <c:y val="2.49939889657240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9CF-4886-A4E9-1CE5ECF1CF86}"/>
                </c:ext>
              </c:extLst>
            </c:dLbl>
            <c:dLbl>
              <c:idx val="8"/>
              <c:layout>
                <c:manualLayout>
                  <c:x val="-3.0634278002700275E-2"/>
                  <c:y val="1.97645987076230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9CF-4886-A4E9-1CE5ECF1CF86}"/>
                </c:ext>
              </c:extLst>
            </c:dLbl>
            <c:dLbl>
              <c:idx val="9"/>
              <c:layout>
                <c:manualLayout>
                  <c:x val="-3.9136302294197206E-3"/>
                  <c:y val="3.368814603333579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9CF-4886-A4E9-1CE5ECF1CF86}"/>
                </c:ext>
              </c:extLst>
            </c:dLbl>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Graficos!$D$92:$D$101</c:f>
              <c:numCache>
                <c:formatCode>General</c:formatCode>
                <c:ptCount val="5"/>
                <c:pt idx="0">
                  <c:v>47</c:v>
                </c:pt>
                <c:pt idx="1">
                  <c:v>35</c:v>
                </c:pt>
                <c:pt idx="2">
                  <c:v>36</c:v>
                </c:pt>
                <c:pt idx="3">
                  <c:v>44</c:v>
                </c:pt>
                <c:pt idx="4" formatCode="0">
                  <c:v>0</c:v>
                </c:pt>
              </c:numCache>
            </c:numRef>
          </c:val>
          <c:smooth val="0"/>
          <c:extLst>
            <c:ext xmlns:c16="http://schemas.microsoft.com/office/drawing/2014/chart" uri="{C3380CC4-5D6E-409C-BE32-E72D297353CC}">
              <c16:uniqueId val="{0000000B-89CF-4886-A4E9-1CE5ECF1CF86}"/>
            </c:ext>
          </c:extLst>
        </c:ser>
        <c:ser>
          <c:idx val="2"/>
          <c:order val="2"/>
          <c:tx>
            <c:v>Incapacitantes+DMR</c:v>
          </c:tx>
          <c:spPr>
            <a:ln w="38100">
              <a:solidFill>
                <a:srgbClr val="0000FF"/>
              </a:solidFill>
              <a:prstDash val="solid"/>
            </a:ln>
          </c:spPr>
          <c:marker>
            <c:symbol val="circle"/>
            <c:size val="5"/>
            <c:spPr>
              <a:solidFill>
                <a:srgbClr val="0000FF"/>
              </a:solidFill>
              <a:ln>
                <a:solidFill>
                  <a:srgbClr val="0000FF"/>
                </a:solidFill>
                <a:prstDash val="solid"/>
              </a:ln>
            </c:spPr>
          </c:marker>
          <c:dLbls>
            <c:dLbl>
              <c:idx val="8"/>
              <c:layout>
                <c:manualLayout>
                  <c:x val="-3.6707152496626892E-2"/>
                  <c:y val="-6.58892944420341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9CF-4886-A4E9-1CE5ECF1CF86}"/>
                </c:ext>
              </c:extLst>
            </c:dLbl>
            <c:dLbl>
              <c:idx val="9"/>
              <c:layout>
                <c:manualLayout>
                  <c:x val="-1.8893387314440721E-3"/>
                  <c:y val="-5.11895990249756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9CF-4886-A4E9-1CE5ECF1CF86}"/>
                </c:ext>
              </c:extLst>
            </c:dLbl>
            <c:spPr>
              <a:noFill/>
              <a:ln w="25400">
                <a:noFill/>
              </a:ln>
            </c:spPr>
            <c:txPr>
              <a:bodyPr/>
              <a:lstStyle/>
              <a:p>
                <a:pPr>
                  <a:defRPr sz="11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Graficos!$C$92:$C$101</c:f>
              <c:numCache>
                <c:formatCode>General</c:formatCode>
                <c:ptCount val="5"/>
                <c:pt idx="0">
                  <c:v>93</c:v>
                </c:pt>
                <c:pt idx="1">
                  <c:v>65</c:v>
                </c:pt>
                <c:pt idx="2">
                  <c:v>45</c:v>
                </c:pt>
                <c:pt idx="3">
                  <c:v>53</c:v>
                </c:pt>
                <c:pt idx="4" formatCode="0">
                  <c:v>0</c:v>
                </c:pt>
              </c:numCache>
            </c:numRef>
          </c:val>
          <c:smooth val="0"/>
          <c:extLst>
            <c:ext xmlns:c16="http://schemas.microsoft.com/office/drawing/2014/chart" uri="{C3380CC4-5D6E-409C-BE32-E72D297353CC}">
              <c16:uniqueId val="{0000000E-89CF-4886-A4E9-1CE5ECF1CF86}"/>
            </c:ext>
          </c:extLst>
        </c:ser>
        <c:dLbls>
          <c:showLegendKey val="0"/>
          <c:showVal val="1"/>
          <c:showCatName val="0"/>
          <c:showSerName val="0"/>
          <c:showPercent val="0"/>
          <c:showBubbleSize val="0"/>
        </c:dLbls>
        <c:marker val="1"/>
        <c:smooth val="0"/>
        <c:axId val="1238740016"/>
        <c:axId val="1238741104"/>
      </c:lineChart>
      <c:catAx>
        <c:axId val="12387400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741104"/>
        <c:crosses val="autoZero"/>
        <c:auto val="0"/>
        <c:lblAlgn val="ctr"/>
        <c:lblOffset val="100"/>
        <c:tickLblSkip val="1"/>
        <c:tickMarkSkip val="1"/>
        <c:noMultiLvlLbl val="0"/>
      </c:catAx>
      <c:valAx>
        <c:axId val="1238741104"/>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740016"/>
        <c:crosses val="autoZero"/>
        <c:crossBetween val="between"/>
      </c:valAx>
      <c:spPr>
        <a:solidFill>
          <a:srgbClr val="D4D4D4"/>
        </a:solidFill>
        <a:ln w="3175">
          <a:solidFill>
            <a:srgbClr val="000000"/>
          </a:solidFill>
          <a:prstDash val="solid"/>
        </a:ln>
      </c:spPr>
    </c:plotArea>
    <c:legend>
      <c:legendPos val="r"/>
      <c:layout>
        <c:manualLayout>
          <c:xMode val="edge"/>
          <c:yMode val="edge"/>
          <c:x val="1.1337868480725623E-2"/>
          <c:y val="0.86976744186046506"/>
          <c:w val="0.70068027210885109"/>
          <c:h val="8.3720930232558208E-2"/>
        </c:manualLayout>
      </c:layout>
      <c:overlay val="0"/>
      <c:spPr>
        <a:solidFill>
          <a:srgbClr val="FFFFFF"/>
        </a:solidFill>
        <a:ln w="3175">
          <a:solidFill>
            <a:srgbClr val="000000"/>
          </a:solidFill>
          <a:prstDash val="solid"/>
        </a:ln>
      </c:spPr>
      <c:txPr>
        <a:bodyPr/>
        <a:lstStyle/>
        <a:p>
          <a:pPr>
            <a:defRPr lang="es-PE" sz="920"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ESTADISTICA ANUAL ACCIDENTES MOL.LIMA</a:t>
            </a:r>
          </a:p>
        </c:rich>
      </c:tx>
      <c:layout>
        <c:manualLayout>
          <c:xMode val="edge"/>
          <c:yMode val="edge"/>
          <c:x val="0.25252580269571567"/>
          <c:y val="1.6722408026755998E-2"/>
        </c:manualLayout>
      </c:layout>
      <c:overlay val="0"/>
      <c:spPr>
        <a:noFill/>
        <a:ln w="25400">
          <a:noFill/>
        </a:ln>
      </c:spPr>
    </c:title>
    <c:autoTitleDeleted val="0"/>
    <c:plotArea>
      <c:layout>
        <c:manualLayout>
          <c:layoutTarget val="inner"/>
          <c:xMode val="edge"/>
          <c:yMode val="edge"/>
          <c:x val="5.4545562155859685E-2"/>
          <c:y val="0.17725752508361187"/>
          <c:w val="0.89899167256883927"/>
          <c:h val="0.62541806020066859"/>
        </c:manualLayout>
      </c:layout>
      <c:lineChart>
        <c:grouping val="standard"/>
        <c:varyColors val="0"/>
        <c:ser>
          <c:idx val="1"/>
          <c:order val="0"/>
          <c:tx>
            <c:v>Total</c:v>
          </c:tx>
          <c:spPr>
            <a:ln w="25400">
              <a:solidFill>
                <a:srgbClr val="000000"/>
              </a:solidFill>
              <a:prstDash val="solid"/>
            </a:ln>
          </c:spPr>
          <c:marker>
            <c:symbol val="circle"/>
            <c:size val="5"/>
            <c:spPr>
              <a:solidFill>
                <a:srgbClr val="000000"/>
              </a:solidFill>
              <a:ln>
                <a:solidFill>
                  <a:srgbClr val="000000"/>
                </a:solidFill>
                <a:prstDash val="solid"/>
              </a:ln>
            </c:spPr>
          </c:marker>
          <c:dLbls>
            <c:dLbl>
              <c:idx val="4"/>
              <c:layout>
                <c:manualLayout>
                  <c:x val="-6.946148182585557E-2"/>
                  <c:y val="-9.69899665551840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6DE-41F5-97D6-C4ADD283EA24}"/>
                </c:ext>
              </c:extLst>
            </c:dLbl>
            <c:dLbl>
              <c:idx val="5"/>
              <c:layout>
                <c:manualLayout>
                  <c:x val="-5.7138152285871706E-2"/>
                  <c:y val="-8.2497212931995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DE-41F5-97D6-C4ADD283EA24}"/>
                </c:ext>
              </c:extLst>
            </c:dLbl>
            <c:dLbl>
              <c:idx val="6"/>
              <c:layout>
                <c:manualLayout>
                  <c:x val="-5.6936058780526419E-2"/>
                  <c:y val="-2.00668896321069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6DE-41F5-97D6-C4ADD283EA24}"/>
                </c:ext>
              </c:extLst>
            </c:dLbl>
            <c:dLbl>
              <c:idx val="8"/>
              <c:layout>
                <c:manualLayout>
                  <c:x val="-2.0168375760629811E-2"/>
                  <c:y val="-8.2497212931995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DE-41F5-97D6-C4ADD283EA24}"/>
                </c:ext>
              </c:extLst>
            </c:dLbl>
            <c:spPr>
              <a:noFill/>
              <a:ln w="25400">
                <a:noFill/>
              </a:ln>
            </c:spPr>
            <c:txPr>
              <a:bodyPr/>
              <a:lstStyle/>
              <a:p>
                <a:pPr>
                  <a:defRPr sz="1000" b="1" i="0" u="none" strike="noStrike" baseline="0">
                    <a:solidFill>
                      <a:srgbClr val="000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Graficos!$B$106:$B$115</c:f>
              <c:numCache>
                <c:formatCode>General</c:formatCode>
                <c:ptCount val="10"/>
                <c:pt idx="0">
                  <c:v>9</c:v>
                </c:pt>
                <c:pt idx="1">
                  <c:v>8</c:v>
                </c:pt>
                <c:pt idx="2">
                  <c:v>13</c:v>
                </c:pt>
                <c:pt idx="3">
                  <c:v>7</c:v>
                </c:pt>
                <c:pt idx="4">
                  <c:v>13</c:v>
                </c:pt>
                <c:pt idx="5">
                  <c:v>14</c:v>
                </c:pt>
                <c:pt idx="6">
                  <c:v>22</c:v>
                </c:pt>
                <c:pt idx="7">
                  <c:v>16</c:v>
                </c:pt>
                <c:pt idx="8" formatCode="0">
                  <c:v>14</c:v>
                </c:pt>
                <c:pt idx="9" formatCode="0">
                  <c:v>0</c:v>
                </c:pt>
              </c:numCache>
            </c:numRef>
          </c:val>
          <c:smooth val="0"/>
          <c:extLst>
            <c:ext xmlns:c16="http://schemas.microsoft.com/office/drawing/2014/chart" uri="{C3380CC4-5D6E-409C-BE32-E72D297353CC}">
              <c16:uniqueId val="{00000004-06DE-41F5-97D6-C4ADD283EA24}"/>
            </c:ext>
          </c:extLst>
        </c:ser>
        <c:ser>
          <c:idx val="0"/>
          <c:order val="1"/>
          <c:tx>
            <c:v>Incapacitantes</c:v>
          </c:tx>
          <c:spPr>
            <a:ln w="38100">
              <a:solidFill>
                <a:srgbClr val="FF3333"/>
              </a:solidFill>
              <a:prstDash val="solid"/>
            </a:ln>
          </c:spPr>
          <c:marker>
            <c:symbol val="circle"/>
            <c:size val="5"/>
            <c:spPr>
              <a:solidFill>
                <a:srgbClr val="FF3333"/>
              </a:solidFill>
              <a:ln>
                <a:solidFill>
                  <a:srgbClr val="FF3333"/>
                </a:solidFill>
                <a:prstDash val="solid"/>
              </a:ln>
            </c:spPr>
          </c:marker>
          <c:dPt>
            <c:idx val="8"/>
            <c:bubble3D val="0"/>
            <c:spPr>
              <a:ln w="38100">
                <a:solidFill>
                  <a:srgbClr val="FF3333"/>
                </a:solidFill>
                <a:prstDash val="sysDash"/>
              </a:ln>
            </c:spPr>
            <c:extLst>
              <c:ext xmlns:c16="http://schemas.microsoft.com/office/drawing/2014/chart" uri="{C3380CC4-5D6E-409C-BE32-E72D297353CC}">
                <c16:uniqueId val="{00000006-06DE-41F5-97D6-C4ADD283EA24}"/>
              </c:ext>
            </c:extLst>
          </c:dPt>
          <c:dLbls>
            <c:dLbl>
              <c:idx val="1"/>
              <c:layout>
                <c:manualLayout>
                  <c:x val="-3.7744254154826851E-2"/>
                  <c:y val="4.23634336677821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6DE-41F5-97D6-C4ADD283EA24}"/>
                </c:ext>
              </c:extLst>
            </c:dLbl>
            <c:dLbl>
              <c:idx val="2"/>
              <c:layout>
                <c:manualLayout>
                  <c:x val="-3.552195464370899E-2"/>
                  <c:y val="4.34782608695652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6DE-41F5-97D6-C4ADD283EA24}"/>
                </c:ext>
              </c:extLst>
            </c:dLbl>
            <c:dLbl>
              <c:idx val="3"/>
              <c:layout>
                <c:manualLayout>
                  <c:x val="-3.9360485244609132E-2"/>
                  <c:y val="3.90189520624302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6DE-41F5-97D6-C4ADD283EA24}"/>
                </c:ext>
              </c:extLst>
            </c:dLbl>
            <c:dLbl>
              <c:idx val="4"/>
              <c:layout>
                <c:manualLayout>
                  <c:x val="-3.9158391739263838E-2"/>
                  <c:y val="3.79041248606466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6DE-41F5-97D6-C4ADD283EA24}"/>
                </c:ext>
              </c:extLst>
            </c:dLbl>
            <c:dLbl>
              <c:idx val="8"/>
              <c:layout>
                <c:manualLayout>
                  <c:x val="-3.0269405789492609E-2"/>
                  <c:y val="5.23968784838349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6DE-41F5-97D6-C4ADD283EA24}"/>
                </c:ext>
              </c:extLst>
            </c:dLbl>
            <c:dLbl>
              <c:idx val="9"/>
              <c:layout>
                <c:manualLayout>
                  <c:x val="-7.8450462206490108E-3"/>
                  <c:y val="-1.11482720178376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6DE-41F5-97D6-C4ADD283EA24}"/>
                </c:ext>
              </c:extLst>
            </c:dLbl>
            <c:dLbl>
              <c:idx val="10"/>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extLst>
                <c:ext xmlns:c16="http://schemas.microsoft.com/office/drawing/2014/chart" uri="{C3380CC4-5D6E-409C-BE32-E72D297353CC}">
                  <c16:uniqueId val="{00000002-2B94-401A-85CA-AA80D342038D}"/>
                </c:ext>
              </c:extLst>
            </c:dLbl>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Graficos!$D$106:$D$115</c:f>
              <c:numCache>
                <c:formatCode>General</c:formatCode>
                <c:ptCount val="10"/>
                <c:pt idx="0">
                  <c:v>5</c:v>
                </c:pt>
                <c:pt idx="1">
                  <c:v>3</c:v>
                </c:pt>
                <c:pt idx="2">
                  <c:v>7</c:v>
                </c:pt>
                <c:pt idx="3">
                  <c:v>3</c:v>
                </c:pt>
                <c:pt idx="4">
                  <c:v>8</c:v>
                </c:pt>
                <c:pt idx="5">
                  <c:v>4</c:v>
                </c:pt>
                <c:pt idx="6">
                  <c:v>12</c:v>
                </c:pt>
                <c:pt idx="7">
                  <c:v>7</c:v>
                </c:pt>
                <c:pt idx="8" formatCode="0">
                  <c:v>9</c:v>
                </c:pt>
                <c:pt idx="9" formatCode="0">
                  <c:v>0</c:v>
                </c:pt>
              </c:numCache>
            </c:numRef>
          </c:val>
          <c:smooth val="0"/>
          <c:extLst>
            <c:ext xmlns:c16="http://schemas.microsoft.com/office/drawing/2014/chart" uri="{C3380CC4-5D6E-409C-BE32-E72D297353CC}">
              <c16:uniqueId val="{0000000D-06DE-41F5-97D6-C4ADD283EA24}"/>
            </c:ext>
          </c:extLst>
        </c:ser>
        <c:ser>
          <c:idx val="2"/>
          <c:order val="2"/>
          <c:tx>
            <c:v>Incapacitantes+DMR</c:v>
          </c:tx>
          <c:spPr>
            <a:ln w="381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4.1986759671717305E-2"/>
                  <c:y val="-6.57748049052397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6DE-41F5-97D6-C4ADD283EA24}"/>
                </c:ext>
              </c:extLst>
            </c:dLbl>
            <c:dLbl>
              <c:idx val="1"/>
              <c:layout>
                <c:manualLayout>
                  <c:x val="-3.5724048149054284E-2"/>
                  <c:y val="-4.45930880713490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6DE-41F5-97D6-C4ADD283EA24}"/>
                </c:ext>
              </c:extLst>
            </c:dLbl>
            <c:dLbl>
              <c:idx val="2"/>
              <c:layout>
                <c:manualLayout>
                  <c:x val="-3.7542160649481592E-2"/>
                  <c:y val="-7.69230769230769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6DE-41F5-97D6-C4ADD283EA24}"/>
                </c:ext>
              </c:extLst>
            </c:dLbl>
            <c:dLbl>
              <c:idx val="3"/>
              <c:layout>
                <c:manualLayout>
                  <c:x val="-3.1279661221518845E-2"/>
                  <c:y val="-5.4626532887402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6DE-41F5-97D6-C4ADD283EA24}"/>
                </c:ext>
              </c:extLst>
            </c:dLbl>
            <c:dLbl>
              <c:idx val="4"/>
              <c:layout>
                <c:manualLayout>
                  <c:x val="-3.5117979727718691E-2"/>
                  <c:y val="-6.57748049052397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6DE-41F5-97D6-C4ADD283EA24}"/>
                </c:ext>
              </c:extLst>
            </c:dLbl>
            <c:dLbl>
              <c:idx val="5"/>
              <c:layout>
                <c:manualLayout>
                  <c:x val="-4.0976504239691194E-2"/>
                  <c:y val="-7.24637681159421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6DE-41F5-97D6-C4ADD283EA24}"/>
                </c:ext>
              </c:extLst>
            </c:dLbl>
            <c:dLbl>
              <c:idx val="6"/>
              <c:layout>
                <c:manualLayout>
                  <c:x val="-4.4814822745890992E-2"/>
                  <c:y val="-6.4659977703455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06DE-41F5-97D6-C4ADD283EA24}"/>
                </c:ext>
              </c:extLst>
            </c:dLbl>
            <c:dLbl>
              <c:idx val="8"/>
              <c:layout>
                <c:manualLayout>
                  <c:x val="-1.006734573176688E-2"/>
                  <c:y val="-4.45930880713490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06DE-41F5-97D6-C4ADD283EA24}"/>
                </c:ext>
              </c:extLst>
            </c:dLbl>
            <c:dLbl>
              <c:idx val="9"/>
              <c:layout>
                <c:manualLayout>
                  <c:x val="-7.8450462206490108E-3"/>
                  <c:y val="-9.36454849498337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06DE-41F5-97D6-C4ADD283EA24}"/>
                </c:ext>
              </c:extLst>
            </c:dLbl>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Graficos!$C$106:$C$115</c:f>
              <c:numCache>
                <c:formatCode>General</c:formatCode>
                <c:ptCount val="10"/>
                <c:pt idx="0">
                  <c:v>5</c:v>
                </c:pt>
                <c:pt idx="1">
                  <c:v>3</c:v>
                </c:pt>
                <c:pt idx="2">
                  <c:v>7</c:v>
                </c:pt>
                <c:pt idx="3">
                  <c:v>3</c:v>
                </c:pt>
                <c:pt idx="4">
                  <c:v>8</c:v>
                </c:pt>
                <c:pt idx="5">
                  <c:v>8</c:v>
                </c:pt>
                <c:pt idx="6">
                  <c:v>15</c:v>
                </c:pt>
                <c:pt idx="7">
                  <c:v>7</c:v>
                </c:pt>
                <c:pt idx="8" formatCode="0">
                  <c:v>9</c:v>
                </c:pt>
                <c:pt idx="9" formatCode="0">
                  <c:v>0</c:v>
                </c:pt>
              </c:numCache>
            </c:numRef>
          </c:val>
          <c:smooth val="0"/>
          <c:extLst>
            <c:ext xmlns:c16="http://schemas.microsoft.com/office/drawing/2014/chart" uri="{C3380CC4-5D6E-409C-BE32-E72D297353CC}">
              <c16:uniqueId val="{00000017-06DE-41F5-97D6-C4ADD283EA24}"/>
            </c:ext>
          </c:extLst>
        </c:ser>
        <c:dLbls>
          <c:showLegendKey val="0"/>
          <c:showVal val="1"/>
          <c:showCatName val="0"/>
          <c:showSerName val="0"/>
          <c:showPercent val="0"/>
          <c:showBubbleSize val="0"/>
        </c:dLbls>
        <c:marker val="1"/>
        <c:smooth val="0"/>
        <c:axId val="1238287792"/>
        <c:axId val="1238293232"/>
      </c:lineChart>
      <c:catAx>
        <c:axId val="123828779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3232"/>
        <c:crosses val="autoZero"/>
        <c:auto val="0"/>
        <c:lblAlgn val="ctr"/>
        <c:lblOffset val="100"/>
        <c:tickLblSkip val="1"/>
        <c:tickMarkSkip val="1"/>
        <c:noMultiLvlLbl val="0"/>
      </c:catAx>
      <c:valAx>
        <c:axId val="1238293232"/>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7792"/>
        <c:crosses val="autoZero"/>
        <c:crossBetween val="between"/>
        <c:majorUnit val="3"/>
      </c:valAx>
      <c:spPr>
        <a:solidFill>
          <a:srgbClr val="D4D4D4"/>
        </a:solidFill>
        <a:ln w="3175">
          <a:solidFill>
            <a:srgbClr val="000000"/>
          </a:solidFill>
          <a:prstDash val="solid"/>
        </a:ln>
      </c:spPr>
    </c:plotArea>
    <c:legend>
      <c:legendPos val="r"/>
      <c:layout>
        <c:manualLayout>
          <c:xMode val="edge"/>
          <c:yMode val="edge"/>
          <c:x val="1.2531328320802023E-2"/>
          <c:y val="0.85618729096989965"/>
          <c:w val="0.66917293233083475"/>
          <c:h val="7.3578595317725759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MOL.LIMA
Incapacitantes + DMR </a:t>
            </a:r>
          </a:p>
        </c:rich>
      </c:tx>
      <c:layout>
        <c:manualLayout>
          <c:xMode val="edge"/>
          <c:yMode val="edge"/>
          <c:x val="0.39205946584921658"/>
          <c:y val="1.8115942028985508E-2"/>
        </c:manualLayout>
      </c:layout>
      <c:overlay val="0"/>
      <c:spPr>
        <a:noFill/>
        <a:ln w="25400">
          <a:noFill/>
        </a:ln>
      </c:spPr>
    </c:title>
    <c:autoTitleDeleted val="0"/>
    <c:plotArea>
      <c:layout>
        <c:manualLayout>
          <c:layoutTarget val="inner"/>
          <c:xMode val="edge"/>
          <c:yMode val="edge"/>
          <c:x val="4.6728998617866682E-2"/>
          <c:y val="0.21739207353966244"/>
          <c:w val="0.93457997235733314"/>
          <c:h val="0.67029222674729261"/>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
              <c:layout>
                <c:manualLayout>
                  <c:x val="-4.8242381612968364E-2"/>
                  <c:y val="7.1003922651308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507-4C12-BAB2-7F5FA319B7F8}"/>
                </c:ext>
              </c:extLst>
            </c:dLbl>
            <c:dLbl>
              <c:idx val="3"/>
              <c:layout>
                <c:manualLayout>
                  <c:x val="-4.3775880372273618E-2"/>
                  <c:y val="7.10199245548734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07-4C12-BAB2-7F5FA319B7F8}"/>
                </c:ext>
              </c:extLst>
            </c:dLbl>
            <c:dLbl>
              <c:idx val="5"/>
              <c:layout>
                <c:manualLayout>
                  <c:x val="-4.9234937444236085E-2"/>
                  <c:y val="6.9107012836012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07-4C12-BAB2-7F5FA319B7F8}"/>
                </c:ext>
              </c:extLst>
            </c:dLbl>
            <c:dLbl>
              <c:idx val="6"/>
              <c:layout>
                <c:manualLayout>
                  <c:x val="-9.1604306285538728E-3"/>
                  <c:y val="-6.8119904142190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07-4C12-BAB2-7F5FA319B7F8}"/>
                </c:ext>
              </c:extLst>
            </c:dLbl>
            <c:dLbl>
              <c:idx val="7"/>
              <c:layout>
                <c:manualLayout>
                  <c:x val="-6.0897468461603529E-2"/>
                  <c:y val="5.42514851701670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507-4C12-BAB2-7F5FA319B7F8}"/>
                </c:ext>
              </c:extLst>
            </c:dLbl>
            <c:dLbl>
              <c:idx val="8"/>
              <c:layout>
                <c:manualLayout>
                  <c:x val="-3.0748519958578371E-2"/>
                  <c:y val="5.01412088066293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07-4C12-BAB2-7F5FA319B7F8}"/>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66C9-4864-BB2D-8D53239E4F08}"/>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Graficos!$G$106:$G$115</c:f>
              <c:numCache>
                <c:formatCode>#,##0.0</c:formatCode>
                <c:ptCount val="10"/>
                <c:pt idx="0">
                  <c:v>4.9890427649370794</c:v>
                </c:pt>
                <c:pt idx="1">
                  <c:v>2.7854169643387614</c:v>
                </c:pt>
                <c:pt idx="2">
                  <c:v>6.2765095666782971</c:v>
                </c:pt>
                <c:pt idx="3">
                  <c:v>2.6443144995000614</c:v>
                </c:pt>
                <c:pt idx="4">
                  <c:v>6.6801485424550497</c:v>
                </c:pt>
                <c:pt idx="5">
                  <c:v>6.4958733218956697</c:v>
                </c:pt>
                <c:pt idx="6">
                  <c:v>11.878482082984643</c:v>
                </c:pt>
                <c:pt idx="7">
                  <c:v>5.5696067007906391</c:v>
                </c:pt>
                <c:pt idx="8">
                  <c:v>6.55</c:v>
                </c:pt>
                <c:pt idx="9">
                  <c:v>0</c:v>
                </c:pt>
              </c:numCache>
            </c:numRef>
          </c:val>
          <c:smooth val="0"/>
          <c:extLst>
            <c:ext xmlns:c16="http://schemas.microsoft.com/office/drawing/2014/chart" uri="{C3380CC4-5D6E-409C-BE32-E72D297353CC}">
              <c16:uniqueId val="{00000007-F507-4C12-BAB2-7F5FA319B7F8}"/>
            </c:ext>
          </c:extLst>
        </c:ser>
        <c:dLbls>
          <c:showLegendKey val="0"/>
          <c:showVal val="1"/>
          <c:showCatName val="0"/>
          <c:showSerName val="0"/>
          <c:showPercent val="0"/>
          <c:showBubbleSize val="0"/>
        </c:dLbls>
        <c:marker val="1"/>
        <c:smooth val="0"/>
        <c:axId val="1238297040"/>
        <c:axId val="1238282896"/>
      </c:lineChart>
      <c:catAx>
        <c:axId val="123829704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2896"/>
        <c:crosses val="autoZero"/>
        <c:auto val="0"/>
        <c:lblAlgn val="ctr"/>
        <c:lblOffset val="100"/>
        <c:tickLblSkip val="1"/>
        <c:tickMarkSkip val="1"/>
        <c:noMultiLvlLbl val="0"/>
      </c:catAx>
      <c:valAx>
        <c:axId val="1238282896"/>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7040"/>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EVOLUCION MENSUAL DE ACCIDENTES - ALICORP</a:t>
            </a:r>
          </a:p>
        </c:rich>
      </c:tx>
      <c:layout>
        <c:manualLayout>
          <c:xMode val="edge"/>
          <c:yMode val="edge"/>
          <c:x val="0.23588739787808224"/>
          <c:y val="1.5337279920301934E-2"/>
        </c:manualLayout>
      </c:layout>
      <c:overlay val="0"/>
      <c:spPr>
        <a:noFill/>
        <a:ln w="25400">
          <a:noFill/>
        </a:ln>
      </c:spPr>
    </c:title>
    <c:autoTitleDeleted val="0"/>
    <c:plotArea>
      <c:layout>
        <c:manualLayout>
          <c:layoutTarget val="inner"/>
          <c:xMode val="edge"/>
          <c:yMode val="edge"/>
          <c:x val="6.514090106880388E-2"/>
          <c:y val="0.11695939829871985"/>
          <c:w val="0.92605713411326551"/>
          <c:h val="0.77193202877155509"/>
        </c:manualLayout>
      </c:layout>
      <c:lineChart>
        <c:grouping val="standard"/>
        <c:varyColors val="0"/>
        <c:ser>
          <c:idx val="1"/>
          <c:order val="0"/>
          <c:tx>
            <c:v>Incapacitante</c:v>
          </c:tx>
          <c:spPr>
            <a:ln w="25400">
              <a:solidFill>
                <a:srgbClr val="FF3333"/>
              </a:solidFill>
              <a:prstDash val="solid"/>
            </a:ln>
          </c:spPr>
          <c:marker>
            <c:symbol val="none"/>
          </c:marker>
          <c:dLbls>
            <c:dLbl>
              <c:idx val="0"/>
              <c:layout>
                <c:manualLayout>
                  <c:x val="-3.2130162834579652E-2"/>
                  <c:y val="-9.7472040337657866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19-435A-A237-A2FD9BE9967C}"/>
                </c:ext>
              </c:extLst>
            </c:dLbl>
            <c:dLbl>
              <c:idx val="2"/>
              <c:layout>
                <c:manualLayout>
                  <c:x val="-2.0979970662687891E-2"/>
                  <c:y val="4.23001834934782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19-435A-A237-A2FD9BE9967C}"/>
                </c:ext>
              </c:extLst>
            </c:dLbl>
            <c:dLbl>
              <c:idx val="3"/>
              <c:layout>
                <c:manualLayout>
                  <c:x val="-2.2447134151747893E-2"/>
                  <c:y val="-4.07407688775981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19-435A-A237-A2FD9BE9967C}"/>
                </c:ext>
              </c:extLst>
            </c:dLbl>
            <c:dLbl>
              <c:idx val="4"/>
              <c:layout>
                <c:manualLayout>
                  <c:x val="2.6409841973204013E-4"/>
                  <c:y val="2.77352140798362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19-435A-A237-A2FD9BE9967C}"/>
                </c:ext>
              </c:extLst>
            </c:dLbl>
            <c:dLbl>
              <c:idx val="5"/>
              <c:layout>
                <c:manualLayout>
                  <c:x val="-1.4818071767359223E-2"/>
                  <c:y val="3.06042436636071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19-435A-A237-A2FD9BE9967C}"/>
                </c:ext>
              </c:extLst>
            </c:dLbl>
            <c:dLbl>
              <c:idx val="6"/>
              <c:layout>
                <c:manualLayout>
                  <c:x val="-2.5081448746171856E-2"/>
                  <c:y val="5.64929230471985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19-435A-A237-A2FD9BE9967C}"/>
                </c:ext>
              </c:extLst>
            </c:dLbl>
            <c:dLbl>
              <c:idx val="7"/>
              <c:layout>
                <c:manualLayout>
                  <c:x val="-3.3597297953191912E-2"/>
                  <c:y val="3.06042436636071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19-435A-A237-A2FD9BE9967C}"/>
                </c:ext>
              </c:extLst>
            </c:dLbl>
            <c:dLbl>
              <c:idx val="8"/>
              <c:layout>
                <c:manualLayout>
                  <c:x val="-2.0185242323955556E-2"/>
                  <c:y val="3.13778722444970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19-435A-A237-A2FD9BE9967C}"/>
                </c:ext>
              </c:extLst>
            </c:dLbl>
            <c:dLbl>
              <c:idx val="9"/>
              <c:layout>
                <c:manualLayout>
                  <c:x val="-2.4207670675052056E-2"/>
                  <c:y val="-4.30801903490722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19-435A-A237-A2FD9BE9967C}"/>
                </c:ext>
              </c:extLst>
            </c:dLbl>
            <c:dLbl>
              <c:idx val="10"/>
              <c:delete val="1"/>
              <c:extLst>
                <c:ext xmlns:c15="http://schemas.microsoft.com/office/drawing/2012/chart" uri="{CE6537A1-D6FC-4f65-9D91-7224C49458BB}"/>
                <c:ext xmlns:c16="http://schemas.microsoft.com/office/drawing/2014/chart" uri="{C3380CC4-5D6E-409C-BE32-E72D297353CC}">
                  <c16:uniqueId val="{00000009-EA19-435A-A237-A2FD9BE9967C}"/>
                </c:ext>
              </c:extLst>
            </c:dLbl>
            <c:dLbl>
              <c:idx val="11"/>
              <c:layout>
                <c:manualLayout>
                  <c:x val="-2.0099738078166052E-2"/>
                  <c:y val="-3.19688140051940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A19-435A-A237-A2FD9BE9967C}"/>
                </c:ext>
              </c:extLst>
            </c:dLbl>
            <c:dLbl>
              <c:idx val="12"/>
              <c:layout>
                <c:manualLayout>
                  <c:x val="-2.2489403914514892E-2"/>
                  <c:y val="-3.80239279905962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A19-435A-A237-A2FD9BE9967C}"/>
                </c:ext>
              </c:extLst>
            </c:dLbl>
            <c:dLbl>
              <c:idx val="13"/>
              <c:layout>
                <c:manualLayout>
                  <c:x val="-9.9605397847905702E-3"/>
                  <c:y val="-6.582290710593943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A19-435A-A237-A2FD9BE9967C}"/>
                </c:ext>
              </c:extLst>
            </c:dLbl>
            <c:numFmt formatCode="#,##0" sourceLinked="0"/>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Graficos!$N$2:$Y$2</c:f>
              <c:numCache>
                <c:formatCode>mmm\-yy</c:formatCode>
                <c:ptCount val="12"/>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numCache>
            </c:numRef>
          </c:cat>
          <c:val>
            <c:numRef>
              <c:f>Graficos!$N$3:$Y$3</c:f>
              <c:numCache>
                <c:formatCode>General</c:formatCode>
                <c:ptCount val="12"/>
                <c:pt idx="0">
                  <c:v>5</c:v>
                </c:pt>
                <c:pt idx="1">
                  <c:v>1</c:v>
                </c:pt>
                <c:pt idx="2">
                  <c:v>6</c:v>
                </c:pt>
                <c:pt idx="3">
                  <c:v>3</c:v>
                </c:pt>
                <c:pt idx="4">
                  <c:v>5</c:v>
                </c:pt>
                <c:pt idx="5">
                  <c:v>6</c:v>
                </c:pt>
                <c:pt idx="6">
                  <c:v>9</c:v>
                </c:pt>
                <c:pt idx="7">
                  <c:v>6</c:v>
                </c:pt>
                <c:pt idx="8">
                  <c:v>4</c:v>
                </c:pt>
                <c:pt idx="9">
                  <c:v>2</c:v>
                </c:pt>
                <c:pt idx="10">
                  <c:v>3</c:v>
                </c:pt>
                <c:pt idx="11">
                  <c:v>3</c:v>
                </c:pt>
              </c:numCache>
            </c:numRef>
          </c:val>
          <c:smooth val="0"/>
          <c:extLst>
            <c:ext xmlns:c16="http://schemas.microsoft.com/office/drawing/2014/chart" uri="{C3380CC4-5D6E-409C-BE32-E72D297353CC}">
              <c16:uniqueId val="{0000000D-EA19-435A-A237-A2FD9BE9967C}"/>
            </c:ext>
          </c:extLst>
        </c:ser>
        <c:ser>
          <c:idx val="0"/>
          <c:order val="1"/>
          <c:tx>
            <c:v>DMR</c:v>
          </c:tx>
          <c:spPr>
            <a:ln w="25400">
              <a:solidFill>
                <a:srgbClr val="00008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EA19-435A-A237-A2FD9BE9967C}"/>
                </c:ext>
              </c:extLst>
            </c:dLbl>
            <c:dLbl>
              <c:idx val="1"/>
              <c:layout>
                <c:manualLayout>
                  <c:x val="8.6562311263954691E-3"/>
                  <c:y val="-1.67643257318610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A19-435A-A237-A2FD9BE9967C}"/>
                </c:ext>
              </c:extLst>
            </c:dLbl>
            <c:dLbl>
              <c:idx val="2"/>
              <c:delete val="1"/>
              <c:extLst>
                <c:ext xmlns:c15="http://schemas.microsoft.com/office/drawing/2012/chart" uri="{CE6537A1-D6FC-4f65-9D91-7224C49458BB}"/>
                <c:ext xmlns:c16="http://schemas.microsoft.com/office/drawing/2014/chart" uri="{C3380CC4-5D6E-409C-BE32-E72D297353CC}">
                  <c16:uniqueId val="{00000010-EA19-435A-A237-A2FD9BE9967C}"/>
                </c:ext>
              </c:extLst>
            </c:dLbl>
            <c:dLbl>
              <c:idx val="3"/>
              <c:layout>
                <c:manualLayout>
                  <c:x val="-2.0686569257996407E-2"/>
                  <c:y val="-2.49514101390988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A19-435A-A237-A2FD9BE9967C}"/>
                </c:ext>
              </c:extLst>
            </c:dLbl>
            <c:dLbl>
              <c:idx val="4"/>
              <c:delete val="1"/>
              <c:extLst>
                <c:ext xmlns:c15="http://schemas.microsoft.com/office/drawing/2012/chart" uri="{CE6537A1-D6FC-4f65-9D91-7224C49458BB}"/>
                <c:ext xmlns:c16="http://schemas.microsoft.com/office/drawing/2014/chart" uri="{C3380CC4-5D6E-409C-BE32-E72D297353CC}">
                  <c16:uniqueId val="{00000012-EA19-435A-A237-A2FD9BE9967C}"/>
                </c:ext>
              </c:extLst>
            </c:dLbl>
            <c:dLbl>
              <c:idx val="5"/>
              <c:delete val="1"/>
              <c:extLst>
                <c:ext xmlns:c15="http://schemas.microsoft.com/office/drawing/2012/chart" uri="{CE6537A1-D6FC-4f65-9D91-7224C49458BB}"/>
                <c:ext xmlns:c16="http://schemas.microsoft.com/office/drawing/2014/chart" uri="{C3380CC4-5D6E-409C-BE32-E72D297353CC}">
                  <c16:uniqueId val="{00000013-EA19-435A-A237-A2FD9BE9967C}"/>
                </c:ext>
              </c:extLst>
            </c:dLbl>
            <c:dLbl>
              <c:idx val="6"/>
              <c:delete val="1"/>
              <c:extLst>
                <c:ext xmlns:c15="http://schemas.microsoft.com/office/drawing/2012/chart" uri="{CE6537A1-D6FC-4f65-9D91-7224C49458BB}"/>
                <c:ext xmlns:c16="http://schemas.microsoft.com/office/drawing/2014/chart" uri="{C3380CC4-5D6E-409C-BE32-E72D297353CC}">
                  <c16:uniqueId val="{00000014-EA19-435A-A237-A2FD9BE9967C}"/>
                </c:ext>
              </c:extLst>
            </c:dLbl>
            <c:dLbl>
              <c:idx val="7"/>
              <c:delete val="1"/>
              <c:extLst>
                <c:ext xmlns:c15="http://schemas.microsoft.com/office/drawing/2012/chart" uri="{CE6537A1-D6FC-4f65-9D91-7224C49458BB}"/>
                <c:ext xmlns:c16="http://schemas.microsoft.com/office/drawing/2014/chart" uri="{C3380CC4-5D6E-409C-BE32-E72D297353CC}">
                  <c16:uniqueId val="{00000015-EA19-435A-A237-A2FD9BE9967C}"/>
                </c:ext>
              </c:extLst>
            </c:dLbl>
            <c:dLbl>
              <c:idx val="8"/>
              <c:delete val="1"/>
              <c:extLst>
                <c:ext xmlns:c15="http://schemas.microsoft.com/office/drawing/2012/chart" uri="{CE6537A1-D6FC-4f65-9D91-7224C49458BB}"/>
                <c:ext xmlns:c16="http://schemas.microsoft.com/office/drawing/2014/chart" uri="{C3380CC4-5D6E-409C-BE32-E72D297353CC}">
                  <c16:uniqueId val="{00000016-EA19-435A-A237-A2FD9BE9967C}"/>
                </c:ext>
              </c:extLst>
            </c:dLbl>
            <c:dLbl>
              <c:idx val="9"/>
              <c:delete val="1"/>
              <c:extLst>
                <c:ext xmlns:c15="http://schemas.microsoft.com/office/drawing/2012/chart" uri="{CE6537A1-D6FC-4f65-9D91-7224C49458BB}"/>
                <c:ext xmlns:c16="http://schemas.microsoft.com/office/drawing/2014/chart" uri="{C3380CC4-5D6E-409C-BE32-E72D297353CC}">
                  <c16:uniqueId val="{00000017-EA19-435A-A237-A2FD9BE9967C}"/>
                </c:ext>
              </c:extLst>
            </c:dLbl>
            <c:dLbl>
              <c:idx val="10"/>
              <c:layout>
                <c:manualLayout>
                  <c:x val="-8.0691852265974747E-3"/>
                  <c:y val="-2.436653967393353E-2"/>
                </c:manualLayout>
              </c:layout>
              <c:spPr>
                <a:noFill/>
                <a:ln w="25400">
                  <a:noFill/>
                </a:ln>
              </c:spPr>
              <c:txPr>
                <a:bodyPr/>
                <a:lstStyle/>
                <a:p>
                  <a:pPr>
                    <a:defRPr sz="1000" b="1" i="0" u="none" strike="noStrike" baseline="0">
                      <a:solidFill>
                        <a:srgbClr val="000000"/>
                      </a:solidFill>
                      <a:latin typeface="Arial"/>
                      <a:ea typeface="Arial"/>
                      <a:cs typeface="Arial"/>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EA19-435A-A237-A2FD9BE9967C}"/>
                </c:ext>
              </c:extLst>
            </c:dLbl>
            <c:dLbl>
              <c:idx val="11"/>
              <c:delete val="1"/>
              <c:extLst>
                <c:ext xmlns:c15="http://schemas.microsoft.com/office/drawing/2012/chart" uri="{CE6537A1-D6FC-4f65-9D91-7224C49458BB}"/>
                <c:ext xmlns:c16="http://schemas.microsoft.com/office/drawing/2014/chart" uri="{C3380CC4-5D6E-409C-BE32-E72D297353CC}">
                  <c16:uniqueId val="{00000019-EA19-435A-A237-A2FD9BE9967C}"/>
                </c:ext>
              </c:extLst>
            </c:dLbl>
            <c:dLbl>
              <c:idx val="12"/>
              <c:delete val="1"/>
              <c:extLst>
                <c:ext xmlns:c15="http://schemas.microsoft.com/office/drawing/2012/chart" uri="{CE6537A1-D6FC-4f65-9D91-7224C49458BB}"/>
                <c:ext xmlns:c16="http://schemas.microsoft.com/office/drawing/2014/chart" uri="{C3380CC4-5D6E-409C-BE32-E72D297353CC}">
                  <c16:uniqueId val="{0000001A-EA19-435A-A237-A2FD9BE9967C}"/>
                </c:ext>
              </c:extLst>
            </c:dLbl>
            <c:dLbl>
              <c:idx val="13"/>
              <c:layout>
                <c:manualLayout>
                  <c:x val="-2.0041194869860852E-2"/>
                  <c:y val="-4.64595913240905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EA19-435A-A237-A2FD9BE9967C}"/>
                </c:ext>
              </c:extLst>
            </c:dLbl>
            <c:numFmt formatCode="0" sourceLinked="0"/>
            <c:spPr>
              <a:noFill/>
              <a:ln w="25400">
                <a:noFill/>
              </a:ln>
            </c:spPr>
            <c:txPr>
              <a:bodyPr/>
              <a:lstStyle/>
              <a:p>
                <a:pPr>
                  <a:defRPr sz="1000" b="1" i="0" u="none" strike="noStrike" baseline="0">
                    <a:solidFill>
                      <a:srgbClr val="00008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Graficos!$N$2:$Y$2</c:f>
              <c:numCache>
                <c:formatCode>mmm\-yy</c:formatCode>
                <c:ptCount val="12"/>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numCache>
            </c:numRef>
          </c:cat>
          <c:val>
            <c:numRef>
              <c:f>Graficos!$N$4:$Y$4</c:f>
              <c:numCache>
                <c:formatCode>General</c:formatCode>
                <c:ptCount val="12"/>
                <c:pt idx="0">
                  <c:v>0</c:v>
                </c:pt>
                <c:pt idx="1">
                  <c:v>2</c:v>
                </c:pt>
                <c:pt idx="2">
                  <c:v>0</c:v>
                </c:pt>
                <c:pt idx="3">
                  <c:v>1</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1C-EA19-435A-A237-A2FD9BE9967C}"/>
            </c:ext>
          </c:extLst>
        </c:ser>
        <c:ser>
          <c:idx val="2"/>
          <c:order val="2"/>
          <c:tx>
            <c:v>Menores</c:v>
          </c:tx>
          <c:spPr>
            <a:ln w="38100">
              <a:solidFill>
                <a:srgbClr val="008000"/>
              </a:solidFill>
              <a:prstDash val="solid"/>
            </a:ln>
          </c:spPr>
          <c:marker>
            <c:symbol val="none"/>
          </c:marker>
          <c:dLbls>
            <c:dLbl>
              <c:idx val="1"/>
              <c:layout>
                <c:manualLayout>
                  <c:x val="-2.1273372067381068E-2"/>
                  <c:y val="-4.05554870465290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EA19-435A-A237-A2FD9BE9967C}"/>
                </c:ext>
              </c:extLst>
            </c:dLbl>
            <c:dLbl>
              <c:idx val="2"/>
              <c:layout>
                <c:manualLayout>
                  <c:x val="-1.3937711087682401E-2"/>
                  <c:y val="-3.93858065053849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EA19-435A-A237-A2FD9BE9967C}"/>
                </c:ext>
              </c:extLst>
            </c:dLbl>
            <c:dLbl>
              <c:idx val="3"/>
              <c:layout>
                <c:manualLayout>
                  <c:x val="-1.7165439470493545E-2"/>
                  <c:y val="-5.04968758700919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EA19-435A-A237-A2FD9BE9967C}"/>
                </c:ext>
              </c:extLst>
            </c:dLbl>
            <c:dLbl>
              <c:idx val="6"/>
              <c:layout>
                <c:manualLayout>
                  <c:x val="-2.1566745101623212E-2"/>
                  <c:y val="-3.82161863534285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EA19-435A-A237-A2FD9BE9967C}"/>
                </c:ext>
              </c:extLst>
            </c:dLbl>
            <c:dLbl>
              <c:idx val="8"/>
              <c:layout>
                <c:manualLayout>
                  <c:x val="-2.8022201867246108E-2"/>
                  <c:y val="-4.23098518520424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EA19-435A-A237-A2FD9BE9967C}"/>
                </c:ext>
              </c:extLst>
            </c:dLbl>
            <c:dLbl>
              <c:idx val="9"/>
              <c:layout>
                <c:manualLayout>
                  <c:x val="-2.5968235568803292E-2"/>
                  <c:y val="-3.82161259642413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EA19-435A-A237-A2FD9BE9967C}"/>
                </c:ext>
              </c:extLst>
            </c:dLbl>
            <c:dLbl>
              <c:idx val="10"/>
              <c:layout>
                <c:manualLayout>
                  <c:x val="-2.2153704376608848E-2"/>
                  <c:y val="-4.81577613777889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EA19-435A-A237-A2FD9BE9967C}"/>
                </c:ext>
              </c:extLst>
            </c:dLbl>
            <c:dLbl>
              <c:idx val="11"/>
              <c:layout>
                <c:manualLayout>
                  <c:x val="-2.0099738078166052E-2"/>
                  <c:y val="-3.3537836590448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EA19-435A-A237-A2FD9BE9967C}"/>
                </c:ext>
              </c:extLst>
            </c:dLbl>
            <c:spPr>
              <a:noFill/>
              <a:ln w="25400">
                <a:noFill/>
              </a:ln>
            </c:spPr>
            <c:txPr>
              <a:bodyPr/>
              <a:lstStyle/>
              <a:p>
                <a:pPr>
                  <a:defRPr sz="800" b="1" i="0" u="none" strike="noStrike" baseline="0">
                    <a:solidFill>
                      <a:srgbClr val="008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Graficos!$N$2:$Y$2</c:f>
              <c:numCache>
                <c:formatCode>mmm\-yy</c:formatCode>
                <c:ptCount val="12"/>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numCache>
            </c:numRef>
          </c:cat>
          <c:val>
            <c:numRef>
              <c:f>Graficos!$N$5:$Y$5</c:f>
              <c:numCache>
                <c:formatCode>General</c:formatCode>
                <c:ptCount val="12"/>
                <c:pt idx="0">
                  <c:v>8</c:v>
                </c:pt>
                <c:pt idx="1">
                  <c:v>5</c:v>
                </c:pt>
                <c:pt idx="2">
                  <c:v>8</c:v>
                </c:pt>
                <c:pt idx="3">
                  <c:v>7</c:v>
                </c:pt>
                <c:pt idx="4">
                  <c:v>5</c:v>
                </c:pt>
                <c:pt idx="5">
                  <c:v>7</c:v>
                </c:pt>
                <c:pt idx="6">
                  <c:v>16</c:v>
                </c:pt>
                <c:pt idx="7">
                  <c:v>14</c:v>
                </c:pt>
                <c:pt idx="8">
                  <c:v>13</c:v>
                </c:pt>
                <c:pt idx="9">
                  <c:v>11</c:v>
                </c:pt>
                <c:pt idx="10">
                  <c:v>8</c:v>
                </c:pt>
                <c:pt idx="11">
                  <c:v>8</c:v>
                </c:pt>
              </c:numCache>
            </c:numRef>
          </c:val>
          <c:smooth val="0"/>
          <c:extLst>
            <c:ext xmlns:c16="http://schemas.microsoft.com/office/drawing/2014/chart" uri="{C3380CC4-5D6E-409C-BE32-E72D297353CC}">
              <c16:uniqueId val="{00000025-EA19-435A-A237-A2FD9BE9967C}"/>
            </c:ext>
          </c:extLst>
        </c:ser>
        <c:ser>
          <c:idx val="3"/>
          <c:order val="3"/>
          <c:tx>
            <c:v>Total</c:v>
          </c:tx>
          <c:spPr>
            <a:ln w="25400">
              <a:solidFill>
                <a:srgbClr val="000000"/>
              </a:solidFill>
              <a:prstDash val="solid"/>
            </a:ln>
          </c:spPr>
          <c:marker>
            <c:symbol val="dash"/>
            <c:size val="3"/>
            <c:spPr>
              <a:noFill/>
              <a:ln w="9525">
                <a:noFill/>
              </a:ln>
            </c:spPr>
          </c:marker>
          <c:dLbls>
            <c:dLbl>
              <c:idx val="5"/>
              <c:layout>
                <c:manualLayout>
                  <c:x val="-3.7118562439504031E-2"/>
                  <c:y val="-5.8284799400780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EA19-435A-A237-A2FD9BE9967C}"/>
                </c:ext>
              </c:extLst>
            </c:dLbl>
            <c:dLbl>
              <c:idx val="8"/>
              <c:layout>
                <c:manualLayout>
                  <c:x val="-1.1590264876858819E-2"/>
                  <c:y val="-4.30800645374622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EA19-435A-A237-A2FD9BE9967C}"/>
                </c:ext>
              </c:extLst>
            </c:dLbl>
            <c:dLbl>
              <c:idx val="10"/>
              <c:layout>
                <c:manualLayout>
                  <c:x val="-2.8609111004990601E-2"/>
                  <c:y val="-5.12670885555138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EA19-435A-A237-A2FD9BE9967C}"/>
                </c:ext>
              </c:extLst>
            </c:dLbl>
            <c:spPr>
              <a:noFill/>
              <a:ln w="25400">
                <a:noFill/>
              </a:ln>
            </c:spPr>
            <c:txPr>
              <a:bodyPr/>
              <a:lstStyle/>
              <a:p>
                <a:pPr>
                  <a:defRPr sz="1000" b="1" i="0" u="none" strike="noStrike" baseline="0">
                    <a:solidFill>
                      <a:srgbClr val="000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Graficos!$N$2:$Y$2</c:f>
              <c:numCache>
                <c:formatCode>mmm\-yy</c:formatCode>
                <c:ptCount val="12"/>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numCache>
            </c:numRef>
          </c:cat>
          <c:val>
            <c:numRef>
              <c:f>Graficos!$N$6:$Y$6</c:f>
              <c:numCache>
                <c:formatCode>General</c:formatCode>
                <c:ptCount val="12"/>
                <c:pt idx="0">
                  <c:v>13</c:v>
                </c:pt>
                <c:pt idx="1">
                  <c:v>8</c:v>
                </c:pt>
                <c:pt idx="2">
                  <c:v>14</c:v>
                </c:pt>
                <c:pt idx="3">
                  <c:v>11</c:v>
                </c:pt>
                <c:pt idx="4">
                  <c:v>10</c:v>
                </c:pt>
                <c:pt idx="5">
                  <c:v>13</c:v>
                </c:pt>
                <c:pt idx="6">
                  <c:v>25</c:v>
                </c:pt>
                <c:pt idx="7">
                  <c:v>20</c:v>
                </c:pt>
                <c:pt idx="8">
                  <c:v>17</c:v>
                </c:pt>
                <c:pt idx="9">
                  <c:v>13</c:v>
                </c:pt>
                <c:pt idx="10">
                  <c:v>11</c:v>
                </c:pt>
                <c:pt idx="11">
                  <c:v>11</c:v>
                </c:pt>
              </c:numCache>
            </c:numRef>
          </c:val>
          <c:smooth val="0"/>
          <c:extLst>
            <c:ext xmlns:c16="http://schemas.microsoft.com/office/drawing/2014/chart" uri="{C3380CC4-5D6E-409C-BE32-E72D297353CC}">
              <c16:uniqueId val="{00000029-EA19-435A-A237-A2FD9BE9967C}"/>
            </c:ext>
          </c:extLst>
        </c:ser>
        <c:dLbls>
          <c:showLegendKey val="0"/>
          <c:showVal val="1"/>
          <c:showCatName val="0"/>
          <c:showSerName val="0"/>
          <c:showPercent val="0"/>
          <c:showBubbleSize val="0"/>
        </c:dLbls>
        <c:smooth val="0"/>
        <c:axId val="1238290512"/>
        <c:axId val="1238288336"/>
      </c:lineChart>
      <c:catAx>
        <c:axId val="1238290512"/>
        <c:scaling>
          <c:orientation val="minMax"/>
        </c:scaling>
        <c:delete val="0"/>
        <c:axPos val="b"/>
        <c:numFmt formatCode="mmm\-yy"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8336"/>
        <c:crosses val="autoZero"/>
        <c:auto val="0"/>
        <c:lblAlgn val="ctr"/>
        <c:lblOffset val="100"/>
        <c:tickLblSkip val="1"/>
        <c:tickMarkSkip val="1"/>
        <c:noMultiLvlLbl val="0"/>
      </c:catAx>
      <c:valAx>
        <c:axId val="1238288336"/>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0512"/>
        <c:crosses val="autoZero"/>
        <c:crossBetween val="between"/>
      </c:valAx>
      <c:spPr>
        <a:noFill/>
        <a:ln w="12700">
          <a:solidFill>
            <a:srgbClr val="000000"/>
          </a:solidFill>
          <a:prstDash val="solid"/>
        </a:ln>
      </c:spPr>
    </c:plotArea>
    <c:legend>
      <c:legendPos val="r"/>
      <c:layout>
        <c:manualLayout>
          <c:xMode val="edge"/>
          <c:yMode val="edge"/>
          <c:x val="0.23415492957746595"/>
          <c:y val="5.8394160583941833E-2"/>
          <c:w val="0.6073943661971879"/>
          <c:h val="6.2043795620437964E-2"/>
        </c:manualLayout>
      </c:layout>
      <c:overlay val="0"/>
      <c:spPr>
        <a:solidFill>
          <a:srgbClr val="FFFFFF"/>
        </a:solidFill>
        <a:ln w="25400">
          <a:noFill/>
        </a:ln>
      </c:spPr>
      <c:txPr>
        <a:bodyPr/>
        <a:lstStyle/>
        <a:p>
          <a:pPr>
            <a:defRPr lang="es-PE" sz="640"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SEVERIDAD - ALICORP + MOLINCA</a:t>
            </a:r>
          </a:p>
        </c:rich>
      </c:tx>
      <c:layout>
        <c:manualLayout>
          <c:xMode val="edge"/>
          <c:yMode val="edge"/>
          <c:x val="0.33646643109541119"/>
          <c:y val="3.5335694562343291E-2"/>
        </c:manualLayout>
      </c:layout>
      <c:overlay val="0"/>
      <c:spPr>
        <a:noFill/>
        <a:ln w="25400">
          <a:noFill/>
        </a:ln>
      </c:spPr>
    </c:title>
    <c:autoTitleDeleted val="0"/>
    <c:plotArea>
      <c:layout>
        <c:manualLayout>
          <c:layoutTarget val="inner"/>
          <c:xMode val="edge"/>
          <c:yMode val="edge"/>
          <c:x val="8.8345945747500765E-2"/>
          <c:y val="0.15194372505750373"/>
          <c:w val="0.89097826136838265"/>
          <c:h val="0.73851717527946759"/>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
              <c:layout>
                <c:manualLayout>
                  <c:x val="-6.0639053254437872E-2"/>
                  <c:y val="-6.68725707940033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214-4E2B-A6CD-476BAD65F688}"/>
                </c:ext>
              </c:extLst>
            </c:dLbl>
            <c:dLbl>
              <c:idx val="2"/>
              <c:layout>
                <c:manualLayout>
                  <c:x val="-8.4449704142011819E-2"/>
                  <c:y val="-1.88725597990121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14-4E2B-A6CD-476BAD65F688}"/>
                </c:ext>
              </c:extLst>
            </c:dLbl>
            <c:dLbl>
              <c:idx val="3"/>
              <c:layout>
                <c:manualLayout>
                  <c:x val="-2.2769230769230792E-2"/>
                  <c:y val="-7.123620815718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14-4E2B-A6CD-476BAD65F688}"/>
                </c:ext>
              </c:extLst>
            </c:dLbl>
            <c:dLbl>
              <c:idx val="6"/>
              <c:layout>
                <c:manualLayout>
                  <c:x val="-5.3038898212606503E-2"/>
                  <c:y val="-8.62048898741722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14-4E2B-A6CD-476BAD65F688}"/>
                </c:ext>
              </c:extLst>
            </c:dLbl>
            <c:dLbl>
              <c:idx val="7"/>
              <c:layout>
                <c:manualLayout>
                  <c:x val="-8.4335483870967731E-2"/>
                  <c:y val="-1.05440391379649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214-4E2B-A6CD-476BAD65F688}"/>
                </c:ext>
              </c:extLst>
            </c:dLbl>
            <c:dLbl>
              <c:idx val="8"/>
              <c:layout>
                <c:manualLayout>
                  <c:x val="-2.2337045395714836E-2"/>
                  <c:y val="-9.51162038014810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14-4E2B-A6CD-476BAD65F688}"/>
                </c:ext>
              </c:extLst>
            </c:dLbl>
            <c:dLbl>
              <c:idx val="9"/>
              <c:numFmt formatCode="0" sourceLinked="0"/>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9512-40A6-AC11-21C36C564111}"/>
                </c:ext>
              </c:extLst>
            </c:dLbl>
            <c:dLbl>
              <c:idx val="10"/>
              <c:numFmt formatCode="0" sourceLinked="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1-9512-40A6-AC11-21C36C564111}"/>
                </c:ext>
              </c:extLst>
            </c:dLbl>
            <c:numFmt formatCode="0" sourceLinked="0"/>
            <c:spPr>
              <a:noFill/>
              <a:ln w="25400">
                <a:noFill/>
              </a:ln>
            </c:spPr>
            <c:txPr>
              <a:bodyPr/>
              <a:lstStyle/>
              <a:p>
                <a:pPr>
                  <a:defRPr sz="11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Graficos!$A$97:$A$102</c:f>
              <c:numCache>
                <c:formatCode>General</c:formatCode>
                <c:ptCount val="6"/>
                <c:pt idx="0">
                  <c:v>2007</c:v>
                </c:pt>
                <c:pt idx="1">
                  <c:v>2008</c:v>
                </c:pt>
                <c:pt idx="2">
                  <c:v>2009</c:v>
                </c:pt>
                <c:pt idx="3">
                  <c:v>2010</c:v>
                </c:pt>
                <c:pt idx="4">
                  <c:v>2011</c:v>
                </c:pt>
                <c:pt idx="5">
                  <c:v>2012</c:v>
                </c:pt>
              </c:numCache>
            </c:numRef>
          </c:cat>
          <c:val>
            <c:numRef>
              <c:f>Graficos!$H$97:$H$102</c:f>
              <c:numCache>
                <c:formatCode>#,##0</c:formatCode>
                <c:ptCount val="6"/>
                <c:pt idx="0">
                  <c:v>97.666359497056433</c:v>
                </c:pt>
                <c:pt idx="1">
                  <c:v>64.207908742889771</c:v>
                </c:pt>
                <c:pt idx="2">
                  <c:v>645.48034235778732</c:v>
                </c:pt>
                <c:pt idx="3">
                  <c:v>79.206277528815477</c:v>
                </c:pt>
                <c:pt idx="4">
                  <c:v>182</c:v>
                </c:pt>
                <c:pt idx="5">
                  <c:v>101</c:v>
                </c:pt>
              </c:numCache>
            </c:numRef>
          </c:val>
          <c:smooth val="0"/>
          <c:extLst>
            <c:ext xmlns:c16="http://schemas.microsoft.com/office/drawing/2014/chart" uri="{C3380CC4-5D6E-409C-BE32-E72D297353CC}">
              <c16:uniqueId val="{00000008-B214-4E2B-A6CD-476BAD65F688}"/>
            </c:ext>
          </c:extLst>
        </c:ser>
        <c:dLbls>
          <c:showLegendKey val="0"/>
          <c:showVal val="1"/>
          <c:showCatName val="0"/>
          <c:showSerName val="0"/>
          <c:showPercent val="0"/>
          <c:showBubbleSize val="0"/>
        </c:dLbls>
        <c:marker val="1"/>
        <c:smooth val="0"/>
        <c:axId val="1238291056"/>
        <c:axId val="1238283440"/>
      </c:lineChart>
      <c:catAx>
        <c:axId val="12382910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3440"/>
        <c:crosses val="autoZero"/>
        <c:auto val="0"/>
        <c:lblAlgn val="ctr"/>
        <c:lblOffset val="100"/>
        <c:tickLblSkip val="1"/>
        <c:tickMarkSkip val="1"/>
        <c:noMultiLvlLbl val="0"/>
      </c:catAx>
      <c:valAx>
        <c:axId val="1238283440"/>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1056"/>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SEVERIDAD -  MOL.LIMA</a:t>
            </a:r>
          </a:p>
        </c:rich>
      </c:tx>
      <c:layout>
        <c:manualLayout>
          <c:xMode val="edge"/>
          <c:yMode val="edge"/>
          <c:x val="0.33458679644211453"/>
          <c:y val="1.865671641791046E-2"/>
        </c:manualLayout>
      </c:layout>
      <c:overlay val="0"/>
      <c:spPr>
        <a:noFill/>
        <a:ln w="25400">
          <a:noFill/>
        </a:ln>
      </c:spPr>
    </c:title>
    <c:autoTitleDeleted val="0"/>
    <c:plotArea>
      <c:layout>
        <c:manualLayout>
          <c:layoutTarget val="inner"/>
          <c:xMode val="edge"/>
          <c:yMode val="edge"/>
          <c:x val="7.1428636987339034E-2"/>
          <c:y val="0.23880640524138091"/>
          <c:w val="0.90413616818181886"/>
          <c:h val="0.64552356416810763"/>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3.8878414365382835E-2"/>
                  <c:y val="-0.12009855072353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AB-42A9-BE0F-4AFC4F0E7FCE}"/>
                </c:ext>
              </c:extLst>
            </c:dLbl>
            <c:dLbl>
              <c:idx val="1"/>
              <c:layout>
                <c:manualLayout>
                  <c:x val="-5.5231827486677355E-2"/>
                  <c:y val="5.08871428855473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AB-42A9-BE0F-4AFC4F0E7FCE}"/>
                </c:ext>
              </c:extLst>
            </c:dLbl>
            <c:dLbl>
              <c:idx val="2"/>
              <c:layout>
                <c:manualLayout>
                  <c:x val="-6.0307034767865794E-2"/>
                  <c:y val="-5.1217495263468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AB-42A9-BE0F-4AFC4F0E7FCE}"/>
                </c:ext>
              </c:extLst>
            </c:dLbl>
            <c:dLbl>
              <c:idx val="3"/>
              <c:layout>
                <c:manualLayout>
                  <c:x val="-8.4179251782564385E-2"/>
                  <c:y val="3.386511723428468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AB-42A9-BE0F-4AFC4F0E7FCE}"/>
                </c:ext>
              </c:extLst>
            </c:dLbl>
            <c:dLbl>
              <c:idx val="5"/>
              <c:layout>
                <c:manualLayout>
                  <c:x val="-8.8690366081140323E-2"/>
                  <c:y val="-1.06128171324053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AB-42A9-BE0F-4AFC4F0E7FCE}"/>
                </c:ext>
              </c:extLst>
            </c:dLbl>
            <c:dLbl>
              <c:idx val="6"/>
              <c:layout>
                <c:manualLayout>
                  <c:x val="-9.1790295615278208E-3"/>
                  <c:y val="-2.30654760468818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AB-42A9-BE0F-4AFC4F0E7FCE}"/>
                </c:ext>
              </c:extLst>
            </c:dLbl>
            <c:dLbl>
              <c:idx val="8"/>
              <c:layout>
                <c:manualLayout>
                  <c:x val="-6.2562566510977954E-2"/>
                  <c:y val="5.52787865548025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9AB-42A9-BE0F-4AFC4F0E7FCE}"/>
                </c:ext>
              </c:extLst>
            </c:dLbl>
            <c:dLbl>
              <c:idx val="9"/>
              <c:layout>
                <c:manualLayout>
                  <c:x val="-2.2524950431742047E-2"/>
                  <c:y val="-6.98495361686782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9AB-42A9-BE0F-4AFC4F0E7FCE}"/>
                </c:ext>
              </c:extLst>
            </c:dLbl>
            <c:dLbl>
              <c:idx val="10"/>
              <c:numFmt formatCode="0" sourceLinked="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5D28-48F1-A66C-AA44633C0836}"/>
                </c:ext>
              </c:extLst>
            </c:dLbl>
            <c:numFmt formatCode="0" sourceLinked="0"/>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Graficos!$H$106:$H$115</c:f>
              <c:numCache>
                <c:formatCode>#,##0</c:formatCode>
                <c:ptCount val="10"/>
                <c:pt idx="0">
                  <c:v>145.68004873616272</c:v>
                </c:pt>
                <c:pt idx="1">
                  <c:v>85.41945357305535</c:v>
                </c:pt>
                <c:pt idx="2">
                  <c:v>247.47380577188716</c:v>
                </c:pt>
                <c:pt idx="3">
                  <c:v>29.087459494500674</c:v>
                </c:pt>
                <c:pt idx="4">
                  <c:v>177.85895494286569</c:v>
                </c:pt>
                <c:pt idx="5">
                  <c:v>32.479366609478348</c:v>
                </c:pt>
                <c:pt idx="6">
                  <c:v>164.71495155072037</c:v>
                </c:pt>
                <c:pt idx="7">
                  <c:v>4842.3751972874043</c:v>
                </c:pt>
                <c:pt idx="8">
                  <c:v>159.27000000000001</c:v>
                </c:pt>
                <c:pt idx="9">
                  <c:v>0</c:v>
                </c:pt>
              </c:numCache>
            </c:numRef>
          </c:val>
          <c:smooth val="0"/>
          <c:extLst>
            <c:ext xmlns:c16="http://schemas.microsoft.com/office/drawing/2014/chart" uri="{C3380CC4-5D6E-409C-BE32-E72D297353CC}">
              <c16:uniqueId val="{00000009-B9AB-42A9-BE0F-4AFC4F0E7FCE}"/>
            </c:ext>
          </c:extLst>
        </c:ser>
        <c:dLbls>
          <c:showLegendKey val="0"/>
          <c:showVal val="1"/>
          <c:showCatName val="0"/>
          <c:showSerName val="0"/>
          <c:showPercent val="0"/>
          <c:showBubbleSize val="0"/>
        </c:dLbls>
        <c:marker val="1"/>
        <c:smooth val="0"/>
        <c:axId val="1238287248"/>
        <c:axId val="1238285072"/>
      </c:lineChart>
      <c:catAx>
        <c:axId val="123828724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5072"/>
        <c:crosses val="autoZero"/>
        <c:auto val="0"/>
        <c:lblAlgn val="ctr"/>
        <c:lblOffset val="100"/>
        <c:tickLblSkip val="1"/>
        <c:tickMarkSkip val="1"/>
        <c:noMultiLvlLbl val="0"/>
      </c:catAx>
      <c:valAx>
        <c:axId val="1238285072"/>
        <c:scaling>
          <c:orientation val="minMax"/>
          <c:max val="500"/>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7248"/>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OSHA INCIDENT RATE - ALICORP
Incapacitantes + DMR + Menor</a:t>
            </a:r>
          </a:p>
        </c:rich>
      </c:tx>
      <c:layout>
        <c:manualLayout>
          <c:xMode val="edge"/>
          <c:yMode val="edge"/>
          <c:x val="0.32874057081447888"/>
          <c:y val="3.5587100908161202E-2"/>
        </c:manualLayout>
      </c:layout>
      <c:overlay val="0"/>
      <c:spPr>
        <a:noFill/>
        <a:ln w="25400">
          <a:noFill/>
        </a:ln>
      </c:spPr>
    </c:title>
    <c:autoTitleDeleted val="0"/>
    <c:plotArea>
      <c:layout>
        <c:manualLayout>
          <c:layoutTarget val="inner"/>
          <c:xMode val="edge"/>
          <c:yMode val="edge"/>
          <c:x val="4.1338622411169736E-2"/>
          <c:y val="0.29537366548043947"/>
          <c:w val="0.94291429214051081"/>
          <c:h val="0.59430604982202451"/>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4"/>
              <c:layout>
                <c:manualLayout>
                  <c:x val="1.3123421161849587E-2"/>
                  <c:y val="5.486591756101712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AF-4EEC-9383-1F9D493C5075}"/>
                </c:ext>
              </c:extLst>
            </c:dLbl>
            <c:dLbl>
              <c:idx val="5"/>
              <c:layout>
                <c:manualLayout>
                  <c:x val="-0.12073488439659479"/>
                  <c:y val="1.9988604627270692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AF-4EEC-9383-1F9D493C5075}"/>
                </c:ext>
              </c:extLst>
            </c:dLbl>
            <c:dLbl>
              <c:idx val="6"/>
              <c:layout>
                <c:manualLayout>
                  <c:x val="-3.8057755420754256E-2"/>
                  <c:y val="-0.11879732115336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AF-4EEC-9383-1F9D493C5075}"/>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E612-488B-86C7-6DDB8ED5509E}"/>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Graficos!$I$92:$I$101</c:f>
              <c:numCache>
                <c:formatCode>#,##0.0</c:formatCode>
                <c:ptCount val="5"/>
                <c:pt idx="0">
                  <c:v>4.1343149770334042</c:v>
                </c:pt>
                <c:pt idx="1">
                  <c:v>3.0935155446569631</c:v>
                </c:pt>
                <c:pt idx="2">
                  <c:v>2.3677029685432411</c:v>
                </c:pt>
                <c:pt idx="3">
                  <c:v>1.7027748731230814</c:v>
                </c:pt>
                <c:pt idx="4">
                  <c:v>0</c:v>
                </c:pt>
              </c:numCache>
            </c:numRef>
          </c:val>
          <c:smooth val="0"/>
          <c:extLst>
            <c:ext xmlns:c16="http://schemas.microsoft.com/office/drawing/2014/chart" uri="{C3380CC4-5D6E-409C-BE32-E72D297353CC}">
              <c16:uniqueId val="{00000004-ECAF-4EEC-9383-1F9D493C5075}"/>
            </c:ext>
          </c:extLst>
        </c:ser>
        <c:dLbls>
          <c:showLegendKey val="0"/>
          <c:showVal val="1"/>
          <c:showCatName val="0"/>
          <c:showSerName val="0"/>
          <c:showPercent val="0"/>
          <c:showBubbleSize val="0"/>
        </c:dLbls>
        <c:marker val="1"/>
        <c:smooth val="0"/>
        <c:axId val="1238293776"/>
        <c:axId val="1238288880"/>
      </c:lineChart>
      <c:catAx>
        <c:axId val="12382937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8880"/>
        <c:crosses val="autoZero"/>
        <c:auto val="0"/>
        <c:lblAlgn val="ctr"/>
        <c:lblOffset val="100"/>
        <c:tickLblSkip val="1"/>
        <c:tickMarkSkip val="1"/>
        <c:noMultiLvlLbl val="0"/>
      </c:catAx>
      <c:valAx>
        <c:axId val="1238288880"/>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3776"/>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OSHA INCIDENT RATE - MOLINOS LIMA
Incapacitantes + DMR + Menor</a:t>
            </a:r>
          </a:p>
        </c:rich>
      </c:tx>
      <c:layout>
        <c:manualLayout>
          <c:xMode val="edge"/>
          <c:yMode val="edge"/>
          <c:x val="0.29702991086510439"/>
          <c:y val="3.5842293906810055E-2"/>
        </c:manualLayout>
      </c:layout>
      <c:overlay val="0"/>
      <c:spPr>
        <a:noFill/>
        <a:ln w="25400">
          <a:noFill/>
        </a:ln>
      </c:spPr>
    </c:title>
    <c:autoTitleDeleted val="0"/>
    <c:plotArea>
      <c:layout>
        <c:manualLayout>
          <c:layoutTarget val="inner"/>
          <c:xMode val="edge"/>
          <c:yMode val="edge"/>
          <c:x val="7.1287197640003908E-2"/>
          <c:y val="0.28673935490645619"/>
          <c:w val="0.90693156997559998"/>
          <c:h val="0.60215264530355794"/>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
              <c:layout>
                <c:manualLayout>
                  <c:x val="-4.7689658205980305E-2"/>
                  <c:y val="7.1363330933720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9B-4F94-8D76-16571BB2377A}"/>
                </c:ext>
              </c:extLst>
            </c:dLbl>
            <c:dLbl>
              <c:idx val="3"/>
              <c:layout>
                <c:manualLayout>
                  <c:x val="-4.9669887973470814E-2"/>
                  <c:y val="6.19229034820027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9B-4F94-8D76-16571BB2377A}"/>
                </c:ext>
              </c:extLst>
            </c:dLbl>
            <c:dLbl>
              <c:idx val="4"/>
              <c:layout>
                <c:manualLayout>
                  <c:x val="-1.303620410276961E-2"/>
                  <c:y val="5.23813147075007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9B-4F94-8D76-16571BB2377A}"/>
                </c:ext>
              </c:extLst>
            </c:dLbl>
            <c:dLbl>
              <c:idx val="5"/>
              <c:layout>
                <c:manualLayout>
                  <c:x val="1.3696480095709083E-2"/>
                  <c:y val="-9.479185757982526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9B-4F94-8D76-16571BB2377A}"/>
                </c:ext>
              </c:extLst>
            </c:dLbl>
            <c:dLbl>
              <c:idx val="6"/>
              <c:layout>
                <c:manualLayout>
                  <c:x val="-8.4323431575819563E-2"/>
                  <c:y val="-4.1739570929537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9B-4F94-8D76-16571BB2377A}"/>
                </c:ext>
              </c:extLst>
            </c:dLbl>
            <c:dLbl>
              <c:idx val="7"/>
              <c:layout>
                <c:manualLayout>
                  <c:x val="-3.5808548098450889E-2"/>
                  <c:y val="-8.61625538241032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9B-4F94-8D76-16571BB2377A}"/>
                </c:ext>
              </c:extLst>
            </c:dLbl>
            <c:dLbl>
              <c:idx val="8"/>
              <c:layout>
                <c:manualLayout>
                  <c:x val="-3.8778862916640615E-2"/>
                  <c:y val="-7.68699483119117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49B-4F94-8D76-16571BB2377A}"/>
                </c:ext>
              </c:extLst>
            </c:dLbl>
            <c:dLbl>
              <c:idx val="9"/>
              <c:layout>
                <c:manualLayout>
                  <c:x val="-1.5352137228047263E-2"/>
                  <c:y val="-6.7523607668069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9B-4F94-8D76-16571BB2377A}"/>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302C-4121-BEF1-2D82F7D76921}"/>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Graficos!$I$106:$I$115</c:f>
              <c:numCache>
                <c:formatCode>#,##0.0</c:formatCode>
                <c:ptCount val="10"/>
                <c:pt idx="0">
                  <c:v>1.7960553953773486</c:v>
                </c:pt>
                <c:pt idx="1">
                  <c:v>1.4855557143140061</c:v>
                </c:pt>
                <c:pt idx="2">
                  <c:v>2.3312749819090817</c:v>
                </c:pt>
                <c:pt idx="3">
                  <c:v>1.2340134331000288</c:v>
                </c:pt>
                <c:pt idx="4">
                  <c:v>2.1710482762978911</c:v>
                </c:pt>
                <c:pt idx="5">
                  <c:v>2.2735556626634845</c:v>
                </c:pt>
                <c:pt idx="6">
                  <c:v>3.4843547443421619</c:v>
                </c:pt>
                <c:pt idx="7">
                  <c:v>2.5461059203614349</c:v>
                </c:pt>
                <c:pt idx="8">
                  <c:v>2.04</c:v>
                </c:pt>
                <c:pt idx="9">
                  <c:v>0</c:v>
                </c:pt>
              </c:numCache>
            </c:numRef>
          </c:val>
          <c:smooth val="0"/>
          <c:extLst>
            <c:ext xmlns:c16="http://schemas.microsoft.com/office/drawing/2014/chart" uri="{C3380CC4-5D6E-409C-BE32-E72D297353CC}">
              <c16:uniqueId val="{00000009-649B-4F94-8D76-16571BB2377A}"/>
            </c:ext>
          </c:extLst>
        </c:ser>
        <c:dLbls>
          <c:showLegendKey val="0"/>
          <c:showVal val="1"/>
          <c:showCatName val="0"/>
          <c:showSerName val="0"/>
          <c:showPercent val="0"/>
          <c:showBubbleSize val="0"/>
        </c:dLbls>
        <c:marker val="1"/>
        <c:smooth val="0"/>
        <c:axId val="1238292688"/>
        <c:axId val="1238294320"/>
      </c:lineChart>
      <c:catAx>
        <c:axId val="123829268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4320"/>
        <c:crosses val="autoZero"/>
        <c:auto val="0"/>
        <c:lblAlgn val="ctr"/>
        <c:lblOffset val="100"/>
        <c:tickLblSkip val="1"/>
        <c:tickMarkSkip val="1"/>
        <c:noMultiLvlLbl val="0"/>
      </c:catAx>
      <c:valAx>
        <c:axId val="1238294320"/>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2688"/>
        <c:crosses val="autoZero"/>
        <c:crossBetween val="between"/>
        <c:majorUnit val="1"/>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ACCIDENTES INCAPACITANTES + DMR - ALICORP/TERCEROS</a:t>
            </a:r>
          </a:p>
        </c:rich>
      </c:tx>
      <c:layout>
        <c:manualLayout>
          <c:xMode val="edge"/>
          <c:yMode val="edge"/>
          <c:x val="0.21199995661699525"/>
          <c:y val="2.3460528972339988E-2"/>
        </c:manualLayout>
      </c:layout>
      <c:overlay val="0"/>
      <c:spPr>
        <a:noFill/>
        <a:ln w="25400">
          <a:noFill/>
        </a:ln>
      </c:spPr>
    </c:title>
    <c:autoTitleDeleted val="0"/>
    <c:plotArea>
      <c:layout>
        <c:manualLayout>
          <c:layoutTarget val="inner"/>
          <c:xMode val="edge"/>
          <c:yMode val="edge"/>
          <c:x val="7.0000000000000021E-2"/>
          <c:y val="0.18475073313783694"/>
          <c:w val="0.9"/>
          <c:h val="0.62463343108504465"/>
        </c:manualLayout>
      </c:layout>
      <c:lineChart>
        <c:grouping val="standard"/>
        <c:varyColors val="0"/>
        <c:ser>
          <c:idx val="1"/>
          <c:order val="0"/>
          <c:tx>
            <c:v>Total Alicorp+Terceros</c:v>
          </c:tx>
          <c:spPr>
            <a:ln w="25400">
              <a:solidFill>
                <a:srgbClr val="0000FF"/>
              </a:solidFill>
              <a:prstDash val="solid"/>
            </a:ln>
          </c:spPr>
          <c:marker>
            <c:symbol val="circle"/>
            <c:size val="5"/>
            <c:spPr>
              <a:solidFill>
                <a:srgbClr val="0000FF"/>
              </a:solidFill>
              <a:ln>
                <a:solidFill>
                  <a:srgbClr val="0000FF"/>
                </a:solidFill>
                <a:prstDash val="solid"/>
              </a:ln>
            </c:spPr>
          </c:marker>
          <c:dLbls>
            <c:dLbl>
              <c:idx val="4"/>
              <c:layout>
                <c:manualLayout>
                  <c:x val="-5.3066666666666713E-2"/>
                  <c:y val="-0.103391753450177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43-4E9F-8819-1C3515D2B15A}"/>
                </c:ext>
              </c:extLst>
            </c:dLbl>
            <c:dLbl>
              <c:idx val="5"/>
              <c:layout>
                <c:manualLayout>
                  <c:x val="-6.6266666666666599E-2"/>
                  <c:y val="-1.70869990224828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3-4E9F-8819-1C3515D2B15A}"/>
                </c:ext>
              </c:extLst>
            </c:dLbl>
            <c:dLbl>
              <c:idx val="6"/>
              <c:layout>
                <c:manualLayout>
                  <c:x val="-3.7466666666666613E-2"/>
                  <c:y val="-0.120078201368524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3-4E9F-8819-1C3515D2B15A}"/>
                </c:ext>
              </c:extLst>
            </c:dLbl>
            <c:dLbl>
              <c:idx val="9"/>
              <c:layout>
                <c:manualLayout>
                  <c:x val="-4.4000000000000124E-3"/>
                  <c:y val="-0.1265883113584409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3-4E9F-8819-1C3515D2B15A}"/>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12F9-4215-8714-D014D0DB61FD}"/>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Graficos!$C$92:$C$101</c:f>
              <c:numCache>
                <c:formatCode>General</c:formatCode>
                <c:ptCount val="5"/>
                <c:pt idx="0">
                  <c:v>93</c:v>
                </c:pt>
                <c:pt idx="1">
                  <c:v>65</c:v>
                </c:pt>
                <c:pt idx="2">
                  <c:v>45</c:v>
                </c:pt>
                <c:pt idx="3">
                  <c:v>53</c:v>
                </c:pt>
                <c:pt idx="4" formatCode="0">
                  <c:v>0</c:v>
                </c:pt>
              </c:numCache>
            </c:numRef>
          </c:val>
          <c:smooth val="0"/>
          <c:extLst>
            <c:ext xmlns:c16="http://schemas.microsoft.com/office/drawing/2014/chart" uri="{C3380CC4-5D6E-409C-BE32-E72D297353CC}">
              <c16:uniqueId val="{00000005-3243-4E9F-8819-1C3515D2B15A}"/>
            </c:ext>
          </c:extLst>
        </c:ser>
        <c:ser>
          <c:idx val="0"/>
          <c:order val="1"/>
          <c:tx>
            <c:v>Terceros</c:v>
          </c:tx>
          <c:spPr>
            <a:ln w="25400">
              <a:solidFill>
                <a:srgbClr val="FF3333"/>
              </a:solidFill>
              <a:prstDash val="solid"/>
            </a:ln>
          </c:spPr>
          <c:marker>
            <c:symbol val="circle"/>
            <c:size val="5"/>
            <c:spPr>
              <a:solidFill>
                <a:srgbClr val="FF3333"/>
              </a:solidFill>
              <a:ln>
                <a:solidFill>
                  <a:srgbClr val="FF3333"/>
                </a:solidFill>
                <a:prstDash val="solid"/>
              </a:ln>
            </c:spPr>
          </c:marker>
          <c:dLbls>
            <c:dLbl>
              <c:idx val="1"/>
              <c:layout>
                <c:manualLayout>
                  <c:x val="-2.7466666666666681E-2"/>
                  <c:y val="-6.31571493446017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43-4E9F-8819-1C3515D2B15A}"/>
                </c:ext>
              </c:extLst>
            </c:dLbl>
            <c:dLbl>
              <c:idx val="2"/>
              <c:layout>
                <c:manualLayout>
                  <c:x val="-2.8666666666666688E-2"/>
                  <c:y val="-6.23067864317549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43-4E9F-8819-1C3515D2B15A}"/>
                </c:ext>
              </c:extLst>
            </c:dLbl>
            <c:dLbl>
              <c:idx val="3"/>
              <c:layout>
                <c:manualLayout>
                  <c:x val="-2.5866666666666659E-2"/>
                  <c:y val="-7.99020943496472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243-4E9F-8819-1C3515D2B15A}"/>
                </c:ext>
              </c:extLst>
            </c:dLbl>
            <c:dLbl>
              <c:idx val="4"/>
              <c:layout>
                <c:manualLayout>
                  <c:x val="-5.5066666666666833E-2"/>
                  <c:y val="-5.76732014070089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243-4E9F-8819-1C3515D2B15A}"/>
                </c:ext>
              </c:extLst>
            </c:dLbl>
            <c:dLbl>
              <c:idx val="9"/>
              <c:layout>
                <c:manualLayout>
                  <c:x val="-3.0666666666667652E-3"/>
                  <c:y val="-7.9520939647939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243-4E9F-8819-1C3515D2B15A}"/>
                </c:ext>
              </c:extLst>
            </c:dLbl>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Graficos!$J$92:$J$101</c:f>
              <c:numCache>
                <c:formatCode>0</c:formatCode>
                <c:ptCount val="5"/>
                <c:pt idx="0">
                  <c:v>32</c:v>
                </c:pt>
                <c:pt idx="1">
                  <c:v>21</c:v>
                </c:pt>
                <c:pt idx="2">
                  <c:v>13</c:v>
                </c:pt>
                <c:pt idx="3">
                  <c:v>15</c:v>
                </c:pt>
                <c:pt idx="4">
                  <c:v>5</c:v>
                </c:pt>
              </c:numCache>
            </c:numRef>
          </c:val>
          <c:smooth val="0"/>
          <c:extLst>
            <c:ext xmlns:c16="http://schemas.microsoft.com/office/drawing/2014/chart" uri="{C3380CC4-5D6E-409C-BE32-E72D297353CC}">
              <c16:uniqueId val="{0000000B-3243-4E9F-8819-1C3515D2B15A}"/>
            </c:ext>
          </c:extLst>
        </c:ser>
        <c:dLbls>
          <c:showLegendKey val="0"/>
          <c:showVal val="1"/>
          <c:showCatName val="0"/>
          <c:showSerName val="0"/>
          <c:showPercent val="0"/>
          <c:showBubbleSize val="0"/>
        </c:dLbls>
        <c:marker val="1"/>
        <c:smooth val="0"/>
        <c:axId val="1238289424"/>
        <c:axId val="1238285616"/>
      </c:lineChart>
      <c:catAx>
        <c:axId val="123828942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5616"/>
        <c:crosses val="autoZero"/>
        <c:auto val="0"/>
        <c:lblAlgn val="ctr"/>
        <c:lblOffset val="100"/>
        <c:tickLblSkip val="1"/>
        <c:tickMarkSkip val="1"/>
        <c:noMultiLvlLbl val="0"/>
      </c:catAx>
      <c:valAx>
        <c:axId val="1238285616"/>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9424"/>
        <c:crosses val="autoZero"/>
        <c:crossBetween val="between"/>
      </c:valAx>
      <c:spPr>
        <a:solidFill>
          <a:srgbClr val="D4D4D4"/>
        </a:solidFill>
        <a:ln w="12700">
          <a:solidFill>
            <a:srgbClr val="C0C4C7"/>
          </a:solidFill>
          <a:prstDash val="solid"/>
        </a:ln>
      </c:spPr>
    </c:plotArea>
    <c:legend>
      <c:legendPos val="r"/>
      <c:layout>
        <c:manualLayout>
          <c:xMode val="edge"/>
          <c:yMode val="edge"/>
          <c:x val="0.15909090909091037"/>
          <c:y val="0.90109890109890112"/>
          <c:w val="0.45661157024793386"/>
          <c:h val="6.2271062271061856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ACCIDENTES INCAPACITANTES MOL.LIMA Y TERCEROS</a:t>
            </a:r>
          </a:p>
        </c:rich>
      </c:tx>
      <c:layout>
        <c:manualLayout>
          <c:xMode val="edge"/>
          <c:yMode val="edge"/>
          <c:x val="0.20939346218086549"/>
          <c:y val="1.7667844522968202E-2"/>
        </c:manualLayout>
      </c:layout>
      <c:overlay val="0"/>
      <c:spPr>
        <a:noFill/>
        <a:ln w="25400">
          <a:noFill/>
        </a:ln>
      </c:spPr>
    </c:title>
    <c:autoTitleDeleted val="0"/>
    <c:plotArea>
      <c:layout>
        <c:manualLayout>
          <c:layoutTarget val="inner"/>
          <c:xMode val="edge"/>
          <c:yMode val="edge"/>
          <c:x val="8.6105757424318419E-2"/>
          <c:y val="0.20848092507889293"/>
          <c:w val="0.87671316650215425"/>
          <c:h val="0.55477127520993563"/>
        </c:manualLayout>
      </c:layout>
      <c:lineChart>
        <c:grouping val="standard"/>
        <c:varyColors val="0"/>
        <c:ser>
          <c:idx val="1"/>
          <c:order val="0"/>
          <c:tx>
            <c:v>Total Alicorp+Terceros</c:v>
          </c:tx>
          <c:spPr>
            <a:ln w="25400">
              <a:solidFill>
                <a:srgbClr val="0000FF"/>
              </a:solidFill>
              <a:prstDash val="solid"/>
            </a:ln>
          </c:spPr>
          <c:marker>
            <c:symbol val="circle"/>
            <c:size val="5"/>
            <c:spPr>
              <a:solidFill>
                <a:srgbClr val="0000FF"/>
              </a:solidFill>
              <a:ln>
                <a:solidFill>
                  <a:srgbClr val="0000FF"/>
                </a:solidFill>
                <a:prstDash val="solid"/>
              </a:ln>
            </c:spPr>
          </c:marker>
          <c:dLbls>
            <c:dLbl>
              <c:idx val="4"/>
              <c:layout>
                <c:manualLayout>
                  <c:x val="-2.8440931288072291E-2"/>
                  <c:y val="-9.11543752937479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2C-4A5B-9C58-6476C8AF6A84}"/>
                </c:ext>
              </c:extLst>
            </c:dLbl>
            <c:dLbl>
              <c:idx val="5"/>
              <c:layout>
                <c:manualLayout>
                  <c:x val="-2.765806640566627E-2"/>
                  <c:y val="-9.82215252964224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2C-4A5B-9C58-6476C8AF6A84}"/>
                </c:ext>
              </c:extLst>
            </c:dLbl>
            <c:dLbl>
              <c:idx val="6"/>
              <c:layout>
                <c:manualLayout>
                  <c:x val="-6.4057438592075563E-2"/>
                  <c:y val="-6.24444034055942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2C-4A5B-9C58-6476C8AF6A84}"/>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4B6B-47C8-BFA8-9CB2619C50A2}"/>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Graficos!$C$106:$C$115</c:f>
              <c:numCache>
                <c:formatCode>General</c:formatCode>
                <c:ptCount val="10"/>
                <c:pt idx="0">
                  <c:v>5</c:v>
                </c:pt>
                <c:pt idx="1">
                  <c:v>3</c:v>
                </c:pt>
                <c:pt idx="2">
                  <c:v>7</c:v>
                </c:pt>
                <c:pt idx="3">
                  <c:v>3</c:v>
                </c:pt>
                <c:pt idx="4">
                  <c:v>8</c:v>
                </c:pt>
                <c:pt idx="5">
                  <c:v>8</c:v>
                </c:pt>
                <c:pt idx="6">
                  <c:v>15</c:v>
                </c:pt>
                <c:pt idx="7">
                  <c:v>7</c:v>
                </c:pt>
                <c:pt idx="8" formatCode="0">
                  <c:v>9</c:v>
                </c:pt>
                <c:pt idx="9" formatCode="0">
                  <c:v>0</c:v>
                </c:pt>
              </c:numCache>
            </c:numRef>
          </c:val>
          <c:smooth val="0"/>
          <c:extLst>
            <c:ext xmlns:c16="http://schemas.microsoft.com/office/drawing/2014/chart" uri="{C3380CC4-5D6E-409C-BE32-E72D297353CC}">
              <c16:uniqueId val="{00000004-B52C-4A5B-9C58-6476C8AF6A84}"/>
            </c:ext>
          </c:extLst>
        </c:ser>
        <c:ser>
          <c:idx val="0"/>
          <c:order val="1"/>
          <c:tx>
            <c:v>Terceros</c:v>
          </c:tx>
          <c:spPr>
            <a:ln w="25400">
              <a:solidFill>
                <a:srgbClr val="FF3333"/>
              </a:solidFill>
              <a:prstDash val="solid"/>
            </a:ln>
          </c:spPr>
          <c:marker>
            <c:symbol val="circle"/>
            <c:size val="5"/>
            <c:spPr>
              <a:solidFill>
                <a:srgbClr val="FF3333"/>
              </a:solidFill>
              <a:ln>
                <a:solidFill>
                  <a:srgbClr val="FF3333"/>
                </a:solidFill>
                <a:prstDash val="solid"/>
              </a:ln>
            </c:spPr>
          </c:marker>
          <c:dLbls>
            <c:dLbl>
              <c:idx val="5"/>
              <c:layout>
                <c:manualLayout>
                  <c:x val="-3.9399760599890671E-2"/>
                  <c:y val="-5.36808406652886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2C-4A5B-9C58-6476C8AF6A84}"/>
                </c:ext>
              </c:extLst>
            </c:dLbl>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Graficos!$J$106:$J$115</c:f>
              <c:numCache>
                <c:formatCode>0</c:formatCode>
                <c:ptCount val="10"/>
                <c:pt idx="0">
                  <c:v>0</c:v>
                </c:pt>
                <c:pt idx="1">
                  <c:v>1</c:v>
                </c:pt>
                <c:pt idx="2">
                  <c:v>3</c:v>
                </c:pt>
                <c:pt idx="3">
                  <c:v>0</c:v>
                </c:pt>
                <c:pt idx="4">
                  <c:v>4</c:v>
                </c:pt>
                <c:pt idx="5">
                  <c:v>5</c:v>
                </c:pt>
                <c:pt idx="6">
                  <c:v>5</c:v>
                </c:pt>
                <c:pt idx="7">
                  <c:v>3</c:v>
                </c:pt>
                <c:pt idx="8">
                  <c:v>3</c:v>
                </c:pt>
                <c:pt idx="9" formatCode="General">
                  <c:v>3</c:v>
                </c:pt>
              </c:numCache>
            </c:numRef>
          </c:val>
          <c:smooth val="0"/>
          <c:extLst>
            <c:ext xmlns:c16="http://schemas.microsoft.com/office/drawing/2014/chart" uri="{C3380CC4-5D6E-409C-BE32-E72D297353CC}">
              <c16:uniqueId val="{00000006-B52C-4A5B-9C58-6476C8AF6A84}"/>
            </c:ext>
          </c:extLst>
        </c:ser>
        <c:dLbls>
          <c:showLegendKey val="0"/>
          <c:showVal val="1"/>
          <c:showCatName val="0"/>
          <c:showSerName val="0"/>
          <c:showPercent val="0"/>
          <c:showBubbleSize val="0"/>
        </c:dLbls>
        <c:marker val="1"/>
        <c:smooth val="0"/>
        <c:axId val="1238294864"/>
        <c:axId val="1238292144"/>
      </c:lineChart>
      <c:catAx>
        <c:axId val="123829486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2144"/>
        <c:crosses val="autoZero"/>
        <c:auto val="0"/>
        <c:lblAlgn val="ctr"/>
        <c:lblOffset val="100"/>
        <c:tickLblSkip val="1"/>
        <c:tickMarkSkip val="1"/>
        <c:noMultiLvlLbl val="0"/>
      </c:catAx>
      <c:valAx>
        <c:axId val="1238292144"/>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4864"/>
        <c:crosses val="autoZero"/>
        <c:crossBetween val="between"/>
      </c:valAx>
      <c:spPr>
        <a:solidFill>
          <a:srgbClr val="D4D4D4"/>
        </a:solidFill>
        <a:ln w="12700">
          <a:solidFill>
            <a:srgbClr val="C0C4C7"/>
          </a:solidFill>
          <a:prstDash val="solid"/>
        </a:ln>
      </c:spPr>
    </c:plotArea>
    <c:legend>
      <c:legendPos val="r"/>
      <c:layout>
        <c:manualLayout>
          <c:xMode val="edge"/>
          <c:yMode val="edge"/>
          <c:x val="0.18181818181818352"/>
          <c:y val="0.87985865724382706"/>
          <c:w val="0.44646464646464884"/>
          <c:h val="7.7738515901060123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COPSA
Incapacitantes + DMR </a:t>
            </a:r>
          </a:p>
        </c:rich>
      </c:tx>
      <c:layout>
        <c:manualLayout>
          <c:xMode val="edge"/>
          <c:yMode val="edge"/>
          <c:x val="0.40533978433418738"/>
          <c:y val="1.9305019305019471E-2"/>
        </c:manualLayout>
      </c:layout>
      <c:overlay val="0"/>
      <c:spPr>
        <a:noFill/>
        <a:ln w="25400">
          <a:noFill/>
        </a:ln>
      </c:spPr>
    </c:title>
    <c:autoTitleDeleted val="0"/>
    <c:plotArea>
      <c:layout>
        <c:manualLayout>
          <c:layoutTarget val="inner"/>
          <c:xMode val="edge"/>
          <c:yMode val="edge"/>
          <c:x val="4.4622450558702502E-2"/>
          <c:y val="0.28571482435982704"/>
          <c:w val="0.92906230394014688"/>
          <c:h val="0.59459571555961099"/>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C000-4ED8-A046-41065060F18F}"/>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Graficos!$A$119:$A$128</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Graficos!$G$119:$G$128</c:f>
              <c:numCache>
                <c:formatCode>#,##0.0</c:formatCode>
                <c:ptCount val="10"/>
                <c:pt idx="0">
                  <c:v>5.6793979838137156</c:v>
                </c:pt>
                <c:pt idx="1">
                  <c:v>2.466739106571763</c:v>
                </c:pt>
                <c:pt idx="2">
                  <c:v>3.4959025109319786</c:v>
                </c:pt>
                <c:pt idx="3">
                  <c:v>4.2978245026342599</c:v>
                </c:pt>
                <c:pt idx="4">
                  <c:v>1.8699173309547985</c:v>
                </c:pt>
                <c:pt idx="5">
                  <c:v>5.5840791698335632</c:v>
                </c:pt>
                <c:pt idx="6">
                  <c:v>4.821946930723624</c:v>
                </c:pt>
                <c:pt idx="7">
                  <c:v>2.4733056125240283</c:v>
                </c:pt>
                <c:pt idx="8">
                  <c:v>6.0913634908037819</c:v>
                </c:pt>
                <c:pt idx="9">
                  <c:v>3.6236356655017756</c:v>
                </c:pt>
              </c:numCache>
            </c:numRef>
          </c:val>
          <c:smooth val="0"/>
          <c:extLst>
            <c:ext xmlns:c16="http://schemas.microsoft.com/office/drawing/2014/chart" uri="{C3380CC4-5D6E-409C-BE32-E72D297353CC}">
              <c16:uniqueId val="{00000001-DF6B-4C11-B4FF-D6A30809F320}"/>
            </c:ext>
          </c:extLst>
        </c:ser>
        <c:dLbls>
          <c:showLegendKey val="0"/>
          <c:showVal val="1"/>
          <c:showCatName val="0"/>
          <c:showSerName val="0"/>
          <c:showPercent val="0"/>
          <c:showBubbleSize val="0"/>
        </c:dLbls>
        <c:marker val="1"/>
        <c:smooth val="0"/>
        <c:axId val="1238284528"/>
        <c:axId val="1238283984"/>
      </c:lineChart>
      <c:catAx>
        <c:axId val="123828452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3984"/>
        <c:crosses val="autoZero"/>
        <c:auto val="0"/>
        <c:lblAlgn val="ctr"/>
        <c:lblOffset val="100"/>
        <c:tickLblSkip val="1"/>
        <c:tickMarkSkip val="1"/>
        <c:noMultiLvlLbl val="0"/>
      </c:catAx>
      <c:valAx>
        <c:axId val="1238283984"/>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4528"/>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SEVERIDAD -  COPSA</a:t>
            </a:r>
          </a:p>
        </c:rich>
      </c:tx>
      <c:layout>
        <c:manualLayout>
          <c:xMode val="edge"/>
          <c:yMode val="edge"/>
          <c:x val="0.35150408282298284"/>
          <c:y val="1.9083969465648869E-2"/>
        </c:manualLayout>
      </c:layout>
      <c:overlay val="0"/>
      <c:spPr>
        <a:noFill/>
        <a:ln w="25400">
          <a:noFill/>
        </a:ln>
      </c:spPr>
    </c:title>
    <c:autoTitleDeleted val="0"/>
    <c:plotArea>
      <c:layout>
        <c:manualLayout>
          <c:layoutTarget val="inner"/>
          <c:xMode val="edge"/>
          <c:yMode val="edge"/>
          <c:x val="8.2706842827444768E-2"/>
          <c:y val="0.22519125937660159"/>
          <c:w val="0.88909856039503088"/>
          <c:h val="0.65648977309790002"/>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3.8126524314750367E-2"/>
                  <c:y val="-0.119761246023843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25-4661-8E22-F61C239579E5}"/>
                </c:ext>
              </c:extLst>
            </c:dLbl>
            <c:dLbl>
              <c:idx val="1"/>
              <c:layout>
                <c:manualLayout>
                  <c:x val="-2.8540065383985468E-2"/>
                  <c:y val="-0.102463613634636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25-4661-8E22-F61C239579E5}"/>
                </c:ext>
              </c:extLst>
            </c:dLbl>
            <c:dLbl>
              <c:idx val="2"/>
              <c:layout>
                <c:manualLayout>
                  <c:x val="-2.4592709373273618E-2"/>
                  <c:y val="-0.1175408084378359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25-4661-8E22-F61C239579E5}"/>
                </c:ext>
              </c:extLst>
            </c:dLbl>
            <c:dLbl>
              <c:idx val="3"/>
              <c:layout>
                <c:manualLayout>
                  <c:x val="-4.3201765042773885E-2"/>
                  <c:y val="-9.4542399079831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25-4661-8E22-F61C239579E5}"/>
                </c:ext>
              </c:extLst>
            </c:dLbl>
            <c:dLbl>
              <c:idx val="5"/>
              <c:layout>
                <c:manualLayout>
                  <c:x val="-3.5306855677597115E-2"/>
                  <c:y val="-8.13746693967335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25-4661-8E22-F61C239579E5}"/>
                </c:ext>
              </c:extLst>
            </c:dLbl>
            <c:dLbl>
              <c:idx val="6"/>
              <c:layout>
                <c:manualLayout>
                  <c:x val="-5.3915911347097424E-2"/>
                  <c:y val="-0.1126524645822226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25-4661-8E22-F61C239579E5}"/>
                </c:ext>
              </c:extLst>
            </c:dLbl>
            <c:dLbl>
              <c:idx val="8"/>
              <c:layout>
                <c:manualLayout>
                  <c:x val="-9.6773125606150992E-2"/>
                  <c:y val="-7.11537115948044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E25-4661-8E22-F61C239579E5}"/>
                </c:ext>
              </c:extLst>
            </c:dLbl>
            <c:dLbl>
              <c:idx val="9"/>
              <c:layout>
                <c:manualLayout>
                  <c:x val="-2.1397132608100652E-2"/>
                  <c:y val="-7.02059891458868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25-4661-8E22-F61C239579E5}"/>
                </c:ext>
              </c:extLst>
            </c:dLbl>
            <c:dLbl>
              <c:idx val="10"/>
              <c:numFmt formatCode="0" sourceLinked="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8C99-4B31-AA53-171F45774F71}"/>
                </c:ext>
              </c:extLst>
            </c:dLbl>
            <c:numFmt formatCode="0" sourceLinked="0"/>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Graficos!$A$119:$A$128</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Graficos!$H$119:$H$128</c:f>
              <c:numCache>
                <c:formatCode>#,##0</c:formatCode>
                <c:ptCount val="10"/>
                <c:pt idx="0">
                  <c:v>159.02314354678404</c:v>
                </c:pt>
                <c:pt idx="1">
                  <c:v>151.08777027752049</c:v>
                </c:pt>
                <c:pt idx="2">
                  <c:v>97.302619887606738</c:v>
                </c:pt>
                <c:pt idx="3">
                  <c:v>227.170723710668</c:v>
                </c:pt>
                <c:pt idx="4">
                  <c:v>45.501321719900098</c:v>
                </c:pt>
                <c:pt idx="5">
                  <c:v>24.197676402612107</c:v>
                </c:pt>
                <c:pt idx="6">
                  <c:v>71.79343207966285</c:v>
                </c:pt>
                <c:pt idx="7">
                  <c:v>896.82061510121264</c:v>
                </c:pt>
                <c:pt idx="8">
                  <c:v>65.699706222240792</c:v>
                </c:pt>
                <c:pt idx="9">
                  <c:v>31.253857614952814</c:v>
                </c:pt>
              </c:numCache>
            </c:numRef>
          </c:val>
          <c:smooth val="0"/>
          <c:extLst>
            <c:ext xmlns:c16="http://schemas.microsoft.com/office/drawing/2014/chart" uri="{C3380CC4-5D6E-409C-BE32-E72D297353CC}">
              <c16:uniqueId val="{00000009-DE25-4661-8E22-F61C239579E5}"/>
            </c:ext>
          </c:extLst>
        </c:ser>
        <c:dLbls>
          <c:showLegendKey val="0"/>
          <c:showVal val="1"/>
          <c:showCatName val="0"/>
          <c:showSerName val="0"/>
          <c:showPercent val="0"/>
          <c:showBubbleSize val="0"/>
        </c:dLbls>
        <c:marker val="1"/>
        <c:smooth val="0"/>
        <c:axId val="1238295408"/>
        <c:axId val="1238295952"/>
      </c:lineChart>
      <c:catAx>
        <c:axId val="123829540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5952"/>
        <c:crosses val="autoZero"/>
        <c:auto val="0"/>
        <c:lblAlgn val="ctr"/>
        <c:lblOffset val="100"/>
        <c:tickLblSkip val="1"/>
        <c:tickMarkSkip val="1"/>
        <c:noMultiLvlLbl val="0"/>
      </c:catAx>
      <c:valAx>
        <c:axId val="1238295952"/>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5408"/>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OSHA INCIDENT RATE - COPSA
Incapacitantes + DMR + Menor</a:t>
            </a:r>
          </a:p>
        </c:rich>
      </c:tx>
      <c:layout>
        <c:manualLayout>
          <c:xMode val="edge"/>
          <c:yMode val="edge"/>
          <c:x val="0.33061267341582773"/>
          <c:y val="3.8610038610038609E-2"/>
        </c:manualLayout>
      </c:layout>
      <c:overlay val="0"/>
      <c:spPr>
        <a:noFill/>
        <a:ln w="25400">
          <a:noFill/>
        </a:ln>
      </c:spPr>
    </c:title>
    <c:autoTitleDeleted val="0"/>
    <c:plotArea>
      <c:layout>
        <c:manualLayout>
          <c:layoutTarget val="inner"/>
          <c:xMode val="edge"/>
          <c:yMode val="edge"/>
          <c:x val="8.9796007848381543E-2"/>
          <c:y val="0.35521302487976758"/>
          <c:w val="0.8857151683226725"/>
          <c:h val="0.5250975150396564"/>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ABB7-4324-9867-32ABA2208EBA}"/>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Graficos!$A$119:$A$128</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Graficos!$I$119:$I$128</c:f>
              <c:numCache>
                <c:formatCode>#,##0.0</c:formatCode>
                <c:ptCount val="10"/>
                <c:pt idx="0">
                  <c:v>19.025983245775947</c:v>
                </c:pt>
                <c:pt idx="1">
                  <c:v>3.8234456151862326</c:v>
                </c:pt>
                <c:pt idx="2">
                  <c:v>3.4959025109319786</c:v>
                </c:pt>
                <c:pt idx="3">
                  <c:v>4.0522345310551593</c:v>
                </c:pt>
                <c:pt idx="4">
                  <c:v>2.2439007971457583</c:v>
                </c:pt>
                <c:pt idx="5">
                  <c:v>4.4672633358668508</c:v>
                </c:pt>
                <c:pt idx="6">
                  <c:v>3.3217856633873857</c:v>
                </c:pt>
                <c:pt idx="7">
                  <c:v>3.1658311840307563</c:v>
                </c:pt>
                <c:pt idx="8">
                  <c:v>2.0014480041212424</c:v>
                </c:pt>
                <c:pt idx="9">
                  <c:v>0.72472713310035508</c:v>
                </c:pt>
              </c:numCache>
            </c:numRef>
          </c:val>
          <c:smooth val="0"/>
          <c:extLst>
            <c:ext xmlns:c16="http://schemas.microsoft.com/office/drawing/2014/chart" uri="{C3380CC4-5D6E-409C-BE32-E72D297353CC}">
              <c16:uniqueId val="{00000001-205C-457C-9A86-5111FCC8334D}"/>
            </c:ext>
          </c:extLst>
        </c:ser>
        <c:dLbls>
          <c:showLegendKey val="0"/>
          <c:showVal val="1"/>
          <c:showCatName val="0"/>
          <c:showSerName val="0"/>
          <c:showPercent val="0"/>
          <c:showBubbleSize val="0"/>
        </c:dLbls>
        <c:marker val="1"/>
        <c:smooth val="0"/>
        <c:axId val="1238296496"/>
        <c:axId val="1238297584"/>
      </c:lineChart>
      <c:catAx>
        <c:axId val="12382964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7584"/>
        <c:crosses val="autoZero"/>
        <c:auto val="0"/>
        <c:lblAlgn val="ctr"/>
        <c:lblOffset val="100"/>
        <c:tickLblSkip val="1"/>
        <c:tickMarkSkip val="1"/>
        <c:noMultiLvlLbl val="0"/>
      </c:catAx>
      <c:valAx>
        <c:axId val="1238297584"/>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6496"/>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ESTADISTICA ANUAL ACCIDENTES COPSA</a:t>
            </a:r>
          </a:p>
        </c:rich>
      </c:tx>
      <c:layout>
        <c:manualLayout>
          <c:xMode val="edge"/>
          <c:yMode val="edge"/>
          <c:x val="0.2799228769389655"/>
          <c:y val="1.9230769230769423E-2"/>
        </c:manualLayout>
      </c:layout>
      <c:overlay val="0"/>
      <c:spPr>
        <a:noFill/>
        <a:ln w="25400">
          <a:noFill/>
        </a:ln>
      </c:spPr>
    </c:title>
    <c:autoTitleDeleted val="0"/>
    <c:plotArea>
      <c:layout>
        <c:manualLayout>
          <c:layoutTarget val="inner"/>
          <c:xMode val="edge"/>
          <c:yMode val="edge"/>
          <c:x val="5.2123552123552075E-2"/>
          <c:y val="0.1923076923076924"/>
          <c:w val="0.89961389961390004"/>
          <c:h val="0.58846153846153848"/>
        </c:manualLayout>
      </c:layout>
      <c:lineChart>
        <c:grouping val="standard"/>
        <c:varyColors val="0"/>
        <c:ser>
          <c:idx val="1"/>
          <c:order val="0"/>
          <c:tx>
            <c:v>Total</c:v>
          </c:tx>
          <c:spPr>
            <a:ln w="25400">
              <a:solidFill>
                <a:srgbClr val="000000"/>
              </a:solidFill>
              <a:prstDash val="solid"/>
            </a:ln>
          </c:spPr>
          <c:marker>
            <c:symbol val="circle"/>
            <c:size val="5"/>
            <c:spPr>
              <a:solidFill>
                <a:srgbClr val="000000"/>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Graficos!$A$119:$A$128</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Graficos!$B$119:$B$128</c:f>
              <c:numCache>
                <c:formatCode>General</c:formatCode>
                <c:ptCount val="10"/>
                <c:pt idx="0">
                  <c:v>134</c:v>
                </c:pt>
                <c:pt idx="1">
                  <c:v>31</c:v>
                </c:pt>
                <c:pt idx="2">
                  <c:v>30</c:v>
                </c:pt>
                <c:pt idx="3">
                  <c:v>33</c:v>
                </c:pt>
                <c:pt idx="4">
                  <c:v>18</c:v>
                </c:pt>
                <c:pt idx="5">
                  <c:v>36</c:v>
                </c:pt>
                <c:pt idx="6">
                  <c:v>31</c:v>
                </c:pt>
                <c:pt idx="7">
                  <c:v>32</c:v>
                </c:pt>
                <c:pt idx="8">
                  <c:v>23</c:v>
                </c:pt>
                <c:pt idx="9" formatCode="0">
                  <c:v>8</c:v>
                </c:pt>
              </c:numCache>
            </c:numRef>
          </c:val>
          <c:smooth val="0"/>
          <c:extLst>
            <c:ext xmlns:c16="http://schemas.microsoft.com/office/drawing/2014/chart" uri="{C3380CC4-5D6E-409C-BE32-E72D297353CC}">
              <c16:uniqueId val="{00000000-6D74-47D1-BCF3-5C5C0DA38A6C}"/>
            </c:ext>
          </c:extLst>
        </c:ser>
        <c:ser>
          <c:idx val="0"/>
          <c:order val="1"/>
          <c:tx>
            <c:v>Incapacitantes</c:v>
          </c:tx>
          <c:spPr>
            <a:ln w="38100">
              <a:solidFill>
                <a:srgbClr val="FF3333"/>
              </a:solidFill>
              <a:prstDash val="solid"/>
            </a:ln>
          </c:spPr>
          <c:marker>
            <c:symbol val="circle"/>
            <c:size val="5"/>
            <c:spPr>
              <a:solidFill>
                <a:srgbClr val="FF3333"/>
              </a:solidFill>
              <a:ln>
                <a:solidFill>
                  <a:srgbClr val="FF3333"/>
                </a:solidFill>
                <a:prstDash val="solid"/>
              </a:ln>
            </c:spPr>
          </c:marker>
          <c:dLbls>
            <c:dLbl>
              <c:idx val="1"/>
              <c:layout>
                <c:manualLayout>
                  <c:x val="-3.6357887696470442E-2"/>
                  <c:y val="4.24102564102564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74-47D1-BCF3-5C5C0DA38A6C}"/>
                </c:ext>
              </c:extLst>
            </c:dLbl>
            <c:dLbl>
              <c:idx val="2"/>
              <c:layout>
                <c:manualLayout>
                  <c:x val="-3.4427385765968481E-2"/>
                  <c:y val="4.11794871794871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74-47D1-BCF3-5C5C0DA38A6C}"/>
                </c:ext>
              </c:extLst>
            </c:dLbl>
            <c:dLbl>
              <c:idx val="3"/>
              <c:layout>
                <c:manualLayout>
                  <c:x val="-3.8288389626972411E-2"/>
                  <c:y val="3.86412275388664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74-47D1-BCF3-5C5C0DA38A6C}"/>
                </c:ext>
              </c:extLst>
            </c:dLbl>
            <c:dLbl>
              <c:idx val="4"/>
              <c:layout>
                <c:manualLayout>
                  <c:x val="-3.8288389626972306E-2"/>
                  <c:y val="3.72566121542500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74-47D1-BCF3-5C5C0DA38A6C}"/>
                </c:ext>
              </c:extLst>
            </c:dLbl>
            <c:dLbl>
              <c:idx val="8"/>
              <c:layout>
                <c:manualLayout>
                  <c:x val="-3.0566381904964548E-2"/>
                  <c:y val="5.15643044619422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74-47D1-BCF3-5C5C0DA38A6C}"/>
                </c:ext>
              </c:extLst>
            </c:dLbl>
            <c:dLbl>
              <c:idx val="9"/>
              <c:layout>
                <c:manualLayout>
                  <c:x val="-7.4003587389415782E-3"/>
                  <c:y val="-1.13587724611346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74-47D1-BCF3-5C5C0DA38A6C}"/>
                </c:ext>
              </c:extLst>
            </c:dLbl>
            <c:dLbl>
              <c:idx val="10"/>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extLst>
                <c:ext xmlns:c16="http://schemas.microsoft.com/office/drawing/2014/chart" uri="{C3380CC4-5D6E-409C-BE32-E72D297353CC}">
                  <c16:uniqueId val="{00000000-059C-4CB7-93D4-9D61B86C41B4}"/>
                </c:ext>
              </c:extLst>
            </c:dLbl>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Graficos!$A$119:$A$128</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Graficos!$D$119:$D$128</c:f>
              <c:numCache>
                <c:formatCode>General</c:formatCode>
                <c:ptCount val="10"/>
                <c:pt idx="0">
                  <c:v>8</c:v>
                </c:pt>
                <c:pt idx="1">
                  <c:v>4</c:v>
                </c:pt>
                <c:pt idx="2">
                  <c:v>6</c:v>
                </c:pt>
                <c:pt idx="3">
                  <c:v>7</c:v>
                </c:pt>
                <c:pt idx="4">
                  <c:v>3</c:v>
                </c:pt>
                <c:pt idx="5">
                  <c:v>4</c:v>
                </c:pt>
                <c:pt idx="6">
                  <c:v>3</c:v>
                </c:pt>
                <c:pt idx="7">
                  <c:v>4</c:v>
                </c:pt>
                <c:pt idx="8">
                  <c:v>11</c:v>
                </c:pt>
                <c:pt idx="9" formatCode="0">
                  <c:v>8</c:v>
                </c:pt>
              </c:numCache>
            </c:numRef>
          </c:val>
          <c:smooth val="0"/>
          <c:extLst>
            <c:ext xmlns:c16="http://schemas.microsoft.com/office/drawing/2014/chart" uri="{C3380CC4-5D6E-409C-BE32-E72D297353CC}">
              <c16:uniqueId val="{00000008-6D74-47D1-BCF3-5C5C0DA38A6C}"/>
            </c:ext>
          </c:extLst>
        </c:ser>
        <c:ser>
          <c:idx val="2"/>
          <c:order val="2"/>
          <c:tx>
            <c:v>Incapacitantes+DMR</c:v>
          </c:tx>
          <c:spPr>
            <a:ln w="381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4.0218891557474303E-2"/>
                  <c:y val="-6.3897435897439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D74-47D1-BCF3-5C5C0DA38A6C}"/>
                </c:ext>
              </c:extLst>
            </c:dLbl>
            <c:dLbl>
              <c:idx val="1"/>
              <c:layout>
                <c:manualLayout>
                  <c:x val="-3.2496883835466506E-2"/>
                  <c:y val="-4.22051282051282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D74-47D1-BCF3-5C5C0DA38A6C}"/>
                </c:ext>
              </c:extLst>
            </c:dLbl>
            <c:dLbl>
              <c:idx val="2"/>
              <c:layout>
                <c:manualLayout>
                  <c:x val="-3.6357887696470442E-2"/>
                  <c:y val="-7.42051282051282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D74-47D1-BCF3-5C5C0DA38A6C}"/>
                </c:ext>
              </c:extLst>
            </c:dLbl>
            <c:dLbl>
              <c:idx val="3"/>
              <c:layout>
                <c:manualLayout>
                  <c:x val="-3.0566381904964586E-2"/>
                  <c:y val="-5.36664647688270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D74-47D1-BCF3-5C5C0DA38A6C}"/>
                </c:ext>
              </c:extLst>
            </c:dLbl>
            <c:dLbl>
              <c:idx val="4"/>
              <c:layout>
                <c:manualLayout>
                  <c:x val="-3.249688383546654E-2"/>
                  <c:y val="-6.27433878457501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D74-47D1-BCF3-5C5C0DA38A6C}"/>
                </c:ext>
              </c:extLst>
            </c:dLbl>
            <c:dLbl>
              <c:idx val="5"/>
              <c:layout>
                <c:manualLayout>
                  <c:x val="-4.0218891557474303E-2"/>
                  <c:y val="-7.02818493842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D74-47D1-BCF3-5C5C0DA38A6C}"/>
                </c:ext>
              </c:extLst>
            </c:dLbl>
            <c:dLbl>
              <c:idx val="6"/>
              <c:layout>
                <c:manualLayout>
                  <c:x val="-4.6010397348979992E-2"/>
                  <c:y val="-6.25895416919039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D74-47D1-BCF3-5C5C0DA38A6C}"/>
                </c:ext>
              </c:extLst>
            </c:dLbl>
            <c:dLbl>
              <c:idx val="8"/>
              <c:layout>
                <c:manualLayout>
                  <c:x val="-1.1261362599945281E-2"/>
                  <c:y val="-4.45128205128221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D74-47D1-BCF3-5C5C0DA38A6C}"/>
                </c:ext>
              </c:extLst>
            </c:dLbl>
            <c:dLbl>
              <c:idx val="9"/>
              <c:layout>
                <c:manualLayout>
                  <c:x val="-7.4003587389415782E-3"/>
                  <c:y val="-8.82818493842117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D74-47D1-BCF3-5C5C0DA38A6C}"/>
                </c:ext>
              </c:extLst>
            </c:dLbl>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Graficos!$A$119:$A$128</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Graficos!$C$119:$C$128</c:f>
              <c:numCache>
                <c:formatCode>General</c:formatCode>
                <c:ptCount val="10"/>
                <c:pt idx="0">
                  <c:v>8</c:v>
                </c:pt>
                <c:pt idx="1">
                  <c:v>4</c:v>
                </c:pt>
                <c:pt idx="2">
                  <c:v>6</c:v>
                </c:pt>
                <c:pt idx="3">
                  <c:v>7</c:v>
                </c:pt>
                <c:pt idx="4">
                  <c:v>3</c:v>
                </c:pt>
                <c:pt idx="5">
                  <c:v>9</c:v>
                </c:pt>
                <c:pt idx="6">
                  <c:v>9</c:v>
                </c:pt>
                <c:pt idx="7">
                  <c:v>5</c:v>
                </c:pt>
                <c:pt idx="8">
                  <c:v>14</c:v>
                </c:pt>
                <c:pt idx="9" formatCode="0">
                  <c:v>8</c:v>
                </c:pt>
              </c:numCache>
            </c:numRef>
          </c:val>
          <c:smooth val="0"/>
          <c:extLst>
            <c:ext xmlns:c16="http://schemas.microsoft.com/office/drawing/2014/chart" uri="{C3380CC4-5D6E-409C-BE32-E72D297353CC}">
              <c16:uniqueId val="{00000012-6D74-47D1-BCF3-5C5C0DA38A6C}"/>
            </c:ext>
          </c:extLst>
        </c:ser>
        <c:dLbls>
          <c:showLegendKey val="0"/>
          <c:showVal val="1"/>
          <c:showCatName val="0"/>
          <c:showSerName val="0"/>
          <c:showPercent val="0"/>
          <c:showBubbleSize val="0"/>
        </c:dLbls>
        <c:marker val="1"/>
        <c:smooth val="0"/>
        <c:axId val="1238289968"/>
        <c:axId val="1238291600"/>
      </c:lineChart>
      <c:catAx>
        <c:axId val="123828996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91600"/>
        <c:crosses val="autoZero"/>
        <c:auto val="0"/>
        <c:lblAlgn val="ctr"/>
        <c:lblOffset val="100"/>
        <c:tickLblSkip val="1"/>
        <c:tickMarkSkip val="1"/>
        <c:noMultiLvlLbl val="0"/>
      </c:catAx>
      <c:valAx>
        <c:axId val="1238291600"/>
        <c:scaling>
          <c:orientation val="minMax"/>
          <c:max val="50"/>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9968"/>
        <c:crosses val="autoZero"/>
        <c:crossBetween val="between"/>
      </c:valAx>
      <c:spPr>
        <a:solidFill>
          <a:srgbClr val="D4D4D4"/>
        </a:solidFill>
        <a:ln w="3175">
          <a:solidFill>
            <a:srgbClr val="000000"/>
          </a:solidFill>
          <a:prstDash val="solid"/>
        </a:ln>
      </c:spPr>
    </c:plotArea>
    <c:legend>
      <c:legendPos val="r"/>
      <c:layout>
        <c:manualLayout>
          <c:xMode val="edge"/>
          <c:yMode val="edge"/>
          <c:x val="9.6525730492220303E-3"/>
          <c:y val="0.85000000000000064"/>
          <c:w val="0.64092672065280964"/>
          <c:h val="8.4615384615384648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ACCIDENTES INCAPACITANTES COPSA Y TERCEROS</a:t>
            </a:r>
          </a:p>
        </c:rich>
      </c:tx>
      <c:layout>
        <c:manualLayout>
          <c:xMode val="edge"/>
          <c:yMode val="edge"/>
          <c:x val="0.24264725181411273"/>
          <c:y val="1.9011406844106463E-2"/>
        </c:manualLayout>
      </c:layout>
      <c:overlay val="0"/>
      <c:spPr>
        <a:noFill/>
        <a:ln w="25400">
          <a:noFill/>
        </a:ln>
      </c:spPr>
    </c:title>
    <c:autoTitleDeleted val="0"/>
    <c:plotArea>
      <c:layout>
        <c:manualLayout>
          <c:layoutTarget val="inner"/>
          <c:xMode val="edge"/>
          <c:yMode val="edge"/>
          <c:x val="8.639713637151053E-2"/>
          <c:y val="0.22053231939163498"/>
          <c:w val="0.87500078537955372"/>
          <c:h val="0.50190114068441061"/>
        </c:manualLayout>
      </c:layout>
      <c:lineChart>
        <c:grouping val="standard"/>
        <c:varyColors val="0"/>
        <c:ser>
          <c:idx val="1"/>
          <c:order val="0"/>
          <c:tx>
            <c:v>Total Alicorp+Terceros</c:v>
          </c:tx>
          <c:spPr>
            <a:ln w="25400">
              <a:solidFill>
                <a:srgbClr val="0000FF"/>
              </a:solidFill>
              <a:prstDash val="solid"/>
            </a:ln>
          </c:spPr>
          <c:marker>
            <c:symbol val="circle"/>
            <c:size val="5"/>
            <c:spPr>
              <a:solidFill>
                <a:srgbClr val="0000FF"/>
              </a:solidFill>
              <a:ln>
                <a:solidFill>
                  <a:srgbClr val="0000FF"/>
                </a:solidFill>
                <a:prstDash val="solid"/>
              </a:ln>
            </c:spPr>
          </c:marker>
          <c:dLbls>
            <c:dLbl>
              <c:idx val="4"/>
              <c:layout>
                <c:manualLayout>
                  <c:x val="-2.7818595993011955E-2"/>
                  <c:y val="-8.45403830224647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EC-49E8-87C0-7C13B74B50D4}"/>
                </c:ext>
              </c:extLst>
            </c:dLbl>
            <c:dLbl>
              <c:idx val="5"/>
              <c:layout>
                <c:manualLayout>
                  <c:x val="-2.8553810912720842E-2"/>
                  <c:y val="-9.16699100825325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EC-49E8-87C0-7C13B74B50D4}"/>
                </c:ext>
              </c:extLst>
            </c:dLbl>
            <c:dLbl>
              <c:idx val="6"/>
              <c:layout>
                <c:manualLayout>
                  <c:x val="-6.2377483816358541E-2"/>
                  <c:y val="-6.12516591319620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EC-49E8-87C0-7C13B74B50D4}"/>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3D12-466E-AF8F-0A23901740A8}"/>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Graficos!$C$119:$C$128</c:f>
              <c:numCache>
                <c:formatCode>General</c:formatCode>
                <c:ptCount val="10"/>
                <c:pt idx="0">
                  <c:v>8</c:v>
                </c:pt>
                <c:pt idx="1">
                  <c:v>4</c:v>
                </c:pt>
                <c:pt idx="2">
                  <c:v>6</c:v>
                </c:pt>
                <c:pt idx="3">
                  <c:v>7</c:v>
                </c:pt>
                <c:pt idx="4">
                  <c:v>3</c:v>
                </c:pt>
                <c:pt idx="5">
                  <c:v>9</c:v>
                </c:pt>
                <c:pt idx="6">
                  <c:v>9</c:v>
                </c:pt>
                <c:pt idx="7">
                  <c:v>5</c:v>
                </c:pt>
                <c:pt idx="8">
                  <c:v>14</c:v>
                </c:pt>
                <c:pt idx="9" formatCode="0">
                  <c:v>8</c:v>
                </c:pt>
              </c:numCache>
            </c:numRef>
          </c:val>
          <c:smooth val="0"/>
          <c:extLst>
            <c:ext xmlns:c16="http://schemas.microsoft.com/office/drawing/2014/chart" uri="{C3380CC4-5D6E-409C-BE32-E72D297353CC}">
              <c16:uniqueId val="{00000004-04EC-49E8-87C0-7C13B74B50D4}"/>
            </c:ext>
          </c:extLst>
        </c:ser>
        <c:ser>
          <c:idx val="0"/>
          <c:order val="1"/>
          <c:tx>
            <c:v>Terceros</c:v>
          </c:tx>
          <c:spPr>
            <a:ln w="25400">
              <a:solidFill>
                <a:srgbClr val="FF3333"/>
              </a:solidFill>
              <a:prstDash val="solid"/>
            </a:ln>
          </c:spPr>
          <c:marker>
            <c:symbol val="circle"/>
            <c:size val="5"/>
            <c:spPr>
              <a:solidFill>
                <a:srgbClr val="FF3333"/>
              </a:solidFill>
              <a:ln>
                <a:solidFill>
                  <a:srgbClr val="FF3333"/>
                </a:solidFill>
                <a:prstDash val="solid"/>
              </a:ln>
            </c:spPr>
          </c:marker>
          <c:dLbls>
            <c:dLbl>
              <c:idx val="5"/>
              <c:layout>
                <c:manualLayout>
                  <c:x val="-3.9583232577170675E-2"/>
                  <c:y val="-5.0158178896839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EC-49E8-87C0-7C13B74B50D4}"/>
                </c:ext>
              </c:extLst>
            </c:dLbl>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Graficos!$J$119:$J$128</c:f>
              <c:numCache>
                <c:formatCode>General</c:formatCode>
                <c:ptCount val="10"/>
                <c:pt idx="0" formatCode="#,##0">
                  <c:v>2</c:v>
                </c:pt>
                <c:pt idx="1">
                  <c:v>1</c:v>
                </c:pt>
                <c:pt idx="2">
                  <c:v>1</c:v>
                </c:pt>
                <c:pt idx="3">
                  <c:v>2</c:v>
                </c:pt>
                <c:pt idx="4">
                  <c:v>1</c:v>
                </c:pt>
                <c:pt idx="5">
                  <c:v>2</c:v>
                </c:pt>
                <c:pt idx="6">
                  <c:v>1</c:v>
                </c:pt>
                <c:pt idx="7">
                  <c:v>1</c:v>
                </c:pt>
                <c:pt idx="8">
                  <c:v>5</c:v>
                </c:pt>
                <c:pt idx="9">
                  <c:v>0</c:v>
                </c:pt>
              </c:numCache>
            </c:numRef>
          </c:val>
          <c:smooth val="0"/>
          <c:extLst>
            <c:ext xmlns:c16="http://schemas.microsoft.com/office/drawing/2014/chart" uri="{C3380CC4-5D6E-409C-BE32-E72D297353CC}">
              <c16:uniqueId val="{00000006-04EC-49E8-87C0-7C13B74B50D4}"/>
            </c:ext>
          </c:extLst>
        </c:ser>
        <c:dLbls>
          <c:showLegendKey val="0"/>
          <c:showVal val="1"/>
          <c:showCatName val="0"/>
          <c:showSerName val="0"/>
          <c:showPercent val="0"/>
          <c:showBubbleSize val="0"/>
        </c:dLbls>
        <c:marker val="1"/>
        <c:smooth val="0"/>
        <c:axId val="1238282352"/>
        <c:axId val="1238286160"/>
      </c:lineChart>
      <c:catAx>
        <c:axId val="123828235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6160"/>
        <c:crosses val="autoZero"/>
        <c:auto val="0"/>
        <c:lblAlgn val="ctr"/>
        <c:lblOffset val="100"/>
        <c:tickLblSkip val="1"/>
        <c:tickMarkSkip val="1"/>
        <c:noMultiLvlLbl val="0"/>
      </c:catAx>
      <c:valAx>
        <c:axId val="1238286160"/>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2352"/>
        <c:crosses val="autoZero"/>
        <c:crossBetween val="between"/>
      </c:valAx>
      <c:spPr>
        <a:solidFill>
          <a:srgbClr val="D4D4D4"/>
        </a:solidFill>
        <a:ln w="12700">
          <a:solidFill>
            <a:srgbClr val="C0C4C7"/>
          </a:solidFill>
          <a:prstDash val="solid"/>
        </a:ln>
      </c:spPr>
    </c:plotArea>
    <c:legend>
      <c:legendPos val="r"/>
      <c:layout>
        <c:manualLayout>
          <c:xMode val="edge"/>
          <c:yMode val="edge"/>
          <c:x val="0.1672794117647059"/>
          <c:y val="0.87452471482890004"/>
          <c:w val="0.42095588235294595"/>
          <c:h val="8.3650190114070155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Estadistica Mensual de Accidentes Copsa</a:t>
            </a:r>
          </a:p>
        </c:rich>
      </c:tx>
      <c:layout>
        <c:manualLayout>
          <c:xMode val="edge"/>
          <c:yMode val="edge"/>
          <c:x val="0.22511848341232499"/>
          <c:y val="4.2553191489361722E-2"/>
        </c:manualLayout>
      </c:layout>
      <c:overlay val="0"/>
      <c:spPr>
        <a:noFill/>
        <a:ln w="25400">
          <a:noFill/>
        </a:ln>
      </c:spPr>
    </c:title>
    <c:autoTitleDeleted val="0"/>
    <c:plotArea>
      <c:layout>
        <c:manualLayout>
          <c:layoutTarget val="inner"/>
          <c:xMode val="edge"/>
          <c:yMode val="edge"/>
          <c:x val="8.5308056872037921E-2"/>
          <c:y val="0.25106435144687383"/>
          <c:w val="0.86492890995260652"/>
          <c:h val="0.39149017513751477"/>
        </c:manualLayout>
      </c:layout>
      <c:barChart>
        <c:barDir val="col"/>
        <c:grouping val="clustered"/>
        <c:varyColors val="0"/>
        <c:ser>
          <c:idx val="1"/>
          <c:order val="0"/>
          <c:tx>
            <c:v>Incapacitante</c:v>
          </c:tx>
          <c:spPr>
            <a:solidFill>
              <a:srgbClr val="FF3333"/>
            </a:solidFill>
            <a:ln w="12700">
              <a:solidFill>
                <a:srgbClr val="FF3333"/>
              </a:solidFill>
              <a:prstDash val="solid"/>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F312-4B96-8CFE-5AE485781B22}"/>
                </c:ext>
              </c:extLst>
            </c:dLbl>
            <c:dLbl>
              <c:idx val="6"/>
              <c:delete val="1"/>
              <c:extLst>
                <c:ext xmlns:c15="http://schemas.microsoft.com/office/drawing/2012/chart" uri="{CE6537A1-D6FC-4f65-9D91-7224C49458BB}"/>
                <c:ext xmlns:c16="http://schemas.microsoft.com/office/drawing/2014/chart" uri="{C3380CC4-5D6E-409C-BE32-E72D297353CC}">
                  <c16:uniqueId val="{00000001-F312-4B96-8CFE-5AE485781B22}"/>
                </c:ext>
              </c:extLst>
            </c:dLbl>
            <c:dLbl>
              <c:idx val="8"/>
              <c:delete val="1"/>
              <c:extLst>
                <c:ext xmlns:c15="http://schemas.microsoft.com/office/drawing/2012/chart" uri="{CE6537A1-D6FC-4f65-9D91-7224C49458BB}"/>
                <c:ext xmlns:c16="http://schemas.microsoft.com/office/drawing/2014/chart" uri="{C3380CC4-5D6E-409C-BE32-E72D297353CC}">
                  <c16:uniqueId val="{00000002-F312-4B96-8CFE-5AE485781B22}"/>
                </c:ext>
              </c:extLst>
            </c:dLbl>
            <c:dLbl>
              <c:idx val="10"/>
              <c:delete val="1"/>
              <c:extLst>
                <c:ext xmlns:c15="http://schemas.microsoft.com/office/drawing/2012/chart" uri="{CE6537A1-D6FC-4f65-9D91-7224C49458BB}"/>
                <c:ext xmlns:c16="http://schemas.microsoft.com/office/drawing/2014/chart" uri="{C3380CC4-5D6E-409C-BE32-E72D297353CC}">
                  <c16:uniqueId val="{00000003-F312-4B96-8CFE-5AE485781B22}"/>
                </c:ext>
              </c:extLst>
            </c:dLbl>
            <c:numFmt formatCode="#,##0" sourceLinked="0"/>
            <c:spPr>
              <a:noFill/>
              <a:ln w="25400">
                <a:noFill/>
              </a:ln>
            </c:spPr>
            <c:txPr>
              <a:bodyPr/>
              <a:lstStyle/>
              <a:p>
                <a:pPr>
                  <a:defRPr sz="1000" b="1" i="0" u="none" strike="noStrike" baseline="0">
                    <a:solidFill>
                      <a:srgbClr val="FF3333"/>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Graficos!$B$2:$N$2</c:f>
              <c:strCache>
                <c:ptCount val="13"/>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strCache>
            </c:strRef>
          </c:cat>
          <c:val>
            <c:numRef>
              <c:f>Graficos!$B$21:$N$21</c:f>
              <c:numCache>
                <c:formatCode>General</c:formatCode>
                <c:ptCount val="13"/>
                <c:pt idx="0">
                  <c:v>2</c:v>
                </c:pt>
                <c:pt idx="1">
                  <c:v>2</c:v>
                </c:pt>
                <c:pt idx="2">
                  <c:v>1</c:v>
                </c:pt>
                <c:pt idx="3">
                  <c:v>0</c:v>
                </c:pt>
                <c:pt idx="4">
                  <c:v>1</c:v>
                </c:pt>
                <c:pt idx="5">
                  <c:v>1</c:v>
                </c:pt>
                <c:pt idx="6">
                  <c:v>0</c:v>
                </c:pt>
                <c:pt idx="7">
                  <c:v>1</c:v>
                </c:pt>
                <c:pt idx="8">
                  <c:v>2</c:v>
                </c:pt>
                <c:pt idx="9">
                  <c:v>1</c:v>
                </c:pt>
                <c:pt idx="10">
                  <c:v>0</c:v>
                </c:pt>
                <c:pt idx="11">
                  <c:v>0</c:v>
                </c:pt>
                <c:pt idx="12">
                  <c:v>2</c:v>
                </c:pt>
              </c:numCache>
            </c:numRef>
          </c:val>
          <c:extLst>
            <c:ext xmlns:c16="http://schemas.microsoft.com/office/drawing/2014/chart" uri="{C3380CC4-5D6E-409C-BE32-E72D297353CC}">
              <c16:uniqueId val="{00000004-F312-4B96-8CFE-5AE485781B22}"/>
            </c:ext>
          </c:extLst>
        </c:ser>
        <c:ser>
          <c:idx val="2"/>
          <c:order val="1"/>
          <c:tx>
            <c:v>Menor</c:v>
          </c:tx>
          <c:spPr>
            <a:solidFill>
              <a:srgbClr val="008000"/>
            </a:solidFill>
            <a:ln w="25400">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F312-4B96-8CFE-5AE485781B22}"/>
                </c:ext>
              </c:extLst>
            </c:dLbl>
            <c:dLbl>
              <c:idx val="2"/>
              <c:delete val="1"/>
              <c:extLst>
                <c:ext xmlns:c15="http://schemas.microsoft.com/office/drawing/2012/chart" uri="{CE6537A1-D6FC-4f65-9D91-7224C49458BB}"/>
                <c:ext xmlns:c16="http://schemas.microsoft.com/office/drawing/2014/chart" uri="{C3380CC4-5D6E-409C-BE32-E72D297353CC}">
                  <c16:uniqueId val="{00000006-F312-4B96-8CFE-5AE485781B22}"/>
                </c:ext>
              </c:extLst>
            </c:dLbl>
            <c:dLbl>
              <c:idx val="3"/>
              <c:delete val="1"/>
              <c:extLst>
                <c:ext xmlns:c15="http://schemas.microsoft.com/office/drawing/2012/chart" uri="{CE6537A1-D6FC-4f65-9D91-7224C49458BB}"/>
                <c:ext xmlns:c16="http://schemas.microsoft.com/office/drawing/2014/chart" uri="{C3380CC4-5D6E-409C-BE32-E72D297353CC}">
                  <c16:uniqueId val="{00000007-F312-4B96-8CFE-5AE485781B22}"/>
                </c:ext>
              </c:extLst>
            </c:dLbl>
            <c:dLbl>
              <c:idx val="4"/>
              <c:delete val="1"/>
              <c:extLst>
                <c:ext xmlns:c15="http://schemas.microsoft.com/office/drawing/2012/chart" uri="{CE6537A1-D6FC-4f65-9D91-7224C49458BB}"/>
                <c:ext xmlns:c16="http://schemas.microsoft.com/office/drawing/2014/chart" uri="{C3380CC4-5D6E-409C-BE32-E72D297353CC}">
                  <c16:uniqueId val="{00000008-F312-4B96-8CFE-5AE485781B22}"/>
                </c:ext>
              </c:extLst>
            </c:dLbl>
            <c:dLbl>
              <c:idx val="6"/>
              <c:delete val="1"/>
              <c:extLst>
                <c:ext xmlns:c15="http://schemas.microsoft.com/office/drawing/2012/chart" uri="{CE6537A1-D6FC-4f65-9D91-7224C49458BB}"/>
                <c:ext xmlns:c16="http://schemas.microsoft.com/office/drawing/2014/chart" uri="{C3380CC4-5D6E-409C-BE32-E72D297353CC}">
                  <c16:uniqueId val="{00000009-F312-4B96-8CFE-5AE485781B22}"/>
                </c:ext>
              </c:extLst>
            </c:dLbl>
            <c:dLbl>
              <c:idx val="7"/>
              <c:delete val="1"/>
              <c:extLst>
                <c:ext xmlns:c15="http://schemas.microsoft.com/office/drawing/2012/chart" uri="{CE6537A1-D6FC-4f65-9D91-7224C49458BB}"/>
                <c:ext xmlns:c16="http://schemas.microsoft.com/office/drawing/2014/chart" uri="{C3380CC4-5D6E-409C-BE32-E72D297353CC}">
                  <c16:uniqueId val="{0000000A-F312-4B96-8CFE-5AE485781B22}"/>
                </c:ext>
              </c:extLst>
            </c:dLbl>
            <c:dLbl>
              <c:idx val="8"/>
              <c:delete val="1"/>
              <c:extLst>
                <c:ext xmlns:c15="http://schemas.microsoft.com/office/drawing/2012/chart" uri="{CE6537A1-D6FC-4f65-9D91-7224C49458BB}"/>
                <c:ext xmlns:c16="http://schemas.microsoft.com/office/drawing/2014/chart" uri="{C3380CC4-5D6E-409C-BE32-E72D297353CC}">
                  <c16:uniqueId val="{0000000B-F312-4B96-8CFE-5AE485781B22}"/>
                </c:ext>
              </c:extLst>
            </c:dLbl>
            <c:dLbl>
              <c:idx val="9"/>
              <c:delete val="1"/>
              <c:extLst>
                <c:ext xmlns:c15="http://schemas.microsoft.com/office/drawing/2012/chart" uri="{CE6537A1-D6FC-4f65-9D91-7224C49458BB}"/>
                <c:ext xmlns:c16="http://schemas.microsoft.com/office/drawing/2014/chart" uri="{C3380CC4-5D6E-409C-BE32-E72D297353CC}">
                  <c16:uniqueId val="{0000000C-F312-4B96-8CFE-5AE485781B22}"/>
                </c:ext>
              </c:extLst>
            </c:dLbl>
            <c:dLbl>
              <c:idx val="12"/>
              <c:delete val="1"/>
              <c:extLst>
                <c:ext xmlns:c15="http://schemas.microsoft.com/office/drawing/2012/chart" uri="{CE6537A1-D6FC-4f65-9D91-7224C49458BB}"/>
                <c:ext xmlns:c16="http://schemas.microsoft.com/office/drawing/2014/chart" uri="{C3380CC4-5D6E-409C-BE32-E72D297353CC}">
                  <c16:uniqueId val="{0000000D-F312-4B96-8CFE-5AE485781B22}"/>
                </c:ext>
              </c:extLst>
            </c:dLbl>
            <c:spPr>
              <a:noFill/>
              <a:ln w="25400">
                <a:noFill/>
              </a:ln>
            </c:spPr>
            <c:txPr>
              <a:bodyPr/>
              <a:lstStyle/>
              <a:p>
                <a:pPr>
                  <a:defRPr sz="1000" b="1" i="0" u="none" strike="noStrike" baseline="0">
                    <a:solidFill>
                      <a:srgbClr val="008000"/>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Graficos!$B$2:$N$2</c:f>
              <c:strCache>
                <c:ptCount val="13"/>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strCache>
            </c:strRef>
          </c:cat>
          <c:val>
            <c:numRef>
              <c:f>Graficos!$B$23:$N$23</c:f>
              <c:numCache>
                <c:formatCode>General</c:formatCode>
                <c:ptCount val="13"/>
                <c:pt idx="0">
                  <c:v>2</c:v>
                </c:pt>
                <c:pt idx="1">
                  <c:v>0</c:v>
                </c:pt>
                <c:pt idx="2">
                  <c:v>0</c:v>
                </c:pt>
                <c:pt idx="3">
                  <c:v>0</c:v>
                </c:pt>
                <c:pt idx="4">
                  <c:v>0</c:v>
                </c:pt>
                <c:pt idx="5">
                  <c:v>2</c:v>
                </c:pt>
                <c:pt idx="6">
                  <c:v>0</c:v>
                </c:pt>
                <c:pt idx="7">
                  <c:v>1</c:v>
                </c:pt>
                <c:pt idx="8">
                  <c:v>1</c:v>
                </c:pt>
                <c:pt idx="9">
                  <c:v>1</c:v>
                </c:pt>
                <c:pt idx="10">
                  <c:v>2</c:v>
                </c:pt>
                <c:pt idx="11">
                  <c:v>0</c:v>
                </c:pt>
                <c:pt idx="12">
                  <c:v>2</c:v>
                </c:pt>
              </c:numCache>
            </c:numRef>
          </c:val>
          <c:extLst>
            <c:ext xmlns:c16="http://schemas.microsoft.com/office/drawing/2014/chart" uri="{C3380CC4-5D6E-409C-BE32-E72D297353CC}">
              <c16:uniqueId val="{0000000E-F312-4B96-8CFE-5AE485781B22}"/>
            </c:ext>
          </c:extLst>
        </c:ser>
        <c:ser>
          <c:idx val="0"/>
          <c:order val="2"/>
          <c:tx>
            <c:v>DMR</c:v>
          </c:tx>
          <c:spPr>
            <a:solidFill>
              <a:srgbClr val="0000FF"/>
            </a:solidFill>
            <a:ln w="12700">
              <a:solidFill>
                <a:srgbClr val="000000"/>
              </a:solidFill>
              <a:prstDash val="solid"/>
            </a:ln>
          </c:spPr>
          <c:invertIfNegative val="0"/>
          <c:dLbls>
            <c:delete val="1"/>
          </c:dLbls>
          <c:val>
            <c:numRef>
              <c:f>Graficos!$B$22:$N$22</c:f>
              <c:numCache>
                <c:formatCode>General</c:formatCode>
                <c:ptCount val="13"/>
                <c:pt idx="0">
                  <c:v>0</c:v>
                </c:pt>
                <c:pt idx="1">
                  <c:v>0</c:v>
                </c:pt>
                <c:pt idx="2">
                  <c:v>0</c:v>
                </c:pt>
                <c:pt idx="3">
                  <c:v>0</c:v>
                </c:pt>
                <c:pt idx="4">
                  <c:v>0</c:v>
                </c:pt>
                <c:pt idx="5">
                  <c:v>0</c:v>
                </c:pt>
                <c:pt idx="6">
                  <c:v>0</c:v>
                </c:pt>
                <c:pt idx="7">
                  <c:v>1</c:v>
                </c:pt>
                <c:pt idx="8">
                  <c:v>0</c:v>
                </c:pt>
                <c:pt idx="9">
                  <c:v>0</c:v>
                </c:pt>
                <c:pt idx="10">
                  <c:v>0</c:v>
                </c:pt>
                <c:pt idx="11">
                  <c:v>2</c:v>
                </c:pt>
                <c:pt idx="12">
                  <c:v>0</c:v>
                </c:pt>
              </c:numCache>
            </c:numRef>
          </c:val>
          <c:extLst>
            <c:ext xmlns:c16="http://schemas.microsoft.com/office/drawing/2014/chart" uri="{C3380CC4-5D6E-409C-BE32-E72D297353CC}">
              <c16:uniqueId val="{0000000F-F312-4B96-8CFE-5AE485781B22}"/>
            </c:ext>
          </c:extLst>
        </c:ser>
        <c:dLbls>
          <c:showLegendKey val="0"/>
          <c:showVal val="1"/>
          <c:showCatName val="0"/>
          <c:showSerName val="0"/>
          <c:showPercent val="0"/>
          <c:showBubbleSize val="0"/>
        </c:dLbls>
        <c:gapWidth val="150"/>
        <c:axId val="1238286704"/>
        <c:axId val="1399162048"/>
      </c:barChart>
      <c:catAx>
        <c:axId val="12382867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2048"/>
        <c:crosses val="autoZero"/>
        <c:auto val="0"/>
        <c:lblAlgn val="ctr"/>
        <c:lblOffset val="100"/>
        <c:tickLblSkip val="1"/>
        <c:tickMarkSkip val="1"/>
        <c:noMultiLvlLbl val="0"/>
      </c:catAx>
      <c:valAx>
        <c:axId val="1399162048"/>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238286704"/>
        <c:crosses val="autoZero"/>
        <c:crossBetween val="between"/>
        <c:majorUnit val="1"/>
      </c:valAx>
      <c:spPr>
        <a:solidFill>
          <a:srgbClr val="D4D4D4"/>
        </a:solidFill>
        <a:ln w="12700">
          <a:solidFill>
            <a:srgbClr val="000000"/>
          </a:solidFill>
          <a:prstDash val="solid"/>
        </a:ln>
      </c:spPr>
    </c:plotArea>
    <c:legend>
      <c:legendPos val="r"/>
      <c:layout>
        <c:manualLayout>
          <c:xMode val="edge"/>
          <c:yMode val="edge"/>
          <c:x val="3.0805687203791472E-2"/>
          <c:y val="0.84680851063830564"/>
          <c:w val="0.55924170616114166"/>
          <c:h val="9.3617021276595741E-2"/>
        </c:manualLayout>
      </c:layout>
      <c:overlay val="0"/>
      <c:spPr>
        <a:solidFill>
          <a:srgbClr val="FFFFFF"/>
        </a:solidFill>
        <a:ln w="3175">
          <a:solidFill>
            <a:srgbClr val="000000"/>
          </a:solidFill>
          <a:prstDash val="solid"/>
        </a:ln>
      </c:spPr>
      <c:txPr>
        <a:bodyPr/>
        <a:lstStyle/>
        <a:p>
          <a:pPr>
            <a:defRPr lang="es-PE" sz="690"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GALLETERIA
Incapacitantes + DMR </a:t>
            </a:r>
          </a:p>
        </c:rich>
      </c:tx>
      <c:layout>
        <c:manualLayout>
          <c:xMode val="edge"/>
          <c:yMode val="edge"/>
          <c:x val="0.38650301767624246"/>
          <c:y val="1.9157088122605363E-2"/>
        </c:manualLayout>
      </c:layout>
      <c:overlay val="0"/>
      <c:spPr>
        <a:noFill/>
        <a:ln w="25400">
          <a:noFill/>
        </a:ln>
      </c:spPr>
    </c:title>
    <c:autoTitleDeleted val="0"/>
    <c:plotArea>
      <c:layout>
        <c:manualLayout>
          <c:layoutTarget val="inner"/>
          <c:xMode val="edge"/>
          <c:yMode val="edge"/>
          <c:x val="4.5086730653185934E-2"/>
          <c:y val="0.28352596506065098"/>
          <c:w val="0.92948029346566419"/>
          <c:h val="0.59770338580349658"/>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5"/>
              <c:layout>
                <c:manualLayout>
                  <c:x val="-4.9611516351867072E-2"/>
                  <c:y val="-7.12120046706201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2D-4F59-B754-35D605E85F50}"/>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EFD9-4027-AC4F-2437D48D1E71}"/>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Graficos!$A$132:$A$141</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Graficos!$G$132:$G$141</c:f>
              <c:numCache>
                <c:formatCode>#,##0.0</c:formatCode>
                <c:ptCount val="10"/>
                <c:pt idx="0">
                  <c:v>5.1528064760471795</c:v>
                </c:pt>
                <c:pt idx="1">
                  <c:v>2.7830501116003097</c:v>
                </c:pt>
                <c:pt idx="2">
                  <c:v>1.3538174945711918</c:v>
                </c:pt>
                <c:pt idx="3">
                  <c:v>2.7171365727941268</c:v>
                </c:pt>
                <c:pt idx="4">
                  <c:v>2.4149893559344138</c:v>
                </c:pt>
                <c:pt idx="5">
                  <c:v>5.7003551321247317</c:v>
                </c:pt>
                <c:pt idx="6">
                  <c:v>3.5361585472046224</c:v>
                </c:pt>
                <c:pt idx="7">
                  <c:v>1.8413018740770475</c:v>
                </c:pt>
                <c:pt idx="8">
                  <c:v>4.7783833582287105</c:v>
                </c:pt>
                <c:pt idx="9">
                  <c:v>0</c:v>
                </c:pt>
              </c:numCache>
            </c:numRef>
          </c:val>
          <c:smooth val="0"/>
          <c:extLst>
            <c:ext xmlns:c16="http://schemas.microsoft.com/office/drawing/2014/chart" uri="{C3380CC4-5D6E-409C-BE32-E72D297353CC}">
              <c16:uniqueId val="{00000002-3F2D-4F59-B754-35D605E85F50}"/>
            </c:ext>
          </c:extLst>
        </c:ser>
        <c:dLbls>
          <c:showLegendKey val="0"/>
          <c:showVal val="1"/>
          <c:showCatName val="0"/>
          <c:showSerName val="0"/>
          <c:showPercent val="0"/>
          <c:showBubbleSize val="0"/>
        </c:dLbls>
        <c:marker val="1"/>
        <c:smooth val="0"/>
        <c:axId val="1399166944"/>
        <c:axId val="1399170208"/>
      </c:lineChart>
      <c:catAx>
        <c:axId val="139916694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70208"/>
        <c:crosses val="autoZero"/>
        <c:auto val="0"/>
        <c:lblAlgn val="ctr"/>
        <c:lblOffset val="100"/>
        <c:tickLblSkip val="1"/>
        <c:tickMarkSkip val="1"/>
        <c:noMultiLvlLbl val="0"/>
      </c:catAx>
      <c:valAx>
        <c:axId val="1399170208"/>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6944"/>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Estadistica Mensual de Accidentes Galleteria Lima</a:t>
            </a:r>
          </a:p>
        </c:rich>
      </c:tx>
      <c:layout>
        <c:manualLayout>
          <c:xMode val="edge"/>
          <c:yMode val="edge"/>
          <c:x val="0.17021326234930001"/>
          <c:y val="4.2194092827004523E-2"/>
        </c:manualLayout>
      </c:layout>
      <c:overlay val="0"/>
      <c:spPr>
        <a:noFill/>
        <a:ln w="25400">
          <a:noFill/>
        </a:ln>
      </c:spPr>
    </c:title>
    <c:autoTitleDeleted val="0"/>
    <c:plotArea>
      <c:layout>
        <c:manualLayout>
          <c:layoutTarget val="inner"/>
          <c:xMode val="edge"/>
          <c:yMode val="edge"/>
          <c:x val="8.5106579460742363E-2"/>
          <c:y val="0.24894617346624356"/>
          <c:w val="0.86525022451754763"/>
          <c:h val="0.39240668020950986"/>
        </c:manualLayout>
      </c:layout>
      <c:barChart>
        <c:barDir val="col"/>
        <c:grouping val="clustered"/>
        <c:varyColors val="0"/>
        <c:ser>
          <c:idx val="1"/>
          <c:order val="0"/>
          <c:tx>
            <c:v>Incapacitante</c:v>
          </c:tx>
          <c:spPr>
            <a:solidFill>
              <a:srgbClr val="FF3333"/>
            </a:solidFill>
            <a:ln w="12700">
              <a:solidFill>
                <a:srgbClr val="FF3333"/>
              </a:solidFill>
              <a:prstDash val="solid"/>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6E1D-487F-AFF4-A8DEF4D2CC89}"/>
                </c:ext>
              </c:extLst>
            </c:dLbl>
            <c:dLbl>
              <c:idx val="6"/>
              <c:delete val="1"/>
              <c:extLst>
                <c:ext xmlns:c15="http://schemas.microsoft.com/office/drawing/2012/chart" uri="{CE6537A1-D6FC-4f65-9D91-7224C49458BB}"/>
                <c:ext xmlns:c16="http://schemas.microsoft.com/office/drawing/2014/chart" uri="{C3380CC4-5D6E-409C-BE32-E72D297353CC}">
                  <c16:uniqueId val="{00000001-6E1D-487F-AFF4-A8DEF4D2CC89}"/>
                </c:ext>
              </c:extLst>
            </c:dLbl>
            <c:dLbl>
              <c:idx val="8"/>
              <c:delete val="1"/>
              <c:extLst>
                <c:ext xmlns:c15="http://schemas.microsoft.com/office/drawing/2012/chart" uri="{CE6537A1-D6FC-4f65-9D91-7224C49458BB}"/>
                <c:ext xmlns:c16="http://schemas.microsoft.com/office/drawing/2014/chart" uri="{C3380CC4-5D6E-409C-BE32-E72D297353CC}">
                  <c16:uniqueId val="{00000002-6E1D-487F-AFF4-A8DEF4D2CC89}"/>
                </c:ext>
              </c:extLst>
            </c:dLbl>
            <c:dLbl>
              <c:idx val="10"/>
              <c:delete val="1"/>
              <c:extLst>
                <c:ext xmlns:c15="http://schemas.microsoft.com/office/drawing/2012/chart" uri="{CE6537A1-D6FC-4f65-9D91-7224C49458BB}"/>
                <c:ext xmlns:c16="http://schemas.microsoft.com/office/drawing/2014/chart" uri="{C3380CC4-5D6E-409C-BE32-E72D297353CC}">
                  <c16:uniqueId val="{00000003-6E1D-487F-AFF4-A8DEF4D2CC89}"/>
                </c:ext>
              </c:extLst>
            </c:dLbl>
            <c:numFmt formatCode="#,##0" sourceLinked="0"/>
            <c:spPr>
              <a:noFill/>
              <a:ln w="25400">
                <a:noFill/>
              </a:ln>
            </c:spPr>
            <c:txPr>
              <a:bodyPr/>
              <a:lstStyle/>
              <a:p>
                <a:pPr>
                  <a:defRPr sz="1000" b="1" i="0" u="none" strike="noStrike" baseline="0">
                    <a:solidFill>
                      <a:srgbClr val="FF3333"/>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Graficos!$B$2:$N$2</c:f>
              <c:strCache>
                <c:ptCount val="13"/>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strCache>
            </c:strRef>
          </c:cat>
          <c:val>
            <c:numRef>
              <c:f>Graficos!$B$35:$N$35</c:f>
              <c:numCache>
                <c:formatCode>General</c:formatCode>
                <c:ptCount val="13"/>
                <c:pt idx="0">
                  <c:v>0</c:v>
                </c:pt>
                <c:pt idx="1">
                  <c:v>1</c:v>
                </c:pt>
                <c:pt idx="2">
                  <c:v>1</c:v>
                </c:pt>
                <c:pt idx="3">
                  <c:v>1</c:v>
                </c:pt>
                <c:pt idx="4">
                  <c:v>0</c:v>
                </c:pt>
                <c:pt idx="5">
                  <c:v>0</c:v>
                </c:pt>
                <c:pt idx="6">
                  <c:v>0</c:v>
                </c:pt>
                <c:pt idx="7">
                  <c:v>1</c:v>
                </c:pt>
                <c:pt idx="8">
                  <c:v>0</c:v>
                </c:pt>
                <c:pt idx="9">
                  <c:v>0</c:v>
                </c:pt>
                <c:pt idx="10">
                  <c:v>0</c:v>
                </c:pt>
                <c:pt idx="11">
                  <c:v>0</c:v>
                </c:pt>
                <c:pt idx="12">
                  <c:v>0</c:v>
                </c:pt>
              </c:numCache>
            </c:numRef>
          </c:val>
          <c:extLst>
            <c:ext xmlns:c16="http://schemas.microsoft.com/office/drawing/2014/chart" uri="{C3380CC4-5D6E-409C-BE32-E72D297353CC}">
              <c16:uniqueId val="{00000004-6E1D-487F-AFF4-A8DEF4D2CC89}"/>
            </c:ext>
          </c:extLst>
        </c:ser>
        <c:ser>
          <c:idx val="2"/>
          <c:order val="1"/>
          <c:tx>
            <c:v>Menor</c:v>
          </c:tx>
          <c:spPr>
            <a:solidFill>
              <a:srgbClr val="008000"/>
            </a:solidFill>
            <a:ln w="25400">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6E1D-487F-AFF4-A8DEF4D2CC89}"/>
                </c:ext>
              </c:extLst>
            </c:dLbl>
            <c:dLbl>
              <c:idx val="2"/>
              <c:delete val="1"/>
              <c:extLst>
                <c:ext xmlns:c15="http://schemas.microsoft.com/office/drawing/2012/chart" uri="{CE6537A1-D6FC-4f65-9D91-7224C49458BB}"/>
                <c:ext xmlns:c16="http://schemas.microsoft.com/office/drawing/2014/chart" uri="{C3380CC4-5D6E-409C-BE32-E72D297353CC}">
                  <c16:uniqueId val="{00000006-6E1D-487F-AFF4-A8DEF4D2CC89}"/>
                </c:ext>
              </c:extLst>
            </c:dLbl>
            <c:dLbl>
              <c:idx val="3"/>
              <c:delete val="1"/>
              <c:extLst>
                <c:ext xmlns:c15="http://schemas.microsoft.com/office/drawing/2012/chart" uri="{CE6537A1-D6FC-4f65-9D91-7224C49458BB}"/>
                <c:ext xmlns:c16="http://schemas.microsoft.com/office/drawing/2014/chart" uri="{C3380CC4-5D6E-409C-BE32-E72D297353CC}">
                  <c16:uniqueId val="{00000007-6E1D-487F-AFF4-A8DEF4D2CC89}"/>
                </c:ext>
              </c:extLst>
            </c:dLbl>
            <c:dLbl>
              <c:idx val="4"/>
              <c:delete val="1"/>
              <c:extLst>
                <c:ext xmlns:c15="http://schemas.microsoft.com/office/drawing/2012/chart" uri="{CE6537A1-D6FC-4f65-9D91-7224C49458BB}"/>
                <c:ext xmlns:c16="http://schemas.microsoft.com/office/drawing/2014/chart" uri="{C3380CC4-5D6E-409C-BE32-E72D297353CC}">
                  <c16:uniqueId val="{00000008-6E1D-487F-AFF4-A8DEF4D2CC89}"/>
                </c:ext>
              </c:extLst>
            </c:dLbl>
            <c:dLbl>
              <c:idx val="6"/>
              <c:delete val="1"/>
              <c:extLst>
                <c:ext xmlns:c15="http://schemas.microsoft.com/office/drawing/2012/chart" uri="{CE6537A1-D6FC-4f65-9D91-7224C49458BB}"/>
                <c:ext xmlns:c16="http://schemas.microsoft.com/office/drawing/2014/chart" uri="{C3380CC4-5D6E-409C-BE32-E72D297353CC}">
                  <c16:uniqueId val="{00000009-6E1D-487F-AFF4-A8DEF4D2CC89}"/>
                </c:ext>
              </c:extLst>
            </c:dLbl>
            <c:dLbl>
              <c:idx val="7"/>
              <c:delete val="1"/>
              <c:extLst>
                <c:ext xmlns:c15="http://schemas.microsoft.com/office/drawing/2012/chart" uri="{CE6537A1-D6FC-4f65-9D91-7224C49458BB}"/>
                <c:ext xmlns:c16="http://schemas.microsoft.com/office/drawing/2014/chart" uri="{C3380CC4-5D6E-409C-BE32-E72D297353CC}">
                  <c16:uniqueId val="{0000000A-6E1D-487F-AFF4-A8DEF4D2CC89}"/>
                </c:ext>
              </c:extLst>
            </c:dLbl>
            <c:dLbl>
              <c:idx val="8"/>
              <c:delete val="1"/>
              <c:extLst>
                <c:ext xmlns:c15="http://schemas.microsoft.com/office/drawing/2012/chart" uri="{CE6537A1-D6FC-4f65-9D91-7224C49458BB}"/>
                <c:ext xmlns:c16="http://schemas.microsoft.com/office/drawing/2014/chart" uri="{C3380CC4-5D6E-409C-BE32-E72D297353CC}">
                  <c16:uniqueId val="{0000000B-6E1D-487F-AFF4-A8DEF4D2CC89}"/>
                </c:ext>
              </c:extLst>
            </c:dLbl>
            <c:dLbl>
              <c:idx val="9"/>
              <c:delete val="1"/>
              <c:extLst>
                <c:ext xmlns:c15="http://schemas.microsoft.com/office/drawing/2012/chart" uri="{CE6537A1-D6FC-4f65-9D91-7224C49458BB}"/>
                <c:ext xmlns:c16="http://schemas.microsoft.com/office/drawing/2014/chart" uri="{C3380CC4-5D6E-409C-BE32-E72D297353CC}">
                  <c16:uniqueId val="{0000000C-6E1D-487F-AFF4-A8DEF4D2CC89}"/>
                </c:ext>
              </c:extLst>
            </c:dLbl>
            <c:dLbl>
              <c:idx val="12"/>
              <c:delete val="1"/>
              <c:extLst>
                <c:ext xmlns:c15="http://schemas.microsoft.com/office/drawing/2012/chart" uri="{CE6537A1-D6FC-4f65-9D91-7224C49458BB}"/>
                <c:ext xmlns:c16="http://schemas.microsoft.com/office/drawing/2014/chart" uri="{C3380CC4-5D6E-409C-BE32-E72D297353CC}">
                  <c16:uniqueId val="{0000000D-6E1D-487F-AFF4-A8DEF4D2CC89}"/>
                </c:ext>
              </c:extLst>
            </c:dLbl>
            <c:spPr>
              <a:noFill/>
              <a:ln w="25400">
                <a:noFill/>
              </a:ln>
            </c:spPr>
            <c:txPr>
              <a:bodyPr/>
              <a:lstStyle/>
              <a:p>
                <a:pPr>
                  <a:defRPr sz="1000" b="1" i="0" u="none" strike="noStrike" baseline="0">
                    <a:solidFill>
                      <a:srgbClr val="008000"/>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Graficos!$B$2:$N$2</c:f>
              <c:strCache>
                <c:ptCount val="13"/>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strCache>
            </c:strRef>
          </c:cat>
          <c:val>
            <c:numRef>
              <c:f>Graficos!$B$37:$N$37</c:f>
              <c:numCache>
                <c:formatCode>General</c:formatCode>
                <c:ptCount val="13"/>
                <c:pt idx="0">
                  <c:v>1</c:v>
                </c:pt>
                <c:pt idx="1">
                  <c:v>1</c:v>
                </c:pt>
                <c:pt idx="2">
                  <c:v>1</c:v>
                </c:pt>
                <c:pt idx="3">
                  <c:v>0</c:v>
                </c:pt>
                <c:pt idx="4">
                  <c:v>0</c:v>
                </c:pt>
                <c:pt idx="5">
                  <c:v>1</c:v>
                </c:pt>
                <c:pt idx="6">
                  <c:v>1</c:v>
                </c:pt>
                <c:pt idx="7">
                  <c:v>1</c:v>
                </c:pt>
                <c:pt idx="8">
                  <c:v>0</c:v>
                </c:pt>
                <c:pt idx="9">
                  <c:v>0</c:v>
                </c:pt>
                <c:pt idx="10">
                  <c:v>2</c:v>
                </c:pt>
                <c:pt idx="11">
                  <c:v>0</c:v>
                </c:pt>
                <c:pt idx="12">
                  <c:v>0</c:v>
                </c:pt>
              </c:numCache>
            </c:numRef>
          </c:val>
          <c:extLst>
            <c:ext xmlns:c16="http://schemas.microsoft.com/office/drawing/2014/chart" uri="{C3380CC4-5D6E-409C-BE32-E72D297353CC}">
              <c16:uniqueId val="{0000000E-6E1D-487F-AFF4-A8DEF4D2CC89}"/>
            </c:ext>
          </c:extLst>
        </c:ser>
        <c:ser>
          <c:idx val="0"/>
          <c:order val="2"/>
          <c:tx>
            <c:v>DMR</c:v>
          </c:tx>
          <c:spPr>
            <a:solidFill>
              <a:srgbClr val="0000FF"/>
            </a:solidFill>
            <a:ln w="12700">
              <a:solidFill>
                <a:srgbClr val="000000"/>
              </a:solidFill>
              <a:prstDash val="solid"/>
            </a:ln>
          </c:spPr>
          <c:invertIfNegative val="0"/>
          <c:dLbls>
            <c:delete val="1"/>
          </c:dLbls>
          <c:val>
            <c:numRef>
              <c:f>Graficos!$B$36:$N$36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1</c:v>
                </c:pt>
                <c:pt idx="12">
                  <c:v>0</c:v>
                </c:pt>
              </c:numCache>
            </c:numRef>
          </c:val>
          <c:extLst>
            <c:ext xmlns:c16="http://schemas.microsoft.com/office/drawing/2014/chart" uri="{C3380CC4-5D6E-409C-BE32-E72D297353CC}">
              <c16:uniqueId val="{0000000F-6E1D-487F-AFF4-A8DEF4D2CC89}"/>
            </c:ext>
          </c:extLst>
        </c:ser>
        <c:dLbls>
          <c:showLegendKey val="0"/>
          <c:showVal val="1"/>
          <c:showCatName val="0"/>
          <c:showSerName val="0"/>
          <c:showPercent val="0"/>
          <c:showBubbleSize val="0"/>
        </c:dLbls>
        <c:gapWidth val="150"/>
        <c:axId val="1399161504"/>
        <c:axId val="1399175648"/>
      </c:barChart>
      <c:catAx>
        <c:axId val="13991615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75648"/>
        <c:crosses val="autoZero"/>
        <c:auto val="0"/>
        <c:lblAlgn val="ctr"/>
        <c:lblOffset val="100"/>
        <c:tickLblSkip val="1"/>
        <c:tickMarkSkip val="1"/>
        <c:noMultiLvlLbl val="0"/>
      </c:catAx>
      <c:valAx>
        <c:axId val="1399175648"/>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1504"/>
        <c:crosses val="autoZero"/>
        <c:crossBetween val="between"/>
        <c:majorUnit val="1"/>
      </c:valAx>
      <c:spPr>
        <a:solidFill>
          <a:srgbClr val="D4D4D4"/>
        </a:solidFill>
        <a:ln w="12700">
          <a:solidFill>
            <a:srgbClr val="000000"/>
          </a:solidFill>
          <a:prstDash val="solid"/>
        </a:ln>
      </c:spPr>
    </c:plotArea>
    <c:legend>
      <c:legendPos val="r"/>
      <c:layout>
        <c:manualLayout>
          <c:xMode val="edge"/>
          <c:yMode val="edge"/>
          <c:x val="3.0732860520094836E-2"/>
          <c:y val="0.84388185654009518"/>
          <c:w val="0.55791962174940901"/>
          <c:h val="9.2827004219409398E-2"/>
        </c:manualLayout>
      </c:layout>
      <c:overlay val="0"/>
      <c:spPr>
        <a:solidFill>
          <a:srgbClr val="FFFFFF"/>
        </a:solidFill>
        <a:ln w="3175">
          <a:solidFill>
            <a:srgbClr val="000000"/>
          </a:solidFill>
          <a:prstDash val="solid"/>
        </a:ln>
      </c:spPr>
      <c:txPr>
        <a:bodyPr/>
        <a:lstStyle/>
        <a:p>
          <a:pPr>
            <a:defRPr lang="es-PE" sz="690"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orientation="landscape"/>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ESTADISTICA ANUAL ACCIDENTES GALLETERIA</a:t>
            </a:r>
          </a:p>
        </c:rich>
      </c:tx>
      <c:layout>
        <c:manualLayout>
          <c:xMode val="edge"/>
          <c:yMode val="edge"/>
          <c:x val="0.25433554848196926"/>
          <c:y val="1.9083969465648869E-2"/>
        </c:manualLayout>
      </c:layout>
      <c:overlay val="0"/>
      <c:spPr>
        <a:noFill/>
        <a:ln w="25400">
          <a:noFill/>
        </a:ln>
      </c:spPr>
    </c:title>
    <c:autoTitleDeleted val="0"/>
    <c:plotArea>
      <c:layout>
        <c:manualLayout>
          <c:layoutTarget val="inner"/>
          <c:xMode val="edge"/>
          <c:yMode val="edge"/>
          <c:x val="5.2023219275385502E-2"/>
          <c:y val="0.19465685132553687"/>
          <c:w val="0.89980901487426024"/>
          <c:h val="0.58778735498297363"/>
        </c:manualLayout>
      </c:layout>
      <c:lineChart>
        <c:grouping val="standard"/>
        <c:varyColors val="0"/>
        <c:ser>
          <c:idx val="1"/>
          <c:order val="0"/>
          <c:tx>
            <c:v>Total</c:v>
          </c:tx>
          <c:spPr>
            <a:ln w="25400">
              <a:solidFill>
                <a:srgbClr val="000000"/>
              </a:solidFill>
              <a:prstDash val="solid"/>
            </a:ln>
          </c:spPr>
          <c:marker>
            <c:symbol val="circle"/>
            <c:size val="5"/>
            <c:spPr>
              <a:solidFill>
                <a:srgbClr val="000000"/>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Graficos!$A$132:$A$141</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Graficos!$B$132:$B$141</c:f>
              <c:numCache>
                <c:formatCode>General</c:formatCode>
                <c:ptCount val="10"/>
                <c:pt idx="0">
                  <c:v>8</c:v>
                </c:pt>
                <c:pt idx="1">
                  <c:v>7</c:v>
                </c:pt>
                <c:pt idx="2">
                  <c:v>10</c:v>
                </c:pt>
                <c:pt idx="3">
                  <c:v>13</c:v>
                </c:pt>
                <c:pt idx="4">
                  <c:v>7</c:v>
                </c:pt>
                <c:pt idx="5">
                  <c:v>18</c:v>
                </c:pt>
                <c:pt idx="6">
                  <c:v>22</c:v>
                </c:pt>
                <c:pt idx="7">
                  <c:v>10</c:v>
                </c:pt>
                <c:pt idx="8">
                  <c:v>13</c:v>
                </c:pt>
                <c:pt idx="9" formatCode="0">
                  <c:v>0</c:v>
                </c:pt>
              </c:numCache>
            </c:numRef>
          </c:val>
          <c:smooth val="0"/>
          <c:extLst>
            <c:ext xmlns:c16="http://schemas.microsoft.com/office/drawing/2014/chart" uri="{C3380CC4-5D6E-409C-BE32-E72D297353CC}">
              <c16:uniqueId val="{00000000-EA1D-4303-84AB-BF5857092FDB}"/>
            </c:ext>
          </c:extLst>
        </c:ser>
        <c:ser>
          <c:idx val="0"/>
          <c:order val="1"/>
          <c:tx>
            <c:v>Incapacitantes</c:v>
          </c:tx>
          <c:spPr>
            <a:ln w="38100">
              <a:solidFill>
                <a:srgbClr val="FF3333"/>
              </a:solidFill>
              <a:prstDash val="solid"/>
            </a:ln>
          </c:spPr>
          <c:marker>
            <c:symbol val="circle"/>
            <c:size val="5"/>
            <c:spPr>
              <a:solidFill>
                <a:srgbClr val="FF3333"/>
              </a:solidFill>
              <a:ln>
                <a:solidFill>
                  <a:srgbClr val="FF3333"/>
                </a:solidFill>
                <a:prstDash val="solid"/>
              </a:ln>
            </c:spPr>
          </c:marker>
          <c:dLbls>
            <c:dLbl>
              <c:idx val="1"/>
              <c:layout>
                <c:manualLayout>
                  <c:x val="-3.6576590083971815E-2"/>
                  <c:y val="3.96435928141442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1D-4303-84AB-BF5857092FDB}"/>
                </c:ext>
              </c:extLst>
            </c:dLbl>
            <c:dLbl>
              <c:idx val="2"/>
              <c:layout>
                <c:manualLayout>
                  <c:x val="-3.4842615444716472E-2"/>
                  <c:y val="4.20863693587603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1D-4303-84AB-BF5857092FDB}"/>
                </c:ext>
              </c:extLst>
            </c:dLbl>
            <c:dLbl>
              <c:idx val="3"/>
              <c:layout>
                <c:manualLayout>
                  <c:x val="-3.8888796215871151E-2"/>
                  <c:y val="3.58267918077609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1D-4303-84AB-BF5857092FDB}"/>
                </c:ext>
              </c:extLst>
            </c:dLbl>
            <c:dLbl>
              <c:idx val="4"/>
              <c:layout>
                <c:manualLayout>
                  <c:x val="-3.9081405188851052E-2"/>
                  <c:y val="3.58267918077609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1D-4303-84AB-BF5857092FDB}"/>
                </c:ext>
              </c:extLst>
            </c:dLbl>
            <c:dLbl>
              <c:idx val="5"/>
              <c:layout>
                <c:manualLayout>
                  <c:x val="-1.8079571558710521E-2"/>
                  <c:y val="1.78115388586950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1D-4303-84AB-BF5857092FDB}"/>
                </c:ext>
              </c:extLst>
            </c:dLbl>
            <c:dLbl>
              <c:idx val="6"/>
              <c:layout>
                <c:manualLayout>
                  <c:x val="-2.4052538228954552E-2"/>
                  <c:y val="1.78115388586950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1D-4303-84AB-BF5857092FDB}"/>
                </c:ext>
              </c:extLst>
            </c:dLbl>
            <c:dLbl>
              <c:idx val="7"/>
              <c:layout>
                <c:manualLayout>
                  <c:x val="-3.5805862596465433E-2"/>
                  <c:y val="1.78115388586950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1D-4303-84AB-BF5857092FDB}"/>
                </c:ext>
              </c:extLst>
            </c:dLbl>
            <c:dLbl>
              <c:idx val="8"/>
              <c:layout>
                <c:manualLayout>
                  <c:x val="-3.2145102058120531E-2"/>
                  <c:y val="5.38420447568269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1D-4303-84AB-BF5857092FDB}"/>
                </c:ext>
              </c:extLst>
            </c:dLbl>
            <c:dLbl>
              <c:idx val="9"/>
              <c:layout>
                <c:manualLayout>
                  <c:x val="-9.2162802420379247E-3"/>
                  <c:y val="-1.27228691923700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A1D-4303-84AB-BF5857092FDB}"/>
                </c:ext>
              </c:extLst>
            </c:dLbl>
            <c:dLbl>
              <c:idx val="10"/>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extLst>
                <c:ext xmlns:c16="http://schemas.microsoft.com/office/drawing/2014/chart" uri="{C3380CC4-5D6E-409C-BE32-E72D297353CC}">
                  <c16:uniqueId val="{00000000-6C46-4FEA-89BB-25FBB14C62D9}"/>
                </c:ext>
              </c:extLst>
            </c:dLbl>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Graficos!$A$132:$A$141</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Graficos!$D$132:$D$141</c:f>
              <c:numCache>
                <c:formatCode>General</c:formatCode>
                <c:ptCount val="10"/>
                <c:pt idx="0">
                  <c:v>4</c:v>
                </c:pt>
                <c:pt idx="1">
                  <c:v>2</c:v>
                </c:pt>
                <c:pt idx="2">
                  <c:v>1</c:v>
                </c:pt>
                <c:pt idx="3">
                  <c:v>2</c:v>
                </c:pt>
                <c:pt idx="4">
                  <c:v>2</c:v>
                </c:pt>
                <c:pt idx="5">
                  <c:v>0</c:v>
                </c:pt>
                <c:pt idx="6">
                  <c:v>0</c:v>
                </c:pt>
                <c:pt idx="7">
                  <c:v>0</c:v>
                </c:pt>
                <c:pt idx="8">
                  <c:v>4</c:v>
                </c:pt>
                <c:pt idx="9" formatCode="0">
                  <c:v>0</c:v>
                </c:pt>
              </c:numCache>
            </c:numRef>
          </c:val>
          <c:smooth val="0"/>
          <c:extLst>
            <c:ext xmlns:c16="http://schemas.microsoft.com/office/drawing/2014/chart" uri="{C3380CC4-5D6E-409C-BE32-E72D297353CC}">
              <c16:uniqueId val="{0000000B-EA1D-4303-84AB-BF5857092FDB}"/>
            </c:ext>
          </c:extLst>
        </c:ser>
        <c:ser>
          <c:idx val="2"/>
          <c:order val="2"/>
          <c:tx>
            <c:v>Incapacitantes+DMR</c:v>
          </c:tx>
          <c:spPr>
            <a:ln w="381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4.0237552909169305E-2"/>
                  <c:y val="-6.06619854346654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A1D-4303-84AB-BF5857092FDB}"/>
                </c:ext>
              </c:extLst>
            </c:dLbl>
            <c:dLbl>
              <c:idx val="1"/>
              <c:layout>
                <c:manualLayout>
                  <c:x val="-3.2723018285795442E-2"/>
                  <c:y val="-4.43260293262841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A1D-4303-84AB-BF5857092FDB}"/>
                </c:ext>
              </c:extLst>
            </c:dLbl>
            <c:dLbl>
              <c:idx val="2"/>
              <c:layout>
                <c:manualLayout>
                  <c:x val="-3.6769401343803694E-2"/>
                  <c:y val="-7.24176608327359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A1D-4303-84AB-BF5857092FDB}"/>
                </c:ext>
              </c:extLst>
            </c:dLbl>
            <c:dLbl>
              <c:idx val="3"/>
              <c:layout>
                <c:manualLayout>
                  <c:x val="-3.1181652619518052E-2"/>
                  <c:y val="-5.57764323454352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A1D-4303-84AB-BF5857092FDB}"/>
                </c:ext>
              </c:extLst>
            </c:dLbl>
            <c:dLbl>
              <c:idx val="4"/>
              <c:layout>
                <c:manualLayout>
                  <c:x val="-3.3301047491585196E-2"/>
                  <c:y val="-6.34100343581999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A1D-4303-84AB-BF5857092FDB}"/>
                </c:ext>
              </c:extLst>
            </c:dLbl>
            <c:dLbl>
              <c:idx val="5"/>
              <c:layout>
                <c:manualLayout>
                  <c:x val="-4.1201002347770445E-2"/>
                  <c:y val="-6.93643395302820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A1D-4303-84AB-BF5857092FDB}"/>
                </c:ext>
              </c:extLst>
            </c:dLbl>
            <c:dLbl>
              <c:idx val="6"/>
              <c:layout>
                <c:manualLayout>
                  <c:x val="-4.7173969018014794E-2"/>
                  <c:y val="-6.06619854346654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A1D-4303-84AB-BF5857092FDB}"/>
                </c:ext>
              </c:extLst>
            </c:dLbl>
            <c:dLbl>
              <c:idx val="8"/>
              <c:layout>
                <c:manualLayout>
                  <c:x val="-1.287724306723555E-2"/>
                  <c:y val="-4.4020756947366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A1D-4303-84AB-BF5857092FDB}"/>
                </c:ext>
              </c:extLst>
            </c:dLbl>
            <c:dLbl>
              <c:idx val="9"/>
              <c:layout>
                <c:manualLayout>
                  <c:x val="-9.2162802420379247E-3"/>
                  <c:y val="-8.90588893200312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A1D-4303-84AB-BF5857092FDB}"/>
                </c:ext>
              </c:extLst>
            </c:dLbl>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Graficos!$A$132:$A$141</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Graficos!$C$132:$C$141</c:f>
              <c:numCache>
                <c:formatCode>General</c:formatCode>
                <c:ptCount val="10"/>
                <c:pt idx="0">
                  <c:v>4</c:v>
                </c:pt>
                <c:pt idx="1">
                  <c:v>2</c:v>
                </c:pt>
                <c:pt idx="2">
                  <c:v>1</c:v>
                </c:pt>
                <c:pt idx="3">
                  <c:v>2</c:v>
                </c:pt>
                <c:pt idx="4">
                  <c:v>2</c:v>
                </c:pt>
                <c:pt idx="5">
                  <c:v>6</c:v>
                </c:pt>
                <c:pt idx="6">
                  <c:v>4</c:v>
                </c:pt>
                <c:pt idx="7">
                  <c:v>2</c:v>
                </c:pt>
                <c:pt idx="8">
                  <c:v>5</c:v>
                </c:pt>
                <c:pt idx="9" formatCode="0">
                  <c:v>0</c:v>
                </c:pt>
              </c:numCache>
            </c:numRef>
          </c:val>
          <c:smooth val="0"/>
          <c:extLst>
            <c:ext xmlns:c16="http://schemas.microsoft.com/office/drawing/2014/chart" uri="{C3380CC4-5D6E-409C-BE32-E72D297353CC}">
              <c16:uniqueId val="{00000015-EA1D-4303-84AB-BF5857092FDB}"/>
            </c:ext>
          </c:extLst>
        </c:ser>
        <c:dLbls>
          <c:showLegendKey val="0"/>
          <c:showVal val="1"/>
          <c:showCatName val="0"/>
          <c:showSerName val="0"/>
          <c:showPercent val="0"/>
          <c:showBubbleSize val="0"/>
        </c:dLbls>
        <c:marker val="1"/>
        <c:smooth val="0"/>
        <c:axId val="1399160960"/>
        <c:axId val="1399172928"/>
      </c:lineChart>
      <c:catAx>
        <c:axId val="139916096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72928"/>
        <c:crosses val="autoZero"/>
        <c:auto val="0"/>
        <c:lblAlgn val="ctr"/>
        <c:lblOffset val="100"/>
        <c:tickLblSkip val="1"/>
        <c:tickMarkSkip val="1"/>
        <c:noMultiLvlLbl val="0"/>
      </c:catAx>
      <c:valAx>
        <c:axId val="1399172928"/>
        <c:scaling>
          <c:orientation val="minMax"/>
          <c:max val="50"/>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0960"/>
        <c:crosses val="autoZero"/>
        <c:crossBetween val="between"/>
      </c:valAx>
      <c:spPr>
        <a:solidFill>
          <a:srgbClr val="D4D4D4"/>
        </a:solidFill>
        <a:ln w="3175">
          <a:solidFill>
            <a:srgbClr val="000000"/>
          </a:solidFill>
          <a:prstDash val="solid"/>
        </a:ln>
      </c:spPr>
    </c:plotArea>
    <c:legend>
      <c:legendPos val="r"/>
      <c:layout>
        <c:manualLayout>
          <c:xMode val="edge"/>
          <c:yMode val="edge"/>
          <c:x val="9.6339730583322476E-3"/>
          <c:y val="0.86259702270040661"/>
          <c:w val="0.63969298163971133"/>
          <c:h val="8.3969465648852826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ACCIDENTES INCAPACITANTES GALLETERIA Y TERCEROS</a:t>
            </a:r>
          </a:p>
        </c:rich>
      </c:tx>
      <c:layout>
        <c:manualLayout>
          <c:xMode val="edge"/>
          <c:yMode val="edge"/>
          <c:x val="0.21834862385321124"/>
          <c:y val="1.8867924528301886E-2"/>
        </c:manualLayout>
      </c:layout>
      <c:overlay val="0"/>
      <c:spPr>
        <a:noFill/>
        <a:ln w="25400">
          <a:noFill/>
        </a:ln>
      </c:spPr>
    </c:title>
    <c:autoTitleDeleted val="0"/>
    <c:plotArea>
      <c:layout>
        <c:manualLayout>
          <c:layoutTarget val="inner"/>
          <c:xMode val="edge"/>
          <c:yMode val="edge"/>
          <c:x val="7.5229357798165045E-2"/>
          <c:y val="0.21132114409114144"/>
          <c:w val="0.88623853211009174"/>
          <c:h val="0.51320849279277125"/>
        </c:manualLayout>
      </c:layout>
      <c:lineChart>
        <c:grouping val="standard"/>
        <c:varyColors val="0"/>
        <c:ser>
          <c:idx val="1"/>
          <c:order val="0"/>
          <c:tx>
            <c:v>Total Alicorp+Terceros</c:v>
          </c:tx>
          <c:spPr>
            <a:ln w="25400">
              <a:solidFill>
                <a:srgbClr val="0000FF"/>
              </a:solidFill>
              <a:prstDash val="solid"/>
            </a:ln>
          </c:spPr>
          <c:marker>
            <c:symbol val="circle"/>
            <c:size val="5"/>
            <c:spPr>
              <a:solidFill>
                <a:srgbClr val="0000FF"/>
              </a:solidFill>
              <a:ln>
                <a:solidFill>
                  <a:srgbClr val="0000FF"/>
                </a:solidFill>
                <a:prstDash val="solid"/>
              </a:ln>
            </c:spPr>
          </c:marker>
          <c:dLbls>
            <c:dLbl>
              <c:idx val="4"/>
              <c:layout>
                <c:manualLayout>
                  <c:x val="-2.8042861614775212E-2"/>
                  <c:y val="-8.54862364539398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9A-4FA8-B97E-E3F3EFCEC458}"/>
                </c:ext>
              </c:extLst>
            </c:dLbl>
            <c:dLbl>
              <c:idx val="5"/>
              <c:layout>
                <c:manualLayout>
                  <c:x val="-2.8226251535071918E-2"/>
                  <c:y val="-9.19552284593497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9A-4FA8-B97E-E3F3EFCEC458}"/>
                </c:ext>
              </c:extLst>
            </c:dLbl>
            <c:dLbl>
              <c:idx val="6"/>
              <c:layout>
                <c:manualLayout>
                  <c:x val="-6.3272219412940409E-2"/>
                  <c:y val="-5.8532195674928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9A-4FA8-B97E-E3F3EFCEC458}"/>
                </c:ext>
              </c:extLst>
            </c:dLbl>
            <c:dLbl>
              <c:idx val="9"/>
              <c:layout>
                <c:manualLayout>
                  <c:x val="-2.7125334103879416E-2"/>
                  <c:y val="-0.138855816421238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9A-4FA8-B97E-E3F3EFCEC458}"/>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6D70-460C-982A-A3D376B10CE1}"/>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Graficos!$A$132:$A$141</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Graficos!$C$132:$C$141</c:f>
              <c:numCache>
                <c:formatCode>General</c:formatCode>
                <c:ptCount val="10"/>
                <c:pt idx="0">
                  <c:v>4</c:v>
                </c:pt>
                <c:pt idx="1">
                  <c:v>2</c:v>
                </c:pt>
                <c:pt idx="2">
                  <c:v>1</c:v>
                </c:pt>
                <c:pt idx="3">
                  <c:v>2</c:v>
                </c:pt>
                <c:pt idx="4">
                  <c:v>2</c:v>
                </c:pt>
                <c:pt idx="5">
                  <c:v>6</c:v>
                </c:pt>
                <c:pt idx="6">
                  <c:v>4</c:v>
                </c:pt>
                <c:pt idx="7">
                  <c:v>2</c:v>
                </c:pt>
                <c:pt idx="8">
                  <c:v>5</c:v>
                </c:pt>
                <c:pt idx="9" formatCode="0">
                  <c:v>0</c:v>
                </c:pt>
              </c:numCache>
            </c:numRef>
          </c:val>
          <c:smooth val="0"/>
          <c:extLst>
            <c:ext xmlns:c16="http://schemas.microsoft.com/office/drawing/2014/chart" uri="{C3380CC4-5D6E-409C-BE32-E72D297353CC}">
              <c16:uniqueId val="{00000005-E59A-4FA8-B97E-E3F3EFCEC458}"/>
            </c:ext>
          </c:extLst>
        </c:ser>
        <c:ser>
          <c:idx val="0"/>
          <c:order val="1"/>
          <c:tx>
            <c:v>Terceros</c:v>
          </c:tx>
          <c:spPr>
            <a:ln w="25400">
              <a:solidFill>
                <a:srgbClr val="FF3333"/>
              </a:solidFill>
              <a:prstDash val="solid"/>
            </a:ln>
          </c:spPr>
          <c:marker>
            <c:symbol val="circle"/>
            <c:size val="5"/>
            <c:spPr>
              <a:solidFill>
                <a:srgbClr val="FF3333"/>
              </a:solidFill>
              <a:ln>
                <a:solidFill>
                  <a:srgbClr val="FF3333"/>
                </a:solidFill>
                <a:prstDash val="solid"/>
              </a:ln>
            </c:spPr>
          </c:marker>
          <c:dLbls>
            <c:dLbl>
              <c:idx val="5"/>
              <c:layout>
                <c:manualLayout>
                  <c:x val="-3.9235425846998545E-2"/>
                  <c:y val="-5.11951731438846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59A-4FA8-B97E-E3F3EFCEC458}"/>
                </c:ext>
              </c:extLst>
            </c:dLbl>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Graficos!$A$132:$A$141</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Graficos!$J$132:$J$141</c:f>
              <c:numCache>
                <c:formatCode>General</c:formatCode>
                <c:ptCount val="10"/>
                <c:pt idx="0" formatCode="#,##0">
                  <c:v>0</c:v>
                </c:pt>
                <c:pt idx="1">
                  <c:v>0</c:v>
                </c:pt>
                <c:pt idx="2">
                  <c:v>0</c:v>
                </c:pt>
                <c:pt idx="3">
                  <c:v>0</c:v>
                </c:pt>
                <c:pt idx="4">
                  <c:v>1</c:v>
                </c:pt>
                <c:pt idx="5">
                  <c:v>0</c:v>
                </c:pt>
                <c:pt idx="6">
                  <c:v>0</c:v>
                </c:pt>
                <c:pt idx="7">
                  <c:v>0</c:v>
                </c:pt>
                <c:pt idx="8">
                  <c:v>1</c:v>
                </c:pt>
                <c:pt idx="9">
                  <c:v>0</c:v>
                </c:pt>
              </c:numCache>
            </c:numRef>
          </c:val>
          <c:smooth val="0"/>
          <c:extLst>
            <c:ext xmlns:c16="http://schemas.microsoft.com/office/drawing/2014/chart" uri="{C3380CC4-5D6E-409C-BE32-E72D297353CC}">
              <c16:uniqueId val="{00000007-E59A-4FA8-B97E-E3F3EFCEC458}"/>
            </c:ext>
          </c:extLst>
        </c:ser>
        <c:dLbls>
          <c:showLegendKey val="0"/>
          <c:showVal val="1"/>
          <c:showCatName val="0"/>
          <c:showSerName val="0"/>
          <c:showPercent val="0"/>
          <c:showBubbleSize val="0"/>
        </c:dLbls>
        <c:marker val="1"/>
        <c:smooth val="0"/>
        <c:axId val="1399171296"/>
        <c:axId val="1399174016"/>
      </c:lineChart>
      <c:catAx>
        <c:axId val="13991712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74016"/>
        <c:crosses val="autoZero"/>
        <c:auto val="0"/>
        <c:lblAlgn val="ctr"/>
        <c:lblOffset val="100"/>
        <c:tickLblSkip val="1"/>
        <c:tickMarkSkip val="1"/>
        <c:noMultiLvlLbl val="0"/>
      </c:catAx>
      <c:valAx>
        <c:axId val="1399174016"/>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71296"/>
        <c:crosses val="autoZero"/>
        <c:crossBetween val="between"/>
      </c:valAx>
      <c:spPr>
        <a:solidFill>
          <a:srgbClr val="D4D4D4"/>
        </a:solidFill>
        <a:ln w="12700">
          <a:solidFill>
            <a:srgbClr val="C0C4C7"/>
          </a:solidFill>
          <a:prstDash val="solid"/>
        </a:ln>
      </c:spPr>
    </c:plotArea>
    <c:legend>
      <c:legendPos val="r"/>
      <c:layout>
        <c:manualLayout>
          <c:xMode val="edge"/>
          <c:yMode val="edge"/>
          <c:x val="0.16146788990825689"/>
          <c:y val="0.87547328282077963"/>
          <c:w val="0.42018348623853208"/>
          <c:h val="8.3018867924528297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SEVERIDAD -  GALLETERIA</a:t>
            </a:r>
          </a:p>
        </c:rich>
      </c:tx>
      <c:layout>
        <c:manualLayout>
          <c:xMode val="edge"/>
          <c:yMode val="edge"/>
          <c:x val="0.31783014623172107"/>
          <c:y val="1.8939393939393936E-2"/>
        </c:manualLayout>
      </c:layout>
      <c:overlay val="0"/>
      <c:spPr>
        <a:noFill/>
        <a:ln w="25400">
          <a:noFill/>
        </a:ln>
      </c:spPr>
    </c:title>
    <c:autoTitleDeleted val="0"/>
    <c:plotArea>
      <c:layout>
        <c:manualLayout>
          <c:layoutTarget val="inner"/>
          <c:xMode val="edge"/>
          <c:yMode val="edge"/>
          <c:x val="7.1705562063881692E-2"/>
          <c:y val="0.22727356798046869"/>
          <c:w val="0.89922650804435356"/>
          <c:h val="0.65530545434372012"/>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3.8339976956858209E-2"/>
                  <c:y val="-0.118762586900884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40-43C1-9424-51DFD9A0FBD7}"/>
                </c:ext>
              </c:extLst>
            </c:dLbl>
            <c:dLbl>
              <c:idx val="1"/>
              <c:layout>
                <c:manualLayout>
                  <c:x val="-3.0394155198221466E-2"/>
                  <c:y val="-0.106988377863474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40-43C1-9424-51DFD9A0FBD7}"/>
                </c:ext>
              </c:extLst>
            </c:dLbl>
            <c:dLbl>
              <c:idx val="2"/>
              <c:layout>
                <c:manualLayout>
                  <c:x val="-2.6324309767362081E-2"/>
                  <c:y val="-0.118061367975717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40-43C1-9424-51DFD9A0FBD7}"/>
                </c:ext>
              </c:extLst>
            </c:dLbl>
            <c:dLbl>
              <c:idx val="3"/>
              <c:layout>
                <c:manualLayout>
                  <c:x val="-4.3572537602217624E-2"/>
                  <c:y val="-9.34174662006915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40-43C1-9424-51DFD9A0FBD7}"/>
                </c:ext>
              </c:extLst>
            </c:dLbl>
            <c:dLbl>
              <c:idx val="5"/>
              <c:layout>
                <c:manualLayout>
                  <c:x val="-3.5432846740498854E-2"/>
                  <c:y val="-8.63517014323442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40-43C1-9424-51DFD9A0FBD7}"/>
                </c:ext>
              </c:extLst>
            </c:dLbl>
            <c:dLbl>
              <c:idx val="6"/>
              <c:layout>
                <c:manualLayout>
                  <c:x val="-2.3611048654084851E-2"/>
                  <c:y val="-0.101503272631042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40-43C1-9424-51DFD9A0FBD7}"/>
                </c:ext>
              </c:extLst>
            </c:dLbl>
            <c:dLbl>
              <c:idx val="8"/>
              <c:layout>
                <c:manualLayout>
                  <c:x val="-9.6867064138631248E-2"/>
                  <c:y val="-7.05706520039822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40-43C1-9424-51DFD9A0FBD7}"/>
                </c:ext>
              </c:extLst>
            </c:dLbl>
            <c:dLbl>
              <c:idx val="9"/>
              <c:layout>
                <c:manualLayout>
                  <c:x val="-2.1091656643889421E-2"/>
                  <c:y val="-7.12001302336463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40-43C1-9424-51DFD9A0FBD7}"/>
                </c:ext>
              </c:extLst>
            </c:dLbl>
            <c:dLbl>
              <c:idx val="10"/>
              <c:numFmt formatCode="0" sourceLinked="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4F7B-46F7-B524-CA2B487AB063}"/>
                </c:ext>
              </c:extLst>
            </c:dLbl>
            <c:numFmt formatCode="0" sourceLinked="0"/>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Graficos!$A$132:$A$141</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Graficos!$H$132:$H$141</c:f>
              <c:numCache>
                <c:formatCode>#,##0</c:formatCode>
                <c:ptCount val="10"/>
                <c:pt idx="0">
                  <c:v>278.25154970654768</c:v>
                </c:pt>
                <c:pt idx="1">
                  <c:v>36.179651450804023</c:v>
                </c:pt>
                <c:pt idx="2">
                  <c:v>37.906889847993369</c:v>
                </c:pt>
                <c:pt idx="3">
                  <c:v>114.11973605735332</c:v>
                </c:pt>
                <c:pt idx="4">
                  <c:v>18.112420169508102</c:v>
                </c:pt>
                <c:pt idx="5">
                  <c:v>0</c:v>
                </c:pt>
                <c:pt idx="6">
                  <c:v>0</c:v>
                </c:pt>
                <c:pt idx="7">
                  <c:v>0</c:v>
                </c:pt>
                <c:pt idx="8">
                  <c:v>96.523343836219951</c:v>
                </c:pt>
                <c:pt idx="9">
                  <c:v>0</c:v>
                </c:pt>
              </c:numCache>
            </c:numRef>
          </c:val>
          <c:smooth val="0"/>
          <c:extLst>
            <c:ext xmlns:c16="http://schemas.microsoft.com/office/drawing/2014/chart" uri="{C3380CC4-5D6E-409C-BE32-E72D297353CC}">
              <c16:uniqueId val="{00000009-1240-43C1-9424-51DFD9A0FBD7}"/>
            </c:ext>
          </c:extLst>
        </c:ser>
        <c:dLbls>
          <c:showLegendKey val="0"/>
          <c:showVal val="1"/>
          <c:showCatName val="0"/>
          <c:showSerName val="0"/>
          <c:showPercent val="0"/>
          <c:showBubbleSize val="0"/>
        </c:dLbls>
        <c:marker val="1"/>
        <c:smooth val="0"/>
        <c:axId val="1399162592"/>
        <c:axId val="1399172384"/>
      </c:lineChart>
      <c:catAx>
        <c:axId val="139916259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72384"/>
        <c:crosses val="autoZero"/>
        <c:auto val="0"/>
        <c:lblAlgn val="ctr"/>
        <c:lblOffset val="100"/>
        <c:tickLblSkip val="1"/>
        <c:tickMarkSkip val="1"/>
        <c:noMultiLvlLbl val="0"/>
      </c:catAx>
      <c:valAx>
        <c:axId val="1399172384"/>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2592"/>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OSHA INCIDENT RATE - GALLETERIA
Incapacitantes + DMR + Menor</a:t>
            </a:r>
          </a:p>
        </c:rich>
      </c:tx>
      <c:layout>
        <c:manualLayout>
          <c:xMode val="edge"/>
          <c:yMode val="edge"/>
          <c:x val="0.30549888650282664"/>
          <c:y val="3.8314176245210725E-2"/>
        </c:manualLayout>
      </c:layout>
      <c:overlay val="0"/>
      <c:spPr>
        <a:noFill/>
        <a:ln w="25400">
          <a:noFill/>
        </a:ln>
      </c:spPr>
    </c:title>
    <c:autoTitleDeleted val="0"/>
    <c:plotArea>
      <c:layout>
        <c:manualLayout>
          <c:layoutTarget val="inner"/>
          <c:xMode val="edge"/>
          <c:yMode val="edge"/>
          <c:x val="7.7393075356418345E-2"/>
          <c:y val="0.35632317230594168"/>
          <c:w val="0.89816700610997968"/>
          <c:h val="0.52490617855819965"/>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5481-4FF9-9296-8423639A2A64}"/>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Graficos!$A$132:$A$141</c:f>
              <c:numCache>
                <c:formatCode>General</c:formatCode>
                <c:ptCount val="10"/>
                <c:pt idx="0">
                  <c:v>2002</c:v>
                </c:pt>
                <c:pt idx="1">
                  <c:v>2003</c:v>
                </c:pt>
                <c:pt idx="2">
                  <c:v>2004</c:v>
                </c:pt>
                <c:pt idx="3">
                  <c:v>2005</c:v>
                </c:pt>
                <c:pt idx="4">
                  <c:v>2006</c:v>
                </c:pt>
                <c:pt idx="5">
                  <c:v>2007</c:v>
                </c:pt>
                <c:pt idx="6">
                  <c:v>2008</c:v>
                </c:pt>
                <c:pt idx="7">
                  <c:v>2009</c:v>
                </c:pt>
                <c:pt idx="8">
                  <c:v>2010</c:v>
                </c:pt>
                <c:pt idx="9">
                  <c:v>2011</c:v>
                </c:pt>
              </c:numCache>
            </c:numRef>
          </c:cat>
          <c:val>
            <c:numRef>
              <c:f>Graficos!$I$132:$I$141</c:f>
              <c:numCache>
                <c:formatCode>#,##0.0</c:formatCode>
                <c:ptCount val="10"/>
                <c:pt idx="0">
                  <c:v>2.0611225904188717</c:v>
                </c:pt>
                <c:pt idx="1">
                  <c:v>1.9481350781202167</c:v>
                </c:pt>
                <c:pt idx="2">
                  <c:v>2.7076349891423837</c:v>
                </c:pt>
                <c:pt idx="3">
                  <c:v>3.5322775446323647</c:v>
                </c:pt>
                <c:pt idx="4">
                  <c:v>1.6904925491540896</c:v>
                </c:pt>
                <c:pt idx="5">
                  <c:v>3.4202130792748386</c:v>
                </c:pt>
                <c:pt idx="6">
                  <c:v>3.8897744019250848</c:v>
                </c:pt>
                <c:pt idx="7">
                  <c:v>1.8413018740770475</c:v>
                </c:pt>
                <c:pt idx="8">
                  <c:v>2.4847593462789295</c:v>
                </c:pt>
                <c:pt idx="9">
                  <c:v>0</c:v>
                </c:pt>
              </c:numCache>
            </c:numRef>
          </c:val>
          <c:smooth val="0"/>
          <c:extLst>
            <c:ext xmlns:c16="http://schemas.microsoft.com/office/drawing/2014/chart" uri="{C3380CC4-5D6E-409C-BE32-E72D297353CC}">
              <c16:uniqueId val="{00000001-3AF8-4FFE-9278-AFAB2A364E26}"/>
            </c:ext>
          </c:extLst>
        </c:ser>
        <c:dLbls>
          <c:showLegendKey val="0"/>
          <c:showVal val="1"/>
          <c:showCatName val="0"/>
          <c:showSerName val="0"/>
          <c:showPercent val="0"/>
          <c:showBubbleSize val="0"/>
        </c:dLbls>
        <c:marker val="1"/>
        <c:smooth val="0"/>
        <c:axId val="1399164224"/>
        <c:axId val="1399175104"/>
      </c:lineChart>
      <c:catAx>
        <c:axId val="139916422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75104"/>
        <c:crosses val="autoZero"/>
        <c:auto val="0"/>
        <c:lblAlgn val="ctr"/>
        <c:lblOffset val="100"/>
        <c:tickLblSkip val="1"/>
        <c:tickMarkSkip val="1"/>
        <c:noMultiLvlLbl val="0"/>
      </c:catAx>
      <c:valAx>
        <c:axId val="1399175104"/>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4224"/>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INSTANTANEOS
Incapacitantes + DMR </a:t>
            </a:r>
          </a:p>
        </c:rich>
      </c:tx>
      <c:layout>
        <c:manualLayout>
          <c:xMode val="edge"/>
          <c:yMode val="edge"/>
          <c:x val="0.37745144356955618"/>
          <c:y val="1.9305019305019471E-2"/>
        </c:manualLayout>
      </c:layout>
      <c:overlay val="0"/>
      <c:spPr>
        <a:noFill/>
        <a:ln w="25400">
          <a:noFill/>
        </a:ln>
      </c:spPr>
    </c:title>
    <c:autoTitleDeleted val="0"/>
    <c:plotArea>
      <c:layout>
        <c:manualLayout>
          <c:layoutTarget val="inner"/>
          <c:xMode val="edge"/>
          <c:yMode val="edge"/>
          <c:x val="5.1963048498845282E-2"/>
          <c:y val="0.28571482435982704"/>
          <c:w val="0.92263279445727486"/>
          <c:h val="0.59459571555961099"/>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5"/>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686-4D3C-A2AC-9E5F3D47888A}"/>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1A31-41E0-A45A-732384BA1561}"/>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Graficos!$A$149:$A$153</c:f>
              <c:numCache>
                <c:formatCode>General</c:formatCode>
                <c:ptCount val="5"/>
                <c:pt idx="0">
                  <c:v>2007</c:v>
                </c:pt>
                <c:pt idx="1">
                  <c:v>2008</c:v>
                </c:pt>
                <c:pt idx="2">
                  <c:v>2009</c:v>
                </c:pt>
                <c:pt idx="3">
                  <c:v>2010</c:v>
                </c:pt>
                <c:pt idx="4">
                  <c:v>2011</c:v>
                </c:pt>
              </c:numCache>
            </c:numRef>
          </c:cat>
          <c:val>
            <c:numRef>
              <c:f>Graficos!$G$149:$G$153</c:f>
              <c:numCache>
                <c:formatCode>#,##0.0</c:formatCode>
                <c:ptCount val="5"/>
                <c:pt idx="0">
                  <c:v>42.355731671733665</c:v>
                </c:pt>
                <c:pt idx="1">
                  <c:v>6.4698955758854053</c:v>
                </c:pt>
                <c:pt idx="2">
                  <c:v>0</c:v>
                </c:pt>
                <c:pt idx="3">
                  <c:v>2.2536074621450286</c:v>
                </c:pt>
                <c:pt idx="4">
                  <c:v>0</c:v>
                </c:pt>
              </c:numCache>
            </c:numRef>
          </c:val>
          <c:smooth val="0"/>
          <c:extLst>
            <c:ext xmlns:c16="http://schemas.microsoft.com/office/drawing/2014/chart" uri="{C3380CC4-5D6E-409C-BE32-E72D297353CC}">
              <c16:uniqueId val="{00000002-4686-4D3C-A2AC-9E5F3D47888A}"/>
            </c:ext>
          </c:extLst>
        </c:ser>
        <c:dLbls>
          <c:showLegendKey val="0"/>
          <c:showVal val="1"/>
          <c:showCatName val="0"/>
          <c:showSerName val="0"/>
          <c:showPercent val="0"/>
          <c:showBubbleSize val="0"/>
        </c:dLbls>
        <c:marker val="1"/>
        <c:smooth val="0"/>
        <c:axId val="1399168576"/>
        <c:axId val="1399173472"/>
      </c:lineChart>
      <c:catAx>
        <c:axId val="13991685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73472"/>
        <c:crosses val="autoZero"/>
        <c:auto val="0"/>
        <c:lblAlgn val="ctr"/>
        <c:lblOffset val="100"/>
        <c:tickLblSkip val="1"/>
        <c:tickMarkSkip val="1"/>
        <c:noMultiLvlLbl val="0"/>
      </c:catAx>
      <c:valAx>
        <c:axId val="1399173472"/>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8576"/>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SEVERIDAD -  INSTANTANEOS</a:t>
            </a:r>
          </a:p>
        </c:rich>
      </c:tx>
      <c:layout>
        <c:manualLayout>
          <c:xMode val="edge"/>
          <c:yMode val="edge"/>
          <c:x val="0.30560949934734488"/>
          <c:y val="1.9083969465648869E-2"/>
        </c:manualLayout>
      </c:layout>
      <c:overlay val="0"/>
      <c:spPr>
        <a:noFill/>
        <a:ln w="25400">
          <a:noFill/>
        </a:ln>
      </c:spPr>
    </c:title>
    <c:autoTitleDeleted val="0"/>
    <c:plotArea>
      <c:layout>
        <c:manualLayout>
          <c:layoutTarget val="inner"/>
          <c:xMode val="edge"/>
          <c:yMode val="edge"/>
          <c:x val="8.3172225554040247E-2"/>
          <c:y val="0.22519125937660159"/>
          <c:w val="0.88781515184427851"/>
          <c:h val="0.65648977309790002"/>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3.8168784439027735E-2"/>
                  <c:y val="-0.1207230740540647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D8-4D08-9A01-D2A430593400}"/>
                </c:ext>
              </c:extLst>
            </c:dLbl>
            <c:dLbl>
              <c:idx val="1"/>
              <c:layout>
                <c:manualLayout>
                  <c:x val="-3.0045019206972851E-2"/>
                  <c:y val="-0.102277483506440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D8-4D08-9A01-D2A430593400}"/>
                </c:ext>
              </c:extLst>
            </c:dLbl>
            <c:dLbl>
              <c:idx val="2"/>
              <c:layout>
                <c:manualLayout>
                  <c:x val="-2.5789729582082289E-2"/>
                  <c:y val="-0.117544687531972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D8-4D08-9A01-D2A430593400}"/>
                </c:ext>
              </c:extLst>
            </c:dLbl>
            <c:dLbl>
              <c:idx val="3"/>
              <c:layout>
                <c:manualLayout>
                  <c:x val="-4.2811055796597254E-2"/>
                  <c:y val="-9.46438814936741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D8-4D08-9A01-D2A430593400}"/>
                </c:ext>
              </c:extLst>
            </c:dLbl>
            <c:dLbl>
              <c:idx val="5"/>
              <c:layout>
                <c:manualLayout>
                  <c:xMode val="edge"/>
                  <c:yMode val="edge"/>
                  <c:x val="0.54932353621737562"/>
                  <c:y val="0.748092997251101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D8-4D08-9A01-D2A430593400}"/>
                </c:ext>
              </c:extLst>
            </c:dLbl>
            <c:dLbl>
              <c:idx val="6"/>
              <c:layout>
                <c:manualLayout>
                  <c:xMode val="edge"/>
                  <c:yMode val="edge"/>
                  <c:x val="0.65183813980723737"/>
                  <c:y val="0.732825793225578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D8-4D08-9A01-D2A430593400}"/>
                </c:ext>
              </c:extLst>
            </c:dLbl>
            <c:dLbl>
              <c:idx val="8"/>
              <c:layout>
                <c:manualLayout>
                  <c:xMode val="edge"/>
                  <c:yMode val="edge"/>
                  <c:x val="0.76015545680786423"/>
                  <c:y val="0.534352140893607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D8-4D08-9A01-D2A430593400}"/>
                </c:ext>
              </c:extLst>
            </c:dLbl>
            <c:dLbl>
              <c:idx val="9"/>
              <c:layout>
                <c:manualLayout>
                  <c:xMode val="edge"/>
                  <c:yMode val="edge"/>
                  <c:x val="0.92649990791592451"/>
                  <c:y val="0.763360201276615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D8-4D08-9A01-D2A430593400}"/>
                </c:ext>
              </c:extLst>
            </c:dLbl>
            <c:dLbl>
              <c:idx val="10"/>
              <c:numFmt formatCode="0" sourceLinked="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3999-4260-9F1B-C83B84A4BB2C}"/>
                </c:ext>
              </c:extLst>
            </c:dLbl>
            <c:numFmt formatCode="0" sourceLinked="0"/>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Graficos!$A$149:$A$153</c:f>
              <c:numCache>
                <c:formatCode>General</c:formatCode>
                <c:ptCount val="5"/>
                <c:pt idx="0">
                  <c:v>2007</c:v>
                </c:pt>
                <c:pt idx="1">
                  <c:v>2008</c:v>
                </c:pt>
                <c:pt idx="2">
                  <c:v>2009</c:v>
                </c:pt>
                <c:pt idx="3">
                  <c:v>2010</c:v>
                </c:pt>
                <c:pt idx="4">
                  <c:v>2011</c:v>
                </c:pt>
              </c:numCache>
            </c:numRef>
          </c:cat>
          <c:val>
            <c:numRef>
              <c:f>Graficos!$H$149:$H$153</c:f>
              <c:numCache>
                <c:formatCode>#,##0</c:formatCode>
                <c:ptCount val="5"/>
                <c:pt idx="0">
                  <c:v>1538.9249174063232</c:v>
                </c:pt>
                <c:pt idx="1">
                  <c:v>0</c:v>
                </c:pt>
                <c:pt idx="2">
                  <c:v>0</c:v>
                </c:pt>
                <c:pt idx="3">
                  <c:v>0</c:v>
                </c:pt>
                <c:pt idx="4">
                  <c:v>0</c:v>
                </c:pt>
              </c:numCache>
            </c:numRef>
          </c:val>
          <c:smooth val="0"/>
          <c:extLst>
            <c:ext xmlns:c16="http://schemas.microsoft.com/office/drawing/2014/chart" uri="{C3380CC4-5D6E-409C-BE32-E72D297353CC}">
              <c16:uniqueId val="{00000009-7BD8-4D08-9A01-D2A430593400}"/>
            </c:ext>
          </c:extLst>
        </c:ser>
        <c:dLbls>
          <c:showLegendKey val="0"/>
          <c:showVal val="1"/>
          <c:showCatName val="0"/>
          <c:showSerName val="0"/>
          <c:showPercent val="0"/>
          <c:showBubbleSize val="0"/>
        </c:dLbls>
        <c:marker val="1"/>
        <c:smooth val="0"/>
        <c:axId val="1399165312"/>
        <c:axId val="1399169120"/>
      </c:lineChart>
      <c:catAx>
        <c:axId val="139916531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9120"/>
        <c:crosses val="autoZero"/>
        <c:auto val="0"/>
        <c:lblAlgn val="ctr"/>
        <c:lblOffset val="100"/>
        <c:tickLblSkip val="1"/>
        <c:tickMarkSkip val="1"/>
        <c:noMultiLvlLbl val="0"/>
      </c:catAx>
      <c:valAx>
        <c:axId val="1399169120"/>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5312"/>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OSHA INCIDENT RATE - INSTANTANEOS
Incapacitantes + DMR + Menor</a:t>
            </a:r>
          </a:p>
        </c:rich>
      </c:tx>
      <c:layout>
        <c:manualLayout>
          <c:xMode val="edge"/>
          <c:yMode val="edge"/>
          <c:x val="0.28861845010394532"/>
          <c:y val="3.8610038610038609E-2"/>
        </c:manualLayout>
      </c:layout>
      <c:overlay val="0"/>
      <c:spPr>
        <a:noFill/>
        <a:ln w="25400">
          <a:noFill/>
        </a:ln>
      </c:spPr>
    </c:title>
    <c:autoTitleDeleted val="0"/>
    <c:plotArea>
      <c:layout>
        <c:manualLayout>
          <c:layoutTarget val="inner"/>
          <c:xMode val="edge"/>
          <c:yMode val="edge"/>
          <c:x val="8.9431071819168789E-2"/>
          <c:y val="0.35521302487976758"/>
          <c:w val="0.88618062075358262"/>
          <c:h val="0.5250975150396564"/>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14E5-41B2-8E81-7619808A7D19}"/>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Graficos!$A$149:$A$153</c:f>
              <c:numCache>
                <c:formatCode>General</c:formatCode>
                <c:ptCount val="5"/>
                <c:pt idx="0">
                  <c:v>2007</c:v>
                </c:pt>
                <c:pt idx="1">
                  <c:v>2008</c:v>
                </c:pt>
                <c:pt idx="2">
                  <c:v>2009</c:v>
                </c:pt>
                <c:pt idx="3">
                  <c:v>2010</c:v>
                </c:pt>
                <c:pt idx="4">
                  <c:v>2011</c:v>
                </c:pt>
              </c:numCache>
            </c:numRef>
          </c:cat>
          <c:val>
            <c:numRef>
              <c:f>Graficos!$I$149:$I$153</c:f>
              <c:numCache>
                <c:formatCode>#,##0.0</c:formatCode>
                <c:ptCount val="5"/>
                <c:pt idx="0">
                  <c:v>17.883531150287549</c:v>
                </c:pt>
                <c:pt idx="1">
                  <c:v>5.607242832434018</c:v>
                </c:pt>
                <c:pt idx="2">
                  <c:v>2.3407691767514804</c:v>
                </c:pt>
                <c:pt idx="3">
                  <c:v>3.6057719394320458</c:v>
                </c:pt>
                <c:pt idx="4">
                  <c:v>0</c:v>
                </c:pt>
              </c:numCache>
            </c:numRef>
          </c:val>
          <c:smooth val="0"/>
          <c:extLst>
            <c:ext xmlns:c16="http://schemas.microsoft.com/office/drawing/2014/chart" uri="{C3380CC4-5D6E-409C-BE32-E72D297353CC}">
              <c16:uniqueId val="{00000001-DD31-473C-B704-2C210323EE57}"/>
            </c:ext>
          </c:extLst>
        </c:ser>
        <c:dLbls>
          <c:showLegendKey val="0"/>
          <c:showVal val="1"/>
          <c:showCatName val="0"/>
          <c:showSerName val="0"/>
          <c:showPercent val="0"/>
          <c:showBubbleSize val="0"/>
        </c:dLbls>
        <c:marker val="1"/>
        <c:smooth val="0"/>
        <c:axId val="1399174560"/>
        <c:axId val="1399176192"/>
      </c:lineChart>
      <c:catAx>
        <c:axId val="139917456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76192"/>
        <c:crosses val="autoZero"/>
        <c:auto val="0"/>
        <c:lblAlgn val="ctr"/>
        <c:lblOffset val="100"/>
        <c:tickLblSkip val="1"/>
        <c:tickMarkSkip val="1"/>
        <c:noMultiLvlLbl val="0"/>
      </c:catAx>
      <c:valAx>
        <c:axId val="1399176192"/>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74560"/>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ESTADISTICA ANUAL ACCIDENTES INSTANTANEOS</a:t>
            </a:r>
          </a:p>
        </c:rich>
      </c:tx>
      <c:layout>
        <c:manualLayout>
          <c:xMode val="edge"/>
          <c:yMode val="edge"/>
          <c:x val="0.23846184321299632"/>
          <c:y val="1.9230769230769423E-2"/>
        </c:manualLayout>
      </c:layout>
      <c:overlay val="0"/>
      <c:spPr>
        <a:noFill/>
        <a:ln w="25400">
          <a:noFill/>
        </a:ln>
      </c:spPr>
    </c:title>
    <c:autoTitleDeleted val="0"/>
    <c:plotArea>
      <c:layout>
        <c:manualLayout>
          <c:layoutTarget val="inner"/>
          <c:xMode val="edge"/>
          <c:yMode val="edge"/>
          <c:x val="5.1923125679016753E-2"/>
          <c:y val="0.1923076923076924"/>
          <c:w val="0.90000084510293921"/>
          <c:h val="0.58461538461538454"/>
        </c:manualLayout>
      </c:layout>
      <c:lineChart>
        <c:grouping val="standard"/>
        <c:varyColors val="0"/>
        <c:ser>
          <c:idx val="1"/>
          <c:order val="0"/>
          <c:tx>
            <c:v>Total</c:v>
          </c:tx>
          <c:spPr>
            <a:ln w="25400">
              <a:solidFill>
                <a:srgbClr val="000000"/>
              </a:solidFill>
              <a:prstDash val="solid"/>
            </a:ln>
          </c:spPr>
          <c:marker>
            <c:symbol val="circle"/>
            <c:size val="5"/>
            <c:spPr>
              <a:solidFill>
                <a:srgbClr val="000000"/>
              </a:solidFill>
              <a:ln>
                <a:solidFill>
                  <a:srgbClr val="000000"/>
                </a:solidFill>
                <a:prstDash val="solid"/>
              </a:ln>
            </c:spPr>
          </c:marker>
          <c:dLbls>
            <c:spPr>
              <a:noFill/>
              <a:ln w="25400">
                <a:noFill/>
              </a:ln>
            </c:spPr>
            <c:txPr>
              <a:bodyPr/>
              <a:lstStyle/>
              <a:p>
                <a:pPr>
                  <a:defRPr sz="1000" b="1" i="0" u="none" strike="noStrike" baseline="0">
                    <a:solidFill>
                      <a:srgbClr val="000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Graficos!$A$149:$A$153</c:f>
              <c:numCache>
                <c:formatCode>General</c:formatCode>
                <c:ptCount val="5"/>
                <c:pt idx="0">
                  <c:v>2007</c:v>
                </c:pt>
                <c:pt idx="1">
                  <c:v>2008</c:v>
                </c:pt>
                <c:pt idx="2">
                  <c:v>2009</c:v>
                </c:pt>
                <c:pt idx="3">
                  <c:v>2010</c:v>
                </c:pt>
                <c:pt idx="4">
                  <c:v>2011</c:v>
                </c:pt>
              </c:numCache>
            </c:numRef>
          </c:cat>
          <c:val>
            <c:numRef>
              <c:f>Graficos!$B$149:$B$153</c:f>
              <c:numCache>
                <c:formatCode>General</c:formatCode>
                <c:ptCount val="5"/>
                <c:pt idx="0">
                  <c:v>19</c:v>
                </c:pt>
                <c:pt idx="1">
                  <c:v>13</c:v>
                </c:pt>
                <c:pt idx="2">
                  <c:v>5</c:v>
                </c:pt>
                <c:pt idx="3">
                  <c:v>8</c:v>
                </c:pt>
                <c:pt idx="4" formatCode="0">
                  <c:v>1</c:v>
                </c:pt>
              </c:numCache>
            </c:numRef>
          </c:val>
          <c:smooth val="0"/>
          <c:extLst>
            <c:ext xmlns:c16="http://schemas.microsoft.com/office/drawing/2014/chart" uri="{C3380CC4-5D6E-409C-BE32-E72D297353CC}">
              <c16:uniqueId val="{00000000-1E38-4FE3-BCDA-6D36FEF31DF3}"/>
            </c:ext>
          </c:extLst>
        </c:ser>
        <c:ser>
          <c:idx val="0"/>
          <c:order val="1"/>
          <c:tx>
            <c:v>Incapacitantes</c:v>
          </c:tx>
          <c:spPr>
            <a:ln w="38100">
              <a:solidFill>
                <a:srgbClr val="FF3333"/>
              </a:solidFill>
              <a:prstDash val="solid"/>
            </a:ln>
          </c:spPr>
          <c:marker>
            <c:symbol val="circle"/>
            <c:size val="5"/>
            <c:spPr>
              <a:solidFill>
                <a:srgbClr val="FF3333"/>
              </a:solidFill>
              <a:ln>
                <a:solidFill>
                  <a:srgbClr val="FF3333"/>
                </a:solidFill>
                <a:prstDash val="solid"/>
              </a:ln>
            </c:spPr>
          </c:marker>
          <c:dLbls>
            <c:dLbl>
              <c:idx val="0"/>
              <c:layout>
                <c:manualLayout>
                  <c:x val="-4.1410148063723395E-2"/>
                  <c:y val="2.31794871794871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38-4FE3-BCDA-6D36FEF31DF3}"/>
                </c:ext>
              </c:extLst>
            </c:dLbl>
            <c:dLbl>
              <c:idx val="1"/>
              <c:layout>
                <c:manualLayout>
                  <c:x val="-4.6025568445597215E-2"/>
                  <c:y val="-1.66666666666667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38-4FE3-BCDA-6D36FEF31DF3}"/>
                </c:ext>
              </c:extLst>
            </c:dLbl>
            <c:dLbl>
              <c:idx val="2"/>
              <c:layout>
                <c:manualLayout>
                  <c:x val="1.2821368515457615E-3"/>
                  <c:y val="-5.128205128205140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38-4FE3-BCDA-6D36FEF31DF3}"/>
                </c:ext>
              </c:extLst>
            </c:dLbl>
            <c:dLbl>
              <c:idx val="3"/>
              <c:layout>
                <c:manualLayout>
                  <c:x val="-4.9487173022787503E-2"/>
                  <c:y val="1.02564102564102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38-4FE3-BCDA-6D36FEF31DF3}"/>
                </c:ext>
              </c:extLst>
            </c:dLbl>
            <c:dLbl>
              <c:idx val="4"/>
              <c:layout>
                <c:manualLayout>
                  <c:x val="-5.2179514675808718E-2"/>
                  <c:y val="1.79487179487180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38-4FE3-BCDA-6D36FEF31DF3}"/>
                </c:ext>
              </c:extLst>
            </c:dLbl>
            <c:dLbl>
              <c:idx val="5"/>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38-4FE3-BCDA-6D36FEF31DF3}"/>
                </c:ext>
              </c:extLst>
            </c:dLbl>
            <c:dLbl>
              <c:idx val="6"/>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38-4FE3-BCDA-6D36FEF31DF3}"/>
                </c:ext>
              </c:extLst>
            </c:dLbl>
            <c:dLbl>
              <c:idx val="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38-4FE3-BCDA-6D36FEF31DF3}"/>
                </c:ext>
              </c:extLst>
            </c:dLbl>
            <c:dLbl>
              <c:idx val="8"/>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38-4FE3-BCDA-6D36FEF31DF3}"/>
                </c:ext>
              </c:extLst>
            </c:dLbl>
            <c:dLbl>
              <c:idx val="9"/>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38-4FE3-BCDA-6D36FEF31DF3}"/>
                </c:ext>
              </c:extLst>
            </c:dLbl>
            <c:dLbl>
              <c:idx val="10"/>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extLst>
                <c:ext xmlns:c16="http://schemas.microsoft.com/office/drawing/2014/chart" uri="{C3380CC4-5D6E-409C-BE32-E72D297353CC}">
                  <c16:uniqueId val="{00000000-4794-460F-A8CE-9CC7BE35B90D}"/>
                </c:ext>
              </c:extLst>
            </c:dLbl>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Graficos!$A$149:$A$153</c:f>
              <c:numCache>
                <c:formatCode>General</c:formatCode>
                <c:ptCount val="5"/>
                <c:pt idx="0">
                  <c:v>2007</c:v>
                </c:pt>
                <c:pt idx="1">
                  <c:v>2008</c:v>
                </c:pt>
                <c:pt idx="2">
                  <c:v>2009</c:v>
                </c:pt>
                <c:pt idx="3">
                  <c:v>2010</c:v>
                </c:pt>
                <c:pt idx="4">
                  <c:v>2011</c:v>
                </c:pt>
              </c:numCache>
            </c:numRef>
          </c:cat>
          <c:val>
            <c:numRef>
              <c:f>Graficos!$D$149:$D$153</c:f>
              <c:numCache>
                <c:formatCode>General</c:formatCode>
                <c:ptCount val="5"/>
                <c:pt idx="0">
                  <c:v>4</c:v>
                </c:pt>
                <c:pt idx="1">
                  <c:v>0</c:v>
                </c:pt>
                <c:pt idx="2">
                  <c:v>0</c:v>
                </c:pt>
                <c:pt idx="3">
                  <c:v>0</c:v>
                </c:pt>
                <c:pt idx="4" formatCode="0">
                  <c:v>0</c:v>
                </c:pt>
              </c:numCache>
            </c:numRef>
          </c:val>
          <c:smooth val="0"/>
          <c:extLst>
            <c:ext xmlns:c16="http://schemas.microsoft.com/office/drawing/2014/chart" uri="{C3380CC4-5D6E-409C-BE32-E72D297353CC}">
              <c16:uniqueId val="{0000000C-1E38-4FE3-BCDA-6D36FEF31DF3}"/>
            </c:ext>
          </c:extLst>
        </c:ser>
        <c:ser>
          <c:idx val="2"/>
          <c:order val="2"/>
          <c:tx>
            <c:v>Incapacitantes+DMR</c:v>
          </c:tx>
          <c:spPr>
            <a:ln w="381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4.1410148063723395E-2"/>
                  <c:y val="-6.25895416919039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E38-4FE3-BCDA-6D36FEF31DF3}"/>
                </c:ext>
              </c:extLst>
            </c:dLbl>
            <c:dLbl>
              <c:idx val="1"/>
              <c:layout>
                <c:manualLayout>
                  <c:x val="-3.256401734363E-2"/>
                  <c:y val="-4.35126186149809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E38-4FE3-BCDA-6D36FEF31DF3}"/>
                </c:ext>
              </c:extLst>
            </c:dLbl>
            <c:dLbl>
              <c:idx val="2"/>
              <c:layout>
                <c:manualLayout>
                  <c:x val="-3.7179437725505214E-2"/>
                  <c:y val="-3.58974358974359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E38-4FE3-BCDA-6D36FEF31DF3}"/>
                </c:ext>
              </c:extLst>
            </c:dLbl>
            <c:dLbl>
              <c:idx val="3"/>
              <c:layout>
                <c:manualLayout>
                  <c:x val="-3.2179464463115252E-2"/>
                  <c:y val="-5.38203109226731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E38-4FE3-BCDA-6D36FEF31DF3}"/>
                </c:ext>
              </c:extLst>
            </c:dLbl>
            <c:dLbl>
              <c:idx val="4"/>
              <c:layout>
                <c:manualLayout>
                  <c:x val="-4.1025464544969161E-3"/>
                  <c:y val="-3.20512820512820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E38-4FE3-BCDA-6D36FEF31DF3}"/>
                </c:ext>
              </c:extLst>
            </c:dLbl>
            <c:dLbl>
              <c:idx val="5"/>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E38-4FE3-BCDA-6D36FEF31DF3}"/>
                </c:ext>
              </c:extLst>
            </c:dLbl>
            <c:dLbl>
              <c:idx val="6"/>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E38-4FE3-BCDA-6D36FEF31DF3}"/>
                </c:ext>
              </c:extLst>
            </c:dLbl>
            <c:dLbl>
              <c:idx val="8"/>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E38-4FE3-BCDA-6D36FEF31DF3}"/>
                </c:ext>
              </c:extLst>
            </c:dLbl>
            <c:dLbl>
              <c:idx val="9"/>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E38-4FE3-BCDA-6D36FEF31DF3}"/>
                </c:ext>
              </c:extLst>
            </c:dLbl>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Graficos!$A$149:$A$153</c:f>
              <c:numCache>
                <c:formatCode>General</c:formatCode>
                <c:ptCount val="5"/>
                <c:pt idx="0">
                  <c:v>2007</c:v>
                </c:pt>
                <c:pt idx="1">
                  <c:v>2008</c:v>
                </c:pt>
                <c:pt idx="2">
                  <c:v>2009</c:v>
                </c:pt>
                <c:pt idx="3">
                  <c:v>2010</c:v>
                </c:pt>
                <c:pt idx="4">
                  <c:v>2011</c:v>
                </c:pt>
              </c:numCache>
            </c:numRef>
          </c:cat>
          <c:val>
            <c:numRef>
              <c:f>Graficos!$C$149:$C$153</c:f>
              <c:numCache>
                <c:formatCode>General</c:formatCode>
                <c:ptCount val="5"/>
                <c:pt idx="0">
                  <c:v>9</c:v>
                </c:pt>
                <c:pt idx="1">
                  <c:v>3</c:v>
                </c:pt>
                <c:pt idx="2">
                  <c:v>0</c:v>
                </c:pt>
                <c:pt idx="3">
                  <c:v>1</c:v>
                </c:pt>
                <c:pt idx="4" formatCode="0">
                  <c:v>0</c:v>
                </c:pt>
              </c:numCache>
            </c:numRef>
          </c:val>
          <c:smooth val="0"/>
          <c:extLst>
            <c:ext xmlns:c16="http://schemas.microsoft.com/office/drawing/2014/chart" uri="{C3380CC4-5D6E-409C-BE32-E72D297353CC}">
              <c16:uniqueId val="{00000016-1E38-4FE3-BCDA-6D36FEF31DF3}"/>
            </c:ext>
          </c:extLst>
        </c:ser>
        <c:dLbls>
          <c:showLegendKey val="0"/>
          <c:showVal val="1"/>
          <c:showCatName val="0"/>
          <c:showSerName val="0"/>
          <c:showPercent val="0"/>
          <c:showBubbleSize val="0"/>
        </c:dLbls>
        <c:marker val="1"/>
        <c:smooth val="0"/>
        <c:axId val="1399167488"/>
        <c:axId val="1399163136"/>
      </c:lineChart>
      <c:catAx>
        <c:axId val="139916748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3136"/>
        <c:crosses val="autoZero"/>
        <c:auto val="0"/>
        <c:lblAlgn val="ctr"/>
        <c:lblOffset val="100"/>
        <c:tickLblSkip val="1"/>
        <c:tickMarkSkip val="1"/>
        <c:noMultiLvlLbl val="0"/>
      </c:catAx>
      <c:valAx>
        <c:axId val="1399163136"/>
        <c:scaling>
          <c:orientation val="minMax"/>
          <c:max val="50"/>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7488"/>
        <c:crosses val="autoZero"/>
        <c:crossBetween val="between"/>
      </c:valAx>
      <c:spPr>
        <a:solidFill>
          <a:srgbClr val="D4D4D4"/>
        </a:solidFill>
        <a:ln w="3175">
          <a:solidFill>
            <a:srgbClr val="000000"/>
          </a:solidFill>
          <a:prstDash val="solid"/>
        </a:ln>
      </c:spPr>
    </c:plotArea>
    <c:legend>
      <c:legendPos val="r"/>
      <c:layout>
        <c:manualLayout>
          <c:xMode val="edge"/>
          <c:yMode val="edge"/>
          <c:x val="9.615460803248781E-3"/>
          <c:y val="0.84615384615385159"/>
          <c:w val="0.63846209082355276"/>
          <c:h val="8.4615384615384648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ACCIDENTES INCAPACITANTES INSTANTANEOS Y TERCEROS</a:t>
            </a:r>
          </a:p>
        </c:rich>
      </c:tx>
      <c:layout>
        <c:manualLayout>
          <c:xMode val="edge"/>
          <c:yMode val="edge"/>
          <c:x val="0.20329708786401846"/>
          <c:y val="1.9011406844106463E-2"/>
        </c:manualLayout>
      </c:layout>
      <c:overlay val="0"/>
      <c:spPr>
        <a:noFill/>
        <a:ln w="25400">
          <a:noFill/>
        </a:ln>
      </c:spPr>
    </c:title>
    <c:autoTitleDeleted val="0"/>
    <c:plotArea>
      <c:layout>
        <c:manualLayout>
          <c:layoutTarget val="inner"/>
          <c:xMode val="edge"/>
          <c:yMode val="edge"/>
          <c:x val="8.6080740042532425E-2"/>
          <c:y val="0.22053231939163498"/>
          <c:w val="0.87545944128362763"/>
          <c:h val="0.49809885931559739"/>
        </c:manualLayout>
      </c:layout>
      <c:lineChart>
        <c:grouping val="standard"/>
        <c:varyColors val="0"/>
        <c:ser>
          <c:idx val="1"/>
          <c:order val="0"/>
          <c:tx>
            <c:v>Total Alicorp+Terceros</c:v>
          </c:tx>
          <c:spPr>
            <a:ln w="25400">
              <a:solidFill>
                <a:srgbClr val="0000FF"/>
              </a:solidFill>
              <a:prstDash val="solid"/>
            </a:ln>
          </c:spPr>
          <c:marker>
            <c:symbol val="circle"/>
            <c:size val="5"/>
            <c:spPr>
              <a:solidFill>
                <a:srgbClr val="0000FF"/>
              </a:solidFill>
              <a:ln>
                <a:solidFill>
                  <a:srgbClr val="0000FF"/>
                </a:solidFill>
                <a:prstDash val="solid"/>
              </a:ln>
            </c:spPr>
          </c:marker>
          <c:dLbls>
            <c:dLbl>
              <c:idx val="2"/>
              <c:layout>
                <c:manualLayout>
                  <c:x val="-2.6251573725491292E-2"/>
                  <c:y val="-0.139911180303984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E71-4B2A-8F71-CEAE1425FEA2}"/>
                </c:ext>
              </c:extLst>
            </c:dLbl>
            <c:dLbl>
              <c:idx val="4"/>
              <c:layout>
                <c:manualLayout>
                  <c:x val="-2.8815620913848174E-2"/>
                  <c:y val="-0.143713461672810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71-4B2A-8F71-CEAE1425FEA2}"/>
                </c:ext>
              </c:extLst>
            </c:dLbl>
            <c:dLbl>
              <c:idx val="5"/>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E71-4B2A-8F71-CEAE1425FEA2}"/>
                </c:ext>
              </c:extLst>
            </c:dLbl>
            <c:dLbl>
              <c:idx val="6"/>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71-4B2A-8F71-CEAE1425FEA2}"/>
                </c:ext>
              </c:extLst>
            </c:dLbl>
            <c:dLbl>
              <c:idx val="9"/>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E71-4B2A-8F71-CEAE1425FEA2}"/>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B5DD-438D-BF93-100C30257493}"/>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Graficos!$A$149:$A$153</c:f>
              <c:numCache>
                <c:formatCode>General</c:formatCode>
                <c:ptCount val="5"/>
                <c:pt idx="0">
                  <c:v>2007</c:v>
                </c:pt>
                <c:pt idx="1">
                  <c:v>2008</c:v>
                </c:pt>
                <c:pt idx="2">
                  <c:v>2009</c:v>
                </c:pt>
                <c:pt idx="3">
                  <c:v>2010</c:v>
                </c:pt>
                <c:pt idx="4">
                  <c:v>2011</c:v>
                </c:pt>
              </c:numCache>
            </c:numRef>
          </c:cat>
          <c:val>
            <c:numRef>
              <c:f>Graficos!$C$149:$C$153</c:f>
              <c:numCache>
                <c:formatCode>General</c:formatCode>
                <c:ptCount val="5"/>
                <c:pt idx="0">
                  <c:v>9</c:v>
                </c:pt>
                <c:pt idx="1">
                  <c:v>3</c:v>
                </c:pt>
                <c:pt idx="2">
                  <c:v>0</c:v>
                </c:pt>
                <c:pt idx="3">
                  <c:v>1</c:v>
                </c:pt>
                <c:pt idx="4" formatCode="0">
                  <c:v>0</c:v>
                </c:pt>
              </c:numCache>
            </c:numRef>
          </c:val>
          <c:smooth val="0"/>
          <c:extLst>
            <c:ext xmlns:c16="http://schemas.microsoft.com/office/drawing/2014/chart" uri="{C3380CC4-5D6E-409C-BE32-E72D297353CC}">
              <c16:uniqueId val="{00000006-0E71-4B2A-8F71-CEAE1425FEA2}"/>
            </c:ext>
          </c:extLst>
        </c:ser>
        <c:ser>
          <c:idx val="0"/>
          <c:order val="1"/>
          <c:tx>
            <c:v>Terceros</c:v>
          </c:tx>
          <c:spPr>
            <a:ln w="25400">
              <a:solidFill>
                <a:srgbClr val="FF3333"/>
              </a:solidFill>
              <a:prstDash val="solid"/>
            </a:ln>
          </c:spPr>
          <c:marker>
            <c:symbol val="circle"/>
            <c:size val="5"/>
            <c:spPr>
              <a:solidFill>
                <a:srgbClr val="FF3333"/>
              </a:solidFill>
              <a:ln>
                <a:solidFill>
                  <a:srgbClr val="FF3333"/>
                </a:solidFill>
                <a:prstDash val="solid"/>
              </a:ln>
            </c:spPr>
          </c:marker>
          <c:dLbls>
            <c:dLbl>
              <c:idx val="4"/>
              <c:layout>
                <c:manualLayout>
                  <c:x val="-2.515261069927225E-2"/>
                  <c:y val="-7.43977725217809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71-4B2A-8F71-CEAE1425FEA2}"/>
                </c:ext>
              </c:extLst>
            </c:dLbl>
            <c:dLbl>
              <c:idx val="5"/>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E71-4B2A-8F71-CEAE1425FEA2}"/>
                </c:ext>
              </c:extLst>
            </c:dLbl>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Graficos!$A$149:$A$153</c:f>
              <c:numCache>
                <c:formatCode>General</c:formatCode>
                <c:ptCount val="5"/>
                <c:pt idx="0">
                  <c:v>2007</c:v>
                </c:pt>
                <c:pt idx="1">
                  <c:v>2008</c:v>
                </c:pt>
                <c:pt idx="2">
                  <c:v>2009</c:v>
                </c:pt>
                <c:pt idx="3">
                  <c:v>2010</c:v>
                </c:pt>
                <c:pt idx="4">
                  <c:v>2011</c:v>
                </c:pt>
              </c:numCache>
            </c:numRef>
          </c:cat>
          <c:val>
            <c:numRef>
              <c:f>Graficos!$J$149:$J$153</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9-0E71-4B2A-8F71-CEAE1425FEA2}"/>
            </c:ext>
          </c:extLst>
        </c:ser>
        <c:dLbls>
          <c:showLegendKey val="0"/>
          <c:showVal val="1"/>
          <c:showCatName val="0"/>
          <c:showSerName val="0"/>
          <c:showPercent val="0"/>
          <c:showBubbleSize val="0"/>
        </c:dLbls>
        <c:marker val="1"/>
        <c:smooth val="0"/>
        <c:axId val="1399170752"/>
        <c:axId val="1399171840"/>
      </c:lineChart>
      <c:catAx>
        <c:axId val="139917075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71840"/>
        <c:crosses val="autoZero"/>
        <c:auto val="0"/>
        <c:lblAlgn val="ctr"/>
        <c:lblOffset val="100"/>
        <c:tickLblSkip val="1"/>
        <c:tickMarkSkip val="1"/>
        <c:noMultiLvlLbl val="0"/>
      </c:catAx>
      <c:valAx>
        <c:axId val="1399171840"/>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70752"/>
        <c:crosses val="autoZero"/>
        <c:crossBetween val="between"/>
      </c:valAx>
      <c:spPr>
        <a:solidFill>
          <a:srgbClr val="D4D4D4"/>
        </a:solidFill>
        <a:ln w="12700">
          <a:solidFill>
            <a:srgbClr val="C0C4C7"/>
          </a:solidFill>
          <a:prstDash val="solid"/>
        </a:ln>
      </c:spPr>
    </c:plotArea>
    <c:legend>
      <c:legendPos val="r"/>
      <c:layout>
        <c:manualLayout>
          <c:xMode val="edge"/>
          <c:yMode val="edge"/>
          <c:x val="0.17032967032967017"/>
          <c:y val="0.8783269961977187"/>
          <c:w val="0.41941391941391942"/>
          <c:h val="8.3650190114070155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INDICE DE FRECUENCIA - ALICORP
Incapacitantes + DMR </a:t>
            </a:r>
          </a:p>
        </c:rich>
      </c:tx>
      <c:layout>
        <c:manualLayout>
          <c:xMode val="edge"/>
          <c:yMode val="edge"/>
          <c:x val="0.33081325136815726"/>
          <c:y val="3.5335652810840515E-2"/>
        </c:manualLayout>
      </c:layout>
      <c:overlay val="0"/>
      <c:spPr>
        <a:noFill/>
        <a:ln w="25400">
          <a:noFill/>
        </a:ln>
      </c:spPr>
    </c:title>
    <c:autoTitleDeleted val="0"/>
    <c:plotArea>
      <c:layout>
        <c:manualLayout>
          <c:layoutTarget val="inner"/>
          <c:xMode val="edge"/>
          <c:yMode val="edge"/>
          <c:x val="6.2381910132168934E-2"/>
          <c:y val="0.25795097509762793"/>
          <c:w val="0.92627684741704519"/>
          <c:h val="0.5795063002192955"/>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4"/>
              <c:layout>
                <c:manualLayout>
                  <c:x val="1.2774765398014021E-2"/>
                  <c:y val="8.480652571419574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48-45B1-BB88-79173153F9C4}"/>
                </c:ext>
              </c:extLst>
            </c:dLbl>
            <c:dLbl>
              <c:idx val="5"/>
              <c:layout>
                <c:manualLayout>
                  <c:x val="-0.11984615764609512"/>
                  <c:y val="6.772503577533080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48-45B1-BB88-79173153F9C4}"/>
                </c:ext>
              </c:extLst>
            </c:dLbl>
            <c:dLbl>
              <c:idx val="6"/>
              <c:layout>
                <c:manualLayout>
                  <c:x val="-3.6965936597258782E-2"/>
                  <c:y val="-0.114075851700002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48-45B1-BB88-79173153F9C4}"/>
                </c:ext>
              </c:extLst>
            </c:dLbl>
            <c:dLbl>
              <c:idx val="8"/>
              <c:layout>
                <c:manualLayout>
                  <c:x val="-4.3228337591323107E-2"/>
                  <c:y val="-5.77738824442688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48-45B1-BB88-79173153F9C4}"/>
                </c:ext>
              </c:extLst>
            </c:dLbl>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Graficos!$B$2:$R$2</c:f>
              <c:strCache>
                <c:ptCount val="17"/>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pt idx="14">
                  <c:v>Mar-11</c:v>
                </c:pt>
                <c:pt idx="15">
                  <c:v>Abr-11</c:v>
                </c:pt>
                <c:pt idx="16">
                  <c:v>May-11</c:v>
                </c:pt>
              </c:strCache>
            </c:strRef>
          </c:cat>
          <c:val>
            <c:numRef>
              <c:f>Graficos!$B$11:$R$11</c:f>
              <c:numCache>
                <c:formatCode>0.0</c:formatCode>
                <c:ptCount val="17"/>
                <c:pt idx="0">
                  <c:v>3.65</c:v>
                </c:pt>
                <c:pt idx="1">
                  <c:v>3.82</c:v>
                </c:pt>
                <c:pt idx="2">
                  <c:v>3.89</c:v>
                </c:pt>
                <c:pt idx="3">
                  <c:v>3.88</c:v>
                </c:pt>
                <c:pt idx="4">
                  <c:v>3.52</c:v>
                </c:pt>
                <c:pt idx="5">
                  <c:v>3.95</c:v>
                </c:pt>
                <c:pt idx="6">
                  <c:v>4.1900000000000004</c:v>
                </c:pt>
                <c:pt idx="7">
                  <c:v>4.22</c:v>
                </c:pt>
                <c:pt idx="8">
                  <c:v>4.2699999999999996</c:v>
                </c:pt>
                <c:pt idx="9">
                  <c:v>4.0999999999999996</c:v>
                </c:pt>
                <c:pt idx="10">
                  <c:v>4</c:v>
                </c:pt>
                <c:pt idx="11">
                  <c:v>4.0999999999999996</c:v>
                </c:pt>
                <c:pt idx="12">
                  <c:v>4</c:v>
                </c:pt>
                <c:pt idx="13">
                  <c:v>3.9</c:v>
                </c:pt>
                <c:pt idx="14">
                  <c:v>4.2</c:v>
                </c:pt>
                <c:pt idx="15" formatCode="General">
                  <c:v>4.2</c:v>
                </c:pt>
                <c:pt idx="16" formatCode="General">
                  <c:v>4.5</c:v>
                </c:pt>
              </c:numCache>
            </c:numRef>
          </c:val>
          <c:smooth val="0"/>
          <c:extLst>
            <c:ext xmlns:c16="http://schemas.microsoft.com/office/drawing/2014/chart" uri="{C3380CC4-5D6E-409C-BE32-E72D297353CC}">
              <c16:uniqueId val="{00000004-6748-45B1-BB88-79173153F9C4}"/>
            </c:ext>
          </c:extLst>
        </c:ser>
        <c:dLbls>
          <c:showLegendKey val="0"/>
          <c:showVal val="1"/>
          <c:showCatName val="0"/>
          <c:showSerName val="0"/>
          <c:showPercent val="0"/>
          <c:showBubbleSize val="0"/>
        </c:dLbls>
        <c:marker val="1"/>
        <c:smooth val="0"/>
        <c:axId val="1399163680"/>
        <c:axId val="1399164768"/>
      </c:lineChart>
      <c:catAx>
        <c:axId val="139916368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4768"/>
        <c:crossesAt val="2"/>
        <c:auto val="0"/>
        <c:lblAlgn val="ctr"/>
        <c:lblOffset val="100"/>
        <c:tickLblSkip val="1"/>
        <c:tickMarkSkip val="1"/>
        <c:noMultiLvlLbl val="0"/>
      </c:catAx>
      <c:valAx>
        <c:axId val="1399164768"/>
        <c:scaling>
          <c:orientation val="minMax"/>
          <c:min val="2"/>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3680"/>
        <c:crosses val="autoZero"/>
        <c:crossBetween val="between"/>
        <c:majorUnit val="1"/>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orientation="landscape" horizontalDpi="300"/>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INDICE DE FRECUENCIA - MOL.LIMA
Incapacitantes + DMR </a:t>
            </a:r>
          </a:p>
        </c:rich>
      </c:tx>
      <c:layout>
        <c:manualLayout>
          <c:xMode val="edge"/>
          <c:yMode val="edge"/>
          <c:x val="0.35274577366681081"/>
          <c:y val="1.8050541516245487E-2"/>
        </c:manualLayout>
      </c:layout>
      <c:overlay val="0"/>
      <c:spPr>
        <a:noFill/>
        <a:ln w="25400">
          <a:noFill/>
        </a:ln>
      </c:spPr>
    </c:title>
    <c:autoTitleDeleted val="0"/>
    <c:plotArea>
      <c:layout>
        <c:manualLayout>
          <c:layoutTarget val="inner"/>
          <c:xMode val="edge"/>
          <c:yMode val="edge"/>
          <c:x val="7.1547479093664768E-2"/>
          <c:y val="0.22382710935227704"/>
          <c:w val="0.90183101555270473"/>
          <c:h val="0.66426109872288663"/>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
              <c:layout>
                <c:manualLayout>
                  <c:x val="-3.6264374599731905E-2"/>
                  <c:y val="7.14767798888900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6AF-4542-9B49-B2A509E205BC}"/>
                </c:ext>
              </c:extLst>
            </c:dLbl>
            <c:dLbl>
              <c:idx val="3"/>
              <c:layout>
                <c:manualLayout>
                  <c:x val="-4.3943855589703665E-2"/>
                  <c:y val="-6.22519569428393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AF-4542-9B49-B2A509E205BC}"/>
                </c:ext>
              </c:extLst>
            </c:dLbl>
            <c:dLbl>
              <c:idx val="12"/>
              <c:layout>
                <c:manualLayout>
                  <c:x val="-6.0908957882897574E-2"/>
                  <c:y val="1.1053888702735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6AF-4542-9B49-B2A509E205BC}"/>
                </c:ext>
              </c:extLst>
            </c:dLbl>
            <c:dLbl>
              <c:idx val="15"/>
              <c:layout>
                <c:manualLayout>
                  <c:xMode val="edge"/>
                  <c:yMode val="edge"/>
                  <c:x val="0.74376100360161068"/>
                  <c:y val="0.581228461382525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AF-4542-9B49-B2A509E205BC}"/>
                </c:ext>
              </c:extLst>
            </c:dLbl>
            <c:spPr>
              <a:noFill/>
              <a:ln w="25400">
                <a:noFill/>
              </a:ln>
            </c:spPr>
            <c:txPr>
              <a:bodyPr/>
              <a:lstStyle/>
              <a:p>
                <a:pPr>
                  <a:defRPr sz="11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Graficos!$I$13:$U$13</c:f>
              <c:strCache>
                <c:ptCount val="13"/>
                <c:pt idx="0">
                  <c:v>Ago</c:v>
                </c:pt>
                <c:pt idx="1">
                  <c:v>Sep</c:v>
                </c:pt>
                <c:pt idx="2">
                  <c:v>Oct</c:v>
                </c:pt>
                <c:pt idx="3">
                  <c:v>Nov</c:v>
                </c:pt>
                <c:pt idx="4">
                  <c:v>Dic</c:v>
                </c:pt>
                <c:pt idx="5">
                  <c:v>Ene-11</c:v>
                </c:pt>
                <c:pt idx="6">
                  <c:v>Feb-11</c:v>
                </c:pt>
                <c:pt idx="7">
                  <c:v>Mar-11</c:v>
                </c:pt>
                <c:pt idx="8">
                  <c:v>Abr-11</c:v>
                </c:pt>
                <c:pt idx="9">
                  <c:v>May-11</c:v>
                </c:pt>
                <c:pt idx="10">
                  <c:v>Jun-11</c:v>
                </c:pt>
                <c:pt idx="11">
                  <c:v>Jul-11</c:v>
                </c:pt>
                <c:pt idx="12">
                  <c:v>Ago-11</c:v>
                </c:pt>
              </c:strCache>
            </c:strRef>
          </c:cat>
          <c:val>
            <c:numRef>
              <c:f>Graficos!$I$18:$U$18</c:f>
              <c:numCache>
                <c:formatCode>#,##0.0</c:formatCode>
                <c:ptCount val="13"/>
                <c:pt idx="0">
                  <c:v>5.28</c:v>
                </c:pt>
                <c:pt idx="1">
                  <c:v>5.22</c:v>
                </c:pt>
                <c:pt idx="2">
                  <c:v>5.91</c:v>
                </c:pt>
                <c:pt idx="3">
                  <c:v>5.87</c:v>
                </c:pt>
                <c:pt idx="4">
                  <c:v>6.56</c:v>
                </c:pt>
                <c:pt idx="5" formatCode="General">
                  <c:v>6.5</c:v>
                </c:pt>
                <c:pt idx="6">
                  <c:v>6.6</c:v>
                </c:pt>
                <c:pt idx="7">
                  <c:v>6.5</c:v>
                </c:pt>
                <c:pt idx="8" formatCode="General">
                  <c:v>4.8</c:v>
                </c:pt>
                <c:pt idx="9" formatCode="General">
                  <c:v>4.8</c:v>
                </c:pt>
                <c:pt idx="10" formatCode="General">
                  <c:v>4.8</c:v>
                </c:pt>
                <c:pt idx="11" formatCode="General">
                  <c:v>4.0999999999999996</c:v>
                </c:pt>
                <c:pt idx="12" formatCode="General">
                  <c:v>7.3</c:v>
                </c:pt>
              </c:numCache>
            </c:numRef>
          </c:val>
          <c:smooth val="0"/>
          <c:extLst>
            <c:ext xmlns:c16="http://schemas.microsoft.com/office/drawing/2014/chart" uri="{C3380CC4-5D6E-409C-BE32-E72D297353CC}">
              <c16:uniqueId val="{00000004-06AF-4542-9B49-B2A509E205BC}"/>
            </c:ext>
          </c:extLst>
        </c:ser>
        <c:dLbls>
          <c:showLegendKey val="0"/>
          <c:showVal val="1"/>
          <c:showCatName val="0"/>
          <c:showSerName val="0"/>
          <c:showPercent val="0"/>
          <c:showBubbleSize val="0"/>
        </c:dLbls>
        <c:marker val="1"/>
        <c:smooth val="0"/>
        <c:axId val="1399165856"/>
        <c:axId val="1399166400"/>
      </c:lineChart>
      <c:catAx>
        <c:axId val="13991658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6400"/>
        <c:crossesAt val="4"/>
        <c:auto val="0"/>
        <c:lblAlgn val="ctr"/>
        <c:lblOffset val="100"/>
        <c:tickLblSkip val="1"/>
        <c:tickMarkSkip val="1"/>
        <c:noMultiLvlLbl val="0"/>
      </c:catAx>
      <c:valAx>
        <c:axId val="1399166400"/>
        <c:scaling>
          <c:orientation val="minMax"/>
          <c:min val="4"/>
        </c:scaling>
        <c:delete val="0"/>
        <c:axPos val="l"/>
        <c:majorGridlines>
          <c:spPr>
            <a:ln w="3175">
              <a:solidFill>
                <a:srgbClr val="000000"/>
              </a:solidFill>
              <a:prstDash val="solid"/>
            </a:ln>
          </c:spPr>
        </c:majorGridlines>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5856"/>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00" verticalDpi="300"/>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ESTADISTICA MENSUAL ACCIDENTES MOL.LIMA</a:t>
            </a:r>
          </a:p>
        </c:rich>
      </c:tx>
      <c:layout>
        <c:manualLayout>
          <c:xMode val="edge"/>
          <c:yMode val="edge"/>
          <c:x val="0.23790343747354292"/>
          <c:y val="1.6666666666666701E-2"/>
        </c:manualLayout>
      </c:layout>
      <c:overlay val="0"/>
      <c:spPr>
        <a:noFill/>
        <a:ln w="25400">
          <a:noFill/>
        </a:ln>
      </c:spPr>
    </c:title>
    <c:autoTitleDeleted val="0"/>
    <c:plotArea>
      <c:layout>
        <c:manualLayout>
          <c:layoutTarget val="inner"/>
          <c:xMode val="edge"/>
          <c:yMode val="edge"/>
          <c:x val="4.2338751357295534E-2"/>
          <c:y val="0.15666717665096574"/>
          <c:w val="0.91129121969035465"/>
          <c:h val="0.59666860894729457"/>
        </c:manualLayout>
      </c:layout>
      <c:lineChart>
        <c:grouping val="standard"/>
        <c:varyColors val="0"/>
        <c:ser>
          <c:idx val="1"/>
          <c:order val="0"/>
          <c:tx>
            <c:v>Menores</c:v>
          </c:tx>
          <c:spPr>
            <a:ln w="25400">
              <a:solidFill>
                <a:srgbClr val="008000"/>
              </a:solidFill>
              <a:prstDash val="solid"/>
            </a:ln>
          </c:spPr>
          <c:marker>
            <c:symbol val="circle"/>
            <c:size val="5"/>
            <c:spPr>
              <a:solidFill>
                <a:srgbClr val="008000"/>
              </a:solidFill>
              <a:ln>
                <a:solidFill>
                  <a:srgbClr val="008000"/>
                </a:solidFill>
                <a:prstDash val="solid"/>
              </a:ln>
            </c:spPr>
          </c:marker>
          <c:dLbls>
            <c:delete val="1"/>
          </c:dLbls>
          <c:cat>
            <c:strRef>
              <c:f>Graficos!$B$13:$O$13</c:f>
              <c:strCache>
                <c:ptCount val="14"/>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strCache>
            </c:strRef>
          </c:cat>
          <c:val>
            <c:numRef>
              <c:f>Graficos!$B$16:$O$16</c:f>
              <c:numCache>
                <c:formatCode>General</c:formatCode>
                <c:ptCount val="14"/>
                <c:pt idx="0">
                  <c:v>0</c:v>
                </c:pt>
                <c:pt idx="1">
                  <c:v>1</c:v>
                </c:pt>
                <c:pt idx="2">
                  <c:v>0</c:v>
                </c:pt>
                <c:pt idx="3">
                  <c:v>0</c:v>
                </c:pt>
                <c:pt idx="4">
                  <c:v>0</c:v>
                </c:pt>
                <c:pt idx="5">
                  <c:v>2</c:v>
                </c:pt>
                <c:pt idx="6">
                  <c:v>0</c:v>
                </c:pt>
                <c:pt idx="7">
                  <c:v>0</c:v>
                </c:pt>
                <c:pt idx="8">
                  <c:v>0</c:v>
                </c:pt>
                <c:pt idx="9">
                  <c:v>0</c:v>
                </c:pt>
                <c:pt idx="10">
                  <c:v>1</c:v>
                </c:pt>
                <c:pt idx="11">
                  <c:v>1</c:v>
                </c:pt>
                <c:pt idx="12">
                  <c:v>0</c:v>
                </c:pt>
                <c:pt idx="13">
                  <c:v>0</c:v>
                </c:pt>
              </c:numCache>
            </c:numRef>
          </c:val>
          <c:smooth val="0"/>
          <c:extLst>
            <c:ext xmlns:c16="http://schemas.microsoft.com/office/drawing/2014/chart" uri="{C3380CC4-5D6E-409C-BE32-E72D297353CC}">
              <c16:uniqueId val="{00000000-B325-47CD-B130-9C3FEA3DE4A0}"/>
            </c:ext>
          </c:extLst>
        </c:ser>
        <c:ser>
          <c:idx val="0"/>
          <c:order val="1"/>
          <c:tx>
            <c:v>Incapacitantes</c:v>
          </c:tx>
          <c:spPr>
            <a:ln w="25400">
              <a:solidFill>
                <a:srgbClr val="FF3333"/>
              </a:solidFill>
              <a:prstDash val="solid"/>
            </a:ln>
          </c:spPr>
          <c:marker>
            <c:symbol val="circle"/>
            <c:size val="5"/>
            <c:spPr>
              <a:solidFill>
                <a:srgbClr val="FF3333"/>
              </a:solidFill>
              <a:ln>
                <a:solidFill>
                  <a:srgbClr val="FF3333"/>
                </a:solidFill>
                <a:prstDash val="solid"/>
              </a:ln>
            </c:spPr>
          </c:marker>
          <c:dLbls>
            <c:delete val="1"/>
          </c:dLbls>
          <c:cat>
            <c:strRef>
              <c:f>Graficos!$B$13:$O$13</c:f>
              <c:strCache>
                <c:ptCount val="14"/>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strCache>
            </c:strRef>
          </c:cat>
          <c:val>
            <c:numRef>
              <c:f>Graficos!$B$14:$O$14</c:f>
              <c:numCache>
                <c:formatCode>General</c:formatCode>
                <c:ptCount val="14"/>
                <c:pt idx="0">
                  <c:v>1</c:v>
                </c:pt>
                <c:pt idx="1">
                  <c:v>0</c:v>
                </c:pt>
                <c:pt idx="2">
                  <c:v>1</c:v>
                </c:pt>
                <c:pt idx="3">
                  <c:v>1</c:v>
                </c:pt>
                <c:pt idx="4">
                  <c:v>1</c:v>
                </c:pt>
                <c:pt idx="5">
                  <c:v>1</c:v>
                </c:pt>
                <c:pt idx="6">
                  <c:v>0</c:v>
                </c:pt>
                <c:pt idx="7">
                  <c:v>1</c:v>
                </c:pt>
                <c:pt idx="8">
                  <c:v>0</c:v>
                </c:pt>
                <c:pt idx="9">
                  <c:v>2</c:v>
                </c:pt>
                <c:pt idx="10">
                  <c:v>0</c:v>
                </c:pt>
                <c:pt idx="11">
                  <c:v>1</c:v>
                </c:pt>
                <c:pt idx="12">
                  <c:v>1</c:v>
                </c:pt>
                <c:pt idx="13">
                  <c:v>0</c:v>
                </c:pt>
              </c:numCache>
            </c:numRef>
          </c:val>
          <c:smooth val="0"/>
          <c:extLst>
            <c:ext xmlns:c16="http://schemas.microsoft.com/office/drawing/2014/chart" uri="{C3380CC4-5D6E-409C-BE32-E72D297353CC}">
              <c16:uniqueId val="{00000001-B325-47CD-B130-9C3FEA3DE4A0}"/>
            </c:ext>
          </c:extLst>
        </c:ser>
        <c:dLbls>
          <c:showLegendKey val="0"/>
          <c:showVal val="1"/>
          <c:showCatName val="0"/>
          <c:showSerName val="0"/>
          <c:showPercent val="0"/>
          <c:showBubbleSize val="0"/>
        </c:dLbls>
        <c:marker val="1"/>
        <c:smooth val="0"/>
        <c:axId val="1399168032"/>
        <c:axId val="1399169664"/>
      </c:lineChart>
      <c:catAx>
        <c:axId val="139916803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9664"/>
        <c:crosses val="autoZero"/>
        <c:auto val="0"/>
        <c:lblAlgn val="ctr"/>
        <c:lblOffset val="100"/>
        <c:tickLblSkip val="1"/>
        <c:tickMarkSkip val="1"/>
        <c:noMultiLvlLbl val="0"/>
      </c:catAx>
      <c:valAx>
        <c:axId val="1399169664"/>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399168032"/>
        <c:crosses val="autoZero"/>
        <c:crossBetween val="between"/>
        <c:majorUnit val="1"/>
      </c:valAx>
      <c:spPr>
        <a:solidFill>
          <a:srgbClr val="D4D4D4"/>
        </a:solidFill>
        <a:ln w="3175">
          <a:solidFill>
            <a:srgbClr val="000000"/>
          </a:solidFill>
          <a:prstDash val="solid"/>
        </a:ln>
      </c:spPr>
    </c:plotArea>
    <c:legend>
      <c:legendPos val="r"/>
      <c:layout>
        <c:manualLayout>
          <c:xMode val="edge"/>
          <c:yMode val="edge"/>
          <c:x val="1.0080645161290319E-2"/>
          <c:y val="0.75000000000000433"/>
          <c:w val="0.66935483870968282"/>
          <c:h val="7.3333333333334055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Estadistica Mensual de Accidentes FIDEERÍA LIMA</a:t>
            </a:r>
          </a:p>
        </c:rich>
      </c:tx>
      <c:layout>
        <c:manualLayout>
          <c:xMode val="edge"/>
          <c:yMode val="edge"/>
          <c:x val="0.22424284843182626"/>
          <c:y val="3.5460992907801435E-2"/>
        </c:manualLayout>
      </c:layout>
      <c:overlay val="0"/>
      <c:spPr>
        <a:noFill/>
        <a:ln w="25400">
          <a:noFill/>
        </a:ln>
      </c:spPr>
    </c:title>
    <c:autoTitleDeleted val="0"/>
    <c:plotArea>
      <c:layout>
        <c:manualLayout>
          <c:layoutTarget val="inner"/>
          <c:xMode val="edge"/>
          <c:yMode val="edge"/>
          <c:x val="7.0707210202042944E-2"/>
          <c:y val="0.20922058268430949"/>
          <c:w val="0.89091084854570812"/>
          <c:h val="0.50709395464163154"/>
        </c:manualLayout>
      </c:layout>
      <c:barChart>
        <c:barDir val="col"/>
        <c:grouping val="clustered"/>
        <c:varyColors val="0"/>
        <c:ser>
          <c:idx val="1"/>
          <c:order val="0"/>
          <c:tx>
            <c:v>Incapacitante</c:v>
          </c:tx>
          <c:spPr>
            <a:solidFill>
              <a:srgbClr val="FF3333"/>
            </a:solidFill>
            <a:ln w="12700">
              <a:solidFill>
                <a:srgbClr val="FF3333"/>
              </a:solidFill>
              <a:prstDash val="solid"/>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0641-4067-930D-4CC58EF4CDE7}"/>
                </c:ext>
              </c:extLst>
            </c:dLbl>
            <c:dLbl>
              <c:idx val="6"/>
              <c:delete val="1"/>
              <c:extLst>
                <c:ext xmlns:c15="http://schemas.microsoft.com/office/drawing/2012/chart" uri="{CE6537A1-D6FC-4f65-9D91-7224C49458BB}"/>
                <c:ext xmlns:c16="http://schemas.microsoft.com/office/drawing/2014/chart" uri="{C3380CC4-5D6E-409C-BE32-E72D297353CC}">
                  <c16:uniqueId val="{00000001-0641-4067-930D-4CC58EF4CDE7}"/>
                </c:ext>
              </c:extLst>
            </c:dLbl>
            <c:dLbl>
              <c:idx val="8"/>
              <c:delete val="1"/>
              <c:extLst>
                <c:ext xmlns:c15="http://schemas.microsoft.com/office/drawing/2012/chart" uri="{CE6537A1-D6FC-4f65-9D91-7224C49458BB}"/>
                <c:ext xmlns:c16="http://schemas.microsoft.com/office/drawing/2014/chart" uri="{C3380CC4-5D6E-409C-BE32-E72D297353CC}">
                  <c16:uniqueId val="{00000002-0641-4067-930D-4CC58EF4CDE7}"/>
                </c:ext>
              </c:extLst>
            </c:dLbl>
            <c:dLbl>
              <c:idx val="10"/>
              <c:delete val="1"/>
              <c:extLst>
                <c:ext xmlns:c15="http://schemas.microsoft.com/office/drawing/2012/chart" uri="{CE6537A1-D6FC-4f65-9D91-7224C49458BB}"/>
                <c:ext xmlns:c16="http://schemas.microsoft.com/office/drawing/2014/chart" uri="{C3380CC4-5D6E-409C-BE32-E72D297353CC}">
                  <c16:uniqueId val="{00000003-0641-4067-930D-4CC58EF4CDE7}"/>
                </c:ext>
              </c:extLst>
            </c:dLbl>
            <c:numFmt formatCode="#,##0" sourceLinked="0"/>
            <c:spPr>
              <a:noFill/>
              <a:ln w="25400">
                <a:noFill/>
              </a:ln>
            </c:spPr>
            <c:txPr>
              <a:bodyPr/>
              <a:lstStyle/>
              <a:p>
                <a:pPr>
                  <a:defRPr sz="1000" b="1" i="0" u="none" strike="noStrike" baseline="0">
                    <a:solidFill>
                      <a:srgbClr val="FF3333"/>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Graficos!$B$2:$O$2</c:f>
              <c:strCache>
                <c:ptCount val="14"/>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strCache>
            </c:strRef>
          </c:cat>
          <c:val>
            <c:numRef>
              <c:f>Graficos!$B$62:$O$62</c:f>
              <c:numCache>
                <c:formatCode>General</c:formatCode>
                <c:ptCount val="14"/>
                <c:pt idx="0">
                  <c:v>0</c:v>
                </c:pt>
                <c:pt idx="1">
                  <c:v>0</c:v>
                </c:pt>
                <c:pt idx="2">
                  <c:v>2</c:v>
                </c:pt>
                <c:pt idx="3">
                  <c:v>0</c:v>
                </c:pt>
                <c:pt idx="4">
                  <c:v>0</c:v>
                </c:pt>
                <c:pt idx="5">
                  <c:v>0</c:v>
                </c:pt>
                <c:pt idx="6">
                  <c:v>1</c:v>
                </c:pt>
                <c:pt idx="7">
                  <c:v>0</c:v>
                </c:pt>
                <c:pt idx="8">
                  <c:v>1</c:v>
                </c:pt>
                <c:pt idx="9">
                  <c:v>1</c:v>
                </c:pt>
                <c:pt idx="10">
                  <c:v>0</c:v>
                </c:pt>
                <c:pt idx="11">
                  <c:v>1</c:v>
                </c:pt>
                <c:pt idx="12">
                  <c:v>0</c:v>
                </c:pt>
                <c:pt idx="13">
                  <c:v>1</c:v>
                </c:pt>
              </c:numCache>
            </c:numRef>
          </c:val>
          <c:extLst>
            <c:ext xmlns:c16="http://schemas.microsoft.com/office/drawing/2014/chart" uri="{C3380CC4-5D6E-409C-BE32-E72D297353CC}">
              <c16:uniqueId val="{00000004-0641-4067-930D-4CC58EF4CDE7}"/>
            </c:ext>
          </c:extLst>
        </c:ser>
        <c:ser>
          <c:idx val="2"/>
          <c:order val="1"/>
          <c:tx>
            <c:v>Menor</c:v>
          </c:tx>
          <c:spPr>
            <a:solidFill>
              <a:srgbClr val="008000"/>
            </a:solidFill>
            <a:ln w="25400">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0641-4067-930D-4CC58EF4CDE7}"/>
                </c:ext>
              </c:extLst>
            </c:dLbl>
            <c:dLbl>
              <c:idx val="2"/>
              <c:delete val="1"/>
              <c:extLst>
                <c:ext xmlns:c15="http://schemas.microsoft.com/office/drawing/2012/chart" uri="{CE6537A1-D6FC-4f65-9D91-7224C49458BB}"/>
                <c:ext xmlns:c16="http://schemas.microsoft.com/office/drawing/2014/chart" uri="{C3380CC4-5D6E-409C-BE32-E72D297353CC}">
                  <c16:uniqueId val="{00000006-0641-4067-930D-4CC58EF4CDE7}"/>
                </c:ext>
              </c:extLst>
            </c:dLbl>
            <c:dLbl>
              <c:idx val="3"/>
              <c:delete val="1"/>
              <c:extLst>
                <c:ext xmlns:c15="http://schemas.microsoft.com/office/drawing/2012/chart" uri="{CE6537A1-D6FC-4f65-9D91-7224C49458BB}"/>
                <c:ext xmlns:c16="http://schemas.microsoft.com/office/drawing/2014/chart" uri="{C3380CC4-5D6E-409C-BE32-E72D297353CC}">
                  <c16:uniqueId val="{00000007-0641-4067-930D-4CC58EF4CDE7}"/>
                </c:ext>
              </c:extLst>
            </c:dLbl>
            <c:dLbl>
              <c:idx val="4"/>
              <c:delete val="1"/>
              <c:extLst>
                <c:ext xmlns:c15="http://schemas.microsoft.com/office/drawing/2012/chart" uri="{CE6537A1-D6FC-4f65-9D91-7224C49458BB}"/>
                <c:ext xmlns:c16="http://schemas.microsoft.com/office/drawing/2014/chart" uri="{C3380CC4-5D6E-409C-BE32-E72D297353CC}">
                  <c16:uniqueId val="{00000008-0641-4067-930D-4CC58EF4CDE7}"/>
                </c:ext>
              </c:extLst>
            </c:dLbl>
            <c:dLbl>
              <c:idx val="6"/>
              <c:delete val="1"/>
              <c:extLst>
                <c:ext xmlns:c15="http://schemas.microsoft.com/office/drawing/2012/chart" uri="{CE6537A1-D6FC-4f65-9D91-7224C49458BB}"/>
                <c:ext xmlns:c16="http://schemas.microsoft.com/office/drawing/2014/chart" uri="{C3380CC4-5D6E-409C-BE32-E72D297353CC}">
                  <c16:uniqueId val="{00000009-0641-4067-930D-4CC58EF4CDE7}"/>
                </c:ext>
              </c:extLst>
            </c:dLbl>
            <c:dLbl>
              <c:idx val="7"/>
              <c:delete val="1"/>
              <c:extLst>
                <c:ext xmlns:c15="http://schemas.microsoft.com/office/drawing/2012/chart" uri="{CE6537A1-D6FC-4f65-9D91-7224C49458BB}"/>
                <c:ext xmlns:c16="http://schemas.microsoft.com/office/drawing/2014/chart" uri="{C3380CC4-5D6E-409C-BE32-E72D297353CC}">
                  <c16:uniqueId val="{0000000A-0641-4067-930D-4CC58EF4CDE7}"/>
                </c:ext>
              </c:extLst>
            </c:dLbl>
            <c:dLbl>
              <c:idx val="8"/>
              <c:delete val="1"/>
              <c:extLst>
                <c:ext xmlns:c15="http://schemas.microsoft.com/office/drawing/2012/chart" uri="{CE6537A1-D6FC-4f65-9D91-7224C49458BB}"/>
                <c:ext xmlns:c16="http://schemas.microsoft.com/office/drawing/2014/chart" uri="{C3380CC4-5D6E-409C-BE32-E72D297353CC}">
                  <c16:uniqueId val="{0000000B-0641-4067-930D-4CC58EF4CDE7}"/>
                </c:ext>
              </c:extLst>
            </c:dLbl>
            <c:dLbl>
              <c:idx val="9"/>
              <c:delete val="1"/>
              <c:extLst>
                <c:ext xmlns:c15="http://schemas.microsoft.com/office/drawing/2012/chart" uri="{CE6537A1-D6FC-4f65-9D91-7224C49458BB}"/>
                <c:ext xmlns:c16="http://schemas.microsoft.com/office/drawing/2014/chart" uri="{C3380CC4-5D6E-409C-BE32-E72D297353CC}">
                  <c16:uniqueId val="{0000000C-0641-4067-930D-4CC58EF4CDE7}"/>
                </c:ext>
              </c:extLst>
            </c:dLbl>
            <c:dLbl>
              <c:idx val="12"/>
              <c:delete val="1"/>
              <c:extLst>
                <c:ext xmlns:c15="http://schemas.microsoft.com/office/drawing/2012/chart" uri="{CE6537A1-D6FC-4f65-9D91-7224C49458BB}"/>
                <c:ext xmlns:c16="http://schemas.microsoft.com/office/drawing/2014/chart" uri="{C3380CC4-5D6E-409C-BE32-E72D297353CC}">
                  <c16:uniqueId val="{0000000D-0641-4067-930D-4CC58EF4CDE7}"/>
                </c:ext>
              </c:extLst>
            </c:dLbl>
            <c:spPr>
              <a:noFill/>
              <a:ln w="25400">
                <a:noFill/>
              </a:ln>
            </c:spPr>
            <c:txPr>
              <a:bodyPr/>
              <a:lstStyle/>
              <a:p>
                <a:pPr>
                  <a:defRPr sz="1000" b="1" i="0" u="none" strike="noStrike" baseline="0">
                    <a:solidFill>
                      <a:srgbClr val="008000"/>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Graficos!$B$2:$O$2</c:f>
              <c:strCache>
                <c:ptCount val="14"/>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strCache>
            </c:strRef>
          </c:cat>
          <c:val>
            <c:numRef>
              <c:f>Graficos!$B$64:$O$64</c:f>
              <c:numCache>
                <c:formatCode>General</c:formatCode>
                <c:ptCount val="14"/>
                <c:pt idx="0">
                  <c:v>0</c:v>
                </c:pt>
                <c:pt idx="1">
                  <c:v>1</c:v>
                </c:pt>
                <c:pt idx="2">
                  <c:v>1</c:v>
                </c:pt>
                <c:pt idx="3">
                  <c:v>0</c:v>
                </c:pt>
                <c:pt idx="4">
                  <c:v>0</c:v>
                </c:pt>
                <c:pt idx="5">
                  <c:v>0</c:v>
                </c:pt>
                <c:pt idx="6">
                  <c:v>0</c:v>
                </c:pt>
                <c:pt idx="7">
                  <c:v>0</c:v>
                </c:pt>
                <c:pt idx="8">
                  <c:v>0</c:v>
                </c:pt>
                <c:pt idx="9">
                  <c:v>0</c:v>
                </c:pt>
                <c:pt idx="10">
                  <c:v>1</c:v>
                </c:pt>
                <c:pt idx="11">
                  <c:v>1</c:v>
                </c:pt>
                <c:pt idx="12">
                  <c:v>0</c:v>
                </c:pt>
                <c:pt idx="13">
                  <c:v>1</c:v>
                </c:pt>
              </c:numCache>
            </c:numRef>
          </c:val>
          <c:extLst>
            <c:ext xmlns:c16="http://schemas.microsoft.com/office/drawing/2014/chart" uri="{C3380CC4-5D6E-409C-BE32-E72D297353CC}">
              <c16:uniqueId val="{0000000E-0641-4067-930D-4CC58EF4CDE7}"/>
            </c:ext>
          </c:extLst>
        </c:ser>
        <c:ser>
          <c:idx val="0"/>
          <c:order val="2"/>
          <c:tx>
            <c:v>DMR</c:v>
          </c:tx>
          <c:spPr>
            <a:solidFill>
              <a:srgbClr val="9999FF"/>
            </a:solidFill>
            <a:ln w="12700">
              <a:solidFill>
                <a:srgbClr val="000000"/>
              </a:solidFill>
              <a:prstDash val="solid"/>
            </a:ln>
          </c:spPr>
          <c:invertIfNegative val="0"/>
          <c:dLbls>
            <c:delete val="1"/>
          </c:dLbls>
          <c:cat>
            <c:strRef>
              <c:f>Graficos!$B$2:$O$2</c:f>
              <c:strCache>
                <c:ptCount val="14"/>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strCache>
            </c:strRef>
          </c:cat>
          <c:val>
            <c:numRef>
              <c:f>Graficos!$B$63:$O$63</c:f>
              <c:numCache>
                <c:formatCode>General</c:formatCode>
                <c:ptCount val="14"/>
                <c:pt idx="0">
                  <c:v>0</c:v>
                </c:pt>
                <c:pt idx="1">
                  <c:v>0</c:v>
                </c:pt>
                <c:pt idx="2">
                  <c:v>0</c:v>
                </c:pt>
                <c:pt idx="3">
                  <c:v>0</c:v>
                </c:pt>
                <c:pt idx="4">
                  <c:v>0</c:v>
                </c:pt>
                <c:pt idx="5">
                  <c:v>0</c:v>
                </c:pt>
                <c:pt idx="6">
                  <c:v>0</c:v>
                </c:pt>
                <c:pt idx="7">
                  <c:v>1</c:v>
                </c:pt>
                <c:pt idx="8">
                  <c:v>0</c:v>
                </c:pt>
                <c:pt idx="9">
                  <c:v>0</c:v>
                </c:pt>
                <c:pt idx="10">
                  <c:v>0</c:v>
                </c:pt>
                <c:pt idx="11">
                  <c:v>0</c:v>
                </c:pt>
                <c:pt idx="12">
                  <c:v>0</c:v>
                </c:pt>
                <c:pt idx="13">
                  <c:v>0</c:v>
                </c:pt>
              </c:numCache>
            </c:numRef>
          </c:val>
          <c:extLst>
            <c:ext xmlns:c16="http://schemas.microsoft.com/office/drawing/2014/chart" uri="{C3380CC4-5D6E-409C-BE32-E72D297353CC}">
              <c16:uniqueId val="{0000000F-0641-4067-930D-4CC58EF4CDE7}"/>
            </c:ext>
          </c:extLst>
        </c:ser>
        <c:dLbls>
          <c:showLegendKey val="0"/>
          <c:showVal val="1"/>
          <c:showCatName val="0"/>
          <c:showSerName val="0"/>
          <c:showPercent val="0"/>
          <c:showBubbleSize val="0"/>
        </c:dLbls>
        <c:gapWidth val="150"/>
        <c:axId val="1401410496"/>
        <c:axId val="1401419200"/>
      </c:barChart>
      <c:catAx>
        <c:axId val="1401410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9200"/>
        <c:crosses val="autoZero"/>
        <c:auto val="0"/>
        <c:lblAlgn val="ctr"/>
        <c:lblOffset val="100"/>
        <c:tickLblSkip val="1"/>
        <c:tickMarkSkip val="1"/>
        <c:noMultiLvlLbl val="0"/>
      </c:catAx>
      <c:valAx>
        <c:axId val="1401419200"/>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0496"/>
        <c:crosses val="autoZero"/>
        <c:crossBetween val="between"/>
        <c:majorUnit val="1"/>
      </c:valAx>
      <c:spPr>
        <a:solidFill>
          <a:srgbClr val="D4D4D4"/>
        </a:solidFill>
        <a:ln w="12700">
          <a:solidFill>
            <a:srgbClr val="000000"/>
          </a:solidFill>
          <a:prstDash val="solid"/>
        </a:ln>
      </c:spPr>
    </c:plotArea>
    <c:legend>
      <c:legendPos val="r"/>
      <c:layout>
        <c:manualLayout>
          <c:xMode val="edge"/>
          <c:yMode val="edge"/>
          <c:x val="0.12323232323232323"/>
          <c:y val="0.86879432624114095"/>
          <c:w val="0.47676767676767912"/>
          <c:h val="7.8014184397163122E-2"/>
        </c:manualLayout>
      </c:layout>
      <c:overlay val="0"/>
      <c:spPr>
        <a:solidFill>
          <a:srgbClr val="FFFFFF"/>
        </a:solidFill>
        <a:ln w="3175">
          <a:solidFill>
            <a:srgbClr val="000000"/>
          </a:solidFill>
          <a:prstDash val="solid"/>
        </a:ln>
      </c:spPr>
      <c:txPr>
        <a:bodyPr/>
        <a:lstStyle/>
        <a:p>
          <a:pPr>
            <a:defRPr lang="es-PE" sz="690"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ESTADISTICA ANUAL ACCIDENTES FIDEERÍA LIMA</a:t>
            </a:r>
          </a:p>
        </c:rich>
      </c:tx>
      <c:layout>
        <c:manualLayout>
          <c:xMode val="edge"/>
          <c:yMode val="edge"/>
          <c:x val="0.2323235911300561"/>
          <c:y val="1.6722408026755998E-2"/>
        </c:manualLayout>
      </c:layout>
      <c:overlay val="0"/>
      <c:spPr>
        <a:noFill/>
        <a:ln w="25400">
          <a:noFill/>
        </a:ln>
      </c:spPr>
    </c:title>
    <c:autoTitleDeleted val="0"/>
    <c:plotArea>
      <c:layout>
        <c:manualLayout>
          <c:layoutTarget val="inner"/>
          <c:xMode val="edge"/>
          <c:yMode val="edge"/>
          <c:x val="5.4545562155859685E-2"/>
          <c:y val="0.17725752508361187"/>
          <c:w val="0.90101187857459974"/>
          <c:h val="0.62541806020066859"/>
        </c:manualLayout>
      </c:layout>
      <c:lineChart>
        <c:grouping val="standard"/>
        <c:varyColors val="0"/>
        <c:ser>
          <c:idx val="1"/>
          <c:order val="0"/>
          <c:tx>
            <c:v>Total</c:v>
          </c:tx>
          <c:spPr>
            <a:ln w="25400">
              <a:solidFill>
                <a:srgbClr val="000000"/>
              </a:solidFill>
              <a:prstDash val="solid"/>
            </a:ln>
          </c:spPr>
          <c:marker>
            <c:symbol val="circle"/>
            <c:size val="5"/>
            <c:spPr>
              <a:solidFill>
                <a:srgbClr val="000000"/>
              </a:solidFill>
              <a:ln>
                <a:solidFill>
                  <a:srgbClr val="000000"/>
                </a:solidFill>
                <a:prstDash val="solid"/>
              </a:ln>
            </c:spPr>
          </c:marker>
          <c:dLbls>
            <c:dLbl>
              <c:idx val="4"/>
              <c:layout>
                <c:manualLayout>
                  <c:x val="-6.946148182585557E-2"/>
                  <c:y val="-9.69899665551840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F6-4103-B50D-538159C26F0F}"/>
                </c:ext>
              </c:extLst>
            </c:dLbl>
            <c:dLbl>
              <c:idx val="5"/>
              <c:layout>
                <c:manualLayout>
                  <c:x val="-5.7138152285871706E-2"/>
                  <c:y val="-8.2497212931995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F6-4103-B50D-538159C26F0F}"/>
                </c:ext>
              </c:extLst>
            </c:dLbl>
            <c:dLbl>
              <c:idx val="6"/>
              <c:layout>
                <c:manualLayout>
                  <c:x val="-5.6936058780526419E-2"/>
                  <c:y val="-2.00668896321069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F6-4103-B50D-538159C26F0F}"/>
                </c:ext>
              </c:extLst>
            </c:dLbl>
            <c:dLbl>
              <c:idx val="8"/>
              <c:layout>
                <c:manualLayout>
                  <c:x val="-2.0168375760629811E-2"/>
                  <c:y val="-8.13823857302118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F6-4103-B50D-538159C26F0F}"/>
                </c:ext>
              </c:extLst>
            </c:dLbl>
            <c:spPr>
              <a:noFill/>
              <a:ln w="25400">
                <a:noFill/>
              </a:ln>
            </c:spPr>
            <c:txPr>
              <a:bodyPr/>
              <a:lstStyle/>
              <a:p>
                <a:pPr>
                  <a:defRPr sz="1000" b="1" i="0" u="none" strike="noStrike" baseline="0">
                    <a:solidFill>
                      <a:srgbClr val="000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Graficos!$B$168:$B$177</c:f>
              <c:numCache>
                <c:formatCode>General</c:formatCode>
                <c:ptCount val="10"/>
                <c:pt idx="0">
                  <c:v>9</c:v>
                </c:pt>
                <c:pt idx="1">
                  <c:v>8</c:v>
                </c:pt>
                <c:pt idx="2">
                  <c:v>13</c:v>
                </c:pt>
                <c:pt idx="3">
                  <c:v>7</c:v>
                </c:pt>
                <c:pt idx="4">
                  <c:v>13</c:v>
                </c:pt>
                <c:pt idx="5">
                  <c:v>14</c:v>
                </c:pt>
                <c:pt idx="6">
                  <c:v>22</c:v>
                </c:pt>
                <c:pt idx="7">
                  <c:v>16</c:v>
                </c:pt>
                <c:pt idx="8" formatCode="0">
                  <c:v>0</c:v>
                </c:pt>
                <c:pt idx="9" formatCode="0">
                  <c:v>3</c:v>
                </c:pt>
              </c:numCache>
            </c:numRef>
          </c:val>
          <c:smooth val="0"/>
          <c:extLst>
            <c:ext xmlns:c16="http://schemas.microsoft.com/office/drawing/2014/chart" uri="{C3380CC4-5D6E-409C-BE32-E72D297353CC}">
              <c16:uniqueId val="{00000004-41F6-4103-B50D-538159C26F0F}"/>
            </c:ext>
          </c:extLst>
        </c:ser>
        <c:ser>
          <c:idx val="0"/>
          <c:order val="1"/>
          <c:tx>
            <c:v>Incapacitantes</c:v>
          </c:tx>
          <c:spPr>
            <a:ln w="38100">
              <a:solidFill>
                <a:srgbClr val="FF3333"/>
              </a:solidFill>
              <a:prstDash val="solid"/>
            </a:ln>
          </c:spPr>
          <c:marker>
            <c:symbol val="circle"/>
            <c:size val="5"/>
            <c:spPr>
              <a:solidFill>
                <a:srgbClr val="FF3333"/>
              </a:solidFill>
              <a:ln>
                <a:solidFill>
                  <a:srgbClr val="FF3333"/>
                </a:solidFill>
                <a:prstDash val="solid"/>
              </a:ln>
            </c:spPr>
          </c:marker>
          <c:dPt>
            <c:idx val="8"/>
            <c:bubble3D val="0"/>
            <c:spPr>
              <a:ln w="38100">
                <a:solidFill>
                  <a:srgbClr val="FF3333"/>
                </a:solidFill>
                <a:prstDash val="sysDash"/>
              </a:ln>
            </c:spPr>
            <c:extLst>
              <c:ext xmlns:c16="http://schemas.microsoft.com/office/drawing/2014/chart" uri="{C3380CC4-5D6E-409C-BE32-E72D297353CC}">
                <c16:uniqueId val="{00000006-41F6-4103-B50D-538159C26F0F}"/>
              </c:ext>
            </c:extLst>
          </c:dPt>
          <c:dLbls>
            <c:dLbl>
              <c:idx val="1"/>
              <c:layout>
                <c:manualLayout>
                  <c:x val="-3.7744254154826851E-2"/>
                  <c:y val="4.23634336677821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F6-4103-B50D-538159C26F0F}"/>
                </c:ext>
              </c:extLst>
            </c:dLbl>
            <c:dLbl>
              <c:idx val="2"/>
              <c:layout>
                <c:manualLayout>
                  <c:x val="-3.552195464370899E-2"/>
                  <c:y val="4.34782608695652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1F6-4103-B50D-538159C26F0F}"/>
                </c:ext>
              </c:extLst>
            </c:dLbl>
            <c:dLbl>
              <c:idx val="3"/>
              <c:layout>
                <c:manualLayout>
                  <c:x val="-3.9360485244609132E-2"/>
                  <c:y val="3.90189520624302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1F6-4103-B50D-538159C26F0F}"/>
                </c:ext>
              </c:extLst>
            </c:dLbl>
            <c:dLbl>
              <c:idx val="4"/>
              <c:layout>
                <c:manualLayout>
                  <c:x val="-3.9158391739263838E-2"/>
                  <c:y val="3.79041248606466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1F6-4103-B50D-538159C26F0F}"/>
                </c:ext>
              </c:extLst>
            </c:dLbl>
            <c:dLbl>
              <c:idx val="8"/>
              <c:layout>
                <c:manualLayout>
                  <c:x val="-3.0269405789492609E-2"/>
                  <c:y val="5.23968784838351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1F6-4103-B50D-538159C26F0F}"/>
                </c:ext>
              </c:extLst>
            </c:dLbl>
            <c:dLbl>
              <c:idx val="9"/>
              <c:layout>
                <c:manualLayout>
                  <c:x val="-7.8450462206490108E-3"/>
                  <c:y val="-1.0033444816053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1F6-4103-B50D-538159C26F0F}"/>
                </c:ext>
              </c:extLst>
            </c:dLbl>
            <c:dLbl>
              <c:idx val="10"/>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extLst>
                <c:ext xmlns:c16="http://schemas.microsoft.com/office/drawing/2014/chart" uri="{C3380CC4-5D6E-409C-BE32-E72D297353CC}">
                  <c16:uniqueId val="{00000002-9979-406F-A92D-3574445DADE4}"/>
                </c:ext>
              </c:extLst>
            </c:dLbl>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Graficos!$D$168:$D$177</c:f>
              <c:numCache>
                <c:formatCode>General</c:formatCode>
                <c:ptCount val="10"/>
                <c:pt idx="0">
                  <c:v>5</c:v>
                </c:pt>
                <c:pt idx="1">
                  <c:v>3</c:v>
                </c:pt>
                <c:pt idx="2">
                  <c:v>7</c:v>
                </c:pt>
                <c:pt idx="3">
                  <c:v>3</c:v>
                </c:pt>
                <c:pt idx="4">
                  <c:v>8</c:v>
                </c:pt>
                <c:pt idx="5">
                  <c:v>4</c:v>
                </c:pt>
                <c:pt idx="6">
                  <c:v>12</c:v>
                </c:pt>
                <c:pt idx="7">
                  <c:v>7</c:v>
                </c:pt>
                <c:pt idx="8" formatCode="0">
                  <c:v>0</c:v>
                </c:pt>
                <c:pt idx="9" formatCode="0">
                  <c:v>3</c:v>
                </c:pt>
              </c:numCache>
            </c:numRef>
          </c:val>
          <c:smooth val="0"/>
          <c:extLst>
            <c:ext xmlns:c16="http://schemas.microsoft.com/office/drawing/2014/chart" uri="{C3380CC4-5D6E-409C-BE32-E72D297353CC}">
              <c16:uniqueId val="{0000000D-41F6-4103-B50D-538159C26F0F}"/>
            </c:ext>
          </c:extLst>
        </c:ser>
        <c:ser>
          <c:idx val="2"/>
          <c:order val="2"/>
          <c:tx>
            <c:v>Incapacitantes+DMR</c:v>
          </c:tx>
          <c:spPr>
            <a:ln w="381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4.1986759671717305E-2"/>
                  <c:y val="-6.57748049052397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1F6-4103-B50D-538159C26F0F}"/>
                </c:ext>
              </c:extLst>
            </c:dLbl>
            <c:dLbl>
              <c:idx val="1"/>
              <c:layout>
                <c:manualLayout>
                  <c:x val="-3.5724048149054284E-2"/>
                  <c:y val="-4.45930880713490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1F6-4103-B50D-538159C26F0F}"/>
                </c:ext>
              </c:extLst>
            </c:dLbl>
            <c:dLbl>
              <c:idx val="2"/>
              <c:layout>
                <c:manualLayout>
                  <c:x val="-3.7542160649481592E-2"/>
                  <c:y val="-7.69230769230769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1F6-4103-B50D-538159C26F0F}"/>
                </c:ext>
              </c:extLst>
            </c:dLbl>
            <c:dLbl>
              <c:idx val="3"/>
              <c:layout>
                <c:manualLayout>
                  <c:x val="-3.1279661221518845E-2"/>
                  <c:y val="-5.4626532887402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1F6-4103-B50D-538159C26F0F}"/>
                </c:ext>
              </c:extLst>
            </c:dLbl>
            <c:dLbl>
              <c:idx val="4"/>
              <c:layout>
                <c:manualLayout>
                  <c:x val="-3.5117979727718691E-2"/>
                  <c:y val="-6.57748049052397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1F6-4103-B50D-538159C26F0F}"/>
                </c:ext>
              </c:extLst>
            </c:dLbl>
            <c:dLbl>
              <c:idx val="5"/>
              <c:layout>
                <c:manualLayout>
                  <c:x val="-4.0976504239691194E-2"/>
                  <c:y val="-7.24637681159421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1F6-4103-B50D-538159C26F0F}"/>
                </c:ext>
              </c:extLst>
            </c:dLbl>
            <c:dLbl>
              <c:idx val="6"/>
              <c:layout>
                <c:manualLayout>
                  <c:x val="-4.4814822745890992E-2"/>
                  <c:y val="-6.4659977703455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1F6-4103-B50D-538159C26F0F}"/>
                </c:ext>
              </c:extLst>
            </c:dLbl>
            <c:dLbl>
              <c:idx val="8"/>
              <c:layout>
                <c:manualLayout>
                  <c:x val="-1.006734573176688E-2"/>
                  <c:y val="-4.45930880713490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1F6-4103-B50D-538159C26F0F}"/>
                </c:ext>
              </c:extLst>
            </c:dLbl>
            <c:dLbl>
              <c:idx val="9"/>
              <c:layout>
                <c:manualLayout>
                  <c:x val="-7.8450462206490108E-3"/>
                  <c:y val="-9.36454849498337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1F6-4103-B50D-538159C26F0F}"/>
                </c:ext>
              </c:extLst>
            </c:dLbl>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Graficos!$C$168:$C$177</c:f>
              <c:numCache>
                <c:formatCode>General</c:formatCode>
                <c:ptCount val="10"/>
                <c:pt idx="0">
                  <c:v>5</c:v>
                </c:pt>
                <c:pt idx="1">
                  <c:v>3</c:v>
                </c:pt>
                <c:pt idx="2">
                  <c:v>7</c:v>
                </c:pt>
                <c:pt idx="3">
                  <c:v>3</c:v>
                </c:pt>
                <c:pt idx="4">
                  <c:v>8</c:v>
                </c:pt>
                <c:pt idx="5">
                  <c:v>8</c:v>
                </c:pt>
                <c:pt idx="6">
                  <c:v>15</c:v>
                </c:pt>
                <c:pt idx="7">
                  <c:v>7</c:v>
                </c:pt>
                <c:pt idx="8" formatCode="0">
                  <c:v>0</c:v>
                </c:pt>
                <c:pt idx="9" formatCode="0">
                  <c:v>3</c:v>
                </c:pt>
              </c:numCache>
            </c:numRef>
          </c:val>
          <c:smooth val="0"/>
          <c:extLst>
            <c:ext xmlns:c16="http://schemas.microsoft.com/office/drawing/2014/chart" uri="{C3380CC4-5D6E-409C-BE32-E72D297353CC}">
              <c16:uniqueId val="{00000017-41F6-4103-B50D-538159C26F0F}"/>
            </c:ext>
          </c:extLst>
        </c:ser>
        <c:dLbls>
          <c:showLegendKey val="0"/>
          <c:showVal val="1"/>
          <c:showCatName val="0"/>
          <c:showSerName val="0"/>
          <c:showPercent val="0"/>
          <c:showBubbleSize val="0"/>
        </c:dLbls>
        <c:marker val="1"/>
        <c:smooth val="0"/>
        <c:axId val="1401413216"/>
        <c:axId val="1401418112"/>
      </c:lineChart>
      <c:catAx>
        <c:axId val="14014132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8112"/>
        <c:crosses val="autoZero"/>
        <c:auto val="0"/>
        <c:lblAlgn val="ctr"/>
        <c:lblOffset val="100"/>
        <c:tickLblSkip val="1"/>
        <c:tickMarkSkip val="1"/>
        <c:noMultiLvlLbl val="0"/>
      </c:catAx>
      <c:valAx>
        <c:axId val="1401418112"/>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3216"/>
        <c:crosses val="autoZero"/>
        <c:crossBetween val="between"/>
        <c:majorUnit val="3"/>
      </c:valAx>
      <c:spPr>
        <a:solidFill>
          <a:srgbClr val="D4D4D4"/>
        </a:solidFill>
        <a:ln w="3175">
          <a:solidFill>
            <a:srgbClr val="000000"/>
          </a:solidFill>
          <a:prstDash val="solid"/>
        </a:ln>
      </c:spPr>
    </c:plotArea>
    <c:legend>
      <c:legendPos val="r"/>
      <c:layout>
        <c:manualLayout>
          <c:xMode val="edge"/>
          <c:yMode val="edge"/>
          <c:x val="1.2531328320802023E-2"/>
          <c:y val="0.85618729096989965"/>
          <c:w val="0.66917293233083475"/>
          <c:h val="7.3578595317725759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FIDEERÍA LIMA
Incapacitantes + DMR </a:t>
            </a:r>
          </a:p>
        </c:rich>
      </c:tx>
      <c:layout>
        <c:manualLayout>
          <c:xMode val="edge"/>
          <c:yMode val="edge"/>
          <c:x val="0.37841197331250259"/>
          <c:y val="1.8115942028985508E-2"/>
        </c:manualLayout>
      </c:layout>
      <c:overlay val="0"/>
      <c:spPr>
        <a:noFill/>
        <a:ln w="25400">
          <a:noFill/>
        </a:ln>
      </c:spPr>
    </c:title>
    <c:autoTitleDeleted val="0"/>
    <c:plotArea>
      <c:layout>
        <c:manualLayout>
          <c:layoutTarget val="inner"/>
          <c:xMode val="edge"/>
          <c:yMode val="edge"/>
          <c:x val="4.6728998617866682E-2"/>
          <c:y val="0.21739207353966244"/>
          <c:w val="0.93457997235733314"/>
          <c:h val="0.67029222674729261"/>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
              <c:layout>
                <c:manualLayout>
                  <c:x val="-4.8242381612968364E-2"/>
                  <c:y val="7.1003922651308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70-43A9-AECF-A27C39088919}"/>
                </c:ext>
              </c:extLst>
            </c:dLbl>
            <c:dLbl>
              <c:idx val="3"/>
              <c:layout>
                <c:manualLayout>
                  <c:x val="-4.3775880372273618E-2"/>
                  <c:y val="7.10199245548734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70-43A9-AECF-A27C39088919}"/>
                </c:ext>
              </c:extLst>
            </c:dLbl>
            <c:dLbl>
              <c:idx val="5"/>
              <c:layout>
                <c:manualLayout>
                  <c:x val="-4.9234937444236085E-2"/>
                  <c:y val="6.9107012836012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70-43A9-AECF-A27C39088919}"/>
                </c:ext>
              </c:extLst>
            </c:dLbl>
            <c:dLbl>
              <c:idx val="6"/>
              <c:layout>
                <c:manualLayout>
                  <c:x val="-9.1604306285538728E-3"/>
                  <c:y val="-6.8119904142190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70-43A9-AECF-A27C39088919}"/>
                </c:ext>
              </c:extLst>
            </c:dLbl>
            <c:dLbl>
              <c:idx val="7"/>
              <c:layout>
                <c:manualLayout>
                  <c:x val="-6.0897468461603529E-2"/>
                  <c:y val="5.42514851701670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70-43A9-AECF-A27C39088919}"/>
                </c:ext>
              </c:extLst>
            </c:dLbl>
            <c:dLbl>
              <c:idx val="8"/>
              <c:layout>
                <c:manualLayout>
                  <c:x val="-3.0748519958578371E-2"/>
                  <c:y val="3.33451974666570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70-43A9-AECF-A27C39088919}"/>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41C4-48F0-BFFC-D8F0B23B3402}"/>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Graficos!$G$168:$G$177</c:f>
              <c:numCache>
                <c:formatCode>#,##0.0</c:formatCode>
                <c:ptCount val="10"/>
                <c:pt idx="0">
                  <c:v>4.9890427649370794</c:v>
                </c:pt>
                <c:pt idx="1">
                  <c:v>2.7854169643387614</c:v>
                </c:pt>
                <c:pt idx="2">
                  <c:v>6.2765095666782971</c:v>
                </c:pt>
                <c:pt idx="3">
                  <c:v>2.6443144995000614</c:v>
                </c:pt>
                <c:pt idx="4">
                  <c:v>6.6801485424550497</c:v>
                </c:pt>
                <c:pt idx="5">
                  <c:v>6.4958733218956697</c:v>
                </c:pt>
                <c:pt idx="6">
                  <c:v>11.878482082984643</c:v>
                </c:pt>
                <c:pt idx="7">
                  <c:v>5.5696067007906391</c:v>
                </c:pt>
                <c:pt idx="8">
                  <c:v>0</c:v>
                </c:pt>
                <c:pt idx="9">
                  <c:v>0</c:v>
                </c:pt>
              </c:numCache>
            </c:numRef>
          </c:val>
          <c:smooth val="0"/>
          <c:extLst>
            <c:ext xmlns:c16="http://schemas.microsoft.com/office/drawing/2014/chart" uri="{C3380CC4-5D6E-409C-BE32-E72D297353CC}">
              <c16:uniqueId val="{00000007-3070-43A9-AECF-A27C39088919}"/>
            </c:ext>
          </c:extLst>
        </c:ser>
        <c:dLbls>
          <c:showLegendKey val="0"/>
          <c:showVal val="1"/>
          <c:showCatName val="0"/>
          <c:showSerName val="0"/>
          <c:showPercent val="0"/>
          <c:showBubbleSize val="0"/>
        </c:dLbls>
        <c:marker val="1"/>
        <c:smooth val="0"/>
        <c:axId val="1401411040"/>
        <c:axId val="1401416480"/>
      </c:lineChart>
      <c:catAx>
        <c:axId val="140141104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6480"/>
        <c:crosses val="autoZero"/>
        <c:auto val="0"/>
        <c:lblAlgn val="ctr"/>
        <c:lblOffset val="100"/>
        <c:tickLblSkip val="1"/>
        <c:tickMarkSkip val="1"/>
        <c:noMultiLvlLbl val="0"/>
      </c:catAx>
      <c:valAx>
        <c:axId val="1401416480"/>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1040"/>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SEVERIDAD - FIDEERÍA LIMA</a:t>
            </a:r>
          </a:p>
        </c:rich>
      </c:tx>
      <c:layout>
        <c:manualLayout>
          <c:xMode val="edge"/>
          <c:yMode val="edge"/>
          <c:x val="0.31766932779236168"/>
          <c:y val="1.865671641791046E-2"/>
        </c:manualLayout>
      </c:layout>
      <c:overlay val="0"/>
      <c:spPr>
        <a:noFill/>
        <a:ln w="25400">
          <a:noFill/>
        </a:ln>
      </c:spPr>
    </c:title>
    <c:autoTitleDeleted val="0"/>
    <c:plotArea>
      <c:layout>
        <c:manualLayout>
          <c:layoutTarget val="inner"/>
          <c:xMode val="edge"/>
          <c:yMode val="edge"/>
          <c:x val="7.1428636987339034E-2"/>
          <c:y val="0.23880640524138091"/>
          <c:w val="0.90413616818181886"/>
          <c:h val="0.64552356416810763"/>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3.8878414365382835E-2"/>
                  <c:y val="-0.12009855072353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4B-49F2-B74E-CCE2BE5E43D5}"/>
                </c:ext>
              </c:extLst>
            </c:dLbl>
            <c:dLbl>
              <c:idx val="1"/>
              <c:layout>
                <c:manualLayout>
                  <c:x val="-5.5231827486677355E-2"/>
                  <c:y val="5.08871428855473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4B-49F2-B74E-CCE2BE5E43D5}"/>
                </c:ext>
              </c:extLst>
            </c:dLbl>
            <c:dLbl>
              <c:idx val="2"/>
              <c:layout>
                <c:manualLayout>
                  <c:x val="-6.0307034767865794E-2"/>
                  <c:y val="-5.1217495263468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4B-49F2-B74E-CCE2BE5E43D5}"/>
                </c:ext>
              </c:extLst>
            </c:dLbl>
            <c:dLbl>
              <c:idx val="3"/>
              <c:layout>
                <c:manualLayout>
                  <c:x val="-8.4179251782564385E-2"/>
                  <c:y val="3.386511723428468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4B-49F2-B74E-CCE2BE5E43D5}"/>
                </c:ext>
              </c:extLst>
            </c:dLbl>
            <c:dLbl>
              <c:idx val="5"/>
              <c:layout>
                <c:manualLayout>
                  <c:x val="-8.8690366081140323E-2"/>
                  <c:y val="-1.06128171324053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4B-49F2-B74E-CCE2BE5E43D5}"/>
                </c:ext>
              </c:extLst>
            </c:dLbl>
            <c:dLbl>
              <c:idx val="6"/>
              <c:layout>
                <c:manualLayout>
                  <c:x val="-9.1790295615278208E-3"/>
                  <c:y val="-2.30654760468818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4B-49F2-B74E-CCE2BE5E43D5}"/>
                </c:ext>
              </c:extLst>
            </c:dLbl>
            <c:dLbl>
              <c:idx val="8"/>
              <c:layout>
                <c:manualLayout>
                  <c:x val="-6.2562566510977968E-2"/>
                  <c:y val="3.43409245910158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4B-49F2-B74E-CCE2BE5E43D5}"/>
                </c:ext>
              </c:extLst>
            </c:dLbl>
            <c:dLbl>
              <c:idx val="9"/>
              <c:layout>
                <c:manualLayout>
                  <c:x val="-6.2022539266999134E-3"/>
                  <c:y val="-6.95856923615747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4B-49F2-B74E-CCE2BE5E43D5}"/>
                </c:ext>
              </c:extLst>
            </c:dLbl>
            <c:dLbl>
              <c:idx val="10"/>
              <c:numFmt formatCode="0" sourceLinked="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B9A0-4E7B-8CE4-18B4F6D30E4D}"/>
                </c:ext>
              </c:extLst>
            </c:dLbl>
            <c:numFmt formatCode="0" sourceLinked="0"/>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Graficos!$H$168:$H$177</c:f>
              <c:numCache>
                <c:formatCode>#,##0</c:formatCode>
                <c:ptCount val="10"/>
                <c:pt idx="0">
                  <c:v>145.68004873616272</c:v>
                </c:pt>
                <c:pt idx="1">
                  <c:v>85.41945357305535</c:v>
                </c:pt>
                <c:pt idx="2">
                  <c:v>247.47380577188716</c:v>
                </c:pt>
                <c:pt idx="3">
                  <c:v>29.087459494500674</c:v>
                </c:pt>
                <c:pt idx="4">
                  <c:v>177.85895494286569</c:v>
                </c:pt>
                <c:pt idx="5">
                  <c:v>32.479366609478348</c:v>
                </c:pt>
                <c:pt idx="6">
                  <c:v>164.71495155072037</c:v>
                </c:pt>
                <c:pt idx="7">
                  <c:v>4842.3751972874043</c:v>
                </c:pt>
                <c:pt idx="8">
                  <c:v>0</c:v>
                </c:pt>
                <c:pt idx="9">
                  <c:v>0</c:v>
                </c:pt>
              </c:numCache>
            </c:numRef>
          </c:val>
          <c:smooth val="0"/>
          <c:extLst>
            <c:ext xmlns:c16="http://schemas.microsoft.com/office/drawing/2014/chart" uri="{C3380CC4-5D6E-409C-BE32-E72D297353CC}">
              <c16:uniqueId val="{00000009-AC4B-49F2-B74E-CCE2BE5E43D5}"/>
            </c:ext>
          </c:extLst>
        </c:ser>
        <c:dLbls>
          <c:showLegendKey val="0"/>
          <c:showVal val="1"/>
          <c:showCatName val="0"/>
          <c:showSerName val="0"/>
          <c:showPercent val="0"/>
          <c:showBubbleSize val="0"/>
        </c:dLbls>
        <c:marker val="1"/>
        <c:smooth val="0"/>
        <c:axId val="1401413760"/>
        <c:axId val="1401406688"/>
      </c:lineChart>
      <c:catAx>
        <c:axId val="140141376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06688"/>
        <c:crosses val="autoZero"/>
        <c:auto val="0"/>
        <c:lblAlgn val="ctr"/>
        <c:lblOffset val="100"/>
        <c:tickLblSkip val="1"/>
        <c:tickMarkSkip val="1"/>
        <c:noMultiLvlLbl val="0"/>
      </c:catAx>
      <c:valAx>
        <c:axId val="1401406688"/>
        <c:scaling>
          <c:orientation val="minMax"/>
          <c:max val="500"/>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3760"/>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OSHA INCIDENT RATE - FIDEERÍA LIMA
Incapacitantes + DMR + Menor</a:t>
            </a:r>
          </a:p>
        </c:rich>
      </c:tx>
      <c:layout>
        <c:manualLayout>
          <c:xMode val="edge"/>
          <c:yMode val="edge"/>
          <c:x val="0.3009903069047089"/>
          <c:y val="3.5842293906810055E-2"/>
        </c:manualLayout>
      </c:layout>
      <c:overlay val="0"/>
      <c:spPr>
        <a:noFill/>
        <a:ln w="25400">
          <a:noFill/>
        </a:ln>
      </c:spPr>
    </c:title>
    <c:autoTitleDeleted val="0"/>
    <c:plotArea>
      <c:layout>
        <c:manualLayout>
          <c:layoutTarget val="inner"/>
          <c:xMode val="edge"/>
          <c:yMode val="edge"/>
          <c:x val="7.1287197640003908E-2"/>
          <c:y val="0.28673935490645619"/>
          <c:w val="0.90693156997559998"/>
          <c:h val="0.60215264530355794"/>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
              <c:layout>
                <c:manualLayout>
                  <c:x val="-4.7689658205980305E-2"/>
                  <c:y val="7.1363330933720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ADD-4DDB-9545-8F9989F3A7DD}"/>
                </c:ext>
              </c:extLst>
            </c:dLbl>
            <c:dLbl>
              <c:idx val="3"/>
              <c:layout>
                <c:manualLayout>
                  <c:x val="-4.9669887973470814E-2"/>
                  <c:y val="6.19229034820027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DD-4DDB-9545-8F9989F3A7DD}"/>
                </c:ext>
              </c:extLst>
            </c:dLbl>
            <c:dLbl>
              <c:idx val="4"/>
              <c:layout>
                <c:manualLayout>
                  <c:x val="-1.303620410276961E-2"/>
                  <c:y val="5.23813147075007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ADD-4DDB-9545-8F9989F3A7DD}"/>
                </c:ext>
              </c:extLst>
            </c:dLbl>
            <c:dLbl>
              <c:idx val="5"/>
              <c:layout>
                <c:manualLayout>
                  <c:x val="1.3696480095709083E-2"/>
                  <c:y val="-9.479185757982526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DD-4DDB-9545-8F9989F3A7DD}"/>
                </c:ext>
              </c:extLst>
            </c:dLbl>
            <c:dLbl>
              <c:idx val="6"/>
              <c:layout>
                <c:manualLayout>
                  <c:x val="-8.4323431575819563E-2"/>
                  <c:y val="-4.1739570929537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DD-4DDB-9545-8F9989F3A7DD}"/>
                </c:ext>
              </c:extLst>
            </c:dLbl>
            <c:dLbl>
              <c:idx val="7"/>
              <c:layout>
                <c:manualLayout>
                  <c:x val="-3.5808548098450889E-2"/>
                  <c:y val="-8.61625538241032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DD-4DDB-9545-8F9989F3A7DD}"/>
                </c:ext>
              </c:extLst>
            </c:dLbl>
            <c:dLbl>
              <c:idx val="8"/>
              <c:layout>
                <c:manualLayout>
                  <c:x val="-3.8778862916640615E-2"/>
                  <c:y val="-7.81244722729872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ADD-4DDB-9545-8F9989F3A7DD}"/>
                </c:ext>
              </c:extLst>
            </c:dLbl>
            <c:dLbl>
              <c:idx val="9"/>
              <c:layout>
                <c:manualLayout>
                  <c:x val="-1.5352137228047263E-2"/>
                  <c:y val="-6.58672107146600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DD-4DDB-9545-8F9989F3A7DD}"/>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48CB-4572-9A48-FF430BBF3A96}"/>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Graficos!$I$168:$I$177</c:f>
              <c:numCache>
                <c:formatCode>#,##0.0</c:formatCode>
                <c:ptCount val="10"/>
                <c:pt idx="0">
                  <c:v>1.7960553953773486</c:v>
                </c:pt>
                <c:pt idx="1">
                  <c:v>1.4855557143140061</c:v>
                </c:pt>
                <c:pt idx="2">
                  <c:v>2.3312749819090817</c:v>
                </c:pt>
                <c:pt idx="3">
                  <c:v>1.2340134331000288</c:v>
                </c:pt>
                <c:pt idx="4">
                  <c:v>2.1710482762978911</c:v>
                </c:pt>
                <c:pt idx="5">
                  <c:v>2.2735556626634845</c:v>
                </c:pt>
                <c:pt idx="6">
                  <c:v>3.4843547443421619</c:v>
                </c:pt>
                <c:pt idx="7">
                  <c:v>2.5461059203614349</c:v>
                </c:pt>
                <c:pt idx="8">
                  <c:v>0</c:v>
                </c:pt>
                <c:pt idx="9">
                  <c:v>0</c:v>
                </c:pt>
              </c:numCache>
            </c:numRef>
          </c:val>
          <c:smooth val="0"/>
          <c:extLst>
            <c:ext xmlns:c16="http://schemas.microsoft.com/office/drawing/2014/chart" uri="{C3380CC4-5D6E-409C-BE32-E72D297353CC}">
              <c16:uniqueId val="{00000009-1ADD-4DDB-9545-8F9989F3A7DD}"/>
            </c:ext>
          </c:extLst>
        </c:ser>
        <c:dLbls>
          <c:showLegendKey val="0"/>
          <c:showVal val="1"/>
          <c:showCatName val="0"/>
          <c:showSerName val="0"/>
          <c:showPercent val="0"/>
          <c:showBubbleSize val="0"/>
        </c:dLbls>
        <c:marker val="1"/>
        <c:smooth val="0"/>
        <c:axId val="1401418656"/>
        <c:axId val="1401417024"/>
      </c:lineChart>
      <c:catAx>
        <c:axId val="14014186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7024"/>
        <c:crosses val="autoZero"/>
        <c:auto val="0"/>
        <c:lblAlgn val="ctr"/>
        <c:lblOffset val="100"/>
        <c:tickLblSkip val="1"/>
        <c:tickMarkSkip val="1"/>
        <c:noMultiLvlLbl val="0"/>
      </c:catAx>
      <c:valAx>
        <c:axId val="1401417024"/>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8656"/>
        <c:crosses val="autoZero"/>
        <c:crossBetween val="between"/>
        <c:majorUnit val="1"/>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ACCIDENTES INCAPACITANTES FIDEERÍA LIMA Y TERCEROS</a:t>
            </a:r>
          </a:p>
        </c:rich>
      </c:tx>
      <c:layout>
        <c:manualLayout>
          <c:xMode val="edge"/>
          <c:yMode val="edge"/>
          <c:x val="0.18982412046978978"/>
          <c:y val="1.7667844522968202E-2"/>
        </c:manualLayout>
      </c:layout>
      <c:overlay val="0"/>
      <c:spPr>
        <a:noFill/>
        <a:ln w="25400">
          <a:noFill/>
        </a:ln>
      </c:spPr>
    </c:title>
    <c:autoTitleDeleted val="0"/>
    <c:plotArea>
      <c:layout>
        <c:manualLayout>
          <c:layoutTarget val="inner"/>
          <c:xMode val="edge"/>
          <c:yMode val="edge"/>
          <c:x val="8.6105757424318419E-2"/>
          <c:y val="0.20848092507889293"/>
          <c:w val="0.87475621746981913"/>
          <c:h val="0.55477127520993563"/>
        </c:manualLayout>
      </c:layout>
      <c:lineChart>
        <c:grouping val="standard"/>
        <c:varyColors val="0"/>
        <c:ser>
          <c:idx val="1"/>
          <c:order val="0"/>
          <c:tx>
            <c:v>Total Alicorp+Terceros</c:v>
          </c:tx>
          <c:spPr>
            <a:ln w="25400">
              <a:solidFill>
                <a:srgbClr val="0000FF"/>
              </a:solidFill>
              <a:prstDash val="solid"/>
            </a:ln>
          </c:spPr>
          <c:marker>
            <c:symbol val="circle"/>
            <c:size val="5"/>
            <c:spPr>
              <a:solidFill>
                <a:srgbClr val="0000FF"/>
              </a:solidFill>
              <a:ln>
                <a:solidFill>
                  <a:srgbClr val="0000FF"/>
                </a:solidFill>
                <a:prstDash val="solid"/>
              </a:ln>
            </c:spPr>
          </c:marker>
          <c:dLbls>
            <c:dLbl>
              <c:idx val="4"/>
              <c:layout>
                <c:manualLayout>
                  <c:x val="-2.8440931288072291E-2"/>
                  <c:y val="-9.11543752937479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04-467B-ADE4-627AC46DAA61}"/>
                </c:ext>
              </c:extLst>
            </c:dLbl>
            <c:dLbl>
              <c:idx val="5"/>
              <c:layout>
                <c:manualLayout>
                  <c:x val="-2.765806640566627E-2"/>
                  <c:y val="-9.82215252964224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04-467B-ADE4-627AC46DAA61}"/>
                </c:ext>
              </c:extLst>
            </c:dLbl>
            <c:dLbl>
              <c:idx val="6"/>
              <c:layout>
                <c:manualLayout>
                  <c:x val="-6.4057438592075563E-2"/>
                  <c:y val="-6.24444034055942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04-467B-ADE4-627AC46DAA61}"/>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38D6-40ED-819B-A8A84BEC64E6}"/>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Graficos!$C$168:$C$177</c:f>
              <c:numCache>
                <c:formatCode>General</c:formatCode>
                <c:ptCount val="10"/>
                <c:pt idx="0">
                  <c:v>5</c:v>
                </c:pt>
                <c:pt idx="1">
                  <c:v>3</c:v>
                </c:pt>
                <c:pt idx="2">
                  <c:v>7</c:v>
                </c:pt>
                <c:pt idx="3">
                  <c:v>3</c:v>
                </c:pt>
                <c:pt idx="4">
                  <c:v>8</c:v>
                </c:pt>
                <c:pt idx="5">
                  <c:v>8</c:v>
                </c:pt>
                <c:pt idx="6">
                  <c:v>15</c:v>
                </c:pt>
                <c:pt idx="7">
                  <c:v>7</c:v>
                </c:pt>
                <c:pt idx="8" formatCode="0">
                  <c:v>0</c:v>
                </c:pt>
                <c:pt idx="9" formatCode="0">
                  <c:v>3</c:v>
                </c:pt>
              </c:numCache>
            </c:numRef>
          </c:val>
          <c:smooth val="0"/>
          <c:extLst>
            <c:ext xmlns:c16="http://schemas.microsoft.com/office/drawing/2014/chart" uri="{C3380CC4-5D6E-409C-BE32-E72D297353CC}">
              <c16:uniqueId val="{00000004-9404-467B-ADE4-627AC46DAA61}"/>
            </c:ext>
          </c:extLst>
        </c:ser>
        <c:ser>
          <c:idx val="0"/>
          <c:order val="1"/>
          <c:tx>
            <c:v>Terceros</c:v>
          </c:tx>
          <c:spPr>
            <a:ln w="25400">
              <a:solidFill>
                <a:srgbClr val="FF3333"/>
              </a:solidFill>
              <a:prstDash val="solid"/>
            </a:ln>
          </c:spPr>
          <c:marker>
            <c:symbol val="circle"/>
            <c:size val="5"/>
            <c:spPr>
              <a:solidFill>
                <a:srgbClr val="FF3333"/>
              </a:solidFill>
              <a:ln>
                <a:solidFill>
                  <a:srgbClr val="FF3333"/>
                </a:solidFill>
                <a:prstDash val="solid"/>
              </a:ln>
            </c:spPr>
          </c:marker>
          <c:dLbls>
            <c:dLbl>
              <c:idx val="5"/>
              <c:layout>
                <c:manualLayout>
                  <c:x val="-3.9399760599890671E-2"/>
                  <c:y val="-5.36808406652886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04-467B-ADE4-627AC46DAA61}"/>
                </c:ext>
              </c:extLst>
            </c:dLbl>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Graficos!$J$168:$J$177</c:f>
              <c:numCache>
                <c:formatCode>0</c:formatCode>
                <c:ptCount val="10"/>
                <c:pt idx="0">
                  <c:v>0</c:v>
                </c:pt>
                <c:pt idx="1">
                  <c:v>1</c:v>
                </c:pt>
                <c:pt idx="2">
                  <c:v>3</c:v>
                </c:pt>
                <c:pt idx="3">
                  <c:v>0</c:v>
                </c:pt>
                <c:pt idx="4">
                  <c:v>4</c:v>
                </c:pt>
                <c:pt idx="5">
                  <c:v>5</c:v>
                </c:pt>
                <c:pt idx="6">
                  <c:v>5</c:v>
                </c:pt>
                <c:pt idx="7">
                  <c:v>3</c:v>
                </c:pt>
                <c:pt idx="8">
                  <c:v>3</c:v>
                </c:pt>
                <c:pt idx="9" formatCode="General">
                  <c:v>0</c:v>
                </c:pt>
              </c:numCache>
            </c:numRef>
          </c:val>
          <c:smooth val="0"/>
          <c:extLst>
            <c:ext xmlns:c16="http://schemas.microsoft.com/office/drawing/2014/chart" uri="{C3380CC4-5D6E-409C-BE32-E72D297353CC}">
              <c16:uniqueId val="{00000006-9404-467B-ADE4-627AC46DAA61}"/>
            </c:ext>
          </c:extLst>
        </c:ser>
        <c:dLbls>
          <c:showLegendKey val="0"/>
          <c:showVal val="1"/>
          <c:showCatName val="0"/>
          <c:showSerName val="0"/>
          <c:showPercent val="0"/>
          <c:showBubbleSize val="0"/>
        </c:dLbls>
        <c:marker val="1"/>
        <c:smooth val="0"/>
        <c:axId val="1401417568"/>
        <c:axId val="1401407776"/>
      </c:lineChart>
      <c:catAx>
        <c:axId val="140141756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07776"/>
        <c:crosses val="autoZero"/>
        <c:auto val="0"/>
        <c:lblAlgn val="ctr"/>
        <c:lblOffset val="100"/>
        <c:tickLblSkip val="1"/>
        <c:tickMarkSkip val="1"/>
        <c:noMultiLvlLbl val="0"/>
      </c:catAx>
      <c:valAx>
        <c:axId val="1401407776"/>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7568"/>
        <c:crosses val="autoZero"/>
        <c:crossBetween val="between"/>
      </c:valAx>
      <c:spPr>
        <a:solidFill>
          <a:srgbClr val="D4D4D4"/>
        </a:solidFill>
        <a:ln w="12700">
          <a:solidFill>
            <a:srgbClr val="C0C4C7"/>
          </a:solidFill>
          <a:prstDash val="solid"/>
        </a:ln>
      </c:spPr>
    </c:plotArea>
    <c:legend>
      <c:legendPos val="r"/>
      <c:layout>
        <c:manualLayout>
          <c:xMode val="edge"/>
          <c:yMode val="edge"/>
          <c:x val="0.17979797979798126"/>
          <c:y val="0.88339222614840984"/>
          <c:w val="0.44646464646464884"/>
          <c:h val="7.7738515901060123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FIDEERÍA LIMA
Incapacitantes + DMR </a:t>
            </a:r>
          </a:p>
        </c:rich>
      </c:tx>
      <c:layout>
        <c:manualLayout>
          <c:xMode val="edge"/>
          <c:yMode val="edge"/>
          <c:x val="0.2785094626329625"/>
          <c:y val="1.8050541516245487E-2"/>
        </c:manualLayout>
      </c:layout>
      <c:overlay val="0"/>
      <c:spPr>
        <a:noFill/>
        <a:ln w="25400">
          <a:noFill/>
        </a:ln>
      </c:spPr>
    </c:title>
    <c:autoTitleDeleted val="0"/>
    <c:plotArea>
      <c:layout>
        <c:manualLayout>
          <c:layoutTarget val="inner"/>
          <c:xMode val="edge"/>
          <c:yMode val="edge"/>
          <c:x val="8.2440058235983438E-2"/>
          <c:y val="0.16551593550806296"/>
          <c:w val="0.87120157348249816"/>
          <c:h val="0.60412480930859314"/>
        </c:manualLayout>
      </c:layout>
      <c:lineChart>
        <c:grouping val="standard"/>
        <c:varyColors val="0"/>
        <c:ser>
          <c:idx val="2"/>
          <c:order val="2"/>
          <c:spPr>
            <a:ln w="25400">
              <a:solidFill>
                <a:srgbClr val="0000FF"/>
              </a:solidFill>
              <a:prstDash val="solid"/>
            </a:ln>
          </c:spPr>
          <c:dLbls>
            <c:delete val="1"/>
          </c:dLbls>
          <c:cat>
            <c:numRef>
              <c:f>Graficos!$N$61:$AK$61</c:f>
              <c:numCache>
                <c:formatCode>mmm\-yy</c:formatCode>
                <c:ptCount val="24"/>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40817</c:v>
                </c:pt>
                <c:pt idx="22">
                  <c:v>41214</c:v>
                </c:pt>
                <c:pt idx="23">
                  <c:v>41244</c:v>
                </c:pt>
              </c:numCache>
            </c:numRef>
          </c:cat>
          <c:val>
            <c:numRef>
              <c:f>Graficos!$N$66:$AK$66</c:f>
              <c:numCache>
                <c:formatCode>#,##0.0</c:formatCode>
                <c:ptCount val="24"/>
                <c:pt idx="0" formatCode="0.0">
                  <c:v>6.42</c:v>
                </c:pt>
                <c:pt idx="1">
                  <c:v>7.25</c:v>
                </c:pt>
                <c:pt idx="2">
                  <c:v>5.4</c:v>
                </c:pt>
                <c:pt idx="3" formatCode="0.0">
                  <c:v>5.38</c:v>
                </c:pt>
                <c:pt idx="4" formatCode="0.0">
                  <c:v>6.3</c:v>
                </c:pt>
                <c:pt idx="5" formatCode="0.0">
                  <c:v>9.1999999999999993</c:v>
                </c:pt>
                <c:pt idx="6" formatCode="0.0">
                  <c:v>6.2</c:v>
                </c:pt>
                <c:pt idx="7" formatCode="0.0">
                  <c:v>7.2</c:v>
                </c:pt>
                <c:pt idx="8" formatCode="0.0">
                  <c:v>5.3</c:v>
                </c:pt>
                <c:pt idx="9" formatCode="0.0">
                  <c:v>6.4</c:v>
                </c:pt>
                <c:pt idx="10" formatCode="0.0">
                  <c:v>6.2</c:v>
                </c:pt>
                <c:pt idx="11" formatCode="0.0">
                  <c:v>6.2</c:v>
                </c:pt>
                <c:pt idx="12" formatCode="0.0">
                  <c:v>7.1</c:v>
                </c:pt>
                <c:pt idx="13" formatCode="0.0">
                  <c:v>6.2</c:v>
                </c:pt>
                <c:pt idx="14" formatCode="0.0">
                  <c:v>6.3</c:v>
                </c:pt>
                <c:pt idx="15" formatCode="0.0">
                  <c:v>7.3</c:v>
                </c:pt>
                <c:pt idx="16" formatCode="0.0">
                  <c:v>6.2</c:v>
                </c:pt>
                <c:pt idx="17" formatCode="0.0">
                  <c:v>8.1</c:v>
                </c:pt>
                <c:pt idx="18" formatCode="0.0">
                  <c:v>7.2</c:v>
                </c:pt>
                <c:pt idx="19" formatCode="0.0">
                  <c:v>0</c:v>
                </c:pt>
                <c:pt idx="20" formatCode="0.0">
                  <c:v>0</c:v>
                </c:pt>
                <c:pt idx="21" formatCode="0.0">
                  <c:v>0</c:v>
                </c:pt>
                <c:pt idx="22" formatCode="0.0">
                  <c:v>0</c:v>
                </c:pt>
                <c:pt idx="23" formatCode="0.0">
                  <c:v>0</c:v>
                </c:pt>
              </c:numCache>
            </c:numRef>
          </c:val>
          <c:smooth val="0"/>
          <c:extLst>
            <c:ext xmlns:c16="http://schemas.microsoft.com/office/drawing/2014/chart" uri="{C3380CC4-5D6E-409C-BE32-E72D297353CC}">
              <c16:uniqueId val="{00000000-ED90-4789-A8F6-E8F32CD58B51}"/>
            </c:ext>
          </c:extLst>
        </c:ser>
        <c:ser>
          <c:idx val="3"/>
          <c:order val="3"/>
          <c:spPr>
            <a:ln w="25400">
              <a:solidFill>
                <a:srgbClr val="0000FF"/>
              </a:solidFill>
              <a:prstDash val="solid"/>
            </a:ln>
          </c:spPr>
          <c:dLbls>
            <c:dLbl>
              <c:idx val="0"/>
              <c:layout>
                <c:manualLayout>
                  <c:x val="-3.6387257010686611E-2"/>
                  <c:y val="5.2380952380952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90-4789-A8F6-E8F32CD58B51}"/>
                </c:ext>
              </c:extLst>
            </c:dLbl>
            <c:dLbl>
              <c:idx val="1"/>
              <c:layout>
                <c:manualLayout>
                  <c:x val="-4.6783616156597499E-2"/>
                  <c:y val="-4.28571428571429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90-4789-A8F6-E8F32CD58B51}"/>
                </c:ext>
              </c:extLst>
            </c:dLbl>
            <c:dLbl>
              <c:idx val="2"/>
              <c:layout>
                <c:manualLayout>
                  <c:x val="-5.1981795729552215E-2"/>
                  <c:y val="4.28571428571429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90-4789-A8F6-E8F32CD58B51}"/>
                </c:ext>
              </c:extLst>
            </c:dLbl>
            <c:dLbl>
              <c:idx val="3"/>
              <c:layout>
                <c:manualLayout>
                  <c:x val="-1.5594538718865843E-2"/>
                  <c:y val="5.71428571428571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90-4789-A8F6-E8F32CD58B51}"/>
                </c:ext>
              </c:extLst>
            </c:dLbl>
            <c:dLbl>
              <c:idx val="4"/>
              <c:layout>
                <c:manualLayout>
                  <c:x val="-7.2774514021373124E-2"/>
                  <c:y val="-9.52380952380952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90-4789-A8F6-E8F32CD58B51}"/>
                </c:ext>
              </c:extLst>
            </c:dLbl>
            <c:dLbl>
              <c:idx val="5"/>
              <c:layout>
                <c:manualLayout>
                  <c:x val="-8.5769962953762283E-2"/>
                  <c:y val="-4.76227971503568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D90-4789-A8F6-E8F32CD58B51}"/>
                </c:ext>
              </c:extLst>
            </c:dLbl>
            <c:dLbl>
              <c:idx val="6"/>
              <c:layout>
                <c:manualLayout>
                  <c:x val="-5.4580885516029826E-2"/>
                  <c:y val="4.7619047619047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D90-4789-A8F6-E8F32CD58B51}"/>
                </c:ext>
              </c:extLst>
            </c:dLbl>
            <c:dLbl>
              <c:idx val="7"/>
              <c:layout>
                <c:manualLayout>
                  <c:x val="-4.6783616156597499E-2"/>
                  <c:y val="-4.28571428571429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D90-4789-A8F6-E8F32CD58B51}"/>
                </c:ext>
              </c:extLst>
            </c:dLbl>
            <c:dLbl>
              <c:idx val="8"/>
              <c:layout>
                <c:manualLayout>
                  <c:x val="-4.6783616156597499E-2"/>
                  <c:y val="5.71428571428571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D90-4789-A8F6-E8F32CD58B51}"/>
                </c:ext>
              </c:extLst>
            </c:dLbl>
            <c:dLbl>
              <c:idx val="9"/>
              <c:layout>
                <c:manualLayout>
                  <c:x val="-5.1981795729552215E-2"/>
                  <c:y val="-3.809523809523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D90-4789-A8F6-E8F32CD58B51}"/>
                </c:ext>
              </c:extLst>
            </c:dLbl>
            <c:dLbl>
              <c:idx val="10"/>
              <c:layout>
                <c:manualLayout>
                  <c:x val="-1.5594538718865843E-2"/>
                  <c:y val="6.19047619047619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D90-4789-A8F6-E8F32CD58B51}"/>
                </c:ext>
              </c:extLst>
            </c:dLbl>
            <c:dLbl>
              <c:idx val="11"/>
              <c:delete val="1"/>
              <c:extLst>
                <c:ext xmlns:c15="http://schemas.microsoft.com/office/drawing/2012/chart" uri="{CE6537A1-D6FC-4f65-9D91-7224C49458BB}"/>
                <c:ext xmlns:c16="http://schemas.microsoft.com/office/drawing/2014/chart" uri="{C3380CC4-5D6E-409C-BE32-E72D297353CC}">
                  <c16:uniqueId val="{0000000C-ED90-4789-A8F6-E8F32CD58B51}"/>
                </c:ext>
              </c:extLst>
            </c:dLbl>
            <c:dLbl>
              <c:idx val="12"/>
              <c:layout>
                <c:manualLayout>
                  <c:x val="-4.9382705943075131E-2"/>
                  <c:y val="-4.7619047619047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D90-4789-A8F6-E8F32CD58B51}"/>
                </c:ext>
              </c:extLst>
            </c:dLbl>
            <c:dLbl>
              <c:idx val="13"/>
              <c:layout>
                <c:manualLayout>
                  <c:x val="-5.7179975302507353E-2"/>
                  <c:y val="4.7619047619047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D90-4789-A8F6-E8F32CD58B51}"/>
                </c:ext>
              </c:extLst>
            </c:dLbl>
            <c:dLbl>
              <c:idx val="14"/>
              <c:layout>
                <c:manualLayout>
                  <c:x val="-1.5594538718865843E-2"/>
                  <c:y val="5.71428571428571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D90-4789-A8F6-E8F32CD58B51}"/>
                </c:ext>
              </c:extLst>
            </c:dLbl>
            <c:dLbl>
              <c:idx val="15"/>
              <c:layout>
                <c:manualLayout>
                  <c:x val="-4.678361615659743E-2"/>
                  <c:y val="-4.28571428571429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D90-4789-A8F6-E8F32CD58B51}"/>
                </c:ext>
              </c:extLst>
            </c:dLbl>
            <c:dLbl>
              <c:idx val="16"/>
              <c:layout>
                <c:manualLayout>
                  <c:x val="-2.33918080782986E-2"/>
                  <c:y val="5.71428571428571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D90-4789-A8F6-E8F32CD58B51}"/>
                </c:ext>
              </c:extLst>
            </c:dLbl>
            <c:dLbl>
              <c:idx val="17"/>
              <c:layout>
                <c:manualLayout>
                  <c:x val="-4.6783616156597499E-2"/>
                  <c:y val="-4.28571428571429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D90-4789-A8F6-E8F32CD58B51}"/>
                </c:ext>
              </c:extLst>
            </c:dLbl>
            <c:dLbl>
              <c:idx val="18"/>
              <c:layout>
                <c:manualLayout>
                  <c:x val="-4.1585436583641784E-2"/>
                  <c:y val="4.28571428571429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D90-4789-A8F6-E8F32CD58B51}"/>
                </c:ext>
              </c:extLst>
            </c:dLbl>
            <c:dLbl>
              <c:idx val="19"/>
              <c:layout>
                <c:manualLayout>
                  <c:x val="-4.4184526370119388E-2"/>
                  <c:y val="-3.8095238095238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D90-4789-A8F6-E8F32CD58B51}"/>
                </c:ext>
              </c:extLst>
            </c:dLbl>
            <c:dLbl>
              <c:idx val="20"/>
              <c:delete val="1"/>
              <c:extLst>
                <c:ext xmlns:c15="http://schemas.microsoft.com/office/drawing/2012/chart" uri="{CE6537A1-D6FC-4f65-9D91-7224C49458BB}"/>
                <c:ext xmlns:c16="http://schemas.microsoft.com/office/drawing/2014/chart" uri="{C3380CC4-5D6E-409C-BE32-E72D297353CC}">
                  <c16:uniqueId val="{00000015-ED90-4789-A8F6-E8F32CD58B51}"/>
                </c:ext>
              </c:extLst>
            </c:dLbl>
            <c:dLbl>
              <c:idx val="21"/>
              <c:layout>
                <c:manualLayout>
                  <c:x val="-3.8986346797164201E-2"/>
                  <c:y val="-3.3333333333333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ED90-4789-A8F6-E8F32CD58B51}"/>
                </c:ext>
              </c:extLst>
            </c:dLbl>
            <c:dLbl>
              <c:idx val="22"/>
              <c:delete val="1"/>
              <c:extLst>
                <c:ext xmlns:c15="http://schemas.microsoft.com/office/drawing/2012/chart" uri="{CE6537A1-D6FC-4f65-9D91-7224C49458BB}"/>
                <c:ext xmlns:c16="http://schemas.microsoft.com/office/drawing/2014/chart" uri="{C3380CC4-5D6E-409C-BE32-E72D297353CC}">
                  <c16:uniqueId val="{00000017-ED90-4789-A8F6-E8F32CD58B51}"/>
                </c:ext>
              </c:extLst>
            </c:dLbl>
            <c:dLbl>
              <c:idx val="23"/>
              <c:layout>
                <c:manualLayout>
                  <c:x val="-4.1585436583641784E-2"/>
                  <c:y val="6.666666666666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ED90-4789-A8F6-E8F32CD58B51}"/>
                </c:ext>
              </c:extLst>
            </c:dLbl>
            <c:spPr>
              <a:noFill/>
              <a:ln>
                <a:noFill/>
              </a:ln>
              <a:effectLst/>
            </c:spPr>
            <c:txPr>
              <a:bodyPr/>
              <a:lstStyle/>
              <a:p>
                <a:pPr>
                  <a:defRPr sz="1050" b="1">
                    <a:solidFill>
                      <a:schemeClr val="tx1"/>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Graficos!$N$61:$AK$61</c:f>
              <c:numCache>
                <c:formatCode>mmm\-yy</c:formatCode>
                <c:ptCount val="24"/>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40817</c:v>
                </c:pt>
                <c:pt idx="22">
                  <c:v>41214</c:v>
                </c:pt>
                <c:pt idx="23">
                  <c:v>41244</c:v>
                </c:pt>
              </c:numCache>
            </c:numRef>
          </c:cat>
          <c:val>
            <c:numRef>
              <c:f>Graficos!$N$66:$AK$66</c:f>
              <c:numCache>
                <c:formatCode>#,##0.0</c:formatCode>
                <c:ptCount val="24"/>
                <c:pt idx="0" formatCode="0.0">
                  <c:v>6.42</c:v>
                </c:pt>
                <c:pt idx="1">
                  <c:v>7.25</c:v>
                </c:pt>
                <c:pt idx="2">
                  <c:v>5.4</c:v>
                </c:pt>
                <c:pt idx="3" formatCode="0.0">
                  <c:v>5.38</c:v>
                </c:pt>
                <c:pt idx="4" formatCode="0.0">
                  <c:v>6.3</c:v>
                </c:pt>
                <c:pt idx="5" formatCode="0.0">
                  <c:v>9.1999999999999993</c:v>
                </c:pt>
                <c:pt idx="6" formatCode="0.0">
                  <c:v>6.2</c:v>
                </c:pt>
                <c:pt idx="7" formatCode="0.0">
                  <c:v>7.2</c:v>
                </c:pt>
                <c:pt idx="8" formatCode="0.0">
                  <c:v>5.3</c:v>
                </c:pt>
                <c:pt idx="9" formatCode="0.0">
                  <c:v>6.4</c:v>
                </c:pt>
                <c:pt idx="10" formatCode="0.0">
                  <c:v>6.2</c:v>
                </c:pt>
                <c:pt idx="11" formatCode="0.0">
                  <c:v>6.2</c:v>
                </c:pt>
                <c:pt idx="12" formatCode="0.0">
                  <c:v>7.1</c:v>
                </c:pt>
                <c:pt idx="13" formatCode="0.0">
                  <c:v>6.2</c:v>
                </c:pt>
                <c:pt idx="14" formatCode="0.0">
                  <c:v>6.3</c:v>
                </c:pt>
                <c:pt idx="15" formatCode="0.0">
                  <c:v>7.3</c:v>
                </c:pt>
                <c:pt idx="16" formatCode="0.0">
                  <c:v>6.2</c:v>
                </c:pt>
                <c:pt idx="17" formatCode="0.0">
                  <c:v>8.1</c:v>
                </c:pt>
                <c:pt idx="18" formatCode="0.0">
                  <c:v>7.2</c:v>
                </c:pt>
                <c:pt idx="19" formatCode="0.0">
                  <c:v>0</c:v>
                </c:pt>
                <c:pt idx="20" formatCode="0.0">
                  <c:v>0</c:v>
                </c:pt>
                <c:pt idx="21" formatCode="0.0">
                  <c:v>0</c:v>
                </c:pt>
                <c:pt idx="22" formatCode="0.0">
                  <c:v>0</c:v>
                </c:pt>
                <c:pt idx="23" formatCode="0.0">
                  <c:v>0</c:v>
                </c:pt>
              </c:numCache>
            </c:numRef>
          </c:val>
          <c:smooth val="0"/>
          <c:extLst>
            <c:ext xmlns:c16="http://schemas.microsoft.com/office/drawing/2014/chart" uri="{C3380CC4-5D6E-409C-BE32-E72D297353CC}">
              <c16:uniqueId val="{00000019-ED90-4789-A8F6-E8F32CD58B51}"/>
            </c:ext>
          </c:extLst>
        </c:ser>
        <c:ser>
          <c:idx val="0"/>
          <c:order val="1"/>
          <c:spPr>
            <a:ln w="25400">
              <a:solidFill>
                <a:srgbClr val="0000FF"/>
              </a:solidFill>
              <a:prstDash val="solid"/>
            </a:ln>
          </c:spPr>
          <c:dLbls>
            <c:delete val="1"/>
          </c:dLbls>
          <c:cat>
            <c:numRef>
              <c:f>Graficos!$N$61:$AK$61</c:f>
              <c:numCache>
                <c:formatCode>mmm\-yy</c:formatCode>
                <c:ptCount val="24"/>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40817</c:v>
                </c:pt>
                <c:pt idx="22">
                  <c:v>41214</c:v>
                </c:pt>
                <c:pt idx="23">
                  <c:v>41244</c:v>
                </c:pt>
              </c:numCache>
            </c:numRef>
          </c:cat>
          <c:val>
            <c:numRef>
              <c:f>Graficos!$N$66:$AK$66</c:f>
              <c:numCache>
                <c:formatCode>#,##0.0</c:formatCode>
                <c:ptCount val="24"/>
                <c:pt idx="0" formatCode="0.0">
                  <c:v>6.42</c:v>
                </c:pt>
                <c:pt idx="1">
                  <c:v>7.25</c:v>
                </c:pt>
                <c:pt idx="2">
                  <c:v>5.4</c:v>
                </c:pt>
                <c:pt idx="3" formatCode="0.0">
                  <c:v>5.38</c:v>
                </c:pt>
                <c:pt idx="4" formatCode="0.0">
                  <c:v>6.3</c:v>
                </c:pt>
                <c:pt idx="5" formatCode="0.0">
                  <c:v>9.1999999999999993</c:v>
                </c:pt>
                <c:pt idx="6" formatCode="0.0">
                  <c:v>6.2</c:v>
                </c:pt>
                <c:pt idx="7" formatCode="0.0">
                  <c:v>7.2</c:v>
                </c:pt>
                <c:pt idx="8" formatCode="0.0">
                  <c:v>5.3</c:v>
                </c:pt>
                <c:pt idx="9" formatCode="0.0">
                  <c:v>6.4</c:v>
                </c:pt>
                <c:pt idx="10" formatCode="0.0">
                  <c:v>6.2</c:v>
                </c:pt>
                <c:pt idx="11" formatCode="0.0">
                  <c:v>6.2</c:v>
                </c:pt>
                <c:pt idx="12" formatCode="0.0">
                  <c:v>7.1</c:v>
                </c:pt>
                <c:pt idx="13" formatCode="0.0">
                  <c:v>6.2</c:v>
                </c:pt>
                <c:pt idx="14" formatCode="0.0">
                  <c:v>6.3</c:v>
                </c:pt>
                <c:pt idx="15" formatCode="0.0">
                  <c:v>7.3</c:v>
                </c:pt>
                <c:pt idx="16" formatCode="0.0">
                  <c:v>6.2</c:v>
                </c:pt>
                <c:pt idx="17" formatCode="0.0">
                  <c:v>8.1</c:v>
                </c:pt>
                <c:pt idx="18" formatCode="0.0">
                  <c:v>7.2</c:v>
                </c:pt>
                <c:pt idx="19" formatCode="0.0">
                  <c:v>0</c:v>
                </c:pt>
                <c:pt idx="20" formatCode="0.0">
                  <c:v>0</c:v>
                </c:pt>
                <c:pt idx="21" formatCode="0.0">
                  <c:v>0</c:v>
                </c:pt>
                <c:pt idx="22" formatCode="0.0">
                  <c:v>0</c:v>
                </c:pt>
                <c:pt idx="23" formatCode="0.0">
                  <c:v>0</c:v>
                </c:pt>
              </c:numCache>
            </c:numRef>
          </c:val>
          <c:smooth val="0"/>
          <c:extLst>
            <c:ext xmlns:c16="http://schemas.microsoft.com/office/drawing/2014/chart" uri="{C3380CC4-5D6E-409C-BE32-E72D297353CC}">
              <c16:uniqueId val="{0000001A-ED90-4789-A8F6-E8F32CD58B51}"/>
            </c:ext>
          </c:extLst>
        </c:ser>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elete val="1"/>
          </c:dLbls>
          <c:cat>
            <c:numRef>
              <c:f>Graficos!$N$61:$AK$61</c:f>
              <c:numCache>
                <c:formatCode>mmm\-yy</c:formatCode>
                <c:ptCount val="24"/>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40817</c:v>
                </c:pt>
                <c:pt idx="22">
                  <c:v>41214</c:v>
                </c:pt>
                <c:pt idx="23">
                  <c:v>41244</c:v>
                </c:pt>
              </c:numCache>
            </c:numRef>
          </c:cat>
          <c:val>
            <c:numRef>
              <c:f>Graficos!$N$66:$AK$66</c:f>
              <c:numCache>
                <c:formatCode>#,##0.0</c:formatCode>
                <c:ptCount val="24"/>
                <c:pt idx="0" formatCode="0.0">
                  <c:v>6.42</c:v>
                </c:pt>
                <c:pt idx="1">
                  <c:v>7.25</c:v>
                </c:pt>
                <c:pt idx="2">
                  <c:v>5.4</c:v>
                </c:pt>
                <c:pt idx="3" formatCode="0.0">
                  <c:v>5.38</c:v>
                </c:pt>
                <c:pt idx="4" formatCode="0.0">
                  <c:v>6.3</c:v>
                </c:pt>
                <c:pt idx="5" formatCode="0.0">
                  <c:v>9.1999999999999993</c:v>
                </c:pt>
                <c:pt idx="6" formatCode="0.0">
                  <c:v>6.2</c:v>
                </c:pt>
                <c:pt idx="7" formatCode="0.0">
                  <c:v>7.2</c:v>
                </c:pt>
                <c:pt idx="8" formatCode="0.0">
                  <c:v>5.3</c:v>
                </c:pt>
                <c:pt idx="9" formatCode="0.0">
                  <c:v>6.4</c:v>
                </c:pt>
                <c:pt idx="10" formatCode="0.0">
                  <c:v>6.2</c:v>
                </c:pt>
                <c:pt idx="11" formatCode="0.0">
                  <c:v>6.2</c:v>
                </c:pt>
                <c:pt idx="12" formatCode="0.0">
                  <c:v>7.1</c:v>
                </c:pt>
                <c:pt idx="13" formatCode="0.0">
                  <c:v>6.2</c:v>
                </c:pt>
                <c:pt idx="14" formatCode="0.0">
                  <c:v>6.3</c:v>
                </c:pt>
                <c:pt idx="15" formatCode="0.0">
                  <c:v>7.3</c:v>
                </c:pt>
                <c:pt idx="16" formatCode="0.0">
                  <c:v>6.2</c:v>
                </c:pt>
                <c:pt idx="17" formatCode="0.0">
                  <c:v>8.1</c:v>
                </c:pt>
                <c:pt idx="18" formatCode="0.0">
                  <c:v>7.2</c:v>
                </c:pt>
                <c:pt idx="19" formatCode="0.0">
                  <c:v>0</c:v>
                </c:pt>
                <c:pt idx="20" formatCode="0.0">
                  <c:v>0</c:v>
                </c:pt>
                <c:pt idx="21" formatCode="0.0">
                  <c:v>0</c:v>
                </c:pt>
                <c:pt idx="22" formatCode="0.0">
                  <c:v>0</c:v>
                </c:pt>
                <c:pt idx="23" formatCode="0.0">
                  <c:v>0</c:v>
                </c:pt>
              </c:numCache>
            </c:numRef>
          </c:val>
          <c:smooth val="0"/>
          <c:extLst>
            <c:ext xmlns:c16="http://schemas.microsoft.com/office/drawing/2014/chart" uri="{C3380CC4-5D6E-409C-BE32-E72D297353CC}">
              <c16:uniqueId val="{0000001B-ED90-4789-A8F6-E8F32CD58B51}"/>
            </c:ext>
          </c:extLst>
        </c:ser>
        <c:dLbls>
          <c:showLegendKey val="0"/>
          <c:showVal val="1"/>
          <c:showCatName val="0"/>
          <c:showSerName val="0"/>
          <c:showPercent val="0"/>
          <c:showBubbleSize val="0"/>
        </c:dLbls>
        <c:marker val="1"/>
        <c:smooth val="0"/>
        <c:axId val="1401419744"/>
        <c:axId val="1401411584"/>
      </c:lineChart>
      <c:catAx>
        <c:axId val="1401419744"/>
        <c:scaling>
          <c:orientation val="minMax"/>
        </c:scaling>
        <c:delete val="0"/>
        <c:axPos val="b"/>
        <c:numFmt formatCode="mmm\-yy" sourceLinked="1"/>
        <c:majorTickMark val="cross"/>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Arial"/>
                <a:ea typeface="Arial"/>
                <a:cs typeface="Arial"/>
              </a:defRPr>
            </a:pPr>
            <a:endParaRPr lang="es-PE"/>
          </a:p>
        </c:txPr>
        <c:crossAx val="1401411584"/>
        <c:crossesAt val="1"/>
        <c:auto val="0"/>
        <c:lblAlgn val="ctr"/>
        <c:lblOffset val="100"/>
        <c:tickLblSkip val="1"/>
        <c:tickMarkSkip val="1"/>
        <c:noMultiLvlLbl val="0"/>
      </c:catAx>
      <c:valAx>
        <c:axId val="1401411584"/>
        <c:scaling>
          <c:orientation val="minMax"/>
          <c:min val="1"/>
        </c:scaling>
        <c:delete val="0"/>
        <c:axPos val="l"/>
        <c:majorGridlines>
          <c:spPr>
            <a:ln w="3175">
              <a:solidFill>
                <a:srgbClr val="000000"/>
              </a:solidFill>
              <a:prstDash val="solid"/>
            </a:ln>
          </c:spPr>
        </c:majorGridlines>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9744"/>
        <c:crosses val="autoZero"/>
        <c:crossBetween val="between"/>
        <c:majorUnit val="1"/>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00" verticalDpi="300"/>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ESTADISTICA MENSUAL ACCIDENTES FIDEERÍA LIMA</a:t>
            </a:r>
          </a:p>
        </c:rich>
      </c:tx>
      <c:layout>
        <c:manualLayout>
          <c:xMode val="edge"/>
          <c:yMode val="edge"/>
          <c:x val="0.2157260181187029"/>
          <c:y val="1.6666666666666701E-2"/>
        </c:manualLayout>
      </c:layout>
      <c:overlay val="0"/>
      <c:spPr>
        <a:noFill/>
        <a:ln w="25400">
          <a:noFill/>
        </a:ln>
      </c:spPr>
    </c:title>
    <c:autoTitleDeleted val="0"/>
    <c:plotArea>
      <c:layout>
        <c:manualLayout>
          <c:layoutTarget val="inner"/>
          <c:xMode val="edge"/>
          <c:yMode val="edge"/>
          <c:x val="5.3395986791973583E-2"/>
          <c:y val="0.12222255909970486"/>
          <c:w val="0.91935574375841078"/>
          <c:h val="0.62333536241981902"/>
        </c:manualLayout>
      </c:layout>
      <c:lineChart>
        <c:grouping val="standard"/>
        <c:varyColors val="0"/>
        <c:ser>
          <c:idx val="1"/>
          <c:order val="0"/>
          <c:tx>
            <c:v>Menores</c:v>
          </c:tx>
          <c:spPr>
            <a:ln w="25400">
              <a:solidFill>
                <a:srgbClr val="008000"/>
              </a:solidFill>
              <a:prstDash val="solid"/>
            </a:ln>
          </c:spPr>
          <c:marker>
            <c:symbol val="circle"/>
            <c:size val="5"/>
            <c:spPr>
              <a:solidFill>
                <a:srgbClr val="008000"/>
              </a:solidFill>
              <a:ln>
                <a:solidFill>
                  <a:srgbClr val="008000"/>
                </a:solidFill>
                <a:prstDash val="solid"/>
              </a:ln>
            </c:spPr>
          </c:marker>
          <c:dLbls>
            <c:dLbl>
              <c:idx val="0"/>
              <c:delete val="1"/>
              <c:extLst>
                <c:ext xmlns:c15="http://schemas.microsoft.com/office/drawing/2012/chart" uri="{CE6537A1-D6FC-4f65-9D91-7224C49458BB}"/>
                <c:ext xmlns:c16="http://schemas.microsoft.com/office/drawing/2014/chart" uri="{C3380CC4-5D6E-409C-BE32-E72D297353CC}">
                  <c16:uniqueId val="{00000000-DA52-4420-91CF-3DC350D9941B}"/>
                </c:ext>
              </c:extLst>
            </c:dLbl>
            <c:dLbl>
              <c:idx val="1"/>
              <c:layout>
                <c:manualLayout>
                  <c:x val="-3.4946448226229811E-2"/>
                  <c:y val="-5.3333333333334267E-2"/>
                </c:manualLayout>
              </c:layout>
              <c:tx>
                <c:rich>
                  <a:bodyPr/>
                  <a:lstStyle/>
                  <a:p>
                    <a:pPr>
                      <a:defRPr/>
                    </a:pPr>
                    <a:r>
                      <a:rPr lang="en-US" b="1">
                        <a:solidFill>
                          <a:srgbClr val="FF0000"/>
                        </a:solidFill>
                      </a:rPr>
                      <a:t>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A52-4420-91CF-3DC350D9941B}"/>
                </c:ext>
              </c:extLst>
            </c:dLbl>
            <c:dLbl>
              <c:idx val="2"/>
              <c:delete val="1"/>
              <c:extLst>
                <c:ext xmlns:c15="http://schemas.microsoft.com/office/drawing/2012/chart" uri="{CE6537A1-D6FC-4f65-9D91-7224C49458BB}"/>
                <c:ext xmlns:c16="http://schemas.microsoft.com/office/drawing/2014/chart" uri="{C3380CC4-5D6E-409C-BE32-E72D297353CC}">
                  <c16:uniqueId val="{00000002-DA52-4420-91CF-3DC350D9941B}"/>
                </c:ext>
              </c:extLst>
            </c:dLbl>
            <c:dLbl>
              <c:idx val="3"/>
              <c:delete val="1"/>
              <c:extLst>
                <c:ext xmlns:c15="http://schemas.microsoft.com/office/drawing/2012/chart" uri="{CE6537A1-D6FC-4f65-9D91-7224C49458BB}"/>
                <c:ext xmlns:c16="http://schemas.microsoft.com/office/drawing/2014/chart" uri="{C3380CC4-5D6E-409C-BE32-E72D297353CC}">
                  <c16:uniqueId val="{00000003-DA52-4420-91CF-3DC350D9941B}"/>
                </c:ext>
              </c:extLst>
            </c:dLbl>
            <c:dLbl>
              <c:idx val="4"/>
              <c:delete val="1"/>
              <c:extLst>
                <c:ext xmlns:c15="http://schemas.microsoft.com/office/drawing/2012/chart" uri="{CE6537A1-D6FC-4f65-9D91-7224C49458BB}"/>
                <c:ext xmlns:c16="http://schemas.microsoft.com/office/drawing/2014/chart" uri="{C3380CC4-5D6E-409C-BE32-E72D297353CC}">
                  <c16:uniqueId val="{00000004-DA52-4420-91CF-3DC350D9941B}"/>
                </c:ext>
              </c:extLst>
            </c:dLbl>
            <c:dLbl>
              <c:idx val="5"/>
              <c:delete val="1"/>
              <c:extLst>
                <c:ext xmlns:c15="http://schemas.microsoft.com/office/drawing/2012/chart" uri="{CE6537A1-D6FC-4f65-9D91-7224C49458BB}"/>
                <c:ext xmlns:c16="http://schemas.microsoft.com/office/drawing/2014/chart" uri="{C3380CC4-5D6E-409C-BE32-E72D297353CC}">
                  <c16:uniqueId val="{00000005-DA52-4420-91CF-3DC350D9941B}"/>
                </c:ext>
              </c:extLst>
            </c:dLbl>
            <c:dLbl>
              <c:idx val="7"/>
              <c:delete val="1"/>
              <c:extLst>
                <c:ext xmlns:c15="http://schemas.microsoft.com/office/drawing/2012/chart" uri="{CE6537A1-D6FC-4f65-9D91-7224C49458BB}"/>
                <c:ext xmlns:c16="http://schemas.microsoft.com/office/drawing/2014/chart" uri="{C3380CC4-5D6E-409C-BE32-E72D297353CC}">
                  <c16:uniqueId val="{00000006-DA52-4420-91CF-3DC350D9941B}"/>
                </c:ext>
              </c:extLst>
            </c:dLbl>
            <c:dLbl>
              <c:idx val="8"/>
              <c:delete val="1"/>
              <c:extLst>
                <c:ext xmlns:c15="http://schemas.microsoft.com/office/drawing/2012/chart" uri="{CE6537A1-D6FC-4f65-9D91-7224C49458BB}"/>
                <c:ext xmlns:c16="http://schemas.microsoft.com/office/drawing/2014/chart" uri="{C3380CC4-5D6E-409C-BE32-E72D297353CC}">
                  <c16:uniqueId val="{00000007-DA52-4420-91CF-3DC350D9941B}"/>
                </c:ext>
              </c:extLst>
            </c:dLbl>
            <c:dLbl>
              <c:idx val="9"/>
              <c:delete val="1"/>
              <c:extLst>
                <c:ext xmlns:c15="http://schemas.microsoft.com/office/drawing/2012/chart" uri="{CE6537A1-D6FC-4f65-9D91-7224C49458BB}"/>
                <c:ext xmlns:c16="http://schemas.microsoft.com/office/drawing/2014/chart" uri="{C3380CC4-5D6E-409C-BE32-E72D297353CC}">
                  <c16:uniqueId val="{00000008-DA52-4420-91CF-3DC350D9941B}"/>
                </c:ext>
              </c:extLst>
            </c:dLbl>
            <c:dLbl>
              <c:idx val="10"/>
              <c:delete val="1"/>
              <c:extLst>
                <c:ext xmlns:c15="http://schemas.microsoft.com/office/drawing/2012/chart" uri="{CE6537A1-D6FC-4f65-9D91-7224C49458BB}"/>
                <c:ext xmlns:c16="http://schemas.microsoft.com/office/drawing/2014/chart" uri="{C3380CC4-5D6E-409C-BE32-E72D297353CC}">
                  <c16:uniqueId val="{00000009-DA52-4420-91CF-3DC350D9941B}"/>
                </c:ext>
              </c:extLst>
            </c:dLbl>
            <c:dLbl>
              <c:idx val="11"/>
              <c:delete val="1"/>
              <c:extLst>
                <c:ext xmlns:c15="http://schemas.microsoft.com/office/drawing/2012/chart" uri="{CE6537A1-D6FC-4f65-9D91-7224C49458BB}"/>
                <c:ext xmlns:c16="http://schemas.microsoft.com/office/drawing/2014/chart" uri="{C3380CC4-5D6E-409C-BE32-E72D297353CC}">
                  <c16:uniqueId val="{0000000A-DA52-4420-91CF-3DC350D9941B}"/>
                </c:ext>
              </c:extLst>
            </c:dLbl>
            <c:dLbl>
              <c:idx val="12"/>
              <c:delete val="1"/>
              <c:extLst>
                <c:ext xmlns:c15="http://schemas.microsoft.com/office/drawing/2012/chart" uri="{CE6537A1-D6FC-4f65-9D91-7224C49458BB}"/>
                <c:ext xmlns:c16="http://schemas.microsoft.com/office/drawing/2014/chart" uri="{C3380CC4-5D6E-409C-BE32-E72D297353CC}">
                  <c16:uniqueId val="{0000000B-DA52-4420-91CF-3DC350D9941B}"/>
                </c:ext>
              </c:extLst>
            </c:dLbl>
            <c:dLbl>
              <c:idx val="13"/>
              <c:delete val="1"/>
              <c:extLst>
                <c:ext xmlns:c15="http://schemas.microsoft.com/office/drawing/2012/chart" uri="{CE6537A1-D6FC-4f65-9D91-7224C49458BB}"/>
                <c:ext xmlns:c16="http://schemas.microsoft.com/office/drawing/2014/chart" uri="{C3380CC4-5D6E-409C-BE32-E72D297353CC}">
                  <c16:uniqueId val="{0000000C-DA52-4420-91CF-3DC350D9941B}"/>
                </c:ext>
              </c:extLst>
            </c:dLbl>
            <c:dLbl>
              <c:idx val="14"/>
              <c:layout>
                <c:manualLayout>
                  <c:x val="-2.6881720430107649E-2"/>
                  <c:y val="-4.0000000000000022E-2"/>
                </c:manualLayout>
              </c:layout>
              <c:tx>
                <c:rich>
                  <a:bodyPr/>
                  <a:lstStyle/>
                  <a:p>
                    <a:pPr>
                      <a:defRPr/>
                    </a:pPr>
                    <a:r>
                      <a:rPr lang="en-US" b="1"/>
                      <a:t>2</a:t>
                    </a:r>
                  </a:p>
                </c:rich>
              </c:tx>
              <c:spPr>
                <a:noFill/>
                <a:ln w="25400">
                  <a:noFill/>
                </a:ln>
              </c:spP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A52-4420-91CF-3DC350D9941B}"/>
                </c:ext>
              </c:extLst>
            </c:dLbl>
            <c:dLbl>
              <c:idx val="15"/>
              <c:delete val="1"/>
              <c:extLst>
                <c:ext xmlns:c15="http://schemas.microsoft.com/office/drawing/2012/chart" uri="{CE6537A1-D6FC-4f65-9D91-7224C49458BB}"/>
                <c:ext xmlns:c16="http://schemas.microsoft.com/office/drawing/2014/chart" uri="{C3380CC4-5D6E-409C-BE32-E72D297353CC}">
                  <c16:uniqueId val="{0000000E-DA52-4420-91CF-3DC350D9941B}"/>
                </c:ext>
              </c:extLst>
            </c:dLbl>
            <c:dLbl>
              <c:idx val="16"/>
              <c:layout>
                <c:manualLayout>
                  <c:x val="-3.4946236559139685E-2"/>
                  <c:y val="-4.0000000000000022E-2"/>
                </c:manualLayout>
              </c:layout>
              <c:tx>
                <c:rich>
                  <a:bodyPr/>
                  <a:lstStyle/>
                  <a:p>
                    <a:pPr>
                      <a:defRPr/>
                    </a:pPr>
                    <a:r>
                      <a:rPr lang="en-US" b="1">
                        <a:solidFill>
                          <a:sysClr val="windowText" lastClr="000000"/>
                        </a:solidFill>
                      </a:rPr>
                      <a:t>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A52-4420-91CF-3DC350D9941B}"/>
                </c:ext>
              </c:extLst>
            </c:dLbl>
            <c:dLbl>
              <c:idx val="17"/>
              <c:delete val="1"/>
              <c:extLst>
                <c:ext xmlns:c15="http://schemas.microsoft.com/office/drawing/2012/chart" uri="{CE6537A1-D6FC-4f65-9D91-7224C49458BB}"/>
                <c:ext xmlns:c16="http://schemas.microsoft.com/office/drawing/2014/chart" uri="{C3380CC4-5D6E-409C-BE32-E72D297353CC}">
                  <c16:uniqueId val="{00000010-DA52-4420-91CF-3DC350D9941B}"/>
                </c:ext>
              </c:extLst>
            </c:dLbl>
            <c:dLbl>
              <c:idx val="18"/>
              <c:delete val="1"/>
              <c:extLst>
                <c:ext xmlns:c15="http://schemas.microsoft.com/office/drawing/2012/chart" uri="{CE6537A1-D6FC-4f65-9D91-7224C49458BB}"/>
                <c:ext xmlns:c16="http://schemas.microsoft.com/office/drawing/2014/chart" uri="{C3380CC4-5D6E-409C-BE32-E72D297353CC}">
                  <c16:uniqueId val="{00000011-DA52-4420-91CF-3DC350D9941B}"/>
                </c:ext>
              </c:extLst>
            </c:dLbl>
            <c:dLbl>
              <c:idx val="19"/>
              <c:delete val="1"/>
              <c:extLst>
                <c:ext xmlns:c15="http://schemas.microsoft.com/office/drawing/2012/chart" uri="{CE6537A1-D6FC-4f65-9D91-7224C49458BB}"/>
                <c:ext xmlns:c16="http://schemas.microsoft.com/office/drawing/2014/chart" uri="{C3380CC4-5D6E-409C-BE32-E72D297353CC}">
                  <c16:uniqueId val="{00000012-DA52-4420-91CF-3DC350D9941B}"/>
                </c:ext>
              </c:extLst>
            </c:dLbl>
            <c:dLbl>
              <c:idx val="20"/>
              <c:layout>
                <c:manualLayout>
                  <c:x val="-2.419354838709678E-2"/>
                  <c:y val="-3.1111111111111235E-2"/>
                </c:manualLayout>
              </c:layout>
              <c:tx>
                <c:rich>
                  <a:bodyPr/>
                  <a:lstStyle/>
                  <a:p>
                    <a:r>
                      <a:rPr lang="en-US" b="1"/>
                      <a: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A52-4420-91CF-3DC350D9941B}"/>
                </c:ext>
              </c:extLst>
            </c:dLbl>
            <c:dLbl>
              <c:idx val="21"/>
              <c:delete val="1"/>
              <c:extLst>
                <c:ext xmlns:c15="http://schemas.microsoft.com/office/drawing/2012/chart" uri="{CE6537A1-D6FC-4f65-9D91-7224C49458BB}"/>
                <c:ext xmlns:c16="http://schemas.microsoft.com/office/drawing/2014/chart" uri="{C3380CC4-5D6E-409C-BE32-E72D297353CC}">
                  <c16:uniqueId val="{00000014-DA52-4420-91CF-3DC350D9941B}"/>
                </c:ext>
              </c:extLst>
            </c:dLbl>
            <c:dLbl>
              <c:idx val="22"/>
              <c:layout>
                <c:manualLayout>
                  <c:x val="-3.7634408602150692E-2"/>
                  <c:y val="-4.8888888888888891E-2"/>
                </c:manualLayout>
              </c:layout>
              <c:tx>
                <c:rich>
                  <a:bodyPr/>
                  <a:lstStyle/>
                  <a:p>
                    <a:r>
                      <a:rPr lang="en-US" b="1"/>
                      <a:t>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A52-4420-91CF-3DC350D9941B}"/>
                </c:ext>
              </c:extLst>
            </c:dLbl>
            <c:dLbl>
              <c:idx val="23"/>
              <c:delete val="1"/>
              <c:extLst>
                <c:ext xmlns:c15="http://schemas.microsoft.com/office/drawing/2012/chart" uri="{CE6537A1-D6FC-4f65-9D91-7224C49458BB}"/>
                <c:ext xmlns:c16="http://schemas.microsoft.com/office/drawing/2014/chart" uri="{C3380CC4-5D6E-409C-BE32-E72D297353CC}">
                  <c16:uniqueId val="{00000016-DA52-4420-91CF-3DC350D9941B}"/>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Graficos!$N$61:$AK$61</c:f>
              <c:numCache>
                <c:formatCode>mmm\-yy</c:formatCode>
                <c:ptCount val="24"/>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40817</c:v>
                </c:pt>
                <c:pt idx="22">
                  <c:v>41214</c:v>
                </c:pt>
                <c:pt idx="23">
                  <c:v>41244</c:v>
                </c:pt>
              </c:numCache>
            </c:numRef>
          </c:cat>
          <c:val>
            <c:numRef>
              <c:f>Graficos!$N$64:$AK$64</c:f>
              <c:numCache>
                <c:formatCode>General</c:formatCode>
                <c:ptCount val="24"/>
                <c:pt idx="0">
                  <c:v>0</c:v>
                </c:pt>
                <c:pt idx="1">
                  <c:v>1</c:v>
                </c:pt>
                <c:pt idx="2">
                  <c:v>0</c:v>
                </c:pt>
                <c:pt idx="3">
                  <c:v>0</c:v>
                </c:pt>
                <c:pt idx="4">
                  <c:v>0</c:v>
                </c:pt>
                <c:pt idx="5">
                  <c:v>0</c:v>
                </c:pt>
                <c:pt idx="6">
                  <c:v>1</c:v>
                </c:pt>
                <c:pt idx="7">
                  <c:v>0</c:v>
                </c:pt>
                <c:pt idx="8">
                  <c:v>0</c:v>
                </c:pt>
                <c:pt idx="9">
                  <c:v>0</c:v>
                </c:pt>
                <c:pt idx="10">
                  <c:v>0</c:v>
                </c:pt>
                <c:pt idx="11">
                  <c:v>0</c:v>
                </c:pt>
                <c:pt idx="12">
                  <c:v>0</c:v>
                </c:pt>
                <c:pt idx="13">
                  <c:v>0</c:v>
                </c:pt>
                <c:pt idx="14">
                  <c:v>2</c:v>
                </c:pt>
                <c:pt idx="15">
                  <c:v>0</c:v>
                </c:pt>
                <c:pt idx="16">
                  <c:v>1</c:v>
                </c:pt>
                <c:pt idx="17">
                  <c:v>0</c:v>
                </c:pt>
                <c:pt idx="18">
                  <c:v>0</c:v>
                </c:pt>
                <c:pt idx="19">
                  <c:v>0</c:v>
                </c:pt>
                <c:pt idx="20">
                  <c:v>1</c:v>
                </c:pt>
                <c:pt idx="21">
                  <c:v>0</c:v>
                </c:pt>
                <c:pt idx="22">
                  <c:v>2</c:v>
                </c:pt>
                <c:pt idx="23">
                  <c:v>0</c:v>
                </c:pt>
              </c:numCache>
            </c:numRef>
          </c:val>
          <c:smooth val="0"/>
          <c:extLst>
            <c:ext xmlns:c16="http://schemas.microsoft.com/office/drawing/2014/chart" uri="{C3380CC4-5D6E-409C-BE32-E72D297353CC}">
              <c16:uniqueId val="{00000017-DA52-4420-91CF-3DC350D9941B}"/>
            </c:ext>
          </c:extLst>
        </c:ser>
        <c:ser>
          <c:idx val="0"/>
          <c:order val="1"/>
          <c:tx>
            <c:v>Incapacitantes</c:v>
          </c:tx>
          <c:spPr>
            <a:ln w="25400">
              <a:solidFill>
                <a:srgbClr val="FF3333"/>
              </a:solidFill>
              <a:prstDash val="solid"/>
            </a:ln>
          </c:spPr>
          <c:marker>
            <c:symbol val="circle"/>
            <c:size val="5"/>
            <c:spPr>
              <a:solidFill>
                <a:srgbClr val="FF3333"/>
              </a:solidFill>
              <a:ln>
                <a:solidFill>
                  <a:srgbClr val="FF3333"/>
                </a:solidFill>
                <a:prstDash val="solid"/>
              </a:ln>
            </c:spPr>
          </c:marker>
          <c:dLbls>
            <c:dLbl>
              <c:idx val="0"/>
              <c:delete val="1"/>
              <c:extLst>
                <c:ext xmlns:c15="http://schemas.microsoft.com/office/drawing/2012/chart" uri="{CE6537A1-D6FC-4f65-9D91-7224C49458BB}"/>
                <c:ext xmlns:c16="http://schemas.microsoft.com/office/drawing/2014/chart" uri="{C3380CC4-5D6E-409C-BE32-E72D297353CC}">
                  <c16:uniqueId val="{00000018-DA52-4420-91CF-3DC350D9941B}"/>
                </c:ext>
              </c:extLst>
            </c:dLbl>
            <c:dLbl>
              <c:idx val="1"/>
              <c:delete val="1"/>
              <c:extLst>
                <c:ext xmlns:c15="http://schemas.microsoft.com/office/drawing/2012/chart" uri="{CE6537A1-D6FC-4f65-9D91-7224C49458BB}"/>
                <c:ext xmlns:c16="http://schemas.microsoft.com/office/drawing/2014/chart" uri="{C3380CC4-5D6E-409C-BE32-E72D297353CC}">
                  <c16:uniqueId val="{00000019-DA52-4420-91CF-3DC350D9941B}"/>
                </c:ext>
              </c:extLst>
            </c:dLbl>
            <c:dLbl>
              <c:idx val="2"/>
              <c:delete val="1"/>
              <c:extLst>
                <c:ext xmlns:c15="http://schemas.microsoft.com/office/drawing/2012/chart" uri="{CE6537A1-D6FC-4f65-9D91-7224C49458BB}"/>
                <c:ext xmlns:c16="http://schemas.microsoft.com/office/drawing/2014/chart" uri="{C3380CC4-5D6E-409C-BE32-E72D297353CC}">
                  <c16:uniqueId val="{0000001A-DA52-4420-91CF-3DC350D9941B}"/>
                </c:ext>
              </c:extLst>
            </c:dLbl>
            <c:dLbl>
              <c:idx val="3"/>
              <c:delete val="1"/>
              <c:extLst>
                <c:ext xmlns:c15="http://schemas.microsoft.com/office/drawing/2012/chart" uri="{CE6537A1-D6FC-4f65-9D91-7224C49458BB}"/>
                <c:ext xmlns:c16="http://schemas.microsoft.com/office/drawing/2014/chart" uri="{C3380CC4-5D6E-409C-BE32-E72D297353CC}">
                  <c16:uniqueId val="{0000001B-DA52-4420-91CF-3DC350D9941B}"/>
                </c:ext>
              </c:extLst>
            </c:dLbl>
            <c:dLbl>
              <c:idx val="4"/>
              <c:delete val="1"/>
              <c:extLst>
                <c:ext xmlns:c15="http://schemas.microsoft.com/office/drawing/2012/chart" uri="{CE6537A1-D6FC-4f65-9D91-7224C49458BB}"/>
                <c:ext xmlns:c16="http://schemas.microsoft.com/office/drawing/2014/chart" uri="{C3380CC4-5D6E-409C-BE32-E72D297353CC}">
                  <c16:uniqueId val="{0000001C-DA52-4420-91CF-3DC350D9941B}"/>
                </c:ext>
              </c:extLst>
            </c:dLbl>
            <c:dLbl>
              <c:idx val="5"/>
              <c:layout>
                <c:manualLayout>
                  <c:x val="-3.2258276183219699E-2"/>
                  <c:y val="-6.7094663167104121E-2"/>
                </c:manualLayout>
              </c:layout>
              <c:tx>
                <c:rich>
                  <a:bodyPr/>
                  <a:lstStyle/>
                  <a:p>
                    <a:r>
                      <a:rPr lang="es-PE" sz="900" b="1">
                        <a:solidFill>
                          <a:srgbClr val="FF0000"/>
                        </a:solidFill>
                      </a:rPr>
                      <a:t>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A52-4420-91CF-3DC350D9941B}"/>
                </c:ext>
              </c:extLst>
            </c:dLbl>
            <c:dLbl>
              <c:idx val="6"/>
              <c:layout>
                <c:manualLayout>
                  <c:x val="-2.7169799339598573E-2"/>
                  <c:y val="-6.522239720034996E-2"/>
                </c:manualLayout>
              </c:layout>
              <c:tx>
                <c:rich>
                  <a:bodyPr/>
                  <a:lstStyle/>
                  <a:p>
                    <a:r>
                      <a:rPr lang="es-PE" sz="900" b="1">
                        <a:solidFill>
                          <a:srgbClr val="FF0000"/>
                        </a:solidFill>
                      </a:rPr>
                      <a:t>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A52-4420-91CF-3DC350D9941B}"/>
                </c:ext>
              </c:extLst>
            </c:dLbl>
            <c:dLbl>
              <c:idx val="7"/>
              <c:delete val="1"/>
              <c:extLst>
                <c:ext xmlns:c15="http://schemas.microsoft.com/office/drawing/2012/chart" uri="{CE6537A1-D6FC-4f65-9D91-7224C49458BB}"/>
                <c:ext xmlns:c16="http://schemas.microsoft.com/office/drawing/2014/chart" uri="{C3380CC4-5D6E-409C-BE32-E72D297353CC}">
                  <c16:uniqueId val="{0000001F-DA52-4420-91CF-3DC350D9941B}"/>
                </c:ext>
              </c:extLst>
            </c:dLbl>
            <c:dLbl>
              <c:idx val="8"/>
              <c:layout>
                <c:manualLayout>
                  <c:x val="5.7315849631699264E-2"/>
                  <c:y val="-0.2209501312335958"/>
                </c:manualLayout>
              </c:layout>
              <c:tx>
                <c:rich>
                  <a:bodyPr/>
                  <a:lstStyle/>
                  <a:p>
                    <a:r>
                      <a:rPr lang="es-PE" sz="900" b="1">
                        <a:solidFill>
                          <a:srgbClr val="FF0000"/>
                        </a:solidFill>
                      </a:rPr>
                      <a:t>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A52-4420-91CF-3DC350D9941B}"/>
                </c:ext>
              </c:extLst>
            </c:dLbl>
            <c:dLbl>
              <c:idx val="9"/>
              <c:delete val="1"/>
              <c:extLst>
                <c:ext xmlns:c15="http://schemas.microsoft.com/office/drawing/2012/chart" uri="{CE6537A1-D6FC-4f65-9D91-7224C49458BB}"/>
                <c:ext xmlns:c16="http://schemas.microsoft.com/office/drawing/2014/chart" uri="{C3380CC4-5D6E-409C-BE32-E72D297353CC}">
                  <c16:uniqueId val="{00000021-DA52-4420-91CF-3DC350D9941B}"/>
                </c:ext>
              </c:extLst>
            </c:dLbl>
            <c:dLbl>
              <c:idx val="10"/>
              <c:layout>
                <c:manualLayout>
                  <c:x val="-0.34408602150537637"/>
                  <c:y val="-6.2222572178477688E-2"/>
                </c:manualLayout>
              </c:layout>
              <c:tx>
                <c:rich>
                  <a:bodyPr/>
                  <a:lstStyle/>
                  <a:p>
                    <a:r>
                      <a:rPr lang="es-PE" sz="900" b="1"/>
                      <a:t>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A52-4420-91CF-3DC350D9941B}"/>
                </c:ext>
              </c:extLst>
            </c:dLbl>
            <c:dLbl>
              <c:idx val="11"/>
              <c:layout>
                <c:manualLayout>
                  <c:x val="-3.7730717128102158E-2"/>
                  <c:y val="-5.9666669639116918E-2"/>
                </c:manualLayout>
              </c:layout>
              <c:tx>
                <c:rich>
                  <a:bodyPr/>
                  <a:lstStyle/>
                  <a:p>
                    <a:r>
                      <a:rPr lang="es-PE" sz="900" b="1">
                        <a:solidFill>
                          <a:srgbClr val="FF0000"/>
                        </a:solidFill>
                      </a:rPr>
                      <a:t>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A52-4420-91CF-3DC350D9941B}"/>
                </c:ext>
              </c:extLst>
            </c:dLbl>
            <c:dLbl>
              <c:idx val="12"/>
              <c:delete val="1"/>
              <c:extLst>
                <c:ext xmlns:c15="http://schemas.microsoft.com/office/drawing/2012/chart" uri="{CE6537A1-D6FC-4f65-9D91-7224C49458BB}"/>
                <c:ext xmlns:c16="http://schemas.microsoft.com/office/drawing/2014/chart" uri="{C3380CC4-5D6E-409C-BE32-E72D297353CC}">
                  <c16:uniqueId val="{00000024-DA52-4420-91CF-3DC350D9941B}"/>
                </c:ext>
              </c:extLst>
            </c:dLbl>
            <c:dLbl>
              <c:idx val="13"/>
              <c:delete val="1"/>
              <c:extLst>
                <c:ext xmlns:c15="http://schemas.microsoft.com/office/drawing/2012/chart" uri="{CE6537A1-D6FC-4f65-9D91-7224C49458BB}"/>
                <c:ext xmlns:c16="http://schemas.microsoft.com/office/drawing/2014/chart" uri="{C3380CC4-5D6E-409C-BE32-E72D297353CC}">
                  <c16:uniqueId val="{00000025-DA52-4420-91CF-3DC350D9941B}"/>
                </c:ext>
              </c:extLst>
            </c:dLbl>
            <c:dLbl>
              <c:idx val="14"/>
              <c:delete val="1"/>
              <c:extLst>
                <c:ext xmlns:c15="http://schemas.microsoft.com/office/drawing/2012/chart" uri="{CE6537A1-D6FC-4f65-9D91-7224C49458BB}"/>
                <c:ext xmlns:c16="http://schemas.microsoft.com/office/drawing/2014/chart" uri="{C3380CC4-5D6E-409C-BE32-E72D297353CC}">
                  <c16:uniqueId val="{00000026-DA52-4420-91CF-3DC350D9941B}"/>
                </c:ext>
              </c:extLst>
            </c:dLbl>
            <c:dLbl>
              <c:idx val="15"/>
              <c:layout>
                <c:manualLayout>
                  <c:x val="-3.4946236559139782E-2"/>
                  <c:y val="-5.4360135900341375E-2"/>
                </c:manualLayout>
              </c:layout>
              <c:tx>
                <c:rich>
                  <a:bodyPr/>
                  <a:lstStyle/>
                  <a:p>
                    <a:r>
                      <a:rPr lang="es-PE" sz="1300" b="1"/>
                      <a:t>1</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A52-4420-91CF-3DC350D9941B}"/>
                </c:ext>
              </c:extLst>
            </c:dLbl>
            <c:dLbl>
              <c:idx val="16"/>
              <c:delete val="1"/>
              <c:extLst>
                <c:ext xmlns:c15="http://schemas.microsoft.com/office/drawing/2012/chart" uri="{CE6537A1-D6FC-4f65-9D91-7224C49458BB}"/>
                <c:ext xmlns:c16="http://schemas.microsoft.com/office/drawing/2014/chart" uri="{C3380CC4-5D6E-409C-BE32-E72D297353CC}">
                  <c16:uniqueId val="{00000028-DA52-4420-91CF-3DC350D9941B}"/>
                </c:ext>
              </c:extLst>
            </c:dLbl>
            <c:dLbl>
              <c:idx val="17"/>
              <c:layout>
                <c:manualLayout>
                  <c:x val="-2.5537422741512151E-2"/>
                  <c:y val="-5.777797594100384E-2"/>
                </c:manualLayout>
              </c:layout>
              <c:tx>
                <c:rich>
                  <a:bodyPr/>
                  <a:lstStyle/>
                  <a:p>
                    <a:r>
                      <a:rPr lang="es-PE" sz="1300" b="1">
                        <a:solidFill>
                          <a:srgbClr val="FF0000"/>
                        </a:solidFill>
                      </a:rPr>
                      <a:t>3</a:t>
                    </a:r>
                    <a:r>
                      <a:rPr lang="es-PE" sz="900" b="1">
                        <a:solidFill>
                          <a:srgbClr val="FF0000"/>
                        </a:solidFill>
                      </a:rPr>
                      <a:t>
</a:t>
                    </a:r>
                  </a:p>
                </c:rich>
              </c:tx>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A52-4420-91CF-3DC350D9941B}"/>
                </c:ext>
              </c:extLst>
            </c:dLbl>
            <c:dLbl>
              <c:idx val="18"/>
              <c:delete val="1"/>
              <c:extLst>
                <c:ext xmlns:c15="http://schemas.microsoft.com/office/drawing/2012/chart" uri="{CE6537A1-D6FC-4f65-9D91-7224C49458BB}"/>
                <c:ext xmlns:c16="http://schemas.microsoft.com/office/drawing/2014/chart" uri="{C3380CC4-5D6E-409C-BE32-E72D297353CC}">
                  <c16:uniqueId val="{0000002A-DA52-4420-91CF-3DC350D9941B}"/>
                </c:ext>
              </c:extLst>
            </c:dLbl>
            <c:dLbl>
              <c:idx val="19"/>
              <c:layout>
                <c:manualLayout>
                  <c:x val="-3.2258064516129392E-2"/>
                  <c:y val="-4.4444444444444502E-2"/>
                </c:manualLayout>
              </c:layout>
              <c:tx>
                <c:rich>
                  <a:bodyPr/>
                  <a:lstStyle/>
                  <a:p>
                    <a:r>
                      <a:rPr lang="en-US" sz="1200"/>
                      <a:t>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A52-4420-91CF-3DC350D9941B}"/>
                </c:ext>
              </c:extLst>
            </c:dLbl>
            <c:dLbl>
              <c:idx val="20"/>
              <c:delete val="1"/>
              <c:extLst>
                <c:ext xmlns:c15="http://schemas.microsoft.com/office/drawing/2012/chart" uri="{CE6537A1-D6FC-4f65-9D91-7224C49458BB}"/>
                <c:ext xmlns:c16="http://schemas.microsoft.com/office/drawing/2014/chart" uri="{C3380CC4-5D6E-409C-BE32-E72D297353CC}">
                  <c16:uniqueId val="{0000002C-DA52-4420-91CF-3DC350D9941B}"/>
                </c:ext>
              </c:extLst>
            </c:dLbl>
            <c:dLbl>
              <c:idx val="21"/>
              <c:delete val="1"/>
              <c:extLst>
                <c:ext xmlns:c15="http://schemas.microsoft.com/office/drawing/2012/chart" uri="{CE6537A1-D6FC-4f65-9D91-7224C49458BB}"/>
                <c:ext xmlns:c16="http://schemas.microsoft.com/office/drawing/2014/chart" uri="{C3380CC4-5D6E-409C-BE32-E72D297353CC}">
                  <c16:uniqueId val="{0000002D-DA52-4420-91CF-3DC350D9941B}"/>
                </c:ext>
              </c:extLst>
            </c:dLbl>
            <c:dLbl>
              <c:idx val="22"/>
              <c:delete val="1"/>
              <c:extLst>
                <c:ext xmlns:c15="http://schemas.microsoft.com/office/drawing/2012/chart" uri="{CE6537A1-D6FC-4f65-9D91-7224C49458BB}"/>
                <c:ext xmlns:c16="http://schemas.microsoft.com/office/drawing/2014/chart" uri="{C3380CC4-5D6E-409C-BE32-E72D297353CC}">
                  <c16:uniqueId val="{0000002E-DA52-4420-91CF-3DC350D9941B}"/>
                </c:ext>
              </c:extLst>
            </c:dLbl>
            <c:dLbl>
              <c:idx val="23"/>
              <c:delete val="1"/>
              <c:extLst>
                <c:ext xmlns:c15="http://schemas.microsoft.com/office/drawing/2012/chart" uri="{CE6537A1-D6FC-4f65-9D91-7224C49458BB}"/>
                <c:ext xmlns:c16="http://schemas.microsoft.com/office/drawing/2014/chart" uri="{C3380CC4-5D6E-409C-BE32-E72D297353CC}">
                  <c16:uniqueId val="{0000002F-DA52-4420-91CF-3DC350D9941B}"/>
                </c:ext>
              </c:extLst>
            </c:dLbl>
            <c:spPr>
              <a:noFill/>
              <a:ln w="25400">
                <a:noFill/>
              </a:ln>
            </c:spPr>
            <c:txPr>
              <a:bodyPr/>
              <a:lstStyle/>
              <a:p>
                <a:pPr>
                  <a:defRPr lang="es-PE" sz="900" b="1" i="0" u="none" strike="noStrike" baseline="0">
                    <a:solidFill>
                      <a:srgbClr val="FF0000"/>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Graficos!$N$61:$AK$61</c:f>
              <c:numCache>
                <c:formatCode>mmm\-yy</c:formatCode>
                <c:ptCount val="24"/>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40817</c:v>
                </c:pt>
                <c:pt idx="22">
                  <c:v>41214</c:v>
                </c:pt>
                <c:pt idx="23">
                  <c:v>41244</c:v>
                </c:pt>
              </c:numCache>
            </c:numRef>
          </c:cat>
          <c:val>
            <c:numRef>
              <c:f>Graficos!$N$62:$AK$62</c:f>
              <c:numCache>
                <c:formatCode>General</c:formatCode>
                <c:ptCount val="24"/>
                <c:pt idx="0">
                  <c:v>0</c:v>
                </c:pt>
                <c:pt idx="1">
                  <c:v>1</c:v>
                </c:pt>
                <c:pt idx="2">
                  <c:v>0</c:v>
                </c:pt>
                <c:pt idx="3">
                  <c:v>0</c:v>
                </c:pt>
                <c:pt idx="4">
                  <c:v>1</c:v>
                </c:pt>
                <c:pt idx="5">
                  <c:v>1</c:v>
                </c:pt>
                <c:pt idx="6">
                  <c:v>1</c:v>
                </c:pt>
                <c:pt idx="7">
                  <c:v>0</c:v>
                </c:pt>
                <c:pt idx="8">
                  <c:v>0</c:v>
                </c:pt>
                <c:pt idx="9">
                  <c:v>0</c:v>
                </c:pt>
                <c:pt idx="10">
                  <c:v>1</c:v>
                </c:pt>
                <c:pt idx="11">
                  <c:v>1</c:v>
                </c:pt>
                <c:pt idx="12">
                  <c:v>0</c:v>
                </c:pt>
                <c:pt idx="13">
                  <c:v>0</c:v>
                </c:pt>
                <c:pt idx="14">
                  <c:v>0</c:v>
                </c:pt>
                <c:pt idx="15">
                  <c:v>1</c:v>
                </c:pt>
                <c:pt idx="16">
                  <c:v>0</c:v>
                </c:pt>
                <c:pt idx="17">
                  <c:v>3</c:v>
                </c:pt>
                <c:pt idx="18">
                  <c:v>0</c:v>
                </c:pt>
                <c:pt idx="19">
                  <c:v>2</c:v>
                </c:pt>
                <c:pt idx="20">
                  <c:v>0</c:v>
                </c:pt>
                <c:pt idx="21">
                  <c:v>0</c:v>
                </c:pt>
                <c:pt idx="22">
                  <c:v>0</c:v>
                </c:pt>
                <c:pt idx="23">
                  <c:v>0</c:v>
                </c:pt>
              </c:numCache>
            </c:numRef>
          </c:val>
          <c:smooth val="0"/>
          <c:extLst>
            <c:ext xmlns:c16="http://schemas.microsoft.com/office/drawing/2014/chart" uri="{C3380CC4-5D6E-409C-BE32-E72D297353CC}">
              <c16:uniqueId val="{00000030-DA52-4420-91CF-3DC350D9941B}"/>
            </c:ext>
          </c:extLst>
        </c:ser>
        <c:dLbls>
          <c:showLegendKey val="0"/>
          <c:showVal val="1"/>
          <c:showCatName val="0"/>
          <c:showSerName val="0"/>
          <c:showPercent val="0"/>
          <c:showBubbleSize val="0"/>
        </c:dLbls>
        <c:marker val="1"/>
        <c:smooth val="0"/>
        <c:axId val="1401420288"/>
        <c:axId val="1401414304"/>
      </c:lineChart>
      <c:catAx>
        <c:axId val="1401420288"/>
        <c:scaling>
          <c:orientation val="minMax"/>
        </c:scaling>
        <c:delete val="0"/>
        <c:axPos val="b"/>
        <c:numFmt formatCode="mmm\-yy" sourceLinked="1"/>
        <c:majorTickMark val="cross"/>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Arial"/>
                <a:ea typeface="Arial"/>
                <a:cs typeface="Arial"/>
              </a:defRPr>
            </a:pPr>
            <a:endParaRPr lang="es-PE"/>
          </a:p>
        </c:txPr>
        <c:crossAx val="1401414304"/>
        <c:crosses val="autoZero"/>
        <c:auto val="0"/>
        <c:lblAlgn val="ctr"/>
        <c:lblOffset val="100"/>
        <c:tickLblSkip val="1"/>
        <c:tickMarkSkip val="1"/>
        <c:noMultiLvlLbl val="0"/>
      </c:catAx>
      <c:valAx>
        <c:axId val="1401414304"/>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20288"/>
        <c:crosses val="autoZero"/>
        <c:crossBetween val="between"/>
        <c:majorUnit val="1"/>
      </c:valAx>
      <c:spPr>
        <a:solidFill>
          <a:srgbClr val="D4D4D4"/>
        </a:solidFill>
        <a:ln w="3175">
          <a:solidFill>
            <a:srgbClr val="000000"/>
          </a:solidFill>
          <a:prstDash val="solid"/>
        </a:ln>
      </c:spPr>
    </c:plotArea>
    <c:legend>
      <c:legendPos val="r"/>
      <c:layout>
        <c:manualLayout>
          <c:xMode val="edge"/>
          <c:yMode val="edge"/>
          <c:x val="8.4677419354838704E-2"/>
          <c:y val="0.89333333333333331"/>
          <c:w val="0.66935483870968282"/>
          <c:h val="7.3333333333334055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verticalDpi="300"/>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Estadistica Mensual de Accidentes DETERGENTES</a:t>
            </a:r>
          </a:p>
        </c:rich>
      </c:tx>
      <c:layout>
        <c:manualLayout>
          <c:xMode val="edge"/>
          <c:yMode val="edge"/>
          <c:x val="0.22626305045202849"/>
          <c:y val="3.5460992907801435E-2"/>
        </c:manualLayout>
      </c:layout>
      <c:overlay val="0"/>
      <c:spPr>
        <a:noFill/>
        <a:ln w="25400">
          <a:noFill/>
        </a:ln>
      </c:spPr>
    </c:title>
    <c:autoTitleDeleted val="0"/>
    <c:plotArea>
      <c:layout>
        <c:manualLayout>
          <c:layoutTarget val="inner"/>
          <c:xMode val="edge"/>
          <c:yMode val="edge"/>
          <c:x val="7.0707210202042944E-2"/>
          <c:y val="0.20922058268430949"/>
          <c:w val="0.89091084854570812"/>
          <c:h val="0.50709395464163154"/>
        </c:manualLayout>
      </c:layout>
      <c:barChart>
        <c:barDir val="col"/>
        <c:grouping val="clustered"/>
        <c:varyColors val="0"/>
        <c:ser>
          <c:idx val="1"/>
          <c:order val="0"/>
          <c:tx>
            <c:v>Incapacitante</c:v>
          </c:tx>
          <c:spPr>
            <a:solidFill>
              <a:srgbClr val="FF3333"/>
            </a:solidFill>
            <a:ln w="12700">
              <a:solidFill>
                <a:srgbClr val="FF3333"/>
              </a:solidFill>
              <a:prstDash val="solid"/>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6625-4364-94C8-8967982FDB88}"/>
                </c:ext>
              </c:extLst>
            </c:dLbl>
            <c:dLbl>
              <c:idx val="6"/>
              <c:delete val="1"/>
              <c:extLst>
                <c:ext xmlns:c15="http://schemas.microsoft.com/office/drawing/2012/chart" uri="{CE6537A1-D6FC-4f65-9D91-7224C49458BB}"/>
                <c:ext xmlns:c16="http://schemas.microsoft.com/office/drawing/2014/chart" uri="{C3380CC4-5D6E-409C-BE32-E72D297353CC}">
                  <c16:uniqueId val="{00000001-6625-4364-94C8-8967982FDB88}"/>
                </c:ext>
              </c:extLst>
            </c:dLbl>
            <c:dLbl>
              <c:idx val="8"/>
              <c:delete val="1"/>
              <c:extLst>
                <c:ext xmlns:c15="http://schemas.microsoft.com/office/drawing/2012/chart" uri="{CE6537A1-D6FC-4f65-9D91-7224C49458BB}"/>
                <c:ext xmlns:c16="http://schemas.microsoft.com/office/drawing/2014/chart" uri="{C3380CC4-5D6E-409C-BE32-E72D297353CC}">
                  <c16:uniqueId val="{00000002-6625-4364-94C8-8967982FDB88}"/>
                </c:ext>
              </c:extLst>
            </c:dLbl>
            <c:dLbl>
              <c:idx val="10"/>
              <c:delete val="1"/>
              <c:extLst>
                <c:ext xmlns:c15="http://schemas.microsoft.com/office/drawing/2012/chart" uri="{CE6537A1-D6FC-4f65-9D91-7224C49458BB}"/>
                <c:ext xmlns:c16="http://schemas.microsoft.com/office/drawing/2014/chart" uri="{C3380CC4-5D6E-409C-BE32-E72D297353CC}">
                  <c16:uniqueId val="{00000003-6625-4364-94C8-8967982FDB88}"/>
                </c:ext>
              </c:extLst>
            </c:dLbl>
            <c:numFmt formatCode="#,##0" sourceLinked="0"/>
            <c:spPr>
              <a:noFill/>
              <a:ln w="25400">
                <a:noFill/>
              </a:ln>
            </c:spPr>
            <c:txPr>
              <a:bodyPr/>
              <a:lstStyle/>
              <a:p>
                <a:pPr>
                  <a:defRPr sz="1000" b="1" i="0" u="none" strike="noStrike" baseline="0">
                    <a:solidFill>
                      <a:srgbClr val="FF3333"/>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Graficos!$B$2:$O$2</c:f>
              <c:strCache>
                <c:ptCount val="14"/>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strCache>
            </c:strRef>
          </c:cat>
          <c:val>
            <c:numRef>
              <c:f>Graficos!$B$69:$O$69</c:f>
              <c:numCache>
                <c:formatCode>General</c:formatCode>
                <c:ptCount val="14"/>
                <c:pt idx="0">
                  <c:v>1</c:v>
                </c:pt>
                <c:pt idx="1">
                  <c:v>0</c:v>
                </c:pt>
                <c:pt idx="2">
                  <c:v>0</c:v>
                </c:pt>
                <c:pt idx="3">
                  <c:v>0</c:v>
                </c:pt>
                <c:pt idx="4">
                  <c:v>0</c:v>
                </c:pt>
                <c:pt idx="5">
                  <c:v>1</c:v>
                </c:pt>
                <c:pt idx="6">
                  <c:v>1</c:v>
                </c:pt>
                <c:pt idx="7">
                  <c:v>1</c:v>
                </c:pt>
                <c:pt idx="8">
                  <c:v>0</c:v>
                </c:pt>
                <c:pt idx="9">
                  <c:v>0</c:v>
                </c:pt>
                <c:pt idx="10">
                  <c:v>0</c:v>
                </c:pt>
                <c:pt idx="11">
                  <c:v>0</c:v>
                </c:pt>
                <c:pt idx="12">
                  <c:v>0</c:v>
                </c:pt>
                <c:pt idx="13">
                  <c:v>0</c:v>
                </c:pt>
              </c:numCache>
            </c:numRef>
          </c:val>
          <c:extLst>
            <c:ext xmlns:c16="http://schemas.microsoft.com/office/drawing/2014/chart" uri="{C3380CC4-5D6E-409C-BE32-E72D297353CC}">
              <c16:uniqueId val="{00000004-6625-4364-94C8-8967982FDB88}"/>
            </c:ext>
          </c:extLst>
        </c:ser>
        <c:ser>
          <c:idx val="2"/>
          <c:order val="1"/>
          <c:tx>
            <c:v>Menor</c:v>
          </c:tx>
          <c:spPr>
            <a:solidFill>
              <a:srgbClr val="008000"/>
            </a:solidFill>
            <a:ln w="25400">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6625-4364-94C8-8967982FDB88}"/>
                </c:ext>
              </c:extLst>
            </c:dLbl>
            <c:dLbl>
              <c:idx val="2"/>
              <c:delete val="1"/>
              <c:extLst>
                <c:ext xmlns:c15="http://schemas.microsoft.com/office/drawing/2012/chart" uri="{CE6537A1-D6FC-4f65-9D91-7224C49458BB}"/>
                <c:ext xmlns:c16="http://schemas.microsoft.com/office/drawing/2014/chart" uri="{C3380CC4-5D6E-409C-BE32-E72D297353CC}">
                  <c16:uniqueId val="{00000006-6625-4364-94C8-8967982FDB88}"/>
                </c:ext>
              </c:extLst>
            </c:dLbl>
            <c:dLbl>
              <c:idx val="3"/>
              <c:delete val="1"/>
              <c:extLst>
                <c:ext xmlns:c15="http://schemas.microsoft.com/office/drawing/2012/chart" uri="{CE6537A1-D6FC-4f65-9D91-7224C49458BB}"/>
                <c:ext xmlns:c16="http://schemas.microsoft.com/office/drawing/2014/chart" uri="{C3380CC4-5D6E-409C-BE32-E72D297353CC}">
                  <c16:uniqueId val="{00000007-6625-4364-94C8-8967982FDB88}"/>
                </c:ext>
              </c:extLst>
            </c:dLbl>
            <c:dLbl>
              <c:idx val="4"/>
              <c:delete val="1"/>
              <c:extLst>
                <c:ext xmlns:c15="http://schemas.microsoft.com/office/drawing/2012/chart" uri="{CE6537A1-D6FC-4f65-9D91-7224C49458BB}"/>
                <c:ext xmlns:c16="http://schemas.microsoft.com/office/drawing/2014/chart" uri="{C3380CC4-5D6E-409C-BE32-E72D297353CC}">
                  <c16:uniqueId val="{00000008-6625-4364-94C8-8967982FDB88}"/>
                </c:ext>
              </c:extLst>
            </c:dLbl>
            <c:dLbl>
              <c:idx val="6"/>
              <c:delete val="1"/>
              <c:extLst>
                <c:ext xmlns:c15="http://schemas.microsoft.com/office/drawing/2012/chart" uri="{CE6537A1-D6FC-4f65-9D91-7224C49458BB}"/>
                <c:ext xmlns:c16="http://schemas.microsoft.com/office/drawing/2014/chart" uri="{C3380CC4-5D6E-409C-BE32-E72D297353CC}">
                  <c16:uniqueId val="{00000009-6625-4364-94C8-8967982FDB88}"/>
                </c:ext>
              </c:extLst>
            </c:dLbl>
            <c:dLbl>
              <c:idx val="7"/>
              <c:delete val="1"/>
              <c:extLst>
                <c:ext xmlns:c15="http://schemas.microsoft.com/office/drawing/2012/chart" uri="{CE6537A1-D6FC-4f65-9D91-7224C49458BB}"/>
                <c:ext xmlns:c16="http://schemas.microsoft.com/office/drawing/2014/chart" uri="{C3380CC4-5D6E-409C-BE32-E72D297353CC}">
                  <c16:uniqueId val="{0000000A-6625-4364-94C8-8967982FDB88}"/>
                </c:ext>
              </c:extLst>
            </c:dLbl>
            <c:dLbl>
              <c:idx val="8"/>
              <c:delete val="1"/>
              <c:extLst>
                <c:ext xmlns:c15="http://schemas.microsoft.com/office/drawing/2012/chart" uri="{CE6537A1-D6FC-4f65-9D91-7224C49458BB}"/>
                <c:ext xmlns:c16="http://schemas.microsoft.com/office/drawing/2014/chart" uri="{C3380CC4-5D6E-409C-BE32-E72D297353CC}">
                  <c16:uniqueId val="{0000000B-6625-4364-94C8-8967982FDB88}"/>
                </c:ext>
              </c:extLst>
            </c:dLbl>
            <c:dLbl>
              <c:idx val="9"/>
              <c:delete val="1"/>
              <c:extLst>
                <c:ext xmlns:c15="http://schemas.microsoft.com/office/drawing/2012/chart" uri="{CE6537A1-D6FC-4f65-9D91-7224C49458BB}"/>
                <c:ext xmlns:c16="http://schemas.microsoft.com/office/drawing/2014/chart" uri="{C3380CC4-5D6E-409C-BE32-E72D297353CC}">
                  <c16:uniqueId val="{0000000C-6625-4364-94C8-8967982FDB88}"/>
                </c:ext>
              </c:extLst>
            </c:dLbl>
            <c:dLbl>
              <c:idx val="12"/>
              <c:delete val="1"/>
              <c:extLst>
                <c:ext xmlns:c15="http://schemas.microsoft.com/office/drawing/2012/chart" uri="{CE6537A1-D6FC-4f65-9D91-7224C49458BB}"/>
                <c:ext xmlns:c16="http://schemas.microsoft.com/office/drawing/2014/chart" uri="{C3380CC4-5D6E-409C-BE32-E72D297353CC}">
                  <c16:uniqueId val="{0000000D-6625-4364-94C8-8967982FDB88}"/>
                </c:ext>
              </c:extLst>
            </c:dLbl>
            <c:spPr>
              <a:noFill/>
              <a:ln w="25400">
                <a:noFill/>
              </a:ln>
            </c:spPr>
            <c:txPr>
              <a:bodyPr/>
              <a:lstStyle/>
              <a:p>
                <a:pPr>
                  <a:defRPr sz="1000" b="1" i="0" u="none" strike="noStrike" baseline="0">
                    <a:solidFill>
                      <a:srgbClr val="008000"/>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Graficos!$B$2:$O$2</c:f>
              <c:strCache>
                <c:ptCount val="14"/>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strCache>
            </c:strRef>
          </c:cat>
          <c:val>
            <c:numRef>
              <c:f>Graficos!$B$71:$O$71</c:f>
              <c:numCache>
                <c:formatCode>General</c:formatCode>
                <c:ptCount val="14"/>
                <c:pt idx="0">
                  <c:v>1</c:v>
                </c:pt>
                <c:pt idx="1">
                  <c:v>0</c:v>
                </c:pt>
                <c:pt idx="2">
                  <c:v>0</c:v>
                </c:pt>
                <c:pt idx="3">
                  <c:v>0</c:v>
                </c:pt>
                <c:pt idx="4">
                  <c:v>0</c:v>
                </c:pt>
                <c:pt idx="5">
                  <c:v>1</c:v>
                </c:pt>
                <c:pt idx="6">
                  <c:v>0</c:v>
                </c:pt>
                <c:pt idx="7">
                  <c:v>0</c:v>
                </c:pt>
                <c:pt idx="8">
                  <c:v>0</c:v>
                </c:pt>
                <c:pt idx="9">
                  <c:v>0</c:v>
                </c:pt>
                <c:pt idx="10">
                  <c:v>0</c:v>
                </c:pt>
                <c:pt idx="11">
                  <c:v>0</c:v>
                </c:pt>
                <c:pt idx="12">
                  <c:v>1</c:v>
                </c:pt>
                <c:pt idx="13">
                  <c:v>0</c:v>
                </c:pt>
              </c:numCache>
            </c:numRef>
          </c:val>
          <c:extLst>
            <c:ext xmlns:c16="http://schemas.microsoft.com/office/drawing/2014/chart" uri="{C3380CC4-5D6E-409C-BE32-E72D297353CC}">
              <c16:uniqueId val="{0000000E-6625-4364-94C8-8967982FDB88}"/>
            </c:ext>
          </c:extLst>
        </c:ser>
        <c:ser>
          <c:idx val="0"/>
          <c:order val="2"/>
          <c:tx>
            <c:v>DMR</c:v>
          </c:tx>
          <c:spPr>
            <a:solidFill>
              <a:srgbClr val="9999FF"/>
            </a:solidFill>
            <a:ln w="12700">
              <a:solidFill>
                <a:srgbClr val="000000"/>
              </a:solidFill>
              <a:prstDash val="solid"/>
            </a:ln>
          </c:spPr>
          <c:invertIfNegative val="0"/>
          <c:dLbls>
            <c:delete val="1"/>
          </c:dLbls>
          <c:cat>
            <c:strRef>
              <c:f>Graficos!$B$2:$O$2</c:f>
              <c:strCache>
                <c:ptCount val="14"/>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strCache>
            </c:strRef>
          </c:cat>
          <c:val>
            <c:numRef>
              <c:f>Graficos!$B$70:$O$70</c:f>
              <c:numCache>
                <c:formatCode>General</c:formatCode>
                <c:ptCount val="14"/>
                <c:pt idx="0">
                  <c:v>0</c:v>
                </c:pt>
                <c:pt idx="1">
                  <c:v>0</c:v>
                </c:pt>
                <c:pt idx="2">
                  <c:v>1</c:v>
                </c:pt>
                <c:pt idx="3">
                  <c:v>0</c:v>
                </c:pt>
                <c:pt idx="4">
                  <c:v>0</c:v>
                </c:pt>
                <c:pt idx="5">
                  <c:v>1</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F-6625-4364-94C8-8967982FDB88}"/>
            </c:ext>
          </c:extLst>
        </c:ser>
        <c:dLbls>
          <c:showLegendKey val="0"/>
          <c:showVal val="1"/>
          <c:showCatName val="0"/>
          <c:showSerName val="0"/>
          <c:showPercent val="0"/>
          <c:showBubbleSize val="0"/>
        </c:dLbls>
        <c:gapWidth val="150"/>
        <c:axId val="1401420832"/>
        <c:axId val="1401407232"/>
      </c:barChart>
      <c:catAx>
        <c:axId val="1401420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07232"/>
        <c:crosses val="autoZero"/>
        <c:auto val="0"/>
        <c:lblAlgn val="ctr"/>
        <c:lblOffset val="100"/>
        <c:tickLblSkip val="1"/>
        <c:tickMarkSkip val="1"/>
        <c:noMultiLvlLbl val="0"/>
      </c:catAx>
      <c:valAx>
        <c:axId val="1401407232"/>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20832"/>
        <c:crosses val="autoZero"/>
        <c:crossBetween val="between"/>
        <c:majorUnit val="1"/>
      </c:valAx>
      <c:spPr>
        <a:solidFill>
          <a:srgbClr val="D4D4D4"/>
        </a:solidFill>
        <a:ln w="12700">
          <a:solidFill>
            <a:srgbClr val="000000"/>
          </a:solidFill>
          <a:prstDash val="solid"/>
        </a:ln>
      </c:spPr>
    </c:plotArea>
    <c:legend>
      <c:legendPos val="r"/>
      <c:layout>
        <c:manualLayout>
          <c:xMode val="edge"/>
          <c:yMode val="edge"/>
          <c:x val="0.12323232323232323"/>
          <c:y val="0.86879432624114095"/>
          <c:w val="0.47676767676767912"/>
          <c:h val="7.8014184397163122E-2"/>
        </c:manualLayout>
      </c:layout>
      <c:overlay val="0"/>
      <c:spPr>
        <a:solidFill>
          <a:srgbClr val="FFFFFF"/>
        </a:solidFill>
        <a:ln w="3175">
          <a:solidFill>
            <a:srgbClr val="000000"/>
          </a:solidFill>
          <a:prstDash val="solid"/>
        </a:ln>
      </c:spPr>
      <c:txPr>
        <a:bodyPr/>
        <a:lstStyle/>
        <a:p>
          <a:pPr>
            <a:defRPr lang="es-PE" sz="690"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ESTADISTICA ANUAL ACCIDENTES DETERGENTES</a:t>
            </a:r>
          </a:p>
        </c:rich>
      </c:tx>
      <c:layout>
        <c:manualLayout>
          <c:xMode val="edge"/>
          <c:yMode val="edge"/>
          <c:x val="0.2343438649116229"/>
          <c:y val="1.6722408026755998E-2"/>
        </c:manualLayout>
      </c:layout>
      <c:overlay val="0"/>
      <c:spPr>
        <a:noFill/>
        <a:ln w="25400">
          <a:noFill/>
        </a:ln>
      </c:spPr>
    </c:title>
    <c:autoTitleDeleted val="0"/>
    <c:plotArea>
      <c:layout>
        <c:manualLayout>
          <c:layoutTarget val="inner"/>
          <c:xMode val="edge"/>
          <c:yMode val="edge"/>
          <c:x val="5.4545562155859685E-2"/>
          <c:y val="0.17725752508361187"/>
          <c:w val="0.90101187857459974"/>
          <c:h val="0.62541806020066859"/>
        </c:manualLayout>
      </c:layout>
      <c:lineChart>
        <c:grouping val="standard"/>
        <c:varyColors val="0"/>
        <c:ser>
          <c:idx val="1"/>
          <c:order val="0"/>
          <c:tx>
            <c:v>Total</c:v>
          </c:tx>
          <c:spPr>
            <a:ln w="25400">
              <a:solidFill>
                <a:srgbClr val="000000"/>
              </a:solidFill>
              <a:prstDash val="solid"/>
            </a:ln>
          </c:spPr>
          <c:marker>
            <c:symbol val="circle"/>
            <c:size val="5"/>
            <c:spPr>
              <a:solidFill>
                <a:srgbClr val="000000"/>
              </a:solidFill>
              <a:ln>
                <a:solidFill>
                  <a:srgbClr val="000000"/>
                </a:solidFill>
                <a:prstDash val="solid"/>
              </a:ln>
            </c:spPr>
          </c:marker>
          <c:dLbls>
            <c:dLbl>
              <c:idx val="4"/>
              <c:layout>
                <c:manualLayout>
                  <c:x val="-6.885541340451698E-2"/>
                  <c:y val="-9.9219620958751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84-4284-8171-44BBD22C8A96}"/>
                </c:ext>
              </c:extLst>
            </c:dLbl>
            <c:dLbl>
              <c:idx val="5"/>
              <c:layout>
                <c:manualLayout>
                  <c:x val="-5.6397496257442774E-2"/>
                  <c:y val="-8.06390505534642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84-4284-8171-44BBD22C8A96}"/>
                </c:ext>
              </c:extLst>
            </c:dLbl>
            <c:dLbl>
              <c:idx val="6"/>
              <c:layout>
                <c:manualLayout>
                  <c:xMode val="edge"/>
                  <c:yMode val="edge"/>
                  <c:x val="0.60202138972022856"/>
                  <c:y val="0.615384615384615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84-4284-8171-44BBD22C8A96}"/>
                </c:ext>
              </c:extLst>
            </c:dLbl>
            <c:dLbl>
              <c:idx val="8"/>
              <c:layout>
                <c:manualLayout>
                  <c:xMode val="edge"/>
                  <c:yMode val="edge"/>
                  <c:x val="0.82020363834366783"/>
                  <c:y val="0.1404682274247492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84-4284-8171-44BBD22C8A96}"/>
                </c:ext>
              </c:extLst>
            </c:dLbl>
            <c:spPr>
              <a:noFill/>
              <a:ln w="25400">
                <a:noFill/>
              </a:ln>
            </c:spPr>
            <c:txPr>
              <a:bodyPr/>
              <a:lstStyle/>
              <a:p>
                <a:pPr>
                  <a:defRPr sz="1000" b="1" i="0" u="none" strike="noStrike" baseline="0">
                    <a:solidFill>
                      <a:srgbClr val="000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Graficos!$A$96:$A$101</c:f>
              <c:numCache>
                <c:formatCode>General</c:formatCode>
                <c:ptCount val="5"/>
                <c:pt idx="0">
                  <c:v>2007</c:v>
                </c:pt>
                <c:pt idx="1">
                  <c:v>2008</c:v>
                </c:pt>
                <c:pt idx="2">
                  <c:v>2009</c:v>
                </c:pt>
                <c:pt idx="3">
                  <c:v>2010</c:v>
                </c:pt>
                <c:pt idx="4">
                  <c:v>2011</c:v>
                </c:pt>
              </c:numCache>
            </c:numRef>
          </c:cat>
          <c:val>
            <c:numRef>
              <c:f>Graficos!$B$184:$B$189</c:f>
              <c:numCache>
                <c:formatCode>General</c:formatCode>
                <c:ptCount val="6"/>
                <c:pt idx="0">
                  <c:v>5</c:v>
                </c:pt>
                <c:pt idx="1">
                  <c:v>17</c:v>
                </c:pt>
                <c:pt idx="2">
                  <c:v>4</c:v>
                </c:pt>
                <c:pt idx="3">
                  <c:v>1</c:v>
                </c:pt>
                <c:pt idx="4" formatCode="0">
                  <c:v>15</c:v>
                </c:pt>
                <c:pt idx="5" formatCode="0">
                  <c:v>3</c:v>
                </c:pt>
              </c:numCache>
            </c:numRef>
          </c:val>
          <c:smooth val="0"/>
          <c:extLst>
            <c:ext xmlns:c16="http://schemas.microsoft.com/office/drawing/2014/chart" uri="{C3380CC4-5D6E-409C-BE32-E72D297353CC}">
              <c16:uniqueId val="{00000004-F284-4284-8171-44BBD22C8A96}"/>
            </c:ext>
          </c:extLst>
        </c:ser>
        <c:ser>
          <c:idx val="0"/>
          <c:order val="1"/>
          <c:tx>
            <c:v>Incapacitantes</c:v>
          </c:tx>
          <c:spPr>
            <a:ln w="38100">
              <a:solidFill>
                <a:srgbClr val="FF3333"/>
              </a:solidFill>
              <a:prstDash val="solid"/>
            </a:ln>
          </c:spPr>
          <c:marker>
            <c:symbol val="circle"/>
            <c:size val="5"/>
            <c:spPr>
              <a:solidFill>
                <a:srgbClr val="FF3333"/>
              </a:solidFill>
              <a:ln>
                <a:solidFill>
                  <a:srgbClr val="FF3333"/>
                </a:solidFill>
                <a:prstDash val="solid"/>
              </a:ln>
            </c:spPr>
          </c:marker>
          <c:dLbls>
            <c:dLbl>
              <c:idx val="1"/>
              <c:layout>
                <c:manualLayout>
                  <c:x val="-3.7542160649481592E-2"/>
                  <c:y val="4.12486064659973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84-4284-8171-44BBD22C8A96}"/>
                </c:ext>
              </c:extLst>
            </c:dLbl>
            <c:dLbl>
              <c:idx val="2"/>
              <c:layout>
                <c:manualLayout>
                  <c:x val="-3.5185273531267082E-2"/>
                  <c:y val="4.31067688445298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284-4284-8171-44BBD22C8A96}"/>
                </c:ext>
              </c:extLst>
            </c:dLbl>
            <c:dLbl>
              <c:idx val="3"/>
              <c:layout>
                <c:manualLayout>
                  <c:x val="-3.8889004430370272E-2"/>
                  <c:y val="3.90189520624303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84-4284-8171-44BBD22C8A96}"/>
                </c:ext>
              </c:extLst>
            </c:dLbl>
            <c:dLbl>
              <c:idx val="4"/>
              <c:layout>
                <c:manualLayout>
                  <c:x val="-3.8552323317928308E-2"/>
                  <c:y val="4.05052712892493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284-4284-8171-44BBD22C8A96}"/>
                </c:ext>
              </c:extLst>
            </c:dLbl>
            <c:dLbl>
              <c:idx val="8"/>
              <c:layout>
                <c:manualLayout>
                  <c:xMode val="edge"/>
                  <c:yMode val="edge"/>
                  <c:x val="0.81010260831480563"/>
                  <c:y val="0.6923076923076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284-4284-8171-44BBD22C8A96}"/>
                </c:ext>
              </c:extLst>
            </c:dLbl>
            <c:dLbl>
              <c:idx val="9"/>
              <c:layout>
                <c:manualLayout>
                  <c:xMode val="edge"/>
                  <c:yMode val="edge"/>
                  <c:x val="0.92323414463806941"/>
                  <c:y val="0.775919732441507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284-4284-8171-44BBD22C8A96}"/>
                </c:ext>
              </c:extLst>
            </c:dLbl>
            <c:dLbl>
              <c:idx val="10"/>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extLst>
                <c:ext xmlns:c16="http://schemas.microsoft.com/office/drawing/2014/chart" uri="{C3380CC4-5D6E-409C-BE32-E72D297353CC}">
                  <c16:uniqueId val="{00000000-EE77-4D99-8587-871614CFB86F}"/>
                </c:ext>
              </c:extLst>
            </c:dLbl>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Graficos!$A$96:$A$101</c:f>
              <c:numCache>
                <c:formatCode>General</c:formatCode>
                <c:ptCount val="5"/>
                <c:pt idx="0">
                  <c:v>2007</c:v>
                </c:pt>
                <c:pt idx="1">
                  <c:v>2008</c:v>
                </c:pt>
                <c:pt idx="2">
                  <c:v>2009</c:v>
                </c:pt>
                <c:pt idx="3">
                  <c:v>2010</c:v>
                </c:pt>
                <c:pt idx="4">
                  <c:v>2011</c:v>
                </c:pt>
              </c:numCache>
            </c:numRef>
          </c:cat>
          <c:val>
            <c:numRef>
              <c:f>Graficos!$D$184:$D$189</c:f>
              <c:numCache>
                <c:formatCode>General</c:formatCode>
                <c:ptCount val="6"/>
                <c:pt idx="0">
                  <c:v>1</c:v>
                </c:pt>
                <c:pt idx="1">
                  <c:v>6</c:v>
                </c:pt>
                <c:pt idx="2">
                  <c:v>2</c:v>
                </c:pt>
                <c:pt idx="3">
                  <c:v>0</c:v>
                </c:pt>
                <c:pt idx="4" formatCode="0">
                  <c:v>4</c:v>
                </c:pt>
                <c:pt idx="5" formatCode="0">
                  <c:v>3</c:v>
                </c:pt>
              </c:numCache>
            </c:numRef>
          </c:val>
          <c:smooth val="0"/>
          <c:extLst>
            <c:ext xmlns:c16="http://schemas.microsoft.com/office/drawing/2014/chart" uri="{C3380CC4-5D6E-409C-BE32-E72D297353CC}">
              <c16:uniqueId val="{0000000C-F284-4284-8171-44BBD22C8A96}"/>
            </c:ext>
          </c:extLst>
        </c:ser>
        <c:ser>
          <c:idx val="2"/>
          <c:order val="2"/>
          <c:tx>
            <c:v>Incapacitantes+DMR</c:v>
          </c:tx>
          <c:spPr>
            <a:ln w="381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4.1919253773468675E-2"/>
                  <c:y val="-6.42884856784206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284-4284-8171-44BBD22C8A96}"/>
                </c:ext>
              </c:extLst>
            </c:dLbl>
            <c:dLbl>
              <c:idx val="1"/>
              <c:layout>
                <c:manualLayout>
                  <c:x val="-3.552195464370899E-2"/>
                  <c:y val="-4.42215960463138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284-4284-8171-44BBD22C8A96}"/>
                </c:ext>
              </c:extLst>
            </c:dLbl>
            <c:dLbl>
              <c:idx val="2"/>
              <c:layout>
                <c:manualLayout>
                  <c:x val="-3.7205479537039642E-2"/>
                  <c:y val="-7.72945689481123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284-4284-8171-44BBD22C8A96}"/>
                </c:ext>
              </c:extLst>
            </c:dLbl>
            <c:dLbl>
              <c:idx val="3"/>
              <c:layout>
                <c:manualLayout>
                  <c:x val="-3.0808180407280002E-2"/>
                  <c:y val="-5.4626532887402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284-4284-8171-44BBD22C8A96}"/>
                </c:ext>
              </c:extLst>
            </c:dLbl>
            <c:dLbl>
              <c:idx val="4"/>
              <c:layout>
                <c:manualLayout>
                  <c:x val="-3.4511911306383182E-2"/>
                  <c:y val="-6.31736584766369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284-4284-8171-44BBD22C8A96}"/>
                </c:ext>
              </c:extLst>
            </c:dLbl>
            <c:dLbl>
              <c:idx val="5"/>
              <c:layout>
                <c:manualLayout>
                  <c:x val="-4.0235848211258245E-2"/>
                  <c:y val="-7.09774488891229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284-4284-8171-44BBD22C8A96}"/>
                </c:ext>
              </c:extLst>
            </c:dLbl>
            <c:dLbl>
              <c:idx val="6"/>
              <c:layout>
                <c:manualLayout>
                  <c:xMode val="edge"/>
                  <c:yMode val="edge"/>
                  <c:x val="0.61414262575486467"/>
                  <c:y val="0.6421404682274256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284-4284-8171-44BBD22C8A96}"/>
                </c:ext>
              </c:extLst>
            </c:dLbl>
            <c:dLbl>
              <c:idx val="8"/>
              <c:layout>
                <c:manualLayout>
                  <c:xMode val="edge"/>
                  <c:yMode val="edge"/>
                  <c:x val="0.8303046683725307"/>
                  <c:y val="0.5919732441471565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284-4284-8171-44BBD22C8A96}"/>
                </c:ext>
              </c:extLst>
            </c:dLbl>
            <c:dLbl>
              <c:idx val="9"/>
              <c:layout>
                <c:manualLayout>
                  <c:xMode val="edge"/>
                  <c:yMode val="edge"/>
                  <c:x val="0.92323414463806941"/>
                  <c:y val="0.6923076923076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284-4284-8171-44BBD22C8A96}"/>
                </c:ext>
              </c:extLst>
            </c:dLbl>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Graficos!$A$96:$A$101</c:f>
              <c:numCache>
                <c:formatCode>General</c:formatCode>
                <c:ptCount val="5"/>
                <c:pt idx="0">
                  <c:v>2007</c:v>
                </c:pt>
                <c:pt idx="1">
                  <c:v>2008</c:v>
                </c:pt>
                <c:pt idx="2">
                  <c:v>2009</c:v>
                </c:pt>
                <c:pt idx="3">
                  <c:v>2010</c:v>
                </c:pt>
                <c:pt idx="4">
                  <c:v>2011</c:v>
                </c:pt>
              </c:numCache>
            </c:numRef>
          </c:cat>
          <c:val>
            <c:numRef>
              <c:f>Graficos!$C$184:$C$189</c:f>
              <c:numCache>
                <c:formatCode>General</c:formatCode>
                <c:ptCount val="6"/>
                <c:pt idx="0">
                  <c:v>1</c:v>
                </c:pt>
                <c:pt idx="1">
                  <c:v>10</c:v>
                </c:pt>
                <c:pt idx="2">
                  <c:v>2</c:v>
                </c:pt>
                <c:pt idx="3">
                  <c:v>0</c:v>
                </c:pt>
                <c:pt idx="4" formatCode="0">
                  <c:v>4</c:v>
                </c:pt>
                <c:pt idx="5" formatCode="0">
                  <c:v>3</c:v>
                </c:pt>
              </c:numCache>
            </c:numRef>
          </c:val>
          <c:smooth val="0"/>
          <c:extLst>
            <c:ext xmlns:c16="http://schemas.microsoft.com/office/drawing/2014/chart" uri="{C3380CC4-5D6E-409C-BE32-E72D297353CC}">
              <c16:uniqueId val="{00000016-F284-4284-8171-44BBD22C8A96}"/>
            </c:ext>
          </c:extLst>
        </c:ser>
        <c:dLbls>
          <c:showLegendKey val="0"/>
          <c:showVal val="1"/>
          <c:showCatName val="0"/>
          <c:showSerName val="0"/>
          <c:showPercent val="0"/>
          <c:showBubbleSize val="0"/>
        </c:dLbls>
        <c:marker val="1"/>
        <c:smooth val="0"/>
        <c:axId val="1401405600"/>
        <c:axId val="1401412128"/>
      </c:lineChart>
      <c:catAx>
        <c:axId val="140140560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2128"/>
        <c:crosses val="autoZero"/>
        <c:auto val="0"/>
        <c:lblAlgn val="ctr"/>
        <c:lblOffset val="100"/>
        <c:tickLblSkip val="1"/>
        <c:tickMarkSkip val="1"/>
        <c:noMultiLvlLbl val="0"/>
      </c:catAx>
      <c:valAx>
        <c:axId val="1401412128"/>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05600"/>
        <c:crosses val="autoZero"/>
        <c:crossBetween val="between"/>
        <c:majorUnit val="3"/>
      </c:valAx>
      <c:spPr>
        <a:solidFill>
          <a:srgbClr val="D4D4D4"/>
        </a:solidFill>
        <a:ln w="3175">
          <a:solidFill>
            <a:srgbClr val="000000"/>
          </a:solidFill>
          <a:prstDash val="solid"/>
        </a:ln>
      </c:spPr>
    </c:plotArea>
    <c:legend>
      <c:legendPos val="r"/>
      <c:layout>
        <c:manualLayout>
          <c:xMode val="edge"/>
          <c:yMode val="edge"/>
          <c:x val="1.2531328320802023E-2"/>
          <c:y val="0.85618729096989965"/>
          <c:w val="0.66917293233083475"/>
          <c:h val="7.3578595317725759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DETERGENTES
Incapacitantes + DMR </a:t>
            </a:r>
          </a:p>
        </c:rich>
      </c:tx>
      <c:layout>
        <c:manualLayout>
          <c:xMode val="edge"/>
          <c:yMode val="edge"/>
          <c:x val="0.38089318987798654"/>
          <c:y val="1.8115942028985508E-2"/>
        </c:manualLayout>
      </c:layout>
      <c:overlay val="0"/>
      <c:spPr>
        <a:noFill/>
        <a:ln w="25400">
          <a:noFill/>
        </a:ln>
      </c:spPr>
    </c:title>
    <c:autoTitleDeleted val="0"/>
    <c:plotArea>
      <c:layout>
        <c:manualLayout>
          <c:layoutTarget val="inner"/>
          <c:xMode val="edge"/>
          <c:yMode val="edge"/>
          <c:x val="4.6728998617866682E-2"/>
          <c:y val="0.21739207353966244"/>
          <c:w val="0.93457997235733314"/>
          <c:h val="0.67029222674729261"/>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
              <c:layout>
                <c:manualLayout>
                  <c:x val="-4.9110802836990514E-2"/>
                  <c:y val="6.8915806449657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030-41D2-8DC0-867B4E46F744}"/>
                </c:ext>
              </c:extLst>
            </c:dLbl>
            <c:dLbl>
              <c:idx val="3"/>
              <c:layout>
                <c:manualLayout>
                  <c:x val="-4.3320893821274783E-2"/>
                  <c:y val="3.33451974666570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30-41D2-8DC0-867B4E46F744}"/>
                </c:ext>
              </c:extLst>
            </c:dLbl>
            <c:dLbl>
              <c:idx val="5"/>
              <c:layout>
                <c:manualLayout>
                  <c:x val="-4.8697237907298685E-2"/>
                  <c:y val="6.7780230580473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030-41D2-8DC0-867B4E46F744}"/>
                </c:ext>
              </c:extLst>
            </c:dLbl>
            <c:dLbl>
              <c:idx val="6"/>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30-41D2-8DC0-867B4E46F744}"/>
                </c:ext>
              </c:extLst>
            </c:dLbl>
            <c:dLbl>
              <c:idx val="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030-41D2-8DC0-867B4E46F744}"/>
                </c:ext>
              </c:extLst>
            </c:dLbl>
            <c:dLbl>
              <c:idx val="8"/>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30-41D2-8DC0-867B4E46F744}"/>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6696-41B6-8120-C2D0F784CAC0}"/>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Graficos!$A$96:$A$101</c:f>
              <c:numCache>
                <c:formatCode>General</c:formatCode>
                <c:ptCount val="5"/>
                <c:pt idx="0">
                  <c:v>2007</c:v>
                </c:pt>
                <c:pt idx="1">
                  <c:v>2008</c:v>
                </c:pt>
                <c:pt idx="2">
                  <c:v>2009</c:v>
                </c:pt>
                <c:pt idx="3">
                  <c:v>2010</c:v>
                </c:pt>
                <c:pt idx="4">
                  <c:v>2011</c:v>
                </c:pt>
              </c:numCache>
            </c:numRef>
          </c:cat>
          <c:val>
            <c:numRef>
              <c:f>Graficos!$G$184:$G$189</c:f>
              <c:numCache>
                <c:formatCode>#,##0.0</c:formatCode>
                <c:ptCount val="6"/>
                <c:pt idx="0">
                  <c:v>4.3669838552606874</c:v>
                </c:pt>
                <c:pt idx="1">
                  <c:v>34.508580558555884</c:v>
                </c:pt>
                <c:pt idx="2">
                  <c:v>5.8018943184949885</c:v>
                </c:pt>
                <c:pt idx="3">
                  <c:v>0</c:v>
                </c:pt>
                <c:pt idx="4">
                  <c:v>10.002675715753965</c:v>
                </c:pt>
                <c:pt idx="5">
                  <c:v>0</c:v>
                </c:pt>
              </c:numCache>
            </c:numRef>
          </c:val>
          <c:smooth val="0"/>
          <c:extLst>
            <c:ext xmlns:c16="http://schemas.microsoft.com/office/drawing/2014/chart" uri="{C3380CC4-5D6E-409C-BE32-E72D297353CC}">
              <c16:uniqueId val="{00000007-4030-41D2-8DC0-867B4E46F744}"/>
            </c:ext>
          </c:extLst>
        </c:ser>
        <c:dLbls>
          <c:showLegendKey val="0"/>
          <c:showVal val="1"/>
          <c:showCatName val="0"/>
          <c:showSerName val="0"/>
          <c:showPercent val="0"/>
          <c:showBubbleSize val="0"/>
        </c:dLbls>
        <c:marker val="1"/>
        <c:smooth val="0"/>
        <c:axId val="1401409408"/>
        <c:axId val="1401414848"/>
      </c:lineChart>
      <c:catAx>
        <c:axId val="140140940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4848"/>
        <c:crosses val="autoZero"/>
        <c:auto val="0"/>
        <c:lblAlgn val="ctr"/>
        <c:lblOffset val="100"/>
        <c:tickLblSkip val="1"/>
        <c:tickMarkSkip val="1"/>
        <c:noMultiLvlLbl val="0"/>
      </c:catAx>
      <c:valAx>
        <c:axId val="1401414848"/>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09408"/>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SEVERIDAD - DETERGENTES</a:t>
            </a:r>
          </a:p>
        </c:rich>
      </c:tx>
      <c:layout>
        <c:manualLayout>
          <c:xMode val="edge"/>
          <c:yMode val="edge"/>
          <c:x val="0.31954906678331885"/>
          <c:y val="1.865671641791046E-2"/>
        </c:manualLayout>
      </c:layout>
      <c:overlay val="0"/>
      <c:spPr>
        <a:noFill/>
        <a:ln w="25400">
          <a:noFill/>
        </a:ln>
      </c:spPr>
    </c:title>
    <c:autoTitleDeleted val="0"/>
    <c:plotArea>
      <c:layout>
        <c:manualLayout>
          <c:layoutTarget val="inner"/>
          <c:xMode val="edge"/>
          <c:yMode val="edge"/>
          <c:x val="7.1428636987339034E-2"/>
          <c:y val="0.23880640524138091"/>
          <c:w val="0.90413616818181886"/>
          <c:h val="0.64552356416810763"/>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3.7437380951445692E-2"/>
                  <c:y val="-0.118381286864020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C3-412A-958D-C0E7E8706C1B}"/>
                </c:ext>
              </c:extLst>
            </c:dLbl>
            <c:dLbl>
              <c:idx val="1"/>
              <c:layout>
                <c:manualLayout>
                  <c:x val="-5.4667931847816653E-2"/>
                  <c:y val="4.85914136225581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C3-412A-958D-C0E7E8706C1B}"/>
                </c:ext>
              </c:extLst>
            </c:dLbl>
            <c:dLbl>
              <c:idx val="2"/>
              <c:layout>
                <c:manualLayout>
                  <c:x val="-6.0620276904074427E-2"/>
                  <c:y val="-5.13319833645114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8C3-412A-958D-C0E7E8706C1B}"/>
                </c:ext>
              </c:extLst>
            </c:dLbl>
            <c:dLbl>
              <c:idx val="3"/>
              <c:layout>
                <c:manualLayout>
                  <c:x val="-8.3489930720495209E-2"/>
                  <c:y val="4.490123935843456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C3-412A-958D-C0E7E8706C1B}"/>
                </c:ext>
              </c:extLst>
            </c:dLbl>
            <c:dLbl>
              <c:idx val="5"/>
              <c:layout>
                <c:manualLayout>
                  <c:x val="-8.9755517912965502E-2"/>
                  <c:y val="-9.884091051229554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C3-412A-958D-C0E7E8706C1B}"/>
                </c:ext>
              </c:extLst>
            </c:dLbl>
            <c:dLbl>
              <c:idx val="6"/>
              <c:layout>
                <c:manualLayout>
                  <c:xMode val="edge"/>
                  <c:yMode val="edge"/>
                  <c:x val="0.64661713483274952"/>
                  <c:y val="0.641792214086228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C3-412A-958D-C0E7E8706C1B}"/>
                </c:ext>
              </c:extLst>
            </c:dLbl>
            <c:dLbl>
              <c:idx val="8"/>
              <c:layout>
                <c:manualLayout>
                  <c:xMode val="edge"/>
                  <c:yMode val="edge"/>
                  <c:x val="0.77443680102061851"/>
                  <c:y val="0.4067171589267188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8C3-412A-958D-C0E7E8706C1B}"/>
                </c:ext>
              </c:extLst>
            </c:dLbl>
            <c:dLbl>
              <c:idx val="9"/>
              <c:layout>
                <c:manualLayout>
                  <c:xMode val="edge"/>
                  <c:yMode val="edge"/>
                  <c:x val="0.89849706526178597"/>
                  <c:y val="0.2985080065517260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8C3-412A-958D-C0E7E8706C1B}"/>
                </c:ext>
              </c:extLst>
            </c:dLbl>
            <c:dLbl>
              <c:idx val="10"/>
              <c:numFmt formatCode="0" sourceLinked="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D9D1-443B-B138-1E0F6C4CC3C6}"/>
                </c:ext>
              </c:extLst>
            </c:dLbl>
            <c:numFmt formatCode="0" sourceLinked="0"/>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Graficos!$A$96:$A$101</c:f>
              <c:numCache>
                <c:formatCode>General</c:formatCode>
                <c:ptCount val="5"/>
                <c:pt idx="0">
                  <c:v>2007</c:v>
                </c:pt>
                <c:pt idx="1">
                  <c:v>2008</c:v>
                </c:pt>
                <c:pt idx="2">
                  <c:v>2009</c:v>
                </c:pt>
                <c:pt idx="3">
                  <c:v>2010</c:v>
                </c:pt>
                <c:pt idx="4">
                  <c:v>2011</c:v>
                </c:pt>
              </c:numCache>
            </c:numRef>
          </c:cat>
          <c:val>
            <c:numRef>
              <c:f>Graficos!$H$184:$H$189</c:f>
              <c:numCache>
                <c:formatCode>#,##0</c:formatCode>
                <c:ptCount val="6"/>
                <c:pt idx="0">
                  <c:v>43.669838552606869</c:v>
                </c:pt>
                <c:pt idx="1">
                  <c:v>445.16068920537094</c:v>
                </c:pt>
                <c:pt idx="2">
                  <c:v>130.54262216613725</c:v>
                </c:pt>
                <c:pt idx="3">
                  <c:v>0</c:v>
                </c:pt>
                <c:pt idx="4">
                  <c:v>357.59565683820421</c:v>
                </c:pt>
                <c:pt idx="5">
                  <c:v>0</c:v>
                </c:pt>
              </c:numCache>
            </c:numRef>
          </c:val>
          <c:smooth val="0"/>
          <c:extLst>
            <c:ext xmlns:c16="http://schemas.microsoft.com/office/drawing/2014/chart" uri="{C3380CC4-5D6E-409C-BE32-E72D297353CC}">
              <c16:uniqueId val="{00000009-08C3-412A-958D-C0E7E8706C1B}"/>
            </c:ext>
          </c:extLst>
        </c:ser>
        <c:dLbls>
          <c:showLegendKey val="0"/>
          <c:showVal val="1"/>
          <c:showCatName val="0"/>
          <c:showSerName val="0"/>
          <c:showPercent val="0"/>
          <c:showBubbleSize val="0"/>
        </c:dLbls>
        <c:marker val="1"/>
        <c:smooth val="0"/>
        <c:axId val="1401406144"/>
        <c:axId val="1401415392"/>
      </c:lineChart>
      <c:catAx>
        <c:axId val="140140614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5392"/>
        <c:crosses val="autoZero"/>
        <c:auto val="0"/>
        <c:lblAlgn val="ctr"/>
        <c:lblOffset val="100"/>
        <c:tickLblSkip val="1"/>
        <c:tickMarkSkip val="1"/>
        <c:noMultiLvlLbl val="0"/>
      </c:catAx>
      <c:valAx>
        <c:axId val="1401415392"/>
        <c:scaling>
          <c:orientation val="minMax"/>
          <c:max val="500"/>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06144"/>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OSHA INCIDENT RATE - DETERGENTES
Incapacitantes + DMR + Menor</a:t>
            </a:r>
          </a:p>
        </c:rich>
      </c:tx>
      <c:layout>
        <c:manualLayout>
          <c:xMode val="edge"/>
          <c:yMode val="edge"/>
          <c:x val="0.30297050492451238"/>
          <c:y val="3.5842293906810055E-2"/>
        </c:manualLayout>
      </c:layout>
      <c:overlay val="0"/>
      <c:spPr>
        <a:noFill/>
        <a:ln w="25400">
          <a:noFill/>
        </a:ln>
      </c:spPr>
    </c:title>
    <c:autoTitleDeleted val="0"/>
    <c:plotArea>
      <c:layout>
        <c:manualLayout>
          <c:layoutTarget val="inner"/>
          <c:xMode val="edge"/>
          <c:yMode val="edge"/>
          <c:x val="8.3168397246675102E-2"/>
          <c:y val="0.28673935490645619"/>
          <c:w val="0.89505037036893798"/>
          <c:h val="0.60215264530355794"/>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
              <c:layout>
                <c:manualLayout>
                  <c:x val="-4.5709568519569775E-2"/>
                  <c:y val="7.2300586299979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6B-40C8-B7E3-9B7647A2DFE2}"/>
                </c:ext>
              </c:extLst>
            </c:dLbl>
            <c:dLbl>
              <c:idx val="3"/>
              <c:layout>
                <c:manualLayout>
                  <c:x val="-4.7689683408505913E-2"/>
                  <c:y val="6.13485363281335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6B-40C8-B7E3-9B7647A2DFE2}"/>
                </c:ext>
              </c:extLst>
            </c:dLbl>
            <c:dLbl>
              <c:idx val="4"/>
              <c:layout>
                <c:manualLayout>
                  <c:x val="-1.3036142032972032E-2"/>
                  <c:y val="5.00455511054901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6B-40C8-B7E3-9B7647A2DFE2}"/>
                </c:ext>
              </c:extLst>
            </c:dLbl>
            <c:dLbl>
              <c:idx val="5"/>
              <c:layout>
                <c:manualLayout>
                  <c:x val="1.3696599604784124E-2"/>
                  <c:y val="-8.733866543301252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6B-40C8-B7E3-9B7647A2DFE2}"/>
                </c:ext>
              </c:extLst>
            </c:dLbl>
            <c:dLbl>
              <c:idx val="6"/>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A6B-40C8-B7E3-9B7647A2DFE2}"/>
                </c:ext>
              </c:extLst>
            </c:dLbl>
            <c:dLbl>
              <c:idx val="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6B-40C8-B7E3-9B7647A2DFE2}"/>
                </c:ext>
              </c:extLst>
            </c:dLbl>
            <c:dLbl>
              <c:idx val="8"/>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A6B-40C8-B7E3-9B7647A2DFE2}"/>
                </c:ext>
              </c:extLst>
            </c:dLbl>
            <c:dLbl>
              <c:idx val="9"/>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6B-40C8-B7E3-9B7647A2DFE2}"/>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D8B6-4302-B05C-04F349CDEDE9}"/>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Graficos!$A$96:$A$101</c:f>
              <c:numCache>
                <c:formatCode>General</c:formatCode>
                <c:ptCount val="5"/>
                <c:pt idx="0">
                  <c:v>2007</c:v>
                </c:pt>
                <c:pt idx="1">
                  <c:v>2008</c:v>
                </c:pt>
                <c:pt idx="2">
                  <c:v>2009</c:v>
                </c:pt>
                <c:pt idx="3">
                  <c:v>2010</c:v>
                </c:pt>
                <c:pt idx="4">
                  <c:v>2011</c:v>
                </c:pt>
              </c:numCache>
            </c:numRef>
          </c:cat>
          <c:val>
            <c:numRef>
              <c:f>Graficos!$I$184:$I$189</c:f>
              <c:numCache>
                <c:formatCode>#,##0.0</c:formatCode>
                <c:ptCount val="6"/>
                <c:pt idx="0">
                  <c:v>4.3669838552606874</c:v>
                </c:pt>
                <c:pt idx="1">
                  <c:v>11.732917389909002</c:v>
                </c:pt>
                <c:pt idx="2">
                  <c:v>2.3207577273979956</c:v>
                </c:pt>
                <c:pt idx="3">
                  <c:v>0.55603436292362873</c:v>
                </c:pt>
                <c:pt idx="4">
                  <c:v>7.5020067868154729</c:v>
                </c:pt>
                <c:pt idx="5">
                  <c:v>0</c:v>
                </c:pt>
              </c:numCache>
            </c:numRef>
          </c:val>
          <c:smooth val="0"/>
          <c:extLst>
            <c:ext xmlns:c16="http://schemas.microsoft.com/office/drawing/2014/chart" uri="{C3380CC4-5D6E-409C-BE32-E72D297353CC}">
              <c16:uniqueId val="{00000009-BA6B-40C8-B7E3-9B7647A2DFE2}"/>
            </c:ext>
          </c:extLst>
        </c:ser>
        <c:dLbls>
          <c:showLegendKey val="0"/>
          <c:showVal val="1"/>
          <c:showCatName val="0"/>
          <c:showSerName val="0"/>
          <c:showPercent val="0"/>
          <c:showBubbleSize val="0"/>
        </c:dLbls>
        <c:marker val="1"/>
        <c:smooth val="0"/>
        <c:axId val="1401408864"/>
        <c:axId val="1401408320"/>
      </c:lineChart>
      <c:catAx>
        <c:axId val="140140886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08320"/>
        <c:crosses val="autoZero"/>
        <c:auto val="0"/>
        <c:lblAlgn val="ctr"/>
        <c:lblOffset val="100"/>
        <c:tickLblSkip val="1"/>
        <c:tickMarkSkip val="1"/>
        <c:noMultiLvlLbl val="0"/>
      </c:catAx>
      <c:valAx>
        <c:axId val="1401408320"/>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08864"/>
        <c:crosses val="autoZero"/>
        <c:crossBetween val="between"/>
        <c:majorUnit val="1"/>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ACCIDENTES INCAPACITANTES DETERGENTES Y TERCEROS</a:t>
            </a:r>
          </a:p>
        </c:rich>
      </c:tx>
      <c:layout>
        <c:manualLayout>
          <c:xMode val="edge"/>
          <c:yMode val="edge"/>
          <c:x val="0.19178111826930722"/>
          <c:y val="1.7667844522968202E-2"/>
        </c:manualLayout>
      </c:layout>
      <c:overlay val="0"/>
      <c:spPr>
        <a:noFill/>
        <a:ln w="25400">
          <a:noFill/>
        </a:ln>
      </c:spPr>
    </c:title>
    <c:autoTitleDeleted val="0"/>
    <c:plotArea>
      <c:layout>
        <c:manualLayout>
          <c:layoutTarget val="inner"/>
          <c:xMode val="edge"/>
          <c:yMode val="edge"/>
          <c:x val="8.6105757424318419E-2"/>
          <c:y val="0.20848092507889293"/>
          <c:w val="0.87475621746981913"/>
          <c:h val="0.55477127520993563"/>
        </c:manualLayout>
      </c:layout>
      <c:lineChart>
        <c:grouping val="standard"/>
        <c:varyColors val="0"/>
        <c:ser>
          <c:idx val="1"/>
          <c:order val="0"/>
          <c:tx>
            <c:v>Total Alicorp+Terceros</c:v>
          </c:tx>
          <c:spPr>
            <a:ln w="25400">
              <a:solidFill>
                <a:srgbClr val="0000FF"/>
              </a:solidFill>
              <a:prstDash val="solid"/>
            </a:ln>
          </c:spPr>
          <c:marker>
            <c:symbol val="circle"/>
            <c:size val="5"/>
            <c:spPr>
              <a:solidFill>
                <a:srgbClr val="0000FF"/>
              </a:solidFill>
              <a:ln>
                <a:solidFill>
                  <a:srgbClr val="0000FF"/>
                </a:solidFill>
                <a:prstDash val="solid"/>
              </a:ln>
            </c:spPr>
          </c:marker>
          <c:dLbls>
            <c:dLbl>
              <c:idx val="4"/>
              <c:layout>
                <c:manualLayout>
                  <c:x val="-2.804949112699286E-2"/>
                  <c:y val="-8.93878790522755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D1-4CAC-8DC3-54B0C0808C31}"/>
                </c:ext>
              </c:extLst>
            </c:dLbl>
            <c:dLbl>
              <c:idx val="5"/>
              <c:layout>
                <c:manualLayout>
                  <c:x val="-2.8049554464999051E-2"/>
                  <c:y val="-9.8663268152237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D1-4CAC-8DC3-54B0C0808C31}"/>
                </c:ext>
              </c:extLst>
            </c:dLbl>
            <c:dLbl>
              <c:idx val="6"/>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D1-4CAC-8DC3-54B0C0808C31}"/>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00B3-4348-9512-2CB81F704775}"/>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Graficos!$A$96:$A$101</c:f>
              <c:numCache>
                <c:formatCode>General</c:formatCode>
                <c:ptCount val="5"/>
                <c:pt idx="0">
                  <c:v>2007</c:v>
                </c:pt>
                <c:pt idx="1">
                  <c:v>2008</c:v>
                </c:pt>
                <c:pt idx="2">
                  <c:v>2009</c:v>
                </c:pt>
                <c:pt idx="3">
                  <c:v>2010</c:v>
                </c:pt>
                <c:pt idx="4">
                  <c:v>2011</c:v>
                </c:pt>
              </c:numCache>
            </c:numRef>
          </c:cat>
          <c:val>
            <c:numRef>
              <c:f>Graficos!$C$184:$C$189</c:f>
              <c:numCache>
                <c:formatCode>General</c:formatCode>
                <c:ptCount val="6"/>
                <c:pt idx="0">
                  <c:v>1</c:v>
                </c:pt>
                <c:pt idx="1">
                  <c:v>10</c:v>
                </c:pt>
                <c:pt idx="2">
                  <c:v>2</c:v>
                </c:pt>
                <c:pt idx="3">
                  <c:v>0</c:v>
                </c:pt>
                <c:pt idx="4" formatCode="0">
                  <c:v>4</c:v>
                </c:pt>
                <c:pt idx="5" formatCode="0">
                  <c:v>3</c:v>
                </c:pt>
              </c:numCache>
            </c:numRef>
          </c:val>
          <c:smooth val="0"/>
          <c:extLst>
            <c:ext xmlns:c16="http://schemas.microsoft.com/office/drawing/2014/chart" uri="{C3380CC4-5D6E-409C-BE32-E72D297353CC}">
              <c16:uniqueId val="{00000004-9AD1-4CAC-8DC3-54B0C0808C31}"/>
            </c:ext>
          </c:extLst>
        </c:ser>
        <c:ser>
          <c:idx val="0"/>
          <c:order val="1"/>
          <c:tx>
            <c:v>Terceros</c:v>
          </c:tx>
          <c:spPr>
            <a:ln w="25400">
              <a:solidFill>
                <a:srgbClr val="FF3333"/>
              </a:solidFill>
              <a:prstDash val="solid"/>
            </a:ln>
          </c:spPr>
          <c:marker>
            <c:symbol val="circle"/>
            <c:size val="5"/>
            <c:spPr>
              <a:solidFill>
                <a:srgbClr val="FF3333"/>
              </a:solidFill>
              <a:ln>
                <a:solidFill>
                  <a:srgbClr val="FF3333"/>
                </a:solidFill>
                <a:prstDash val="solid"/>
              </a:ln>
            </c:spPr>
          </c:marker>
          <c:dLbls>
            <c:dLbl>
              <c:idx val="5"/>
              <c:layout>
                <c:manualLayout>
                  <c:x val="-3.9791248659225821E-2"/>
                  <c:y val="-5.50060171310220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D1-4CAC-8DC3-54B0C0808C31}"/>
                </c:ext>
              </c:extLst>
            </c:dLbl>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Graficos!$A$96:$A$101</c:f>
              <c:numCache>
                <c:formatCode>General</c:formatCode>
                <c:ptCount val="5"/>
                <c:pt idx="0">
                  <c:v>2007</c:v>
                </c:pt>
                <c:pt idx="1">
                  <c:v>2008</c:v>
                </c:pt>
                <c:pt idx="2">
                  <c:v>2009</c:v>
                </c:pt>
                <c:pt idx="3">
                  <c:v>2010</c:v>
                </c:pt>
                <c:pt idx="4">
                  <c:v>2011</c:v>
                </c:pt>
              </c:numCache>
            </c:numRef>
          </c:cat>
          <c:val>
            <c:numRef>
              <c:f>Graficos!$J$184:$J$189</c:f>
              <c:numCache>
                <c:formatCode>General</c:formatCode>
                <c:ptCount val="6"/>
                <c:pt idx="0">
                  <c:v>1</c:v>
                </c:pt>
                <c:pt idx="1">
                  <c:v>14</c:v>
                </c:pt>
                <c:pt idx="2">
                  <c:v>2</c:v>
                </c:pt>
                <c:pt idx="3">
                  <c:v>0</c:v>
                </c:pt>
                <c:pt idx="4" formatCode="0">
                  <c:v>12</c:v>
                </c:pt>
                <c:pt idx="5" formatCode="0">
                  <c:v>0</c:v>
                </c:pt>
              </c:numCache>
            </c:numRef>
          </c:val>
          <c:smooth val="0"/>
          <c:extLst>
            <c:ext xmlns:c16="http://schemas.microsoft.com/office/drawing/2014/chart" uri="{C3380CC4-5D6E-409C-BE32-E72D297353CC}">
              <c16:uniqueId val="{00000006-9AD1-4CAC-8DC3-54B0C0808C31}"/>
            </c:ext>
          </c:extLst>
        </c:ser>
        <c:dLbls>
          <c:showLegendKey val="0"/>
          <c:showVal val="1"/>
          <c:showCatName val="0"/>
          <c:showSerName val="0"/>
          <c:showPercent val="0"/>
          <c:showBubbleSize val="0"/>
        </c:dLbls>
        <c:marker val="1"/>
        <c:smooth val="0"/>
        <c:axId val="1401409952"/>
        <c:axId val="1401412672"/>
      </c:lineChart>
      <c:catAx>
        <c:axId val="140140995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2672"/>
        <c:crosses val="autoZero"/>
        <c:auto val="0"/>
        <c:lblAlgn val="ctr"/>
        <c:lblOffset val="100"/>
        <c:tickLblSkip val="1"/>
        <c:tickMarkSkip val="1"/>
        <c:noMultiLvlLbl val="0"/>
      </c:catAx>
      <c:valAx>
        <c:axId val="1401412672"/>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09952"/>
        <c:crosses val="autoZero"/>
        <c:crossBetween val="between"/>
      </c:valAx>
      <c:spPr>
        <a:solidFill>
          <a:srgbClr val="D4D4D4"/>
        </a:solidFill>
        <a:ln w="12700">
          <a:solidFill>
            <a:srgbClr val="C0C4C7"/>
          </a:solidFill>
          <a:prstDash val="solid"/>
        </a:ln>
      </c:spPr>
    </c:plotArea>
    <c:legend>
      <c:legendPos val="r"/>
      <c:layout>
        <c:manualLayout>
          <c:xMode val="edge"/>
          <c:yMode val="edge"/>
          <c:x val="0.17979797979798126"/>
          <c:y val="0.88339222614840984"/>
          <c:w val="0.44646464646464884"/>
          <c:h val="7.7738515901060123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DETERGENTES
Incapacitantes + DMR </a:t>
            </a:r>
          </a:p>
        </c:rich>
      </c:tx>
      <c:layout>
        <c:manualLayout>
          <c:xMode val="edge"/>
          <c:yMode val="edge"/>
          <c:x val="0.28289542754524138"/>
          <c:y val="1.8050541516245487E-2"/>
        </c:manualLayout>
      </c:layout>
      <c:overlay val="0"/>
      <c:spPr>
        <a:noFill/>
        <a:ln w="25400">
          <a:noFill/>
        </a:ln>
      </c:spPr>
    </c:title>
    <c:autoTitleDeleted val="0"/>
    <c:plotArea>
      <c:layout>
        <c:manualLayout>
          <c:layoutTarget val="inner"/>
          <c:xMode val="edge"/>
          <c:yMode val="edge"/>
          <c:x val="0.1074563704777671"/>
          <c:y val="0.22382710935227704"/>
          <c:w val="0.85526498951690488"/>
          <c:h val="0.66426109872288663"/>
        </c:manualLayout>
      </c:layout>
      <c:lineChart>
        <c:grouping val="standard"/>
        <c:varyColors val="0"/>
        <c:ser>
          <c:idx val="1"/>
          <c:order val="0"/>
          <c:tx>
            <c:strRef>
              <c:f>Graficos!$B$68:$M$68</c:f>
              <c:strCache>
                <c:ptCount val="12"/>
                <c:pt idx="0">
                  <c:v>Ene </c:v>
                </c:pt>
                <c:pt idx="1">
                  <c:v>Feb</c:v>
                </c:pt>
                <c:pt idx="2">
                  <c:v>Mar</c:v>
                </c:pt>
                <c:pt idx="3">
                  <c:v>Abr</c:v>
                </c:pt>
                <c:pt idx="4">
                  <c:v>May</c:v>
                </c:pt>
                <c:pt idx="5">
                  <c:v>Jun</c:v>
                </c:pt>
                <c:pt idx="6">
                  <c:v>Jul</c:v>
                </c:pt>
                <c:pt idx="7">
                  <c:v>Ago</c:v>
                </c:pt>
                <c:pt idx="8">
                  <c:v>Sep</c:v>
                </c:pt>
                <c:pt idx="9">
                  <c:v>Oct</c:v>
                </c:pt>
                <c:pt idx="10">
                  <c:v>Nov</c:v>
                </c:pt>
                <c:pt idx="11">
                  <c:v>Dic</c:v>
                </c:pt>
              </c:strCache>
            </c:strRef>
          </c:tx>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5.3728129042510904E-2"/>
                  <c:y val="1.80505733348616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1FA-443C-94EC-DDD4D1D78B12}"/>
                </c:ext>
              </c:extLst>
            </c:dLbl>
            <c:dLbl>
              <c:idx val="1"/>
              <c:layout>
                <c:manualLayout>
                  <c:x val="-3.9108363628231155E-2"/>
                  <c:y val="1.80505733348616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FA-443C-94EC-DDD4D1D78B12}"/>
                </c:ext>
              </c:extLst>
            </c:dLbl>
            <c:dLbl>
              <c:idx val="2"/>
              <c:layout>
                <c:manualLayout>
                  <c:x val="-3.7646290895217802E-2"/>
                  <c:y val="1.80505733348616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FA-443C-94EC-DDD4D1D78B12}"/>
                </c:ext>
              </c:extLst>
            </c:dLbl>
            <c:dLbl>
              <c:idx val="3"/>
              <c:layout>
                <c:manualLayout>
                  <c:x val="-7.6753851783069628E-3"/>
                  <c:y val="1.80505733348616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FA-443C-94EC-DDD4D1D78B12}"/>
                </c:ext>
              </c:extLst>
            </c:dLbl>
            <c:dLbl>
              <c:idx val="4"/>
              <c:layout>
                <c:manualLayout>
                  <c:x val="-6.981017010528949E-2"/>
                  <c:y val="1.80505733348616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FA-443C-94EC-DDD4D1D78B12}"/>
                </c:ext>
              </c:extLst>
            </c:dLbl>
            <c:dLbl>
              <c:idx val="5"/>
              <c:layout>
                <c:manualLayout>
                  <c:xMode val="edge"/>
                  <c:yMode val="edge"/>
                  <c:x val="0.31798313712809517"/>
                  <c:y val="0.342960893362377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FA-443C-94EC-DDD4D1D78B12}"/>
                </c:ext>
              </c:extLst>
            </c:dLbl>
            <c:dLbl>
              <c:idx val="6"/>
              <c:layout>
                <c:manualLayout>
                  <c:xMode val="edge"/>
                  <c:yMode val="edge"/>
                  <c:x val="0.39693067462196635"/>
                  <c:y val="0.303249632025665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1FA-443C-94EC-DDD4D1D78B12}"/>
                </c:ext>
              </c:extLst>
            </c:dLbl>
            <c:dLbl>
              <c:idx val="7"/>
              <c:layout>
                <c:manualLayout>
                  <c:xMode val="edge"/>
                  <c:yMode val="edge"/>
                  <c:x val="0.50000107079450862"/>
                  <c:y val="0.368231696031165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1FA-443C-94EC-DDD4D1D78B12}"/>
                </c:ext>
              </c:extLst>
            </c:dLbl>
            <c:dLbl>
              <c:idx val="8"/>
              <c:layout>
                <c:manualLayout>
                  <c:xMode val="edge"/>
                  <c:yMode val="edge"/>
                  <c:x val="0.46052730204757331"/>
                  <c:y val="0.205776536017416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1FA-443C-94EC-DDD4D1D78B12}"/>
                </c:ext>
              </c:extLst>
            </c:dLbl>
            <c:dLbl>
              <c:idx val="9"/>
              <c:layout>
                <c:manualLayout>
                  <c:xMode val="edge"/>
                  <c:yMode val="edge"/>
                  <c:x val="0.53728185238885973"/>
                  <c:y val="0.2960294026917213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1FA-443C-94EC-DDD4D1D78B12}"/>
                </c:ext>
              </c:extLst>
            </c:dLbl>
            <c:dLbl>
              <c:idx val="10"/>
              <c:layout>
                <c:manualLayout>
                  <c:xMode val="edge"/>
                  <c:yMode val="edge"/>
                  <c:x val="0.60526445411966767"/>
                  <c:y val="0.2960294026917213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1FA-443C-94EC-DDD4D1D78B12}"/>
                </c:ext>
              </c:extLst>
            </c:dLbl>
            <c:dLbl>
              <c:idx val="11"/>
              <c:layout>
                <c:manualLayout>
                  <c:xMode val="edge"/>
                  <c:yMode val="edge"/>
                  <c:x val="0.69956290168178958"/>
                  <c:y val="0.259928256021999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1FA-443C-94EC-DDD4D1D78B12}"/>
                </c:ext>
              </c:extLst>
            </c:dLbl>
            <c:dLbl>
              <c:idx val="12"/>
              <c:layout>
                <c:manualLayout>
                  <c:xMode val="edge"/>
                  <c:yMode val="edge"/>
                  <c:x val="0.68201900446092989"/>
                  <c:y val="0.429603645369704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1FA-443C-94EC-DDD4D1D78B12}"/>
                </c:ext>
              </c:extLst>
            </c:dLbl>
            <c:dLbl>
              <c:idx val="13"/>
              <c:layout>
                <c:manualLayout>
                  <c:xMode val="edge"/>
                  <c:yMode val="edge"/>
                  <c:x val="0.76754550341262262"/>
                  <c:y val="0.4729250213733684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1FA-443C-94EC-DDD4D1D78B12}"/>
                </c:ext>
              </c:extLst>
            </c:dLbl>
            <c:dLbl>
              <c:idx val="14"/>
              <c:layout>
                <c:manualLayout>
                  <c:xMode val="edge"/>
                  <c:yMode val="edge"/>
                  <c:x val="0.80044031070173449"/>
                  <c:y val="0.353791237363276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1FA-443C-94EC-DDD4D1D78B12}"/>
                </c:ext>
              </c:extLst>
            </c:dLbl>
            <c:dLbl>
              <c:idx val="15"/>
              <c:layout>
                <c:manualLayout>
                  <c:xMode val="edge"/>
                  <c:yMode val="edge"/>
                  <c:x val="0.8706158995852058"/>
                  <c:y val="0.4765351360403229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1FA-443C-94EC-DDD4D1D78B12}"/>
                </c:ext>
              </c:extLst>
            </c:dLbl>
            <c:spPr>
              <a:noFill/>
              <a:ln w="25400">
                <a:noFill/>
              </a:ln>
            </c:spPr>
            <c:txPr>
              <a:bodyPr/>
              <a:lstStyle/>
              <a:p>
                <a:pPr>
                  <a:defRPr sz="9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Graficos!$N$68:$R$68</c:f>
              <c:numCache>
                <c:formatCode>mmm\-yy</c:formatCode>
                <c:ptCount val="5"/>
                <c:pt idx="0">
                  <c:v>40544</c:v>
                </c:pt>
                <c:pt idx="1">
                  <c:v>40575</c:v>
                </c:pt>
                <c:pt idx="2">
                  <c:v>40603</c:v>
                </c:pt>
                <c:pt idx="3">
                  <c:v>40634</c:v>
                </c:pt>
                <c:pt idx="4">
                  <c:v>40664</c:v>
                </c:pt>
              </c:numCache>
            </c:numRef>
          </c:val>
          <c:smooth val="0"/>
          <c:extLst>
            <c:ext xmlns:c16="http://schemas.microsoft.com/office/drawing/2014/chart" uri="{C3380CC4-5D6E-409C-BE32-E72D297353CC}">
              <c16:uniqueId val="{00000010-C1FA-443C-94EC-DDD4D1D78B12}"/>
            </c:ext>
          </c:extLst>
        </c:ser>
        <c:ser>
          <c:idx val="0"/>
          <c:order val="1"/>
          <c:tx>
            <c:strRef>
              <c:f>Graficos!$B$73:$M$73</c:f>
              <c:strCache>
                <c:ptCount val="12"/>
                <c:pt idx="0">
                  <c:v>2.8</c:v>
                </c:pt>
                <c:pt idx="1">
                  <c:v>2.8</c:v>
                </c:pt>
                <c:pt idx="2">
                  <c:v>2.7</c:v>
                </c:pt>
                <c:pt idx="3">
                  <c:v>2.8</c:v>
                </c:pt>
                <c:pt idx="4">
                  <c:v>5.7</c:v>
                </c:pt>
                <c:pt idx="5">
                  <c:v>8.3</c:v>
                </c:pt>
                <c:pt idx="6">
                  <c:v>8.3</c:v>
                </c:pt>
                <c:pt idx="7">
                  <c:v>8.3</c:v>
                </c:pt>
                <c:pt idx="8">
                  <c:v>10.3</c:v>
                </c:pt>
                <c:pt idx="9">
                  <c:v>10.2</c:v>
                </c:pt>
                <c:pt idx="10">
                  <c:v>10.2</c:v>
                </c:pt>
                <c:pt idx="11">
                  <c:v>10.1</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Graficos!$N$73:$S$73</c:f>
              <c:numCache>
                <c:formatCode>#,##0.0</c:formatCode>
                <c:ptCount val="6"/>
                <c:pt idx="0" formatCode="General">
                  <c:v>7.4</c:v>
                </c:pt>
                <c:pt idx="1">
                  <c:v>7.4</c:v>
                </c:pt>
                <c:pt idx="2">
                  <c:v>7.5</c:v>
                </c:pt>
                <c:pt idx="3" formatCode="General">
                  <c:v>7.3</c:v>
                </c:pt>
                <c:pt idx="4" formatCode="0.0">
                  <c:v>9.9</c:v>
                </c:pt>
                <c:pt idx="5" formatCode="0.0">
                  <c:v>7.6</c:v>
                </c:pt>
              </c:numCache>
            </c:numRef>
          </c:val>
          <c:smooth val="0"/>
          <c:extLst>
            <c:ext xmlns:c16="http://schemas.microsoft.com/office/drawing/2014/chart" uri="{C3380CC4-5D6E-409C-BE32-E72D297353CC}">
              <c16:uniqueId val="{00000011-C1FA-443C-94EC-DDD4D1D78B12}"/>
            </c:ext>
          </c:extLst>
        </c:ser>
        <c:dLbls>
          <c:showLegendKey val="0"/>
          <c:showVal val="1"/>
          <c:showCatName val="0"/>
          <c:showSerName val="0"/>
          <c:showPercent val="0"/>
          <c:showBubbleSize val="0"/>
        </c:dLbls>
        <c:marker val="1"/>
        <c:smooth val="0"/>
        <c:axId val="1401415936"/>
        <c:axId val="1403275968"/>
      </c:lineChart>
      <c:catAx>
        <c:axId val="14014159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5968"/>
        <c:crossesAt val="2"/>
        <c:auto val="0"/>
        <c:lblAlgn val="ctr"/>
        <c:lblOffset val="100"/>
        <c:tickLblSkip val="1"/>
        <c:tickMarkSkip val="1"/>
        <c:noMultiLvlLbl val="0"/>
      </c:catAx>
      <c:valAx>
        <c:axId val="1403275968"/>
        <c:scaling>
          <c:orientation val="minMax"/>
          <c:max val="12"/>
          <c:min val="2"/>
        </c:scaling>
        <c:delete val="0"/>
        <c:axPos val="l"/>
        <c:majorGridlines>
          <c:spPr>
            <a:ln w="3175">
              <a:solidFill>
                <a:srgbClr val="000000"/>
              </a:solidFill>
              <a:prstDash val="solid"/>
            </a:ln>
          </c:spPr>
        </c:majorGridlines>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1415936"/>
        <c:crosses val="autoZero"/>
        <c:crossBetween val="between"/>
        <c:majorUnit val="2"/>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00" verticalDpi="300"/>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b="1"/>
              <a:t>ESTADISTICA MENSUAL ACCIDENTES DETERGENTES</a:t>
            </a:r>
          </a:p>
        </c:rich>
      </c:tx>
      <c:layout>
        <c:manualLayout>
          <c:xMode val="edge"/>
          <c:yMode val="edge"/>
          <c:x val="0.10583333333333332"/>
          <c:y val="4.3333333333333938E-2"/>
        </c:manualLayout>
      </c:layout>
      <c:overlay val="0"/>
      <c:spPr>
        <a:noFill/>
        <a:ln w="25400">
          <a:noFill/>
        </a:ln>
      </c:spPr>
    </c:title>
    <c:autoTitleDeleted val="0"/>
    <c:plotArea>
      <c:layout>
        <c:manualLayout>
          <c:layoutTarget val="inner"/>
          <c:xMode val="edge"/>
          <c:yMode val="edge"/>
          <c:x val="4.435488237430929E-2"/>
          <c:y val="0.15666717665096574"/>
          <c:w val="0.90927508867334061"/>
          <c:h val="0.57666854384290656"/>
        </c:manualLayout>
      </c:layout>
      <c:lineChart>
        <c:grouping val="standard"/>
        <c:varyColors val="0"/>
        <c:ser>
          <c:idx val="0"/>
          <c:order val="0"/>
          <c:tx>
            <c:v>Incapacitantes</c:v>
          </c:tx>
          <c:spPr>
            <a:ln>
              <a:gradFill>
                <a:gsLst>
                  <a:gs pos="100000">
                    <a:srgbClr val="FF0000"/>
                  </a:gs>
                  <a:gs pos="100000">
                    <a:srgbClr val="FF0000"/>
                  </a:gs>
                  <a:gs pos="100000">
                    <a:srgbClr val="FF0000"/>
                  </a:gs>
                  <a:gs pos="0">
                    <a:srgbClr val="FF0000"/>
                  </a:gs>
                  <a:gs pos="25000">
                    <a:srgbClr val="21D6E0"/>
                  </a:gs>
                  <a:gs pos="75000">
                    <a:srgbClr val="0087E6"/>
                  </a:gs>
                  <a:gs pos="100000">
                    <a:srgbClr val="005CBF"/>
                  </a:gs>
                </a:gsLst>
                <a:lin ang="5400000" scaled="0"/>
              </a:gradFill>
            </a:ln>
          </c:spPr>
          <c:dLbls>
            <c:dLbl>
              <c:idx val="0"/>
              <c:delete val="1"/>
              <c:extLst>
                <c:ext xmlns:c15="http://schemas.microsoft.com/office/drawing/2012/chart" uri="{CE6537A1-D6FC-4f65-9D91-7224C49458BB}"/>
                <c:ext xmlns:c16="http://schemas.microsoft.com/office/drawing/2014/chart" uri="{C3380CC4-5D6E-409C-BE32-E72D297353CC}">
                  <c16:uniqueId val="{00000000-4DB2-441D-8963-551382EAFB2C}"/>
                </c:ext>
              </c:extLst>
            </c:dLbl>
            <c:dLbl>
              <c:idx val="1"/>
              <c:delete val="1"/>
              <c:extLst>
                <c:ext xmlns:c15="http://schemas.microsoft.com/office/drawing/2012/chart" uri="{CE6537A1-D6FC-4f65-9D91-7224C49458BB}"/>
                <c:ext xmlns:c16="http://schemas.microsoft.com/office/drawing/2014/chart" uri="{C3380CC4-5D6E-409C-BE32-E72D297353CC}">
                  <c16:uniqueId val="{00000001-4DB2-441D-8963-551382EAFB2C}"/>
                </c:ext>
              </c:extLst>
            </c:dLbl>
            <c:dLbl>
              <c:idx val="2"/>
              <c:delete val="1"/>
              <c:extLst>
                <c:ext xmlns:c15="http://schemas.microsoft.com/office/drawing/2012/chart" uri="{CE6537A1-D6FC-4f65-9D91-7224C49458BB}"/>
                <c:ext xmlns:c16="http://schemas.microsoft.com/office/drawing/2014/chart" uri="{C3380CC4-5D6E-409C-BE32-E72D297353CC}">
                  <c16:uniqueId val="{00000002-4DB2-441D-8963-551382EAFB2C}"/>
                </c:ext>
              </c:extLst>
            </c:dLbl>
            <c:dLbl>
              <c:idx val="3"/>
              <c:delete val="1"/>
              <c:extLst>
                <c:ext xmlns:c15="http://schemas.microsoft.com/office/drawing/2012/chart" uri="{CE6537A1-D6FC-4f65-9D91-7224C49458BB}"/>
                <c:ext xmlns:c16="http://schemas.microsoft.com/office/drawing/2014/chart" uri="{C3380CC4-5D6E-409C-BE32-E72D297353CC}">
                  <c16:uniqueId val="{00000003-4DB2-441D-8963-551382EAFB2C}"/>
                </c:ext>
              </c:extLst>
            </c:dLbl>
            <c:dLbl>
              <c:idx val="4"/>
              <c:layout>
                <c:manualLayout>
                  <c:x val="-4.0322580645161504E-2"/>
                  <c:y val="-4.9830124575311524E-2"/>
                </c:manualLayout>
              </c:layout>
              <c:tx>
                <c:rich>
                  <a:bodyPr/>
                  <a:lstStyle/>
                  <a:p>
                    <a:pPr>
                      <a:defRPr/>
                    </a:pPr>
                    <a:r>
                      <a:rPr lang="en-US" sz="1100" b="1">
                        <a:solidFill>
                          <a:srgbClr val="FF0000"/>
                        </a:solidFill>
                      </a:rPr>
                      <a:t>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DB2-441D-8963-551382EAFB2C}"/>
                </c:ext>
              </c:extLst>
            </c:dLbl>
            <c:dLbl>
              <c:idx val="5"/>
              <c:delete val="1"/>
              <c:extLst>
                <c:ext xmlns:c15="http://schemas.microsoft.com/office/drawing/2012/chart" uri="{CE6537A1-D6FC-4f65-9D91-7224C49458BB}"/>
                <c:ext xmlns:c16="http://schemas.microsoft.com/office/drawing/2014/chart" uri="{C3380CC4-5D6E-409C-BE32-E72D297353CC}">
                  <c16:uniqueId val="{00000005-4DB2-441D-8963-551382EAFB2C}"/>
                </c:ext>
              </c:extLst>
            </c:dLbl>
            <c:dLbl>
              <c:idx val="6"/>
              <c:delete val="1"/>
              <c:extLst>
                <c:ext xmlns:c15="http://schemas.microsoft.com/office/drawing/2012/chart" uri="{CE6537A1-D6FC-4f65-9D91-7224C49458BB}"/>
                <c:ext xmlns:c16="http://schemas.microsoft.com/office/drawing/2014/chart" uri="{C3380CC4-5D6E-409C-BE32-E72D297353CC}">
                  <c16:uniqueId val="{00000006-4DB2-441D-8963-551382EAFB2C}"/>
                </c:ext>
              </c:extLst>
            </c:dLbl>
            <c:dLbl>
              <c:idx val="7"/>
              <c:delete val="1"/>
              <c:extLst>
                <c:ext xmlns:c15="http://schemas.microsoft.com/office/drawing/2012/chart" uri="{CE6537A1-D6FC-4f65-9D91-7224C49458BB}"/>
                <c:ext xmlns:c16="http://schemas.microsoft.com/office/drawing/2014/chart" uri="{C3380CC4-5D6E-409C-BE32-E72D297353CC}">
                  <c16:uniqueId val="{00000007-4DB2-441D-8963-551382EAFB2C}"/>
                </c:ext>
              </c:extLst>
            </c:dLbl>
            <c:dLbl>
              <c:idx val="8"/>
              <c:delete val="1"/>
              <c:extLst>
                <c:ext xmlns:c15="http://schemas.microsoft.com/office/drawing/2012/chart" uri="{CE6537A1-D6FC-4f65-9D91-7224C49458BB}"/>
                <c:ext xmlns:c16="http://schemas.microsoft.com/office/drawing/2014/chart" uri="{C3380CC4-5D6E-409C-BE32-E72D297353CC}">
                  <c16:uniqueId val="{00000008-4DB2-441D-8963-551382EAFB2C}"/>
                </c:ext>
              </c:extLst>
            </c:dLbl>
            <c:dLbl>
              <c:idx val="9"/>
              <c:delete val="1"/>
              <c:extLst>
                <c:ext xmlns:c15="http://schemas.microsoft.com/office/drawing/2012/chart" uri="{CE6537A1-D6FC-4f65-9D91-7224C49458BB}"/>
                <c:ext xmlns:c16="http://schemas.microsoft.com/office/drawing/2014/chart" uri="{C3380CC4-5D6E-409C-BE32-E72D297353CC}">
                  <c16:uniqueId val="{00000009-4DB2-441D-8963-551382EAFB2C}"/>
                </c:ext>
              </c:extLst>
            </c:dLbl>
            <c:dLbl>
              <c:idx val="10"/>
              <c:delete val="1"/>
              <c:extLst>
                <c:ext xmlns:c15="http://schemas.microsoft.com/office/drawing/2012/chart" uri="{CE6537A1-D6FC-4f65-9D91-7224C49458BB}"/>
                <c:ext xmlns:c16="http://schemas.microsoft.com/office/drawing/2014/chart" uri="{C3380CC4-5D6E-409C-BE32-E72D297353CC}">
                  <c16:uniqueId val="{0000000A-4DB2-441D-8963-551382EAFB2C}"/>
                </c:ext>
              </c:extLst>
            </c:dLbl>
            <c:dLbl>
              <c:idx val="11"/>
              <c:delete val="1"/>
              <c:extLst>
                <c:ext xmlns:c15="http://schemas.microsoft.com/office/drawing/2012/chart" uri="{CE6537A1-D6FC-4f65-9D91-7224C49458BB}"/>
                <c:ext xmlns:c16="http://schemas.microsoft.com/office/drawing/2014/chart" uri="{C3380CC4-5D6E-409C-BE32-E72D297353CC}">
                  <c16:uniqueId val="{0000000B-4DB2-441D-8963-551382EAFB2C}"/>
                </c:ext>
              </c:extLst>
            </c:dLbl>
            <c:dLbl>
              <c:idx val="12"/>
              <c:delete val="1"/>
              <c:extLst>
                <c:ext xmlns:c15="http://schemas.microsoft.com/office/drawing/2012/chart" uri="{CE6537A1-D6FC-4f65-9D91-7224C49458BB}"/>
                <c:ext xmlns:c16="http://schemas.microsoft.com/office/drawing/2014/chart" uri="{C3380CC4-5D6E-409C-BE32-E72D297353CC}">
                  <c16:uniqueId val="{0000000C-4DB2-441D-8963-551382EAFB2C}"/>
                </c:ext>
              </c:extLst>
            </c:dLbl>
            <c:dLbl>
              <c:idx val="13"/>
              <c:delete val="1"/>
              <c:extLst>
                <c:ext xmlns:c15="http://schemas.microsoft.com/office/drawing/2012/chart" uri="{CE6537A1-D6FC-4f65-9D91-7224C49458BB}"/>
                <c:ext xmlns:c16="http://schemas.microsoft.com/office/drawing/2014/chart" uri="{C3380CC4-5D6E-409C-BE32-E72D297353CC}">
                  <c16:uniqueId val="{0000000D-4DB2-441D-8963-551382EAFB2C}"/>
                </c:ext>
              </c:extLst>
            </c:dLbl>
            <c:dLbl>
              <c:idx val="14"/>
              <c:layout>
                <c:manualLayout>
                  <c:x val="-4.3010752688172046E-2"/>
                  <c:y val="-5.4360135900341548E-2"/>
                </c:manualLayout>
              </c:layout>
              <c:tx>
                <c:rich>
                  <a:bodyPr/>
                  <a:lstStyle/>
                  <a:p>
                    <a:pPr>
                      <a:defRPr/>
                    </a:pPr>
                    <a:r>
                      <a:rPr lang="en-US" sz="1100" b="1">
                        <a:solidFill>
                          <a:srgbClr val="FF0000"/>
                        </a:solidFill>
                      </a:rPr>
                      <a:t>2</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DB2-441D-8963-551382EAFB2C}"/>
                </c:ext>
              </c:extLst>
            </c:dLbl>
            <c:dLbl>
              <c:idx val="15"/>
              <c:delete val="1"/>
              <c:extLst>
                <c:ext xmlns:c15="http://schemas.microsoft.com/office/drawing/2012/chart" uri="{CE6537A1-D6FC-4f65-9D91-7224C49458BB}"/>
                <c:ext xmlns:c16="http://schemas.microsoft.com/office/drawing/2014/chart" uri="{C3380CC4-5D6E-409C-BE32-E72D297353CC}">
                  <c16:uniqueId val="{0000000F-4DB2-441D-8963-551382EAFB2C}"/>
                </c:ext>
              </c:extLst>
            </c:dLbl>
            <c:dLbl>
              <c:idx val="16"/>
              <c:delete val="1"/>
              <c:extLst>
                <c:ext xmlns:c15="http://schemas.microsoft.com/office/drawing/2012/chart" uri="{CE6537A1-D6FC-4f65-9D91-7224C49458BB}"/>
                <c:ext xmlns:c16="http://schemas.microsoft.com/office/drawing/2014/chart" uri="{C3380CC4-5D6E-409C-BE32-E72D297353CC}">
                  <c16:uniqueId val="{00000010-4DB2-441D-8963-551382EAFB2C}"/>
                </c:ext>
              </c:extLst>
            </c:dLbl>
            <c:dLbl>
              <c:idx val="17"/>
              <c:delete val="1"/>
              <c:extLst>
                <c:ext xmlns:c15="http://schemas.microsoft.com/office/drawing/2012/chart" uri="{CE6537A1-D6FC-4f65-9D91-7224C49458BB}"/>
                <c:ext xmlns:c16="http://schemas.microsoft.com/office/drawing/2014/chart" uri="{C3380CC4-5D6E-409C-BE32-E72D297353CC}">
                  <c16:uniqueId val="{00000011-4DB2-441D-8963-551382EAFB2C}"/>
                </c:ext>
              </c:extLst>
            </c:dLbl>
            <c:dLbl>
              <c:idx val="18"/>
              <c:delete val="1"/>
              <c:extLst>
                <c:ext xmlns:c15="http://schemas.microsoft.com/office/drawing/2012/chart" uri="{CE6537A1-D6FC-4f65-9D91-7224C49458BB}"/>
                <c:ext xmlns:c16="http://schemas.microsoft.com/office/drawing/2014/chart" uri="{C3380CC4-5D6E-409C-BE32-E72D297353CC}">
                  <c16:uniqueId val="{00000012-4DB2-441D-8963-551382EAFB2C}"/>
                </c:ext>
              </c:extLst>
            </c:dLbl>
            <c:dLbl>
              <c:idx val="19"/>
              <c:delete val="1"/>
              <c:extLst>
                <c:ext xmlns:c15="http://schemas.microsoft.com/office/drawing/2012/chart" uri="{CE6537A1-D6FC-4f65-9D91-7224C49458BB}"/>
                <c:ext xmlns:c16="http://schemas.microsoft.com/office/drawing/2014/chart" uri="{C3380CC4-5D6E-409C-BE32-E72D297353CC}">
                  <c16:uniqueId val="{00000013-4DB2-441D-8963-551382EAFB2C}"/>
                </c:ext>
              </c:extLst>
            </c:dLbl>
            <c:dLbl>
              <c:idx val="20"/>
              <c:delete val="1"/>
              <c:extLst>
                <c:ext xmlns:c15="http://schemas.microsoft.com/office/drawing/2012/chart" uri="{CE6537A1-D6FC-4f65-9D91-7224C49458BB}"/>
                <c:ext xmlns:c16="http://schemas.microsoft.com/office/drawing/2014/chart" uri="{C3380CC4-5D6E-409C-BE32-E72D297353CC}">
                  <c16:uniqueId val="{00000014-4DB2-441D-8963-551382EAFB2C}"/>
                </c:ext>
              </c:extLst>
            </c:dLbl>
            <c:dLbl>
              <c:idx val="21"/>
              <c:delete val="1"/>
              <c:extLst>
                <c:ext xmlns:c15="http://schemas.microsoft.com/office/drawing/2012/chart" uri="{CE6537A1-D6FC-4f65-9D91-7224C49458BB}"/>
                <c:ext xmlns:c16="http://schemas.microsoft.com/office/drawing/2014/chart" uri="{C3380CC4-5D6E-409C-BE32-E72D297353CC}">
                  <c16:uniqueId val="{00000015-4DB2-441D-8963-551382EAFB2C}"/>
                </c:ext>
              </c:extLst>
            </c:dLbl>
            <c:dLbl>
              <c:idx val="22"/>
              <c:delete val="1"/>
              <c:extLst>
                <c:ext xmlns:c15="http://schemas.microsoft.com/office/drawing/2012/chart" uri="{CE6537A1-D6FC-4f65-9D91-7224C49458BB}"/>
                <c:ext xmlns:c16="http://schemas.microsoft.com/office/drawing/2014/chart" uri="{C3380CC4-5D6E-409C-BE32-E72D297353CC}">
                  <c16:uniqueId val="{00000016-4DB2-441D-8963-551382EAFB2C}"/>
                </c:ext>
              </c:extLst>
            </c:dLbl>
            <c:dLbl>
              <c:idx val="23"/>
              <c:layout>
                <c:manualLayout>
                  <c:x val="-3.3205619412516124E-2"/>
                  <c:y val="-3.9999999999999959E-2"/>
                </c:manualLayout>
              </c:layout>
              <c:tx>
                <c:rich>
                  <a:bodyPr/>
                  <a:lstStyle/>
                  <a:p>
                    <a:r>
                      <a:rPr lang="en-US" sz="1050" b="1">
                        <a:solidFill>
                          <a:srgbClr val="FF0000"/>
                        </a:solidFill>
                      </a:rPr>
                      <a:t>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DB2-441D-8963-551382EAFB2C}"/>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Graficos!$N$68:$AK$68</c:f>
              <c:numCache>
                <c:formatCode>mmm\-yy</c:formatCode>
                <c:ptCount val="24"/>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numCache>
            </c:numRef>
          </c:cat>
          <c:val>
            <c:numRef>
              <c:f>Graficos!$N$69:$AK$69</c:f>
              <c:numCache>
                <c:formatCode>General</c:formatCode>
                <c:ptCount val="24"/>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2</c:v>
                </c:pt>
                <c:pt idx="15">
                  <c:v>0</c:v>
                </c:pt>
                <c:pt idx="16">
                  <c:v>0</c:v>
                </c:pt>
                <c:pt idx="17">
                  <c:v>0</c:v>
                </c:pt>
                <c:pt idx="18">
                  <c:v>0</c:v>
                </c:pt>
                <c:pt idx="19">
                  <c:v>0</c:v>
                </c:pt>
                <c:pt idx="20">
                  <c:v>0</c:v>
                </c:pt>
                <c:pt idx="21">
                  <c:v>0</c:v>
                </c:pt>
                <c:pt idx="22">
                  <c:v>0</c:v>
                </c:pt>
                <c:pt idx="23">
                  <c:v>2</c:v>
                </c:pt>
              </c:numCache>
            </c:numRef>
          </c:val>
          <c:smooth val="0"/>
          <c:extLst>
            <c:ext xmlns:c16="http://schemas.microsoft.com/office/drawing/2014/chart" uri="{C3380CC4-5D6E-409C-BE32-E72D297353CC}">
              <c16:uniqueId val="{00000018-4DB2-441D-8963-551382EAFB2C}"/>
            </c:ext>
          </c:extLst>
        </c:ser>
        <c:ser>
          <c:idx val="1"/>
          <c:order val="1"/>
          <c:tx>
            <c:v>Menores</c:v>
          </c:tx>
          <c:spPr>
            <a:ln w="12700">
              <a:solidFill>
                <a:srgbClr val="5BCB77"/>
              </a:solidFill>
              <a:prstDash val="solid"/>
            </a:ln>
          </c:spPr>
          <c:marker>
            <c:symbol val="square"/>
            <c:size val="5"/>
            <c:spPr>
              <a:solidFill>
                <a:srgbClr val="FF00FF"/>
              </a:solidFill>
              <a:ln>
                <a:solidFill>
                  <a:srgbClr val="5BCB77"/>
                </a:solidFill>
                <a:prstDash val="solid"/>
              </a:ln>
            </c:spPr>
          </c:marker>
          <c:dPt>
            <c:idx val="6"/>
            <c:bubble3D val="0"/>
            <c:spPr>
              <a:ln w="25400">
                <a:solidFill>
                  <a:srgbClr val="5BCB77"/>
                </a:solidFill>
                <a:prstDash val="solid"/>
              </a:ln>
            </c:spPr>
            <c:extLst>
              <c:ext xmlns:c16="http://schemas.microsoft.com/office/drawing/2014/chart" uri="{C3380CC4-5D6E-409C-BE32-E72D297353CC}">
                <c16:uniqueId val="{0000001A-4DB2-441D-8963-551382EAFB2C}"/>
              </c:ext>
            </c:extLst>
          </c:dPt>
          <c:dPt>
            <c:idx val="12"/>
            <c:marker>
              <c:symbol val="square"/>
              <c:size val="4"/>
            </c:marker>
            <c:bubble3D val="0"/>
            <c:spPr>
              <a:ln w="25400">
                <a:solidFill>
                  <a:srgbClr val="5BCB77"/>
                </a:solidFill>
                <a:prstDash val="solid"/>
              </a:ln>
            </c:spPr>
            <c:extLst>
              <c:ext xmlns:c16="http://schemas.microsoft.com/office/drawing/2014/chart" uri="{C3380CC4-5D6E-409C-BE32-E72D297353CC}">
                <c16:uniqueId val="{0000001C-4DB2-441D-8963-551382EAFB2C}"/>
              </c:ext>
            </c:extLst>
          </c:dPt>
          <c:dLbls>
            <c:dLbl>
              <c:idx val="0"/>
              <c:layout>
                <c:manualLayout>
                  <c:x val="-2.1520558816642187E-2"/>
                  <c:y val="-5.4444704942843675E-2"/>
                </c:manualLayout>
              </c:layout>
              <c:tx>
                <c:rich>
                  <a:bodyPr/>
                  <a:lstStyle/>
                  <a:p>
                    <a:pPr>
                      <a:defRPr/>
                    </a:pPr>
                    <a:r>
                      <a:rPr lang="es-PE"/>
                      <a:t>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DB2-441D-8963-551382EAFB2C}"/>
                </c:ext>
              </c:extLst>
            </c:dLbl>
            <c:dLbl>
              <c:idx val="1"/>
              <c:delete val="1"/>
              <c:extLst>
                <c:ext xmlns:c15="http://schemas.microsoft.com/office/drawing/2012/chart" uri="{CE6537A1-D6FC-4f65-9D91-7224C49458BB}"/>
                <c:ext xmlns:c16="http://schemas.microsoft.com/office/drawing/2014/chart" uri="{C3380CC4-5D6E-409C-BE32-E72D297353CC}">
                  <c16:uniqueId val="{0000001E-4DB2-441D-8963-551382EAFB2C}"/>
                </c:ext>
              </c:extLst>
            </c:dLbl>
            <c:dLbl>
              <c:idx val="2"/>
              <c:delete val="1"/>
              <c:extLst>
                <c:ext xmlns:c15="http://schemas.microsoft.com/office/drawing/2012/chart" uri="{CE6537A1-D6FC-4f65-9D91-7224C49458BB}"/>
                <c:ext xmlns:c16="http://schemas.microsoft.com/office/drawing/2014/chart" uri="{C3380CC4-5D6E-409C-BE32-E72D297353CC}">
                  <c16:uniqueId val="{0000001F-4DB2-441D-8963-551382EAFB2C}"/>
                </c:ext>
              </c:extLst>
            </c:dLbl>
            <c:dLbl>
              <c:idx val="3"/>
              <c:delete val="1"/>
              <c:extLst>
                <c:ext xmlns:c15="http://schemas.microsoft.com/office/drawing/2012/chart" uri="{CE6537A1-D6FC-4f65-9D91-7224C49458BB}"/>
                <c:ext xmlns:c16="http://schemas.microsoft.com/office/drawing/2014/chart" uri="{C3380CC4-5D6E-409C-BE32-E72D297353CC}">
                  <c16:uniqueId val="{00000020-4DB2-441D-8963-551382EAFB2C}"/>
                </c:ext>
              </c:extLst>
            </c:dLbl>
            <c:dLbl>
              <c:idx val="4"/>
              <c:delete val="1"/>
              <c:extLst>
                <c:ext xmlns:c15="http://schemas.microsoft.com/office/drawing/2012/chart" uri="{CE6537A1-D6FC-4f65-9D91-7224C49458BB}"/>
                <c:ext xmlns:c16="http://schemas.microsoft.com/office/drawing/2014/chart" uri="{C3380CC4-5D6E-409C-BE32-E72D297353CC}">
                  <c16:uniqueId val="{00000021-4DB2-441D-8963-551382EAFB2C}"/>
                </c:ext>
              </c:extLst>
            </c:dLbl>
            <c:dLbl>
              <c:idx val="5"/>
              <c:delete val="1"/>
              <c:extLst>
                <c:ext xmlns:c15="http://schemas.microsoft.com/office/drawing/2012/chart" uri="{CE6537A1-D6FC-4f65-9D91-7224C49458BB}"/>
                <c:ext xmlns:c16="http://schemas.microsoft.com/office/drawing/2014/chart" uri="{C3380CC4-5D6E-409C-BE32-E72D297353CC}">
                  <c16:uniqueId val="{00000022-4DB2-441D-8963-551382EAFB2C}"/>
                </c:ext>
              </c:extLst>
            </c:dLbl>
            <c:dLbl>
              <c:idx val="6"/>
              <c:delete val="1"/>
              <c:extLst>
                <c:ext xmlns:c15="http://schemas.microsoft.com/office/drawing/2012/chart" uri="{CE6537A1-D6FC-4f65-9D91-7224C49458BB}"/>
                <c:ext xmlns:c16="http://schemas.microsoft.com/office/drawing/2014/chart" uri="{C3380CC4-5D6E-409C-BE32-E72D297353CC}">
                  <c16:uniqueId val="{0000001A-4DB2-441D-8963-551382EAFB2C}"/>
                </c:ext>
              </c:extLst>
            </c:dLbl>
            <c:dLbl>
              <c:idx val="7"/>
              <c:delete val="1"/>
              <c:extLst>
                <c:ext xmlns:c15="http://schemas.microsoft.com/office/drawing/2012/chart" uri="{CE6537A1-D6FC-4f65-9D91-7224C49458BB}"/>
                <c:ext xmlns:c16="http://schemas.microsoft.com/office/drawing/2014/chart" uri="{C3380CC4-5D6E-409C-BE32-E72D297353CC}">
                  <c16:uniqueId val="{00000023-4DB2-441D-8963-551382EAFB2C}"/>
                </c:ext>
              </c:extLst>
            </c:dLbl>
            <c:dLbl>
              <c:idx val="8"/>
              <c:delete val="1"/>
              <c:extLst>
                <c:ext xmlns:c15="http://schemas.microsoft.com/office/drawing/2012/chart" uri="{CE6537A1-D6FC-4f65-9D91-7224C49458BB}"/>
                <c:ext xmlns:c16="http://schemas.microsoft.com/office/drawing/2014/chart" uri="{C3380CC4-5D6E-409C-BE32-E72D297353CC}">
                  <c16:uniqueId val="{00000024-4DB2-441D-8963-551382EAFB2C}"/>
                </c:ext>
              </c:extLst>
            </c:dLbl>
            <c:dLbl>
              <c:idx val="9"/>
              <c:delete val="1"/>
              <c:extLst>
                <c:ext xmlns:c15="http://schemas.microsoft.com/office/drawing/2012/chart" uri="{CE6537A1-D6FC-4f65-9D91-7224C49458BB}"/>
                <c:ext xmlns:c16="http://schemas.microsoft.com/office/drawing/2014/chart" uri="{C3380CC4-5D6E-409C-BE32-E72D297353CC}">
                  <c16:uniqueId val="{00000025-4DB2-441D-8963-551382EAFB2C}"/>
                </c:ext>
              </c:extLst>
            </c:dLbl>
            <c:dLbl>
              <c:idx val="10"/>
              <c:delete val="1"/>
              <c:extLst>
                <c:ext xmlns:c15="http://schemas.microsoft.com/office/drawing/2012/chart" uri="{CE6537A1-D6FC-4f65-9D91-7224C49458BB}"/>
                <c:ext xmlns:c16="http://schemas.microsoft.com/office/drawing/2014/chart" uri="{C3380CC4-5D6E-409C-BE32-E72D297353CC}">
                  <c16:uniqueId val="{00000026-4DB2-441D-8963-551382EAFB2C}"/>
                </c:ext>
              </c:extLst>
            </c:dLbl>
            <c:dLbl>
              <c:idx val="11"/>
              <c:delete val="1"/>
              <c:extLst>
                <c:ext xmlns:c15="http://schemas.microsoft.com/office/drawing/2012/chart" uri="{CE6537A1-D6FC-4f65-9D91-7224C49458BB}"/>
                <c:ext xmlns:c16="http://schemas.microsoft.com/office/drawing/2014/chart" uri="{C3380CC4-5D6E-409C-BE32-E72D297353CC}">
                  <c16:uniqueId val="{00000027-4DB2-441D-8963-551382EAFB2C}"/>
                </c:ext>
              </c:extLst>
            </c:dLbl>
            <c:dLbl>
              <c:idx val="12"/>
              <c:delete val="1"/>
              <c:extLst>
                <c:ext xmlns:c15="http://schemas.microsoft.com/office/drawing/2012/chart" uri="{CE6537A1-D6FC-4f65-9D91-7224C49458BB}"/>
                <c:ext xmlns:c16="http://schemas.microsoft.com/office/drawing/2014/chart" uri="{C3380CC4-5D6E-409C-BE32-E72D297353CC}">
                  <c16:uniqueId val="{0000001C-4DB2-441D-8963-551382EAFB2C}"/>
                </c:ext>
              </c:extLst>
            </c:dLbl>
            <c:dLbl>
              <c:idx val="13"/>
              <c:delete val="1"/>
              <c:extLst>
                <c:ext xmlns:c15="http://schemas.microsoft.com/office/drawing/2012/chart" uri="{CE6537A1-D6FC-4f65-9D91-7224C49458BB}"/>
                <c:ext xmlns:c16="http://schemas.microsoft.com/office/drawing/2014/chart" uri="{C3380CC4-5D6E-409C-BE32-E72D297353CC}">
                  <c16:uniqueId val="{00000028-4DB2-441D-8963-551382EAFB2C}"/>
                </c:ext>
              </c:extLst>
            </c:dLbl>
            <c:dLbl>
              <c:idx val="14"/>
              <c:delete val="1"/>
              <c:extLst>
                <c:ext xmlns:c15="http://schemas.microsoft.com/office/drawing/2012/chart" uri="{CE6537A1-D6FC-4f65-9D91-7224C49458BB}"/>
                <c:ext xmlns:c16="http://schemas.microsoft.com/office/drawing/2014/chart" uri="{C3380CC4-5D6E-409C-BE32-E72D297353CC}">
                  <c16:uniqueId val="{00000029-4DB2-441D-8963-551382EAFB2C}"/>
                </c:ext>
              </c:extLst>
            </c:dLbl>
            <c:dLbl>
              <c:idx val="15"/>
              <c:delete val="1"/>
              <c:extLst>
                <c:ext xmlns:c15="http://schemas.microsoft.com/office/drawing/2012/chart" uri="{CE6537A1-D6FC-4f65-9D91-7224C49458BB}"/>
                <c:ext xmlns:c16="http://schemas.microsoft.com/office/drawing/2014/chart" uri="{C3380CC4-5D6E-409C-BE32-E72D297353CC}">
                  <c16:uniqueId val="{0000002A-4DB2-441D-8963-551382EAFB2C}"/>
                </c:ext>
              </c:extLst>
            </c:dLbl>
            <c:dLbl>
              <c:idx val="16"/>
              <c:delete val="1"/>
              <c:extLst>
                <c:ext xmlns:c15="http://schemas.microsoft.com/office/drawing/2012/chart" uri="{CE6537A1-D6FC-4f65-9D91-7224C49458BB}"/>
                <c:ext xmlns:c16="http://schemas.microsoft.com/office/drawing/2014/chart" uri="{C3380CC4-5D6E-409C-BE32-E72D297353CC}">
                  <c16:uniqueId val="{0000002B-4DB2-441D-8963-551382EAFB2C}"/>
                </c:ext>
              </c:extLst>
            </c:dLbl>
            <c:dLbl>
              <c:idx val="17"/>
              <c:delete val="1"/>
              <c:extLst>
                <c:ext xmlns:c15="http://schemas.microsoft.com/office/drawing/2012/chart" uri="{CE6537A1-D6FC-4f65-9D91-7224C49458BB}"/>
                <c:ext xmlns:c16="http://schemas.microsoft.com/office/drawing/2014/chart" uri="{C3380CC4-5D6E-409C-BE32-E72D297353CC}">
                  <c16:uniqueId val="{0000002C-4DB2-441D-8963-551382EAFB2C}"/>
                </c:ext>
              </c:extLst>
            </c:dLbl>
            <c:dLbl>
              <c:idx val="18"/>
              <c:delete val="1"/>
              <c:extLst>
                <c:ext xmlns:c15="http://schemas.microsoft.com/office/drawing/2012/chart" uri="{CE6537A1-D6FC-4f65-9D91-7224C49458BB}"/>
                <c:ext xmlns:c16="http://schemas.microsoft.com/office/drawing/2014/chart" uri="{C3380CC4-5D6E-409C-BE32-E72D297353CC}">
                  <c16:uniqueId val="{0000002D-4DB2-441D-8963-551382EAFB2C}"/>
                </c:ext>
              </c:extLst>
            </c:dLbl>
            <c:dLbl>
              <c:idx val="19"/>
              <c:delete val="1"/>
              <c:extLst>
                <c:ext xmlns:c15="http://schemas.microsoft.com/office/drawing/2012/chart" uri="{CE6537A1-D6FC-4f65-9D91-7224C49458BB}"/>
                <c:ext xmlns:c16="http://schemas.microsoft.com/office/drawing/2014/chart" uri="{C3380CC4-5D6E-409C-BE32-E72D297353CC}">
                  <c16:uniqueId val="{0000002E-4DB2-441D-8963-551382EAFB2C}"/>
                </c:ext>
              </c:extLst>
            </c:dLbl>
            <c:dLbl>
              <c:idx val="20"/>
              <c:delete val="1"/>
              <c:extLst>
                <c:ext xmlns:c15="http://schemas.microsoft.com/office/drawing/2012/chart" uri="{CE6537A1-D6FC-4f65-9D91-7224C49458BB}"/>
                <c:ext xmlns:c16="http://schemas.microsoft.com/office/drawing/2014/chart" uri="{C3380CC4-5D6E-409C-BE32-E72D297353CC}">
                  <c16:uniqueId val="{0000002F-4DB2-441D-8963-551382EAFB2C}"/>
                </c:ext>
              </c:extLst>
            </c:dLbl>
            <c:dLbl>
              <c:idx val="21"/>
              <c:delete val="1"/>
              <c:extLst>
                <c:ext xmlns:c15="http://schemas.microsoft.com/office/drawing/2012/chart" uri="{CE6537A1-D6FC-4f65-9D91-7224C49458BB}"/>
                <c:ext xmlns:c16="http://schemas.microsoft.com/office/drawing/2014/chart" uri="{C3380CC4-5D6E-409C-BE32-E72D297353CC}">
                  <c16:uniqueId val="{00000030-4DB2-441D-8963-551382EAFB2C}"/>
                </c:ext>
              </c:extLst>
            </c:dLbl>
            <c:dLbl>
              <c:idx val="22"/>
              <c:delete val="1"/>
              <c:extLst>
                <c:ext xmlns:c15="http://schemas.microsoft.com/office/drawing/2012/chart" uri="{CE6537A1-D6FC-4f65-9D91-7224C49458BB}"/>
                <c:ext xmlns:c16="http://schemas.microsoft.com/office/drawing/2014/chart" uri="{C3380CC4-5D6E-409C-BE32-E72D297353CC}">
                  <c16:uniqueId val="{00000031-4DB2-441D-8963-551382EAFB2C}"/>
                </c:ext>
              </c:extLst>
            </c:dLbl>
            <c:dLbl>
              <c:idx val="23"/>
              <c:delete val="1"/>
              <c:extLst>
                <c:ext xmlns:c15="http://schemas.microsoft.com/office/drawing/2012/chart" uri="{CE6537A1-D6FC-4f65-9D91-7224C49458BB}"/>
                <c:ext xmlns:c16="http://schemas.microsoft.com/office/drawing/2014/chart" uri="{C3380CC4-5D6E-409C-BE32-E72D297353CC}">
                  <c16:uniqueId val="{00000032-4DB2-441D-8963-551382EAFB2C}"/>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Graficos!$N$68:$AK$68</c:f>
              <c:numCache>
                <c:formatCode>mmm\-yy</c:formatCode>
                <c:ptCount val="24"/>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numCache>
            </c:numRef>
          </c:cat>
          <c:val>
            <c:numRef>
              <c:f>Graficos!$N$71:$AK$71</c:f>
              <c:numCache>
                <c:formatCode>General</c:formatCode>
                <c:ptCount val="24"/>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33-4DB2-441D-8963-551382EAFB2C}"/>
            </c:ext>
          </c:extLst>
        </c:ser>
        <c:dLbls>
          <c:showLegendKey val="0"/>
          <c:showVal val="1"/>
          <c:showCatName val="0"/>
          <c:showSerName val="0"/>
          <c:showPercent val="0"/>
          <c:showBubbleSize val="0"/>
        </c:dLbls>
        <c:marker val="1"/>
        <c:smooth val="0"/>
        <c:axId val="1403273248"/>
        <c:axId val="1403259648"/>
      </c:lineChart>
      <c:dateAx>
        <c:axId val="1403273248"/>
        <c:scaling>
          <c:orientation val="minMax"/>
        </c:scaling>
        <c:delete val="0"/>
        <c:axPos val="b"/>
        <c:numFmt formatCode="mmm\-yy" sourceLinked="0"/>
        <c:majorTickMark val="cross"/>
        <c:minorTickMark val="none"/>
        <c:tickLblPos val="nextTo"/>
        <c:txPr>
          <a:bodyPr rot="-2700000" vert="horz"/>
          <a:lstStyle/>
          <a:p>
            <a:pPr>
              <a:defRPr/>
            </a:pPr>
            <a:endParaRPr lang="es-PE"/>
          </a:p>
        </c:txPr>
        <c:crossAx val="1403259648"/>
        <c:crosses val="autoZero"/>
        <c:auto val="0"/>
        <c:lblOffset val="100"/>
        <c:baseTimeUnit val="months"/>
        <c:majorUnit val="1"/>
        <c:majorTimeUnit val="months"/>
        <c:minorUnit val="1"/>
        <c:minorTimeUnit val="days"/>
      </c:dateAx>
      <c:valAx>
        <c:axId val="1403259648"/>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a:pPr>
            <a:endParaRPr lang="es-PE"/>
          </a:p>
        </c:txPr>
        <c:crossAx val="1403273248"/>
        <c:crossesAt val="1"/>
        <c:crossBetween val="between"/>
        <c:majorUnit val="1"/>
      </c:valAx>
      <c:spPr>
        <a:solidFill>
          <a:srgbClr val="D4D4D4"/>
        </a:solidFill>
        <a:ln w="3175">
          <a:solidFill>
            <a:srgbClr val="000000"/>
          </a:solidFill>
          <a:prstDash val="solid"/>
        </a:ln>
      </c:spPr>
    </c:plotArea>
    <c:legend>
      <c:legendPos val="r"/>
      <c:layout>
        <c:manualLayout>
          <c:xMode val="edge"/>
          <c:yMode val="edge"/>
          <c:x val="1.2096774193548387E-2"/>
          <c:y val="0.92555555555555569"/>
          <c:w val="0.66935483870968282"/>
          <c:h val="7.4444444444444424E-2"/>
        </c:manualLayout>
      </c:layout>
      <c:overlay val="0"/>
      <c:spPr>
        <a:solidFill>
          <a:srgbClr val="FFFFFF"/>
        </a:solidFill>
        <a:ln w="3175">
          <a:solidFill>
            <a:srgbClr val="000000"/>
          </a:solidFill>
          <a:prstDash val="solid"/>
        </a:ln>
      </c:sp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Estadistica Mensual de Accidentes HELADOS</a:t>
            </a:r>
          </a:p>
        </c:rich>
      </c:tx>
      <c:layout>
        <c:manualLayout>
          <c:xMode val="edge"/>
          <c:yMode val="edge"/>
          <c:x val="0.25050547469445317"/>
          <c:y val="3.5460992907801435E-2"/>
        </c:manualLayout>
      </c:layout>
      <c:overlay val="0"/>
      <c:spPr>
        <a:noFill/>
        <a:ln w="25400">
          <a:noFill/>
        </a:ln>
      </c:spPr>
    </c:title>
    <c:autoTitleDeleted val="0"/>
    <c:plotArea>
      <c:layout>
        <c:manualLayout>
          <c:layoutTarget val="inner"/>
          <c:xMode val="edge"/>
          <c:yMode val="edge"/>
          <c:x val="7.0707210202042944E-2"/>
          <c:y val="0.20922058268430949"/>
          <c:w val="0.89091084854570812"/>
          <c:h val="0.50709395464163154"/>
        </c:manualLayout>
      </c:layout>
      <c:barChart>
        <c:barDir val="col"/>
        <c:grouping val="clustered"/>
        <c:varyColors val="0"/>
        <c:ser>
          <c:idx val="1"/>
          <c:order val="0"/>
          <c:tx>
            <c:v>Incapacitante</c:v>
          </c:tx>
          <c:spPr>
            <a:solidFill>
              <a:srgbClr val="FF3333"/>
            </a:solidFill>
            <a:ln w="12700">
              <a:solidFill>
                <a:srgbClr val="FF3333"/>
              </a:solidFill>
              <a:prstDash val="solid"/>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81FD-4D8E-A3C0-124006C9DDDA}"/>
                </c:ext>
              </c:extLst>
            </c:dLbl>
            <c:dLbl>
              <c:idx val="6"/>
              <c:delete val="1"/>
              <c:extLst>
                <c:ext xmlns:c15="http://schemas.microsoft.com/office/drawing/2012/chart" uri="{CE6537A1-D6FC-4f65-9D91-7224C49458BB}"/>
                <c:ext xmlns:c16="http://schemas.microsoft.com/office/drawing/2014/chart" uri="{C3380CC4-5D6E-409C-BE32-E72D297353CC}">
                  <c16:uniqueId val="{00000001-81FD-4D8E-A3C0-124006C9DDDA}"/>
                </c:ext>
              </c:extLst>
            </c:dLbl>
            <c:dLbl>
              <c:idx val="8"/>
              <c:delete val="1"/>
              <c:extLst>
                <c:ext xmlns:c15="http://schemas.microsoft.com/office/drawing/2012/chart" uri="{CE6537A1-D6FC-4f65-9D91-7224C49458BB}"/>
                <c:ext xmlns:c16="http://schemas.microsoft.com/office/drawing/2014/chart" uri="{C3380CC4-5D6E-409C-BE32-E72D297353CC}">
                  <c16:uniqueId val="{00000002-81FD-4D8E-A3C0-124006C9DDDA}"/>
                </c:ext>
              </c:extLst>
            </c:dLbl>
            <c:dLbl>
              <c:idx val="10"/>
              <c:delete val="1"/>
              <c:extLst>
                <c:ext xmlns:c15="http://schemas.microsoft.com/office/drawing/2012/chart" uri="{CE6537A1-D6FC-4f65-9D91-7224C49458BB}"/>
                <c:ext xmlns:c16="http://schemas.microsoft.com/office/drawing/2014/chart" uri="{C3380CC4-5D6E-409C-BE32-E72D297353CC}">
                  <c16:uniqueId val="{00000003-81FD-4D8E-A3C0-124006C9DDDA}"/>
                </c:ext>
              </c:extLst>
            </c:dLbl>
            <c:numFmt formatCode="#,##0" sourceLinked="0"/>
            <c:spPr>
              <a:noFill/>
              <a:ln w="25400">
                <a:noFill/>
              </a:ln>
            </c:spPr>
            <c:txPr>
              <a:bodyPr/>
              <a:lstStyle/>
              <a:p>
                <a:pPr>
                  <a:defRPr sz="1000" b="1" i="0" u="none" strike="noStrike" baseline="0">
                    <a:solidFill>
                      <a:srgbClr val="FF3333"/>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Graficos!$B$2:$O$2</c:f>
              <c:strCache>
                <c:ptCount val="14"/>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strCache>
            </c:strRef>
          </c:cat>
          <c:val>
            <c:numRef>
              <c:f>Graficos!$B$76:$O$76</c:f>
              <c:numCache>
                <c:formatCode>General</c:formatCode>
                <c:ptCount val="14"/>
                <c:pt idx="0">
                  <c:v>0</c:v>
                </c:pt>
                <c:pt idx="1">
                  <c:v>0</c:v>
                </c:pt>
                <c:pt idx="2">
                  <c:v>0</c:v>
                </c:pt>
                <c:pt idx="3">
                  <c:v>0</c:v>
                </c:pt>
                <c:pt idx="4">
                  <c:v>0</c:v>
                </c:pt>
                <c:pt idx="5">
                  <c:v>0</c:v>
                </c:pt>
                <c:pt idx="6">
                  <c:v>1</c:v>
                </c:pt>
                <c:pt idx="7">
                  <c:v>1</c:v>
                </c:pt>
                <c:pt idx="8">
                  <c:v>0</c:v>
                </c:pt>
                <c:pt idx="9">
                  <c:v>1</c:v>
                </c:pt>
                <c:pt idx="10">
                  <c:v>0</c:v>
                </c:pt>
                <c:pt idx="11">
                  <c:v>0</c:v>
                </c:pt>
                <c:pt idx="12">
                  <c:v>0</c:v>
                </c:pt>
                <c:pt idx="13">
                  <c:v>0</c:v>
                </c:pt>
              </c:numCache>
            </c:numRef>
          </c:val>
          <c:extLst>
            <c:ext xmlns:c16="http://schemas.microsoft.com/office/drawing/2014/chart" uri="{C3380CC4-5D6E-409C-BE32-E72D297353CC}">
              <c16:uniqueId val="{00000004-81FD-4D8E-A3C0-124006C9DDDA}"/>
            </c:ext>
          </c:extLst>
        </c:ser>
        <c:ser>
          <c:idx val="2"/>
          <c:order val="1"/>
          <c:tx>
            <c:v>Menor</c:v>
          </c:tx>
          <c:spPr>
            <a:solidFill>
              <a:srgbClr val="008000"/>
            </a:solidFill>
            <a:ln w="25400">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81FD-4D8E-A3C0-124006C9DDDA}"/>
                </c:ext>
              </c:extLst>
            </c:dLbl>
            <c:dLbl>
              <c:idx val="2"/>
              <c:delete val="1"/>
              <c:extLst>
                <c:ext xmlns:c15="http://schemas.microsoft.com/office/drawing/2012/chart" uri="{CE6537A1-D6FC-4f65-9D91-7224C49458BB}"/>
                <c:ext xmlns:c16="http://schemas.microsoft.com/office/drawing/2014/chart" uri="{C3380CC4-5D6E-409C-BE32-E72D297353CC}">
                  <c16:uniqueId val="{00000006-81FD-4D8E-A3C0-124006C9DDDA}"/>
                </c:ext>
              </c:extLst>
            </c:dLbl>
            <c:dLbl>
              <c:idx val="3"/>
              <c:delete val="1"/>
              <c:extLst>
                <c:ext xmlns:c15="http://schemas.microsoft.com/office/drawing/2012/chart" uri="{CE6537A1-D6FC-4f65-9D91-7224C49458BB}"/>
                <c:ext xmlns:c16="http://schemas.microsoft.com/office/drawing/2014/chart" uri="{C3380CC4-5D6E-409C-BE32-E72D297353CC}">
                  <c16:uniqueId val="{00000007-81FD-4D8E-A3C0-124006C9DDDA}"/>
                </c:ext>
              </c:extLst>
            </c:dLbl>
            <c:dLbl>
              <c:idx val="4"/>
              <c:delete val="1"/>
              <c:extLst>
                <c:ext xmlns:c15="http://schemas.microsoft.com/office/drawing/2012/chart" uri="{CE6537A1-D6FC-4f65-9D91-7224C49458BB}"/>
                <c:ext xmlns:c16="http://schemas.microsoft.com/office/drawing/2014/chart" uri="{C3380CC4-5D6E-409C-BE32-E72D297353CC}">
                  <c16:uniqueId val="{00000008-81FD-4D8E-A3C0-124006C9DDDA}"/>
                </c:ext>
              </c:extLst>
            </c:dLbl>
            <c:dLbl>
              <c:idx val="6"/>
              <c:delete val="1"/>
              <c:extLst>
                <c:ext xmlns:c15="http://schemas.microsoft.com/office/drawing/2012/chart" uri="{CE6537A1-D6FC-4f65-9D91-7224C49458BB}"/>
                <c:ext xmlns:c16="http://schemas.microsoft.com/office/drawing/2014/chart" uri="{C3380CC4-5D6E-409C-BE32-E72D297353CC}">
                  <c16:uniqueId val="{00000009-81FD-4D8E-A3C0-124006C9DDDA}"/>
                </c:ext>
              </c:extLst>
            </c:dLbl>
            <c:dLbl>
              <c:idx val="7"/>
              <c:delete val="1"/>
              <c:extLst>
                <c:ext xmlns:c15="http://schemas.microsoft.com/office/drawing/2012/chart" uri="{CE6537A1-D6FC-4f65-9D91-7224C49458BB}"/>
                <c:ext xmlns:c16="http://schemas.microsoft.com/office/drawing/2014/chart" uri="{C3380CC4-5D6E-409C-BE32-E72D297353CC}">
                  <c16:uniqueId val="{0000000A-81FD-4D8E-A3C0-124006C9DDDA}"/>
                </c:ext>
              </c:extLst>
            </c:dLbl>
            <c:dLbl>
              <c:idx val="8"/>
              <c:delete val="1"/>
              <c:extLst>
                <c:ext xmlns:c15="http://schemas.microsoft.com/office/drawing/2012/chart" uri="{CE6537A1-D6FC-4f65-9D91-7224C49458BB}"/>
                <c:ext xmlns:c16="http://schemas.microsoft.com/office/drawing/2014/chart" uri="{C3380CC4-5D6E-409C-BE32-E72D297353CC}">
                  <c16:uniqueId val="{0000000B-81FD-4D8E-A3C0-124006C9DDDA}"/>
                </c:ext>
              </c:extLst>
            </c:dLbl>
            <c:dLbl>
              <c:idx val="9"/>
              <c:delete val="1"/>
              <c:extLst>
                <c:ext xmlns:c15="http://schemas.microsoft.com/office/drawing/2012/chart" uri="{CE6537A1-D6FC-4f65-9D91-7224C49458BB}"/>
                <c:ext xmlns:c16="http://schemas.microsoft.com/office/drawing/2014/chart" uri="{C3380CC4-5D6E-409C-BE32-E72D297353CC}">
                  <c16:uniqueId val="{0000000C-81FD-4D8E-A3C0-124006C9DDDA}"/>
                </c:ext>
              </c:extLst>
            </c:dLbl>
            <c:dLbl>
              <c:idx val="12"/>
              <c:delete val="1"/>
              <c:extLst>
                <c:ext xmlns:c15="http://schemas.microsoft.com/office/drawing/2012/chart" uri="{CE6537A1-D6FC-4f65-9D91-7224C49458BB}"/>
                <c:ext xmlns:c16="http://schemas.microsoft.com/office/drawing/2014/chart" uri="{C3380CC4-5D6E-409C-BE32-E72D297353CC}">
                  <c16:uniqueId val="{0000000D-81FD-4D8E-A3C0-124006C9DDDA}"/>
                </c:ext>
              </c:extLst>
            </c:dLbl>
            <c:spPr>
              <a:noFill/>
              <a:ln w="25400">
                <a:noFill/>
              </a:ln>
            </c:spPr>
            <c:txPr>
              <a:bodyPr/>
              <a:lstStyle/>
              <a:p>
                <a:pPr>
                  <a:defRPr sz="1000" b="1" i="0" u="none" strike="noStrike" baseline="0">
                    <a:solidFill>
                      <a:srgbClr val="008000"/>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Graficos!$B$2:$O$2</c:f>
              <c:strCache>
                <c:ptCount val="14"/>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strCache>
            </c:strRef>
          </c:cat>
          <c:val>
            <c:numRef>
              <c:f>Graficos!$B$78:$O$78</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E-81FD-4D8E-A3C0-124006C9DDDA}"/>
            </c:ext>
          </c:extLst>
        </c:ser>
        <c:ser>
          <c:idx val="0"/>
          <c:order val="2"/>
          <c:tx>
            <c:v>DMR</c:v>
          </c:tx>
          <c:spPr>
            <a:solidFill>
              <a:srgbClr val="9999FF"/>
            </a:solidFill>
            <a:ln w="12700">
              <a:solidFill>
                <a:srgbClr val="000000"/>
              </a:solidFill>
              <a:prstDash val="solid"/>
            </a:ln>
          </c:spPr>
          <c:invertIfNegative val="0"/>
          <c:dLbls>
            <c:delete val="1"/>
          </c:dLbls>
          <c:cat>
            <c:strRef>
              <c:f>Graficos!$B$2:$O$2</c:f>
              <c:strCache>
                <c:ptCount val="14"/>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strCache>
            </c:strRef>
          </c:cat>
          <c:val>
            <c:numRef>
              <c:f>Graficos!$B$77:$O$77</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F-81FD-4D8E-A3C0-124006C9DDDA}"/>
            </c:ext>
          </c:extLst>
        </c:ser>
        <c:dLbls>
          <c:showLegendKey val="0"/>
          <c:showVal val="1"/>
          <c:showCatName val="0"/>
          <c:showSerName val="0"/>
          <c:showPercent val="0"/>
          <c:showBubbleSize val="0"/>
        </c:dLbls>
        <c:gapWidth val="150"/>
        <c:axId val="1403278688"/>
        <c:axId val="1403252032"/>
      </c:barChart>
      <c:catAx>
        <c:axId val="14032786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52032"/>
        <c:crosses val="autoZero"/>
        <c:auto val="0"/>
        <c:lblAlgn val="ctr"/>
        <c:lblOffset val="100"/>
        <c:tickLblSkip val="1"/>
        <c:tickMarkSkip val="1"/>
        <c:noMultiLvlLbl val="0"/>
      </c:catAx>
      <c:valAx>
        <c:axId val="1403252032"/>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8688"/>
        <c:crosses val="autoZero"/>
        <c:crossBetween val="between"/>
        <c:majorUnit val="1"/>
      </c:valAx>
      <c:spPr>
        <a:solidFill>
          <a:srgbClr val="D4D4D4"/>
        </a:solidFill>
        <a:ln w="12700">
          <a:solidFill>
            <a:srgbClr val="000000"/>
          </a:solidFill>
          <a:prstDash val="solid"/>
        </a:ln>
      </c:spPr>
    </c:plotArea>
    <c:legend>
      <c:legendPos val="r"/>
      <c:layout>
        <c:manualLayout>
          <c:xMode val="edge"/>
          <c:yMode val="edge"/>
          <c:x val="0.12323232323232323"/>
          <c:y val="0.86879432624114095"/>
          <c:w val="0.47676767676767912"/>
          <c:h val="7.8014184397163122E-2"/>
        </c:manualLayout>
      </c:layout>
      <c:overlay val="0"/>
      <c:spPr>
        <a:solidFill>
          <a:srgbClr val="FFFFFF"/>
        </a:solidFill>
        <a:ln w="3175">
          <a:solidFill>
            <a:srgbClr val="000000"/>
          </a:solidFill>
          <a:prstDash val="solid"/>
        </a:ln>
      </c:spPr>
      <c:txPr>
        <a:bodyPr/>
        <a:lstStyle/>
        <a:p>
          <a:pPr>
            <a:defRPr lang="es-PE" sz="690"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ESTADISTICA ANUAL ACCIDENTES HELADOS</a:t>
            </a:r>
          </a:p>
        </c:rich>
      </c:tx>
      <c:layout>
        <c:manualLayout>
          <c:xMode val="edge"/>
          <c:yMode val="edge"/>
          <c:x val="0.25858636091541565"/>
          <c:y val="1.6722408026755998E-2"/>
        </c:manualLayout>
      </c:layout>
      <c:overlay val="0"/>
      <c:spPr>
        <a:noFill/>
        <a:ln w="25400">
          <a:noFill/>
        </a:ln>
      </c:spPr>
    </c:title>
    <c:autoTitleDeleted val="0"/>
    <c:plotArea>
      <c:layout>
        <c:manualLayout>
          <c:layoutTarget val="inner"/>
          <c:xMode val="edge"/>
          <c:yMode val="edge"/>
          <c:x val="5.4545562155859685E-2"/>
          <c:y val="0.17725752508361187"/>
          <c:w val="0.90101187857459974"/>
          <c:h val="0.62541806020066859"/>
        </c:manualLayout>
      </c:layout>
      <c:lineChart>
        <c:grouping val="standard"/>
        <c:varyColors val="0"/>
        <c:ser>
          <c:idx val="1"/>
          <c:order val="0"/>
          <c:tx>
            <c:v>Total</c:v>
          </c:tx>
          <c:spPr>
            <a:ln w="25400">
              <a:solidFill>
                <a:srgbClr val="000000"/>
              </a:solidFill>
              <a:prstDash val="solid"/>
            </a:ln>
          </c:spPr>
          <c:marker>
            <c:symbol val="circle"/>
            <c:size val="5"/>
            <c:spPr>
              <a:solidFill>
                <a:srgbClr val="000000"/>
              </a:solidFill>
              <a:ln>
                <a:solidFill>
                  <a:srgbClr val="000000"/>
                </a:solidFill>
                <a:prstDash val="solid"/>
              </a:ln>
            </c:spPr>
          </c:marker>
          <c:dLbls>
            <c:dLbl>
              <c:idx val="4"/>
              <c:layout>
                <c:manualLayout>
                  <c:x val="-6.946148182585557E-2"/>
                  <c:y val="-9.69899665551840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119-427E-8911-BD3ABCAA52B2}"/>
                </c:ext>
              </c:extLst>
            </c:dLbl>
            <c:dLbl>
              <c:idx val="5"/>
              <c:layout>
                <c:manualLayout>
                  <c:x val="-5.7138152285871706E-2"/>
                  <c:y val="-8.2497212931995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19-427E-8911-BD3ABCAA52B2}"/>
                </c:ext>
              </c:extLst>
            </c:dLbl>
            <c:dLbl>
              <c:idx val="6"/>
              <c:layout>
                <c:manualLayout>
                  <c:x val="-5.6936058780526419E-2"/>
                  <c:y val="-2.00668896321069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19-427E-8911-BD3ABCAA52B2}"/>
                </c:ext>
              </c:extLst>
            </c:dLbl>
            <c:dLbl>
              <c:idx val="8"/>
              <c:layout>
                <c:manualLayout>
                  <c:x val="-2.0168375760629811E-2"/>
                  <c:y val="-8.13823857302118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19-427E-8911-BD3ABCAA52B2}"/>
                </c:ext>
              </c:extLst>
            </c:dLbl>
            <c:spPr>
              <a:noFill/>
              <a:ln w="25400">
                <a:noFill/>
              </a:ln>
            </c:spPr>
            <c:txPr>
              <a:bodyPr/>
              <a:lstStyle/>
              <a:p>
                <a:pPr>
                  <a:defRPr sz="1000" b="1" i="0" u="none" strike="noStrike" baseline="0">
                    <a:solidFill>
                      <a:srgbClr val="000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Graficos!$B$192:$B$201</c:f>
              <c:numCache>
                <c:formatCode>General</c:formatCode>
                <c:ptCount val="10"/>
                <c:pt idx="0">
                  <c:v>9</c:v>
                </c:pt>
                <c:pt idx="1">
                  <c:v>8</c:v>
                </c:pt>
                <c:pt idx="2">
                  <c:v>13</c:v>
                </c:pt>
                <c:pt idx="3">
                  <c:v>7</c:v>
                </c:pt>
                <c:pt idx="4">
                  <c:v>13</c:v>
                </c:pt>
                <c:pt idx="5">
                  <c:v>14</c:v>
                </c:pt>
                <c:pt idx="6">
                  <c:v>22</c:v>
                </c:pt>
                <c:pt idx="7">
                  <c:v>16</c:v>
                </c:pt>
                <c:pt idx="8" formatCode="0">
                  <c:v>0</c:v>
                </c:pt>
                <c:pt idx="9" formatCode="0">
                  <c:v>1</c:v>
                </c:pt>
              </c:numCache>
            </c:numRef>
          </c:val>
          <c:smooth val="0"/>
          <c:extLst>
            <c:ext xmlns:c16="http://schemas.microsoft.com/office/drawing/2014/chart" uri="{C3380CC4-5D6E-409C-BE32-E72D297353CC}">
              <c16:uniqueId val="{00000004-E119-427E-8911-BD3ABCAA52B2}"/>
            </c:ext>
          </c:extLst>
        </c:ser>
        <c:ser>
          <c:idx val="0"/>
          <c:order val="1"/>
          <c:tx>
            <c:v>Incapacitantes</c:v>
          </c:tx>
          <c:spPr>
            <a:ln w="38100">
              <a:solidFill>
                <a:srgbClr val="FF3333"/>
              </a:solidFill>
              <a:prstDash val="solid"/>
            </a:ln>
          </c:spPr>
          <c:marker>
            <c:symbol val="circle"/>
            <c:size val="5"/>
            <c:spPr>
              <a:solidFill>
                <a:srgbClr val="FF3333"/>
              </a:solidFill>
              <a:ln>
                <a:solidFill>
                  <a:srgbClr val="FF3333"/>
                </a:solidFill>
                <a:prstDash val="solid"/>
              </a:ln>
            </c:spPr>
          </c:marker>
          <c:dPt>
            <c:idx val="8"/>
            <c:bubble3D val="0"/>
            <c:spPr>
              <a:ln w="38100">
                <a:solidFill>
                  <a:srgbClr val="FF3333"/>
                </a:solidFill>
                <a:prstDash val="sysDash"/>
              </a:ln>
            </c:spPr>
            <c:extLst>
              <c:ext xmlns:c16="http://schemas.microsoft.com/office/drawing/2014/chart" uri="{C3380CC4-5D6E-409C-BE32-E72D297353CC}">
                <c16:uniqueId val="{00000006-E119-427E-8911-BD3ABCAA52B2}"/>
              </c:ext>
            </c:extLst>
          </c:dPt>
          <c:dLbls>
            <c:dLbl>
              <c:idx val="1"/>
              <c:layout>
                <c:manualLayout>
                  <c:x val="-3.7744254154826851E-2"/>
                  <c:y val="4.23634336677821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19-427E-8911-BD3ABCAA52B2}"/>
                </c:ext>
              </c:extLst>
            </c:dLbl>
            <c:dLbl>
              <c:idx val="2"/>
              <c:layout>
                <c:manualLayout>
                  <c:x val="-3.552195464370899E-2"/>
                  <c:y val="4.34782608695652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119-427E-8911-BD3ABCAA52B2}"/>
                </c:ext>
              </c:extLst>
            </c:dLbl>
            <c:dLbl>
              <c:idx val="3"/>
              <c:layout>
                <c:manualLayout>
                  <c:x val="-3.9360485244609132E-2"/>
                  <c:y val="3.90189520624302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119-427E-8911-BD3ABCAA52B2}"/>
                </c:ext>
              </c:extLst>
            </c:dLbl>
            <c:dLbl>
              <c:idx val="4"/>
              <c:layout>
                <c:manualLayout>
                  <c:x val="-3.9158391739263838E-2"/>
                  <c:y val="3.79041248606466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119-427E-8911-BD3ABCAA52B2}"/>
                </c:ext>
              </c:extLst>
            </c:dLbl>
            <c:dLbl>
              <c:idx val="8"/>
              <c:layout>
                <c:manualLayout>
                  <c:x val="-3.0269405789492609E-2"/>
                  <c:y val="5.23968784838351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119-427E-8911-BD3ABCAA52B2}"/>
                </c:ext>
              </c:extLst>
            </c:dLbl>
            <c:dLbl>
              <c:idx val="9"/>
              <c:layout>
                <c:manualLayout>
                  <c:x val="-7.8450462206490108E-3"/>
                  <c:y val="-1.0033444816053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119-427E-8911-BD3ABCAA52B2}"/>
                </c:ext>
              </c:extLst>
            </c:dLbl>
            <c:dLbl>
              <c:idx val="10"/>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extLst>
                <c:ext xmlns:c16="http://schemas.microsoft.com/office/drawing/2014/chart" uri="{C3380CC4-5D6E-409C-BE32-E72D297353CC}">
                  <c16:uniqueId val="{00000002-165C-40F4-AF4B-0F93E3FF8F62}"/>
                </c:ext>
              </c:extLst>
            </c:dLbl>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Graficos!$D$192:$D$201</c:f>
              <c:numCache>
                <c:formatCode>General</c:formatCode>
                <c:ptCount val="10"/>
                <c:pt idx="0">
                  <c:v>5</c:v>
                </c:pt>
                <c:pt idx="1">
                  <c:v>3</c:v>
                </c:pt>
                <c:pt idx="2">
                  <c:v>7</c:v>
                </c:pt>
                <c:pt idx="3">
                  <c:v>3</c:v>
                </c:pt>
                <c:pt idx="4">
                  <c:v>8</c:v>
                </c:pt>
                <c:pt idx="5">
                  <c:v>4</c:v>
                </c:pt>
                <c:pt idx="6">
                  <c:v>12</c:v>
                </c:pt>
                <c:pt idx="7">
                  <c:v>7</c:v>
                </c:pt>
                <c:pt idx="8" formatCode="0">
                  <c:v>0</c:v>
                </c:pt>
                <c:pt idx="9" formatCode="0">
                  <c:v>0</c:v>
                </c:pt>
              </c:numCache>
            </c:numRef>
          </c:val>
          <c:smooth val="0"/>
          <c:extLst>
            <c:ext xmlns:c16="http://schemas.microsoft.com/office/drawing/2014/chart" uri="{C3380CC4-5D6E-409C-BE32-E72D297353CC}">
              <c16:uniqueId val="{0000000D-E119-427E-8911-BD3ABCAA52B2}"/>
            </c:ext>
          </c:extLst>
        </c:ser>
        <c:ser>
          <c:idx val="2"/>
          <c:order val="2"/>
          <c:tx>
            <c:v>Incapacitantes+DMR</c:v>
          </c:tx>
          <c:spPr>
            <a:ln w="381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4.1986759671717305E-2"/>
                  <c:y val="-6.57748049052397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119-427E-8911-BD3ABCAA52B2}"/>
                </c:ext>
              </c:extLst>
            </c:dLbl>
            <c:dLbl>
              <c:idx val="1"/>
              <c:layout>
                <c:manualLayout>
                  <c:x val="-3.5724048149054284E-2"/>
                  <c:y val="-4.45930880713490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119-427E-8911-BD3ABCAA52B2}"/>
                </c:ext>
              </c:extLst>
            </c:dLbl>
            <c:dLbl>
              <c:idx val="2"/>
              <c:layout>
                <c:manualLayout>
                  <c:x val="-3.7542160649481592E-2"/>
                  <c:y val="-7.69230769230769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119-427E-8911-BD3ABCAA52B2}"/>
                </c:ext>
              </c:extLst>
            </c:dLbl>
            <c:dLbl>
              <c:idx val="3"/>
              <c:layout>
                <c:manualLayout>
                  <c:x val="-3.1279661221518845E-2"/>
                  <c:y val="-5.4626532887402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119-427E-8911-BD3ABCAA52B2}"/>
                </c:ext>
              </c:extLst>
            </c:dLbl>
            <c:dLbl>
              <c:idx val="4"/>
              <c:layout>
                <c:manualLayout>
                  <c:x val="-3.5117979727718691E-2"/>
                  <c:y val="-6.57748049052397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119-427E-8911-BD3ABCAA52B2}"/>
                </c:ext>
              </c:extLst>
            </c:dLbl>
            <c:dLbl>
              <c:idx val="5"/>
              <c:layout>
                <c:manualLayout>
                  <c:x val="-4.0976504239691194E-2"/>
                  <c:y val="-7.24637681159421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119-427E-8911-BD3ABCAA52B2}"/>
                </c:ext>
              </c:extLst>
            </c:dLbl>
            <c:dLbl>
              <c:idx val="6"/>
              <c:layout>
                <c:manualLayout>
                  <c:x val="-4.4814822745890992E-2"/>
                  <c:y val="-6.46599777034559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119-427E-8911-BD3ABCAA52B2}"/>
                </c:ext>
              </c:extLst>
            </c:dLbl>
            <c:dLbl>
              <c:idx val="8"/>
              <c:layout>
                <c:manualLayout>
                  <c:x val="-1.006734573176688E-2"/>
                  <c:y val="-4.45930880713490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119-427E-8911-BD3ABCAA52B2}"/>
                </c:ext>
              </c:extLst>
            </c:dLbl>
            <c:dLbl>
              <c:idx val="9"/>
              <c:layout>
                <c:manualLayout>
                  <c:x val="-7.8450462206490108E-3"/>
                  <c:y val="-9.36454849498337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E119-427E-8911-BD3ABCAA52B2}"/>
                </c:ext>
              </c:extLst>
            </c:dLbl>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Graficos!$C$192:$C$201</c:f>
              <c:numCache>
                <c:formatCode>General</c:formatCode>
                <c:ptCount val="10"/>
                <c:pt idx="0">
                  <c:v>5</c:v>
                </c:pt>
                <c:pt idx="1">
                  <c:v>3</c:v>
                </c:pt>
                <c:pt idx="2">
                  <c:v>7</c:v>
                </c:pt>
                <c:pt idx="3">
                  <c:v>3</c:v>
                </c:pt>
                <c:pt idx="4">
                  <c:v>8</c:v>
                </c:pt>
                <c:pt idx="5">
                  <c:v>8</c:v>
                </c:pt>
                <c:pt idx="6">
                  <c:v>15</c:v>
                </c:pt>
                <c:pt idx="7">
                  <c:v>7</c:v>
                </c:pt>
                <c:pt idx="8" formatCode="0">
                  <c:v>0</c:v>
                </c:pt>
                <c:pt idx="9" formatCode="0">
                  <c:v>0</c:v>
                </c:pt>
              </c:numCache>
            </c:numRef>
          </c:val>
          <c:smooth val="0"/>
          <c:extLst>
            <c:ext xmlns:c16="http://schemas.microsoft.com/office/drawing/2014/chart" uri="{C3380CC4-5D6E-409C-BE32-E72D297353CC}">
              <c16:uniqueId val="{00000017-E119-427E-8911-BD3ABCAA52B2}"/>
            </c:ext>
          </c:extLst>
        </c:ser>
        <c:dLbls>
          <c:showLegendKey val="0"/>
          <c:showVal val="1"/>
          <c:showCatName val="0"/>
          <c:showSerName val="0"/>
          <c:showPercent val="0"/>
          <c:showBubbleSize val="0"/>
        </c:dLbls>
        <c:marker val="1"/>
        <c:smooth val="0"/>
        <c:axId val="1403271616"/>
        <c:axId val="1403271072"/>
      </c:lineChart>
      <c:catAx>
        <c:axId val="14032716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1072"/>
        <c:crosses val="autoZero"/>
        <c:auto val="0"/>
        <c:lblAlgn val="ctr"/>
        <c:lblOffset val="100"/>
        <c:tickLblSkip val="1"/>
        <c:tickMarkSkip val="1"/>
        <c:noMultiLvlLbl val="0"/>
      </c:catAx>
      <c:valAx>
        <c:axId val="1403271072"/>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1616"/>
        <c:crosses val="autoZero"/>
        <c:crossBetween val="between"/>
        <c:majorUnit val="3"/>
      </c:valAx>
      <c:spPr>
        <a:solidFill>
          <a:srgbClr val="D4D4D4"/>
        </a:solidFill>
        <a:ln w="3175">
          <a:solidFill>
            <a:srgbClr val="000000"/>
          </a:solidFill>
          <a:prstDash val="solid"/>
        </a:ln>
      </c:spPr>
    </c:plotArea>
    <c:legend>
      <c:legendPos val="r"/>
      <c:layout>
        <c:manualLayout>
          <c:xMode val="edge"/>
          <c:yMode val="edge"/>
          <c:x val="1.0101105782829781E-2"/>
          <c:y val="0.85618729096989965"/>
          <c:w val="0.67070695110480183"/>
          <c:h val="7.3578595317725703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HELADOS
Incapacitantes + DMR </a:t>
            </a:r>
          </a:p>
        </c:rich>
      </c:tx>
      <c:layout>
        <c:manualLayout>
          <c:xMode val="edge"/>
          <c:yMode val="edge"/>
          <c:x val="0.39578161126806127"/>
          <c:y val="1.8115942028985508E-2"/>
        </c:manualLayout>
      </c:layout>
      <c:overlay val="0"/>
      <c:spPr>
        <a:noFill/>
        <a:ln w="25400">
          <a:noFill/>
        </a:ln>
      </c:spPr>
    </c:title>
    <c:autoTitleDeleted val="0"/>
    <c:plotArea>
      <c:layout>
        <c:manualLayout>
          <c:layoutTarget val="inner"/>
          <c:xMode val="edge"/>
          <c:yMode val="edge"/>
          <c:x val="4.6728998617866682E-2"/>
          <c:y val="0.21739207353966244"/>
          <c:w val="0.93457997235733314"/>
          <c:h val="0.67029222674729261"/>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
              <c:layout>
                <c:manualLayout>
                  <c:x val="-4.8242381612968364E-2"/>
                  <c:y val="7.1003922651308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32-4FF7-AF55-E23E8EA707F7}"/>
                </c:ext>
              </c:extLst>
            </c:dLbl>
            <c:dLbl>
              <c:idx val="3"/>
              <c:layout>
                <c:manualLayout>
                  <c:x val="-4.3775880372273618E-2"/>
                  <c:y val="7.10199245548734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32-4FF7-AF55-E23E8EA707F7}"/>
                </c:ext>
              </c:extLst>
            </c:dLbl>
            <c:dLbl>
              <c:idx val="5"/>
              <c:layout>
                <c:manualLayout>
                  <c:x val="-4.9234937444236085E-2"/>
                  <c:y val="6.9107012836012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32-4FF7-AF55-E23E8EA707F7}"/>
                </c:ext>
              </c:extLst>
            </c:dLbl>
            <c:dLbl>
              <c:idx val="6"/>
              <c:layout>
                <c:manualLayout>
                  <c:x val="-9.1604306285538728E-3"/>
                  <c:y val="-6.8119904142190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32-4FF7-AF55-E23E8EA707F7}"/>
                </c:ext>
              </c:extLst>
            </c:dLbl>
            <c:dLbl>
              <c:idx val="7"/>
              <c:layout>
                <c:manualLayout>
                  <c:x val="-6.0897468461603529E-2"/>
                  <c:y val="5.42514851701670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32-4FF7-AF55-E23E8EA707F7}"/>
                </c:ext>
              </c:extLst>
            </c:dLbl>
            <c:dLbl>
              <c:idx val="8"/>
              <c:layout>
                <c:manualLayout>
                  <c:x val="-7.6654227154608123E-2"/>
                  <c:y val="-3.1872424595241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32-4FF7-AF55-E23E8EA707F7}"/>
                </c:ext>
              </c:extLst>
            </c:dLbl>
            <c:dLbl>
              <c:idx val="9"/>
              <c:layout>
                <c:manualLayout>
                  <c:x val="-3.4098461017434828E-2"/>
                  <c:y val="-4.2652367861231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32-4FF7-AF55-E23E8EA707F7}"/>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6E7A-42C5-A9E8-039ADC58B051}"/>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Graficos!$G$192:$G$201</c:f>
              <c:numCache>
                <c:formatCode>#,##0.0</c:formatCode>
                <c:ptCount val="10"/>
                <c:pt idx="0">
                  <c:v>4.9890427649370794</c:v>
                </c:pt>
                <c:pt idx="1">
                  <c:v>2.7854169643387614</c:v>
                </c:pt>
                <c:pt idx="2">
                  <c:v>6.2765095666782971</c:v>
                </c:pt>
                <c:pt idx="3">
                  <c:v>2.6443144995000614</c:v>
                </c:pt>
                <c:pt idx="4">
                  <c:v>6.6801485424550497</c:v>
                </c:pt>
                <c:pt idx="5">
                  <c:v>6.4958733218956697</c:v>
                </c:pt>
                <c:pt idx="6">
                  <c:v>11.878482082984643</c:v>
                </c:pt>
                <c:pt idx="7">
                  <c:v>5.5696067007906391</c:v>
                </c:pt>
                <c:pt idx="8">
                  <c:v>0</c:v>
                </c:pt>
                <c:pt idx="9">
                  <c:v>4.7651675401933549</c:v>
                </c:pt>
              </c:numCache>
            </c:numRef>
          </c:val>
          <c:smooth val="0"/>
          <c:extLst>
            <c:ext xmlns:c16="http://schemas.microsoft.com/office/drawing/2014/chart" uri="{C3380CC4-5D6E-409C-BE32-E72D297353CC}">
              <c16:uniqueId val="{00000008-3032-4FF7-AF55-E23E8EA707F7}"/>
            </c:ext>
          </c:extLst>
        </c:ser>
        <c:dLbls>
          <c:showLegendKey val="0"/>
          <c:showVal val="1"/>
          <c:showCatName val="0"/>
          <c:showSerName val="0"/>
          <c:showPercent val="0"/>
          <c:showBubbleSize val="0"/>
        </c:dLbls>
        <c:marker val="1"/>
        <c:smooth val="0"/>
        <c:axId val="1403255296"/>
        <c:axId val="1403264544"/>
      </c:lineChart>
      <c:catAx>
        <c:axId val="14032552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4544"/>
        <c:crosses val="autoZero"/>
        <c:auto val="0"/>
        <c:lblAlgn val="ctr"/>
        <c:lblOffset val="100"/>
        <c:tickLblSkip val="1"/>
        <c:tickMarkSkip val="1"/>
        <c:noMultiLvlLbl val="0"/>
      </c:catAx>
      <c:valAx>
        <c:axId val="1403264544"/>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55296"/>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SEVERIDAD - HELADOS</a:t>
            </a:r>
          </a:p>
        </c:rich>
      </c:tx>
      <c:layout>
        <c:manualLayout>
          <c:xMode val="edge"/>
          <c:yMode val="edge"/>
          <c:x val="0.34210557013706638"/>
          <c:y val="1.865671641791046E-2"/>
        </c:manualLayout>
      </c:layout>
      <c:overlay val="0"/>
      <c:spPr>
        <a:noFill/>
        <a:ln w="25400">
          <a:noFill/>
        </a:ln>
      </c:spPr>
    </c:title>
    <c:autoTitleDeleted val="0"/>
    <c:plotArea>
      <c:layout>
        <c:manualLayout>
          <c:layoutTarget val="inner"/>
          <c:xMode val="edge"/>
          <c:yMode val="edge"/>
          <c:x val="7.1428636987339034E-2"/>
          <c:y val="0.23880640524138091"/>
          <c:w val="0.90413616818181886"/>
          <c:h val="0.64552356416810763"/>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3.8878414365382835E-2"/>
                  <c:y val="-0.12009855072353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52-4CA8-B879-FCCDF6AF215F}"/>
                </c:ext>
              </c:extLst>
            </c:dLbl>
            <c:dLbl>
              <c:idx val="1"/>
              <c:layout>
                <c:manualLayout>
                  <c:x val="-5.5231827486677355E-2"/>
                  <c:y val="5.08871428855473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52-4CA8-B879-FCCDF6AF215F}"/>
                </c:ext>
              </c:extLst>
            </c:dLbl>
            <c:dLbl>
              <c:idx val="2"/>
              <c:layout>
                <c:manualLayout>
                  <c:x val="-6.0307034767865794E-2"/>
                  <c:y val="-5.12174952634684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52-4CA8-B879-FCCDF6AF215F}"/>
                </c:ext>
              </c:extLst>
            </c:dLbl>
            <c:dLbl>
              <c:idx val="3"/>
              <c:layout>
                <c:manualLayout>
                  <c:x val="-8.4179251782564385E-2"/>
                  <c:y val="3.386511723428468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52-4CA8-B879-FCCDF6AF215F}"/>
                </c:ext>
              </c:extLst>
            </c:dLbl>
            <c:dLbl>
              <c:idx val="5"/>
              <c:layout>
                <c:manualLayout>
                  <c:x val="-8.8690366081140323E-2"/>
                  <c:y val="-1.06128171324053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52-4CA8-B879-FCCDF6AF215F}"/>
                </c:ext>
              </c:extLst>
            </c:dLbl>
            <c:dLbl>
              <c:idx val="6"/>
              <c:layout>
                <c:manualLayout>
                  <c:x val="-9.1790295615278208E-3"/>
                  <c:y val="-2.30654760468818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52-4CA8-B879-FCCDF6AF215F}"/>
                </c:ext>
              </c:extLst>
            </c:dLbl>
            <c:dLbl>
              <c:idx val="8"/>
              <c:layout>
                <c:manualLayout>
                  <c:x val="-6.2562566510977968E-2"/>
                  <c:y val="3.43409245910158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B52-4CA8-B879-FCCDF6AF215F}"/>
                </c:ext>
              </c:extLst>
            </c:dLbl>
            <c:dLbl>
              <c:idx val="9"/>
              <c:layout>
                <c:manualLayout>
                  <c:x val="-2.2524950431742047E-2"/>
                  <c:y val="-7.02171916261911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B52-4CA8-B879-FCCDF6AF215F}"/>
                </c:ext>
              </c:extLst>
            </c:dLbl>
            <c:dLbl>
              <c:idx val="10"/>
              <c:numFmt formatCode="0" sourceLinked="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A9F8-411C-8515-4C7D0410B82A}"/>
                </c:ext>
              </c:extLst>
            </c:dLbl>
            <c:numFmt formatCode="0" sourceLinked="0"/>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Graficos!$H$192:$H$201</c:f>
              <c:numCache>
                <c:formatCode>#,##0</c:formatCode>
                <c:ptCount val="10"/>
                <c:pt idx="0">
                  <c:v>145.68004873616272</c:v>
                </c:pt>
                <c:pt idx="1">
                  <c:v>85.41945357305535</c:v>
                </c:pt>
                <c:pt idx="2">
                  <c:v>247.47380577188716</c:v>
                </c:pt>
                <c:pt idx="3">
                  <c:v>29.087459494500674</c:v>
                </c:pt>
                <c:pt idx="4">
                  <c:v>177.85895494286569</c:v>
                </c:pt>
                <c:pt idx="5">
                  <c:v>32.479366609478348</c:v>
                </c:pt>
                <c:pt idx="6">
                  <c:v>164.71495155072037</c:v>
                </c:pt>
                <c:pt idx="7">
                  <c:v>4842.3751972874043</c:v>
                </c:pt>
                <c:pt idx="8">
                  <c:v>0</c:v>
                </c:pt>
                <c:pt idx="9">
                  <c:v>1.8439848660474074</c:v>
                </c:pt>
              </c:numCache>
            </c:numRef>
          </c:val>
          <c:smooth val="0"/>
          <c:extLst>
            <c:ext xmlns:c16="http://schemas.microsoft.com/office/drawing/2014/chart" uri="{C3380CC4-5D6E-409C-BE32-E72D297353CC}">
              <c16:uniqueId val="{00000009-FB52-4CA8-B879-FCCDF6AF215F}"/>
            </c:ext>
          </c:extLst>
        </c:ser>
        <c:dLbls>
          <c:showLegendKey val="0"/>
          <c:showVal val="1"/>
          <c:showCatName val="0"/>
          <c:showSerName val="0"/>
          <c:showPercent val="0"/>
          <c:showBubbleSize val="0"/>
        </c:dLbls>
        <c:marker val="1"/>
        <c:smooth val="0"/>
        <c:axId val="1403255840"/>
        <c:axId val="1403278144"/>
      </c:lineChart>
      <c:catAx>
        <c:axId val="140325584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8144"/>
        <c:crosses val="autoZero"/>
        <c:auto val="0"/>
        <c:lblAlgn val="ctr"/>
        <c:lblOffset val="100"/>
        <c:tickLblSkip val="1"/>
        <c:tickMarkSkip val="1"/>
        <c:noMultiLvlLbl val="0"/>
      </c:catAx>
      <c:valAx>
        <c:axId val="1403278144"/>
        <c:scaling>
          <c:orientation val="minMax"/>
          <c:max val="500"/>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55840"/>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OSHA INCIDENT RATE - HELADOS
Incapacitantes + DMR + Menor</a:t>
            </a:r>
          </a:p>
        </c:rich>
      </c:tx>
      <c:layout>
        <c:manualLayout>
          <c:xMode val="edge"/>
          <c:yMode val="edge"/>
          <c:x val="0.32673308905693715"/>
          <c:y val="3.5842293906810055E-2"/>
        </c:manualLayout>
      </c:layout>
      <c:overlay val="0"/>
      <c:spPr>
        <a:noFill/>
        <a:ln w="25400">
          <a:noFill/>
        </a:ln>
      </c:spPr>
    </c:title>
    <c:autoTitleDeleted val="0"/>
    <c:plotArea>
      <c:layout>
        <c:manualLayout>
          <c:layoutTarget val="inner"/>
          <c:xMode val="edge"/>
          <c:yMode val="edge"/>
          <c:x val="7.1287197640003908E-2"/>
          <c:y val="0.28673935490645619"/>
          <c:w val="0.90693156997559998"/>
          <c:h val="0.60215264530355794"/>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
              <c:layout>
                <c:manualLayout>
                  <c:x val="-4.7689658205980305E-2"/>
                  <c:y val="7.1363330933720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0D-4F26-B231-9B09FCC7C272}"/>
                </c:ext>
              </c:extLst>
            </c:dLbl>
            <c:dLbl>
              <c:idx val="3"/>
              <c:layout>
                <c:manualLayout>
                  <c:x val="-4.9669887973470814E-2"/>
                  <c:y val="6.19229034820027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0D-4F26-B231-9B09FCC7C272}"/>
                </c:ext>
              </c:extLst>
            </c:dLbl>
            <c:dLbl>
              <c:idx val="4"/>
              <c:layout>
                <c:manualLayout>
                  <c:x val="-1.303620410276961E-2"/>
                  <c:y val="5.23813147075007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0D-4F26-B231-9B09FCC7C272}"/>
                </c:ext>
              </c:extLst>
            </c:dLbl>
            <c:dLbl>
              <c:idx val="5"/>
              <c:layout>
                <c:manualLayout>
                  <c:x val="1.3696480095709083E-2"/>
                  <c:y val="-9.479185757982526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0D-4F26-B231-9B09FCC7C272}"/>
                </c:ext>
              </c:extLst>
            </c:dLbl>
            <c:dLbl>
              <c:idx val="6"/>
              <c:layout>
                <c:manualLayout>
                  <c:x val="-8.4323431575819563E-2"/>
                  <c:y val="-4.17395709295375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D0D-4F26-B231-9B09FCC7C272}"/>
                </c:ext>
              </c:extLst>
            </c:dLbl>
            <c:dLbl>
              <c:idx val="7"/>
              <c:layout>
                <c:manualLayout>
                  <c:x val="-3.5808548098450889E-2"/>
                  <c:y val="-8.61625538241032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0D-4F26-B231-9B09FCC7C272}"/>
                </c:ext>
              </c:extLst>
            </c:dLbl>
            <c:dLbl>
              <c:idx val="8"/>
              <c:layout>
                <c:manualLayout>
                  <c:x val="-3.8778862916640615E-2"/>
                  <c:y val="-7.81244722729872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D0D-4F26-B231-9B09FCC7C272}"/>
                </c:ext>
              </c:extLst>
            </c:dLbl>
            <c:dLbl>
              <c:idx val="9"/>
              <c:layout>
                <c:manualLayout>
                  <c:x val="-1.5352137228047263E-2"/>
                  <c:y val="-6.7371746463995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D0D-4F26-B231-9B09FCC7C272}"/>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411A-4D1B-89DF-60295A7521D5}"/>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Graficos!$I$192:$I$201</c:f>
              <c:numCache>
                <c:formatCode>#,##0.0</c:formatCode>
                <c:ptCount val="10"/>
                <c:pt idx="0">
                  <c:v>1.7960553953773486</c:v>
                </c:pt>
                <c:pt idx="1">
                  <c:v>1.4855557143140061</c:v>
                </c:pt>
                <c:pt idx="2">
                  <c:v>2.3312749819090817</c:v>
                </c:pt>
                <c:pt idx="3">
                  <c:v>1.2340134331000288</c:v>
                </c:pt>
                <c:pt idx="4">
                  <c:v>2.1710482762978911</c:v>
                </c:pt>
                <c:pt idx="5">
                  <c:v>2.2735556626634845</c:v>
                </c:pt>
                <c:pt idx="6">
                  <c:v>3.4843547443421619</c:v>
                </c:pt>
                <c:pt idx="7">
                  <c:v>2.5461059203614349</c:v>
                </c:pt>
                <c:pt idx="8">
                  <c:v>0</c:v>
                </c:pt>
                <c:pt idx="9">
                  <c:v>0</c:v>
                </c:pt>
              </c:numCache>
            </c:numRef>
          </c:val>
          <c:smooth val="0"/>
          <c:extLst>
            <c:ext xmlns:c16="http://schemas.microsoft.com/office/drawing/2014/chart" uri="{C3380CC4-5D6E-409C-BE32-E72D297353CC}">
              <c16:uniqueId val="{00000009-7D0D-4F26-B231-9B09FCC7C272}"/>
            </c:ext>
          </c:extLst>
        </c:ser>
        <c:dLbls>
          <c:showLegendKey val="0"/>
          <c:showVal val="1"/>
          <c:showCatName val="0"/>
          <c:showSerName val="0"/>
          <c:showPercent val="0"/>
          <c:showBubbleSize val="0"/>
        </c:dLbls>
        <c:marker val="1"/>
        <c:smooth val="0"/>
        <c:axId val="1403272160"/>
        <c:axId val="1403266176"/>
      </c:lineChart>
      <c:catAx>
        <c:axId val="140327216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6176"/>
        <c:crosses val="autoZero"/>
        <c:auto val="0"/>
        <c:lblAlgn val="ctr"/>
        <c:lblOffset val="100"/>
        <c:tickLblSkip val="1"/>
        <c:tickMarkSkip val="1"/>
        <c:noMultiLvlLbl val="0"/>
      </c:catAx>
      <c:valAx>
        <c:axId val="1403266176"/>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2160"/>
        <c:crosses val="autoZero"/>
        <c:crossBetween val="between"/>
        <c:majorUnit val="1"/>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ACCIDENTES INCAPACITANTES HELADOS Y TERCEROS</a:t>
            </a:r>
          </a:p>
        </c:rich>
      </c:tx>
      <c:layout>
        <c:manualLayout>
          <c:xMode val="edge"/>
          <c:yMode val="edge"/>
          <c:x val="0.21526445557941856"/>
          <c:y val="1.7667844522968202E-2"/>
        </c:manualLayout>
      </c:layout>
      <c:overlay val="0"/>
      <c:spPr>
        <a:noFill/>
        <a:ln w="25400">
          <a:noFill/>
        </a:ln>
      </c:spPr>
    </c:title>
    <c:autoTitleDeleted val="0"/>
    <c:plotArea>
      <c:layout>
        <c:manualLayout>
          <c:layoutTarget val="inner"/>
          <c:xMode val="edge"/>
          <c:yMode val="edge"/>
          <c:x val="8.6105757424318419E-2"/>
          <c:y val="0.20848092507889293"/>
          <c:w val="0.87475621746981913"/>
          <c:h val="0.55477127520993563"/>
        </c:manualLayout>
      </c:layout>
      <c:lineChart>
        <c:grouping val="standard"/>
        <c:varyColors val="0"/>
        <c:ser>
          <c:idx val="1"/>
          <c:order val="0"/>
          <c:tx>
            <c:v>Total Alicorp+Terceros</c:v>
          </c:tx>
          <c:spPr>
            <a:ln w="25400">
              <a:solidFill>
                <a:srgbClr val="0000FF"/>
              </a:solidFill>
              <a:prstDash val="solid"/>
            </a:ln>
          </c:spPr>
          <c:marker>
            <c:symbol val="circle"/>
            <c:size val="5"/>
            <c:spPr>
              <a:solidFill>
                <a:srgbClr val="0000FF"/>
              </a:solidFill>
              <a:ln>
                <a:solidFill>
                  <a:srgbClr val="0000FF"/>
                </a:solidFill>
                <a:prstDash val="solid"/>
              </a:ln>
            </c:spPr>
          </c:marker>
          <c:dLbls>
            <c:dLbl>
              <c:idx val="4"/>
              <c:layout>
                <c:manualLayout>
                  <c:x val="-2.8440931288072291E-2"/>
                  <c:y val="-9.11543752937479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55-44CE-80E4-A3725FC46D48}"/>
                </c:ext>
              </c:extLst>
            </c:dLbl>
            <c:dLbl>
              <c:idx val="5"/>
              <c:layout>
                <c:manualLayout>
                  <c:x val="-2.765806640566627E-2"/>
                  <c:y val="-9.82215252964224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55-44CE-80E4-A3725FC46D48}"/>
                </c:ext>
              </c:extLst>
            </c:dLbl>
            <c:dLbl>
              <c:idx val="6"/>
              <c:layout>
                <c:manualLayout>
                  <c:x val="-6.4057438592075563E-2"/>
                  <c:y val="-6.24444034055942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155-44CE-80E4-A3725FC46D48}"/>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4670-42B8-AB12-AC32BA6A7251}"/>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Graficos!$C$192:$C$201</c:f>
              <c:numCache>
                <c:formatCode>General</c:formatCode>
                <c:ptCount val="10"/>
                <c:pt idx="0">
                  <c:v>5</c:v>
                </c:pt>
                <c:pt idx="1">
                  <c:v>3</c:v>
                </c:pt>
                <c:pt idx="2">
                  <c:v>7</c:v>
                </c:pt>
                <c:pt idx="3">
                  <c:v>3</c:v>
                </c:pt>
                <c:pt idx="4">
                  <c:v>8</c:v>
                </c:pt>
                <c:pt idx="5">
                  <c:v>8</c:v>
                </c:pt>
                <c:pt idx="6">
                  <c:v>15</c:v>
                </c:pt>
                <c:pt idx="7">
                  <c:v>7</c:v>
                </c:pt>
                <c:pt idx="8" formatCode="0">
                  <c:v>0</c:v>
                </c:pt>
                <c:pt idx="9" formatCode="0">
                  <c:v>0</c:v>
                </c:pt>
              </c:numCache>
            </c:numRef>
          </c:val>
          <c:smooth val="0"/>
          <c:extLst>
            <c:ext xmlns:c16="http://schemas.microsoft.com/office/drawing/2014/chart" uri="{C3380CC4-5D6E-409C-BE32-E72D297353CC}">
              <c16:uniqueId val="{00000004-5155-44CE-80E4-A3725FC46D48}"/>
            </c:ext>
          </c:extLst>
        </c:ser>
        <c:ser>
          <c:idx val="0"/>
          <c:order val="1"/>
          <c:tx>
            <c:v>Terceros</c:v>
          </c:tx>
          <c:spPr>
            <a:ln w="25400">
              <a:solidFill>
                <a:srgbClr val="FF3333"/>
              </a:solidFill>
              <a:prstDash val="solid"/>
            </a:ln>
          </c:spPr>
          <c:marker>
            <c:symbol val="circle"/>
            <c:size val="5"/>
            <c:spPr>
              <a:solidFill>
                <a:srgbClr val="FF3333"/>
              </a:solidFill>
              <a:ln>
                <a:solidFill>
                  <a:srgbClr val="FF3333"/>
                </a:solidFill>
                <a:prstDash val="solid"/>
              </a:ln>
            </c:spPr>
          </c:marker>
          <c:dLbls>
            <c:dLbl>
              <c:idx val="5"/>
              <c:layout>
                <c:manualLayout>
                  <c:x val="-3.9399760599890671E-2"/>
                  <c:y val="-5.36808406652886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55-44CE-80E4-A3725FC46D48}"/>
                </c:ext>
              </c:extLst>
            </c:dLbl>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Graficos!$J$192:$J$201</c:f>
              <c:numCache>
                <c:formatCode>0</c:formatCode>
                <c:ptCount val="10"/>
                <c:pt idx="0">
                  <c:v>0</c:v>
                </c:pt>
                <c:pt idx="1">
                  <c:v>1</c:v>
                </c:pt>
                <c:pt idx="2">
                  <c:v>3</c:v>
                </c:pt>
                <c:pt idx="3">
                  <c:v>0</c:v>
                </c:pt>
                <c:pt idx="4">
                  <c:v>4</c:v>
                </c:pt>
                <c:pt idx="5">
                  <c:v>5</c:v>
                </c:pt>
                <c:pt idx="6">
                  <c:v>5</c:v>
                </c:pt>
                <c:pt idx="7">
                  <c:v>3</c:v>
                </c:pt>
                <c:pt idx="8">
                  <c:v>3</c:v>
                </c:pt>
                <c:pt idx="9" formatCode="General">
                  <c:v>0</c:v>
                </c:pt>
              </c:numCache>
            </c:numRef>
          </c:val>
          <c:smooth val="0"/>
          <c:extLst>
            <c:ext xmlns:c16="http://schemas.microsoft.com/office/drawing/2014/chart" uri="{C3380CC4-5D6E-409C-BE32-E72D297353CC}">
              <c16:uniqueId val="{00000006-5155-44CE-80E4-A3725FC46D48}"/>
            </c:ext>
          </c:extLst>
        </c:ser>
        <c:dLbls>
          <c:showLegendKey val="0"/>
          <c:showVal val="1"/>
          <c:showCatName val="0"/>
          <c:showSerName val="0"/>
          <c:showPercent val="0"/>
          <c:showBubbleSize val="0"/>
        </c:dLbls>
        <c:marker val="1"/>
        <c:smooth val="0"/>
        <c:axId val="1403248768"/>
        <c:axId val="1403254752"/>
      </c:lineChart>
      <c:catAx>
        <c:axId val="140324876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54752"/>
        <c:crosses val="autoZero"/>
        <c:auto val="0"/>
        <c:lblAlgn val="ctr"/>
        <c:lblOffset val="100"/>
        <c:tickLblSkip val="1"/>
        <c:tickMarkSkip val="1"/>
        <c:noMultiLvlLbl val="0"/>
      </c:catAx>
      <c:valAx>
        <c:axId val="1403254752"/>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48768"/>
        <c:crosses val="autoZero"/>
        <c:crossBetween val="between"/>
      </c:valAx>
      <c:spPr>
        <a:solidFill>
          <a:srgbClr val="D4D4D4"/>
        </a:solidFill>
        <a:ln w="12700">
          <a:solidFill>
            <a:srgbClr val="C0C4C7"/>
          </a:solidFill>
          <a:prstDash val="solid"/>
        </a:ln>
      </c:spPr>
    </c:plotArea>
    <c:legend>
      <c:legendPos val="r"/>
      <c:layout>
        <c:manualLayout>
          <c:xMode val="edge"/>
          <c:yMode val="edge"/>
          <c:x val="0.18003913147220504"/>
          <c:y val="0.88339222614840984"/>
          <c:w val="0.44814083088098833"/>
          <c:h val="7.7738515901060123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HELADOS
Incapacitantes + DMR </a:t>
            </a:r>
          </a:p>
        </c:rich>
      </c:tx>
      <c:layout>
        <c:manualLayout>
          <c:xMode val="edge"/>
          <c:yMode val="edge"/>
          <c:x val="0.30921121701892534"/>
          <c:y val="1.8050541516245487E-2"/>
        </c:manualLayout>
      </c:layout>
      <c:overlay val="0"/>
      <c:spPr>
        <a:noFill/>
        <a:ln w="25400">
          <a:noFill/>
        </a:ln>
      </c:spPr>
    </c:title>
    <c:autoTitleDeleted val="0"/>
    <c:plotArea>
      <c:layout>
        <c:manualLayout>
          <c:layoutTarget val="inner"/>
          <c:xMode val="edge"/>
          <c:yMode val="edge"/>
          <c:x val="0.1074563704777671"/>
          <c:y val="0.22382710935227704"/>
          <c:w val="0.85526498951690488"/>
          <c:h val="0.58844869071647021"/>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4.5629493773843996E-2"/>
                  <c:y val="-4.52589062095698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CB-4097-9A19-8A0E129B2A3D}"/>
                </c:ext>
              </c:extLst>
            </c:dLbl>
            <c:dLbl>
              <c:idx val="1"/>
              <c:delete val="1"/>
              <c:extLst>
                <c:ext xmlns:c15="http://schemas.microsoft.com/office/drawing/2012/chart" uri="{CE6537A1-D6FC-4f65-9D91-7224C49458BB}"/>
                <c:ext xmlns:c16="http://schemas.microsoft.com/office/drawing/2014/chart" uri="{C3380CC4-5D6E-409C-BE32-E72D297353CC}">
                  <c16:uniqueId val="{00000001-79CB-4097-9A19-8A0E129B2A3D}"/>
                </c:ext>
              </c:extLst>
            </c:dLbl>
            <c:dLbl>
              <c:idx val="2"/>
              <c:layout>
                <c:manualLayout>
                  <c:x val="-4.3205614522261987E-2"/>
                  <c:y val="-5.25993020711277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CB-4097-9A19-8A0E129B2A3D}"/>
                </c:ext>
              </c:extLst>
            </c:dLbl>
            <c:dLbl>
              <c:idx val="4"/>
              <c:layout>
                <c:manualLayout>
                  <c:x val="-5.1746671033719646E-2"/>
                  <c:y val="-5.0974873543056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CB-4097-9A19-8A0E129B2A3D}"/>
                </c:ext>
              </c:extLst>
            </c:dLbl>
            <c:dLbl>
              <c:idx val="6"/>
              <c:layout>
                <c:manualLayout>
                  <c:x val="-1.6428214727401597E-2"/>
                  <c:y val="3.17684646152617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CB-4097-9A19-8A0E129B2A3D}"/>
                </c:ext>
              </c:extLst>
            </c:dLbl>
            <c:dLbl>
              <c:idx val="7"/>
              <c:layout>
                <c:manualLayout>
                  <c:x val="-8.8681344713961593E-2"/>
                  <c:y val="-3.09987910117821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CB-4097-9A19-8A0E129B2A3D}"/>
                </c:ext>
              </c:extLst>
            </c:dLbl>
            <c:dLbl>
              <c:idx val="8"/>
              <c:layout>
                <c:manualLayout>
                  <c:x val="-4.2513168459716984E-2"/>
                  <c:y val="2.52587816593156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9CB-4097-9A19-8A0E129B2A3D}"/>
                </c:ext>
              </c:extLst>
            </c:dLbl>
            <c:dLbl>
              <c:idx val="9"/>
              <c:layout>
                <c:manualLayout>
                  <c:x val="-5.3362658173267213E-2"/>
                  <c:y val="-5.49460541642265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CB-4097-9A19-8A0E129B2A3D}"/>
                </c:ext>
              </c:extLst>
            </c:dLbl>
            <c:dLbl>
              <c:idx val="10"/>
              <c:delete val="1"/>
              <c:extLst>
                <c:ext xmlns:c15="http://schemas.microsoft.com/office/drawing/2012/chart" uri="{CE6537A1-D6FC-4f65-9D91-7224C49458BB}"/>
                <c:ext xmlns:c16="http://schemas.microsoft.com/office/drawing/2014/chart" uri="{C3380CC4-5D6E-409C-BE32-E72D297353CC}">
                  <c16:uniqueId val="{00000008-79CB-4097-9A19-8A0E129B2A3D}"/>
                </c:ext>
              </c:extLst>
            </c:dLbl>
            <c:dLbl>
              <c:idx val="11"/>
              <c:layout>
                <c:manualLayout>
                  <c:x val="-9.6991509126443068E-2"/>
                  <c:y val="3.95786947855960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9CB-4097-9A19-8A0E129B2A3D}"/>
                </c:ext>
              </c:extLst>
            </c:dLbl>
            <c:dLbl>
              <c:idx val="12"/>
              <c:layout>
                <c:manualLayout>
                  <c:x val="-7.933216585609848E-2"/>
                  <c:y val="6.27436447878868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9CB-4097-9A19-8A0E129B2A3D}"/>
                </c:ext>
              </c:extLst>
            </c:dLbl>
            <c:dLbl>
              <c:idx val="13"/>
              <c:layout>
                <c:manualLayout>
                  <c:x val="-6.3865809738355692E-2"/>
                  <c:y val="-3.49701632895848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9CB-4097-9A19-8A0E129B2A3D}"/>
                </c:ext>
              </c:extLst>
            </c:dLbl>
            <c:dLbl>
              <c:idx val="14"/>
              <c:layout>
                <c:manualLayout>
                  <c:x val="-5.9364619618034672E-2"/>
                  <c:y val="4.78217619815540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9CB-4097-9A19-8A0E129B2A3D}"/>
                </c:ext>
              </c:extLst>
            </c:dLbl>
            <c:dLbl>
              <c:idx val="15"/>
              <c:layout>
                <c:manualLayout>
                  <c:x val="-4.3898263500292294E-2"/>
                  <c:y val="2.9651022119080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9CB-4097-9A19-8A0E129B2A3D}"/>
                </c:ext>
              </c:extLst>
            </c:dLbl>
            <c:dLbl>
              <c:idx val="16"/>
              <c:layout>
                <c:manualLayout>
                  <c:x val="-5.9133727519057523E-2"/>
                  <c:y val="-5.80898996337750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9CB-4097-9A19-8A0E129B2A3D}"/>
                </c:ext>
              </c:extLst>
            </c:dLbl>
            <c:dLbl>
              <c:idx val="17"/>
              <c:layout>
                <c:manualLayout>
                  <c:x val="-5.2439320011747913E-2"/>
                  <c:y val="4.23465067172889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9CB-4097-9A19-8A0E129B2A3D}"/>
                </c:ext>
              </c:extLst>
            </c:dLbl>
            <c:dLbl>
              <c:idx val="18"/>
              <c:layout>
                <c:manualLayout>
                  <c:x val="-3.7980511802954496E-2"/>
                  <c:y val="-5.80898996337750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9CB-4097-9A19-8A0E129B2A3D}"/>
                </c:ext>
              </c:extLst>
            </c:dLbl>
            <c:spPr>
              <a:noFill/>
              <a:ln w="25400">
                <a:noFill/>
              </a:ln>
            </c:spPr>
            <c:txPr>
              <a:bodyPr/>
              <a:lstStyle/>
              <a:p>
                <a:pPr>
                  <a:defRPr sz="9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Graficos!$B$75:$T$75</c:f>
              <c:strCache>
                <c:ptCount val="19"/>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pt idx="14">
                  <c:v>Mar-11</c:v>
                </c:pt>
                <c:pt idx="15">
                  <c:v>Abr-11</c:v>
                </c:pt>
                <c:pt idx="16">
                  <c:v>May-11</c:v>
                </c:pt>
                <c:pt idx="17">
                  <c:v>Jun-11</c:v>
                </c:pt>
                <c:pt idx="18">
                  <c:v>Jul-11</c:v>
                </c:pt>
              </c:strCache>
            </c:strRef>
          </c:cat>
          <c:val>
            <c:numRef>
              <c:f>Graficos!$B$80:$T$80</c:f>
              <c:numCache>
                <c:formatCode>#,##0.0</c:formatCode>
                <c:ptCount val="19"/>
                <c:pt idx="0">
                  <c:v>6.6</c:v>
                </c:pt>
                <c:pt idx="1">
                  <c:v>6.7</c:v>
                </c:pt>
                <c:pt idx="2">
                  <c:v>6.8</c:v>
                </c:pt>
                <c:pt idx="3">
                  <c:v>3.6</c:v>
                </c:pt>
                <c:pt idx="4">
                  <c:v>7.1</c:v>
                </c:pt>
                <c:pt idx="5">
                  <c:v>3.7</c:v>
                </c:pt>
                <c:pt idx="6">
                  <c:v>7.1</c:v>
                </c:pt>
                <c:pt idx="7">
                  <c:v>9.9</c:v>
                </c:pt>
                <c:pt idx="8">
                  <c:v>9.4</c:v>
                </c:pt>
                <c:pt idx="9">
                  <c:v>13.7</c:v>
                </c:pt>
                <c:pt idx="10">
                  <c:v>9.6</c:v>
                </c:pt>
                <c:pt idx="11">
                  <c:v>9.6</c:v>
                </c:pt>
                <c:pt idx="12" formatCode="General">
                  <c:v>10.1</c:v>
                </c:pt>
                <c:pt idx="13">
                  <c:v>10.5</c:v>
                </c:pt>
                <c:pt idx="14">
                  <c:v>10.9</c:v>
                </c:pt>
                <c:pt idx="15" formatCode="General">
                  <c:v>11.1</c:v>
                </c:pt>
                <c:pt idx="16" formatCode="0.0">
                  <c:v>4.7651675401933549</c:v>
                </c:pt>
                <c:pt idx="17" formatCode="0.0">
                  <c:v>11</c:v>
                </c:pt>
                <c:pt idx="18" formatCode="0.0">
                  <c:v>4.7651675401933549</c:v>
                </c:pt>
              </c:numCache>
            </c:numRef>
          </c:val>
          <c:smooth val="0"/>
          <c:extLst>
            <c:ext xmlns:c16="http://schemas.microsoft.com/office/drawing/2014/chart" uri="{C3380CC4-5D6E-409C-BE32-E72D297353CC}">
              <c16:uniqueId val="{00000011-79CB-4097-9A19-8A0E129B2A3D}"/>
            </c:ext>
          </c:extLst>
        </c:ser>
        <c:dLbls>
          <c:showLegendKey val="0"/>
          <c:showVal val="1"/>
          <c:showCatName val="0"/>
          <c:showSerName val="0"/>
          <c:showPercent val="0"/>
          <c:showBubbleSize val="0"/>
        </c:dLbls>
        <c:marker val="1"/>
        <c:smooth val="0"/>
        <c:axId val="1403277056"/>
        <c:axId val="1403262912"/>
      </c:lineChart>
      <c:catAx>
        <c:axId val="14032770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Arial"/>
                <a:ea typeface="Arial"/>
                <a:cs typeface="Arial"/>
              </a:defRPr>
            </a:pPr>
            <a:endParaRPr lang="es-PE"/>
          </a:p>
        </c:txPr>
        <c:crossAx val="1403262912"/>
        <c:crossesAt val="4"/>
        <c:auto val="0"/>
        <c:lblAlgn val="ctr"/>
        <c:lblOffset val="100"/>
        <c:tickLblSkip val="2"/>
        <c:tickMarkSkip val="1"/>
        <c:noMultiLvlLbl val="0"/>
      </c:catAx>
      <c:valAx>
        <c:axId val="1403262912"/>
        <c:scaling>
          <c:orientation val="minMax"/>
          <c:min val="4"/>
        </c:scaling>
        <c:delete val="0"/>
        <c:axPos val="l"/>
        <c:majorGridlines>
          <c:spPr>
            <a:ln w="3175">
              <a:solidFill>
                <a:srgbClr val="000000"/>
              </a:solidFill>
              <a:prstDash val="solid"/>
            </a:ln>
          </c:spPr>
        </c:majorGridlines>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7056"/>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00" verticalDpi="300"/>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ESTADISTICA MENSUAL ACCIDENTES HELADOS</a:t>
            </a:r>
          </a:p>
        </c:rich>
      </c:tx>
      <c:layout>
        <c:manualLayout>
          <c:xMode val="edge"/>
          <c:yMode val="edge"/>
          <c:x val="0.24395182457031594"/>
          <c:y val="1.6666666666666701E-2"/>
        </c:manualLayout>
      </c:layout>
      <c:overlay val="0"/>
      <c:spPr>
        <a:noFill/>
        <a:ln w="25400">
          <a:noFill/>
        </a:ln>
      </c:spPr>
    </c:title>
    <c:autoTitleDeleted val="0"/>
    <c:plotArea>
      <c:layout>
        <c:manualLayout>
          <c:layoutTarget val="inner"/>
          <c:xMode val="edge"/>
          <c:yMode val="edge"/>
          <c:x val="4.2338751357295534E-2"/>
          <c:y val="0.15666717665096574"/>
          <c:w val="0.91129121969035465"/>
          <c:h val="0.54666844618634824"/>
        </c:manualLayout>
      </c:layout>
      <c:lineChart>
        <c:grouping val="standard"/>
        <c:varyColors val="0"/>
        <c:ser>
          <c:idx val="1"/>
          <c:order val="0"/>
          <c:tx>
            <c:v>Menores</c:v>
          </c:tx>
          <c:spPr>
            <a:ln w="25400">
              <a:solidFill>
                <a:srgbClr val="008000"/>
              </a:solidFill>
              <a:prstDash val="solid"/>
            </a:ln>
          </c:spPr>
          <c:marker>
            <c:symbol val="circle"/>
            <c:size val="5"/>
            <c:spPr>
              <a:solidFill>
                <a:srgbClr val="008000"/>
              </a:solidFill>
              <a:ln>
                <a:solidFill>
                  <a:srgbClr val="008000"/>
                </a:solidFill>
                <a:prstDash val="solid"/>
              </a:ln>
            </c:spPr>
          </c:marker>
          <c:dLbls>
            <c:dLbl>
              <c:idx val="0"/>
              <c:delete val="1"/>
              <c:extLst>
                <c:ext xmlns:c15="http://schemas.microsoft.com/office/drawing/2012/chart" uri="{CE6537A1-D6FC-4f65-9D91-7224C49458BB}"/>
                <c:ext xmlns:c16="http://schemas.microsoft.com/office/drawing/2014/chart" uri="{C3380CC4-5D6E-409C-BE32-E72D297353CC}">
                  <c16:uniqueId val="{00000000-AD09-40CA-A60D-A7726426C651}"/>
                </c:ext>
              </c:extLst>
            </c:dLbl>
            <c:dLbl>
              <c:idx val="1"/>
              <c:delete val="1"/>
              <c:extLst>
                <c:ext xmlns:c15="http://schemas.microsoft.com/office/drawing/2012/chart" uri="{CE6537A1-D6FC-4f65-9D91-7224C49458BB}"/>
                <c:ext xmlns:c16="http://schemas.microsoft.com/office/drawing/2014/chart" uri="{C3380CC4-5D6E-409C-BE32-E72D297353CC}">
                  <c16:uniqueId val="{00000001-AD09-40CA-A60D-A7726426C651}"/>
                </c:ext>
              </c:extLst>
            </c:dLbl>
            <c:dLbl>
              <c:idx val="2"/>
              <c:delete val="1"/>
              <c:extLst>
                <c:ext xmlns:c15="http://schemas.microsoft.com/office/drawing/2012/chart" uri="{CE6537A1-D6FC-4f65-9D91-7224C49458BB}"/>
                <c:ext xmlns:c16="http://schemas.microsoft.com/office/drawing/2014/chart" uri="{C3380CC4-5D6E-409C-BE32-E72D297353CC}">
                  <c16:uniqueId val="{00000002-AD09-40CA-A60D-A7726426C651}"/>
                </c:ext>
              </c:extLst>
            </c:dLbl>
            <c:dLbl>
              <c:idx val="3"/>
              <c:delete val="1"/>
              <c:extLst>
                <c:ext xmlns:c15="http://schemas.microsoft.com/office/drawing/2012/chart" uri="{CE6537A1-D6FC-4f65-9D91-7224C49458BB}"/>
                <c:ext xmlns:c16="http://schemas.microsoft.com/office/drawing/2014/chart" uri="{C3380CC4-5D6E-409C-BE32-E72D297353CC}">
                  <c16:uniqueId val="{00000003-AD09-40CA-A60D-A7726426C651}"/>
                </c:ext>
              </c:extLst>
            </c:dLbl>
            <c:dLbl>
              <c:idx val="4"/>
              <c:delete val="1"/>
              <c:extLst>
                <c:ext xmlns:c15="http://schemas.microsoft.com/office/drawing/2012/chart" uri="{CE6537A1-D6FC-4f65-9D91-7224C49458BB}"/>
                <c:ext xmlns:c16="http://schemas.microsoft.com/office/drawing/2014/chart" uri="{C3380CC4-5D6E-409C-BE32-E72D297353CC}">
                  <c16:uniqueId val="{00000004-AD09-40CA-A60D-A7726426C651}"/>
                </c:ext>
              </c:extLst>
            </c:dLbl>
            <c:dLbl>
              <c:idx val="5"/>
              <c:delete val="1"/>
              <c:extLst>
                <c:ext xmlns:c15="http://schemas.microsoft.com/office/drawing/2012/chart" uri="{CE6537A1-D6FC-4f65-9D91-7224C49458BB}"/>
                <c:ext xmlns:c16="http://schemas.microsoft.com/office/drawing/2014/chart" uri="{C3380CC4-5D6E-409C-BE32-E72D297353CC}">
                  <c16:uniqueId val="{00000005-AD09-40CA-A60D-A7726426C651}"/>
                </c:ext>
              </c:extLst>
            </c:dLbl>
            <c:dLbl>
              <c:idx val="6"/>
              <c:delete val="1"/>
              <c:extLst>
                <c:ext xmlns:c15="http://schemas.microsoft.com/office/drawing/2012/chart" uri="{CE6537A1-D6FC-4f65-9D91-7224C49458BB}"/>
                <c:ext xmlns:c16="http://schemas.microsoft.com/office/drawing/2014/chart" uri="{C3380CC4-5D6E-409C-BE32-E72D297353CC}">
                  <c16:uniqueId val="{00000006-AD09-40CA-A60D-A7726426C651}"/>
                </c:ext>
              </c:extLst>
            </c:dLbl>
            <c:dLbl>
              <c:idx val="7"/>
              <c:delete val="1"/>
              <c:extLst>
                <c:ext xmlns:c15="http://schemas.microsoft.com/office/drawing/2012/chart" uri="{CE6537A1-D6FC-4f65-9D91-7224C49458BB}"/>
                <c:ext xmlns:c16="http://schemas.microsoft.com/office/drawing/2014/chart" uri="{C3380CC4-5D6E-409C-BE32-E72D297353CC}">
                  <c16:uniqueId val="{00000007-AD09-40CA-A60D-A7726426C651}"/>
                </c:ext>
              </c:extLst>
            </c:dLbl>
            <c:dLbl>
              <c:idx val="8"/>
              <c:delete val="1"/>
              <c:extLst>
                <c:ext xmlns:c15="http://schemas.microsoft.com/office/drawing/2012/chart" uri="{CE6537A1-D6FC-4f65-9D91-7224C49458BB}"/>
                <c:ext xmlns:c16="http://schemas.microsoft.com/office/drawing/2014/chart" uri="{C3380CC4-5D6E-409C-BE32-E72D297353CC}">
                  <c16:uniqueId val="{00000008-AD09-40CA-A60D-A7726426C651}"/>
                </c:ext>
              </c:extLst>
            </c:dLbl>
            <c:dLbl>
              <c:idx val="9"/>
              <c:delete val="1"/>
              <c:extLst>
                <c:ext xmlns:c15="http://schemas.microsoft.com/office/drawing/2012/chart" uri="{CE6537A1-D6FC-4f65-9D91-7224C49458BB}"/>
                <c:ext xmlns:c16="http://schemas.microsoft.com/office/drawing/2014/chart" uri="{C3380CC4-5D6E-409C-BE32-E72D297353CC}">
                  <c16:uniqueId val="{00000009-AD09-40CA-A60D-A7726426C651}"/>
                </c:ext>
              </c:extLst>
            </c:dLbl>
            <c:dLbl>
              <c:idx val="10"/>
              <c:delete val="1"/>
              <c:extLst>
                <c:ext xmlns:c15="http://schemas.microsoft.com/office/drawing/2012/chart" uri="{CE6537A1-D6FC-4f65-9D91-7224C49458BB}"/>
                <c:ext xmlns:c16="http://schemas.microsoft.com/office/drawing/2014/chart" uri="{C3380CC4-5D6E-409C-BE32-E72D297353CC}">
                  <c16:uniqueId val="{0000000A-AD09-40CA-A60D-A7726426C651}"/>
                </c:ext>
              </c:extLst>
            </c:dLbl>
            <c:dLbl>
              <c:idx val="11"/>
              <c:delete val="1"/>
              <c:extLst>
                <c:ext xmlns:c15="http://schemas.microsoft.com/office/drawing/2012/chart" uri="{CE6537A1-D6FC-4f65-9D91-7224C49458BB}"/>
                <c:ext xmlns:c16="http://schemas.microsoft.com/office/drawing/2014/chart" uri="{C3380CC4-5D6E-409C-BE32-E72D297353CC}">
                  <c16:uniqueId val="{0000000B-AD09-40CA-A60D-A7726426C651}"/>
                </c:ext>
              </c:extLst>
            </c:dLbl>
            <c:dLbl>
              <c:idx val="12"/>
              <c:delete val="1"/>
              <c:extLst>
                <c:ext xmlns:c15="http://schemas.microsoft.com/office/drawing/2012/chart" uri="{CE6537A1-D6FC-4f65-9D91-7224C49458BB}"/>
                <c:ext xmlns:c16="http://schemas.microsoft.com/office/drawing/2014/chart" uri="{C3380CC4-5D6E-409C-BE32-E72D297353CC}">
                  <c16:uniqueId val="{0000000C-AD09-40CA-A60D-A7726426C651}"/>
                </c:ext>
              </c:extLst>
            </c:dLbl>
            <c:dLbl>
              <c:idx val="13"/>
              <c:delete val="1"/>
              <c:extLst>
                <c:ext xmlns:c15="http://schemas.microsoft.com/office/drawing/2012/chart" uri="{CE6537A1-D6FC-4f65-9D91-7224C49458BB}"/>
                <c:ext xmlns:c16="http://schemas.microsoft.com/office/drawing/2014/chart" uri="{C3380CC4-5D6E-409C-BE32-E72D297353CC}">
                  <c16:uniqueId val="{0000000D-AD09-40CA-A60D-A7726426C651}"/>
                </c:ext>
              </c:extLst>
            </c:dLbl>
            <c:dLbl>
              <c:idx val="14"/>
              <c:delete val="1"/>
              <c:extLst>
                <c:ext xmlns:c15="http://schemas.microsoft.com/office/drawing/2012/chart" uri="{CE6537A1-D6FC-4f65-9D91-7224C49458BB}"/>
                <c:ext xmlns:c16="http://schemas.microsoft.com/office/drawing/2014/chart" uri="{C3380CC4-5D6E-409C-BE32-E72D297353CC}">
                  <c16:uniqueId val="{0000000E-AD09-40CA-A60D-A7726426C651}"/>
                </c:ext>
              </c:extLst>
            </c:dLbl>
            <c:dLbl>
              <c:idx val="15"/>
              <c:delete val="1"/>
              <c:extLst>
                <c:ext xmlns:c15="http://schemas.microsoft.com/office/drawing/2012/chart" uri="{CE6537A1-D6FC-4f65-9D91-7224C49458BB}"/>
                <c:ext xmlns:c16="http://schemas.microsoft.com/office/drawing/2014/chart" uri="{C3380CC4-5D6E-409C-BE32-E72D297353CC}">
                  <c16:uniqueId val="{0000000F-AD09-40CA-A60D-A7726426C651}"/>
                </c:ext>
              </c:extLst>
            </c:dLbl>
            <c:dLbl>
              <c:idx val="16"/>
              <c:delete val="1"/>
              <c:extLst>
                <c:ext xmlns:c15="http://schemas.microsoft.com/office/drawing/2012/chart" uri="{CE6537A1-D6FC-4f65-9D91-7224C49458BB}"/>
                <c:ext xmlns:c16="http://schemas.microsoft.com/office/drawing/2014/chart" uri="{C3380CC4-5D6E-409C-BE32-E72D297353CC}">
                  <c16:uniqueId val="{00000010-AD09-40CA-A60D-A7726426C651}"/>
                </c:ext>
              </c:extLst>
            </c:dLbl>
            <c:dLbl>
              <c:idx val="17"/>
              <c:layout>
                <c:manualLayout>
                  <c:x val="-3.4946227797666346E-2"/>
                  <c:y val="-2.2777809044397676E-2"/>
                </c:manualLayout>
              </c:layout>
              <c:tx>
                <c:rich>
                  <a:bodyPr/>
                  <a:lstStyle/>
                  <a:p>
                    <a:pPr>
                      <a:defRPr lang="es-PE" sz="1000" b="1" i="0" u="none" strike="noStrike" baseline="0">
                        <a:solidFill>
                          <a:srgbClr val="5BCB77"/>
                        </a:solidFill>
                        <a:latin typeface="Arial"/>
                        <a:ea typeface="Arial"/>
                        <a:cs typeface="Arial"/>
                      </a:defRPr>
                    </a:pPr>
                    <a:r>
                      <a:rPr lang="es-PE"/>
                      <a:t>1</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D09-40CA-A60D-A7726426C651}"/>
                </c:ext>
              </c:extLst>
            </c:dLbl>
            <c:dLbl>
              <c:idx val="18"/>
              <c:delete val="1"/>
              <c:extLst>
                <c:ext xmlns:c15="http://schemas.microsoft.com/office/drawing/2012/chart" uri="{CE6537A1-D6FC-4f65-9D91-7224C49458BB}"/>
                <c:ext xmlns:c16="http://schemas.microsoft.com/office/drawing/2014/chart" uri="{C3380CC4-5D6E-409C-BE32-E72D297353CC}">
                  <c16:uniqueId val="{00000012-AD09-40CA-A60D-A7726426C651}"/>
                </c:ext>
              </c:extLst>
            </c:dLbl>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Graficos!$B$75:$T$75</c:f>
              <c:strCache>
                <c:ptCount val="19"/>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pt idx="14">
                  <c:v>Mar-11</c:v>
                </c:pt>
                <c:pt idx="15">
                  <c:v>Abr-11</c:v>
                </c:pt>
                <c:pt idx="16">
                  <c:v>May-11</c:v>
                </c:pt>
                <c:pt idx="17">
                  <c:v>Jun-11</c:v>
                </c:pt>
                <c:pt idx="18">
                  <c:v>Jul-11</c:v>
                </c:pt>
              </c:strCache>
            </c:strRef>
          </c:cat>
          <c:val>
            <c:numRef>
              <c:f>Graficos!$B$78:$T$78</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0</c:v>
                </c:pt>
              </c:numCache>
            </c:numRef>
          </c:val>
          <c:smooth val="0"/>
          <c:extLst>
            <c:ext xmlns:c16="http://schemas.microsoft.com/office/drawing/2014/chart" uri="{C3380CC4-5D6E-409C-BE32-E72D297353CC}">
              <c16:uniqueId val="{00000013-AD09-40CA-A60D-A7726426C651}"/>
            </c:ext>
          </c:extLst>
        </c:ser>
        <c:ser>
          <c:idx val="0"/>
          <c:order val="1"/>
          <c:tx>
            <c:v>Incapacitantes</c:v>
          </c:tx>
          <c:spPr>
            <a:ln w="25400">
              <a:solidFill>
                <a:srgbClr val="FF3333"/>
              </a:solidFill>
              <a:prstDash val="solid"/>
            </a:ln>
          </c:spPr>
          <c:marker>
            <c:symbol val="circle"/>
            <c:size val="5"/>
            <c:spPr>
              <a:solidFill>
                <a:srgbClr val="FF3333"/>
              </a:solidFill>
              <a:ln>
                <a:solidFill>
                  <a:srgbClr val="FF3333"/>
                </a:solidFill>
                <a:prstDash val="solid"/>
              </a:ln>
            </c:spPr>
          </c:marker>
          <c:dLbls>
            <c:dLbl>
              <c:idx val="0"/>
              <c:delete val="1"/>
              <c:extLst>
                <c:ext xmlns:c15="http://schemas.microsoft.com/office/drawing/2012/chart" uri="{CE6537A1-D6FC-4f65-9D91-7224C49458BB}"/>
                <c:ext xmlns:c16="http://schemas.microsoft.com/office/drawing/2014/chart" uri="{C3380CC4-5D6E-409C-BE32-E72D297353CC}">
                  <c16:uniqueId val="{00000014-AD09-40CA-A60D-A7726426C651}"/>
                </c:ext>
              </c:extLst>
            </c:dLbl>
            <c:dLbl>
              <c:idx val="1"/>
              <c:delete val="1"/>
              <c:extLst>
                <c:ext xmlns:c15="http://schemas.microsoft.com/office/drawing/2012/chart" uri="{CE6537A1-D6FC-4f65-9D91-7224C49458BB}"/>
                <c:ext xmlns:c16="http://schemas.microsoft.com/office/drawing/2014/chart" uri="{C3380CC4-5D6E-409C-BE32-E72D297353CC}">
                  <c16:uniqueId val="{00000015-AD09-40CA-A60D-A7726426C651}"/>
                </c:ext>
              </c:extLst>
            </c:dLbl>
            <c:dLbl>
              <c:idx val="2"/>
              <c:delete val="1"/>
              <c:extLst>
                <c:ext xmlns:c15="http://schemas.microsoft.com/office/drawing/2012/chart" uri="{CE6537A1-D6FC-4f65-9D91-7224C49458BB}"/>
                <c:ext xmlns:c16="http://schemas.microsoft.com/office/drawing/2014/chart" uri="{C3380CC4-5D6E-409C-BE32-E72D297353CC}">
                  <c16:uniqueId val="{00000016-AD09-40CA-A60D-A7726426C651}"/>
                </c:ext>
              </c:extLst>
            </c:dLbl>
            <c:dLbl>
              <c:idx val="3"/>
              <c:delete val="1"/>
              <c:extLst>
                <c:ext xmlns:c15="http://schemas.microsoft.com/office/drawing/2012/chart" uri="{CE6537A1-D6FC-4f65-9D91-7224C49458BB}"/>
                <c:ext xmlns:c16="http://schemas.microsoft.com/office/drawing/2014/chart" uri="{C3380CC4-5D6E-409C-BE32-E72D297353CC}">
                  <c16:uniqueId val="{00000017-AD09-40CA-A60D-A7726426C651}"/>
                </c:ext>
              </c:extLst>
            </c:dLbl>
            <c:dLbl>
              <c:idx val="4"/>
              <c:delete val="1"/>
              <c:extLst>
                <c:ext xmlns:c15="http://schemas.microsoft.com/office/drawing/2012/chart" uri="{CE6537A1-D6FC-4f65-9D91-7224C49458BB}"/>
                <c:ext xmlns:c16="http://schemas.microsoft.com/office/drawing/2014/chart" uri="{C3380CC4-5D6E-409C-BE32-E72D297353CC}">
                  <c16:uniqueId val="{00000018-AD09-40CA-A60D-A7726426C651}"/>
                </c:ext>
              </c:extLst>
            </c:dLbl>
            <c:dLbl>
              <c:idx val="5"/>
              <c:delete val="1"/>
              <c:extLst>
                <c:ext xmlns:c15="http://schemas.microsoft.com/office/drawing/2012/chart" uri="{CE6537A1-D6FC-4f65-9D91-7224C49458BB}"/>
                <c:ext xmlns:c16="http://schemas.microsoft.com/office/drawing/2014/chart" uri="{C3380CC4-5D6E-409C-BE32-E72D297353CC}">
                  <c16:uniqueId val="{00000019-AD09-40CA-A60D-A7726426C651}"/>
                </c:ext>
              </c:extLst>
            </c:dLbl>
            <c:dLbl>
              <c:idx val="6"/>
              <c:layout>
                <c:manualLayout>
                  <c:x val="-2.8897723720936536E-2"/>
                  <c:y val="-5.09889411737426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D09-40CA-A60D-A7726426C651}"/>
                </c:ext>
              </c:extLst>
            </c:dLbl>
            <c:dLbl>
              <c:idx val="7"/>
              <c:layout>
                <c:manualLayout>
                  <c:x val="-2.6881756736868642E-2"/>
                  <c:y val="-5.09889411737426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AD09-40CA-A60D-A7726426C651}"/>
                </c:ext>
              </c:extLst>
            </c:dLbl>
            <c:dLbl>
              <c:idx val="8"/>
              <c:delete val="1"/>
              <c:extLst>
                <c:ext xmlns:c15="http://schemas.microsoft.com/office/drawing/2012/chart" uri="{CE6537A1-D6FC-4f65-9D91-7224C49458BB}"/>
                <c:ext xmlns:c16="http://schemas.microsoft.com/office/drawing/2014/chart" uri="{C3380CC4-5D6E-409C-BE32-E72D297353CC}">
                  <c16:uniqueId val="{0000001C-AD09-40CA-A60D-A7726426C651}"/>
                </c:ext>
              </c:extLst>
            </c:dLbl>
            <c:dLbl>
              <c:idx val="9"/>
              <c:layout>
                <c:manualLayout>
                  <c:x val="-2.4865530451566881E-2"/>
                  <c:y val="-4.76555969896795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AD09-40CA-A60D-A7726426C651}"/>
                </c:ext>
              </c:extLst>
            </c:dLbl>
            <c:dLbl>
              <c:idx val="10"/>
              <c:delete val="1"/>
              <c:extLst>
                <c:ext xmlns:c15="http://schemas.microsoft.com/office/drawing/2012/chart" uri="{CE6537A1-D6FC-4f65-9D91-7224C49458BB}"/>
                <c:ext xmlns:c16="http://schemas.microsoft.com/office/drawing/2014/chart" uri="{C3380CC4-5D6E-409C-BE32-E72D297353CC}">
                  <c16:uniqueId val="{0000001E-AD09-40CA-A60D-A7726426C651}"/>
                </c:ext>
              </c:extLst>
            </c:dLbl>
            <c:dLbl>
              <c:idx val="11"/>
              <c:delete val="1"/>
              <c:extLst>
                <c:ext xmlns:c15="http://schemas.microsoft.com/office/drawing/2012/chart" uri="{CE6537A1-D6FC-4f65-9D91-7224C49458BB}"/>
                <c:ext xmlns:c16="http://schemas.microsoft.com/office/drawing/2014/chart" uri="{C3380CC4-5D6E-409C-BE32-E72D297353CC}">
                  <c16:uniqueId val="{0000001F-AD09-40CA-A60D-A7726426C651}"/>
                </c:ext>
              </c:extLst>
            </c:dLbl>
            <c:dLbl>
              <c:idx val="12"/>
              <c:delete val="1"/>
              <c:extLst>
                <c:ext xmlns:c15="http://schemas.microsoft.com/office/drawing/2012/chart" uri="{CE6537A1-D6FC-4f65-9D91-7224C49458BB}"/>
                <c:ext xmlns:c16="http://schemas.microsoft.com/office/drawing/2014/chart" uri="{C3380CC4-5D6E-409C-BE32-E72D297353CC}">
                  <c16:uniqueId val="{00000020-AD09-40CA-A60D-A7726426C651}"/>
                </c:ext>
              </c:extLst>
            </c:dLbl>
            <c:dLbl>
              <c:idx val="13"/>
              <c:delete val="1"/>
              <c:extLst>
                <c:ext xmlns:c15="http://schemas.microsoft.com/office/drawing/2012/chart" uri="{CE6537A1-D6FC-4f65-9D91-7224C49458BB}"/>
                <c:ext xmlns:c16="http://schemas.microsoft.com/office/drawing/2014/chart" uri="{C3380CC4-5D6E-409C-BE32-E72D297353CC}">
                  <c16:uniqueId val="{00000021-AD09-40CA-A60D-A7726426C651}"/>
                </c:ext>
              </c:extLst>
            </c:dLbl>
            <c:dLbl>
              <c:idx val="14"/>
              <c:delete val="1"/>
              <c:extLst>
                <c:ext xmlns:c15="http://schemas.microsoft.com/office/drawing/2012/chart" uri="{CE6537A1-D6FC-4f65-9D91-7224C49458BB}"/>
                <c:ext xmlns:c16="http://schemas.microsoft.com/office/drawing/2014/chart" uri="{C3380CC4-5D6E-409C-BE32-E72D297353CC}">
                  <c16:uniqueId val="{00000022-AD09-40CA-A60D-A7726426C651}"/>
                </c:ext>
              </c:extLst>
            </c:dLbl>
            <c:dLbl>
              <c:idx val="15"/>
              <c:delete val="1"/>
              <c:extLst>
                <c:ext xmlns:c15="http://schemas.microsoft.com/office/drawing/2012/chart" uri="{CE6537A1-D6FC-4f65-9D91-7224C49458BB}"/>
                <c:ext xmlns:c16="http://schemas.microsoft.com/office/drawing/2014/chart" uri="{C3380CC4-5D6E-409C-BE32-E72D297353CC}">
                  <c16:uniqueId val="{00000023-AD09-40CA-A60D-A7726426C651}"/>
                </c:ext>
              </c:extLst>
            </c:dLbl>
            <c:dLbl>
              <c:idx val="16"/>
              <c:delete val="1"/>
              <c:extLst>
                <c:ext xmlns:c15="http://schemas.microsoft.com/office/drawing/2012/chart" uri="{CE6537A1-D6FC-4f65-9D91-7224C49458BB}"/>
                <c:ext xmlns:c16="http://schemas.microsoft.com/office/drawing/2014/chart" uri="{C3380CC4-5D6E-409C-BE32-E72D297353CC}">
                  <c16:uniqueId val="{00000024-AD09-40CA-A60D-A7726426C651}"/>
                </c:ext>
              </c:extLst>
            </c:dLbl>
            <c:dLbl>
              <c:idx val="17"/>
              <c:delete val="1"/>
              <c:extLst>
                <c:ext xmlns:c15="http://schemas.microsoft.com/office/drawing/2012/chart" uri="{CE6537A1-D6FC-4f65-9D91-7224C49458BB}"/>
                <c:ext xmlns:c16="http://schemas.microsoft.com/office/drawing/2014/chart" uri="{C3380CC4-5D6E-409C-BE32-E72D297353CC}">
                  <c16:uniqueId val="{00000025-AD09-40CA-A60D-A7726426C651}"/>
                </c:ext>
              </c:extLst>
            </c:dLbl>
            <c:spPr>
              <a:noFill/>
              <a:ln w="25400">
                <a:noFill/>
              </a:ln>
            </c:spPr>
            <c:txPr>
              <a:bodyPr/>
              <a:lstStyle/>
              <a:p>
                <a:pPr>
                  <a:defRPr sz="1200" b="1" i="0" u="none" strike="noStrike" baseline="0">
                    <a:solidFill>
                      <a:srgbClr val="FF3333"/>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Graficos!$B$75:$T$75</c:f>
              <c:strCache>
                <c:ptCount val="19"/>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pt idx="14">
                  <c:v>Mar-11</c:v>
                </c:pt>
                <c:pt idx="15">
                  <c:v>Abr-11</c:v>
                </c:pt>
                <c:pt idx="16">
                  <c:v>May-11</c:v>
                </c:pt>
                <c:pt idx="17">
                  <c:v>Jun-11</c:v>
                </c:pt>
                <c:pt idx="18">
                  <c:v>Jul-11</c:v>
                </c:pt>
              </c:strCache>
            </c:strRef>
          </c:cat>
          <c:val>
            <c:numRef>
              <c:f>Graficos!$B$76:$T$76</c:f>
              <c:numCache>
                <c:formatCode>General</c:formatCode>
                <c:ptCount val="19"/>
                <c:pt idx="0">
                  <c:v>0</c:v>
                </c:pt>
                <c:pt idx="1">
                  <c:v>0</c:v>
                </c:pt>
                <c:pt idx="2">
                  <c:v>0</c:v>
                </c:pt>
                <c:pt idx="3">
                  <c:v>0</c:v>
                </c:pt>
                <c:pt idx="4">
                  <c:v>0</c:v>
                </c:pt>
                <c:pt idx="5">
                  <c:v>0</c:v>
                </c:pt>
                <c:pt idx="6">
                  <c:v>1</c:v>
                </c:pt>
                <c:pt idx="7">
                  <c:v>1</c:v>
                </c:pt>
                <c:pt idx="8">
                  <c:v>0</c:v>
                </c:pt>
                <c:pt idx="9">
                  <c:v>1</c:v>
                </c:pt>
                <c:pt idx="10">
                  <c:v>0</c:v>
                </c:pt>
                <c:pt idx="11">
                  <c:v>0</c:v>
                </c:pt>
                <c:pt idx="12">
                  <c:v>0</c:v>
                </c:pt>
                <c:pt idx="13">
                  <c:v>0</c:v>
                </c:pt>
                <c:pt idx="14">
                  <c:v>0</c:v>
                </c:pt>
                <c:pt idx="15">
                  <c:v>0</c:v>
                </c:pt>
                <c:pt idx="16">
                  <c:v>0</c:v>
                </c:pt>
                <c:pt idx="17">
                  <c:v>0</c:v>
                </c:pt>
                <c:pt idx="18">
                  <c:v>1</c:v>
                </c:pt>
              </c:numCache>
            </c:numRef>
          </c:val>
          <c:smooth val="0"/>
          <c:extLst>
            <c:ext xmlns:c16="http://schemas.microsoft.com/office/drawing/2014/chart" uri="{C3380CC4-5D6E-409C-BE32-E72D297353CC}">
              <c16:uniqueId val="{00000026-AD09-40CA-A60D-A7726426C651}"/>
            </c:ext>
          </c:extLst>
        </c:ser>
        <c:dLbls>
          <c:showLegendKey val="0"/>
          <c:showVal val="1"/>
          <c:showCatName val="0"/>
          <c:showSerName val="0"/>
          <c:showPercent val="0"/>
          <c:showBubbleSize val="0"/>
        </c:dLbls>
        <c:marker val="1"/>
        <c:smooth val="0"/>
        <c:axId val="1403260736"/>
        <c:axId val="1403263456"/>
      </c:lineChart>
      <c:catAx>
        <c:axId val="14032607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3456"/>
        <c:crosses val="autoZero"/>
        <c:auto val="0"/>
        <c:lblAlgn val="ctr"/>
        <c:lblOffset val="100"/>
        <c:tickLblSkip val="1"/>
        <c:tickMarkSkip val="1"/>
        <c:noMultiLvlLbl val="0"/>
      </c:catAx>
      <c:valAx>
        <c:axId val="1403263456"/>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0736"/>
        <c:crosses val="autoZero"/>
        <c:crossBetween val="between"/>
        <c:majorUnit val="1"/>
      </c:valAx>
      <c:spPr>
        <a:solidFill>
          <a:srgbClr val="D4D4D4"/>
        </a:solidFill>
        <a:ln w="3175">
          <a:solidFill>
            <a:srgbClr val="000000"/>
          </a:solidFill>
          <a:prstDash val="solid"/>
        </a:ln>
      </c:spPr>
    </c:plotArea>
    <c:legend>
      <c:legendPos val="r"/>
      <c:layout>
        <c:manualLayout>
          <c:xMode val="edge"/>
          <c:yMode val="edge"/>
          <c:x val="1.0080645161290319E-2"/>
          <c:y val="0.77666666666666662"/>
          <c:w val="0.66935483870968282"/>
          <c:h val="7.3333333333334069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Estadistica Mensual de ACCIDENTES INCAPACITANTES+DMR  Alicorp + Molinca </a:t>
            </a:r>
          </a:p>
        </c:rich>
      </c:tx>
      <c:layout>
        <c:manualLayout>
          <c:xMode val="edge"/>
          <c:yMode val="edge"/>
          <c:x val="0.16088344726140041"/>
          <c:y val="1.358695652173913E-2"/>
        </c:manualLayout>
      </c:layout>
      <c:overlay val="0"/>
      <c:spPr>
        <a:noFill/>
        <a:ln w="25400">
          <a:noFill/>
        </a:ln>
      </c:spPr>
    </c:title>
    <c:autoTitleDeleted val="0"/>
    <c:plotArea>
      <c:layout>
        <c:manualLayout>
          <c:layoutTarget val="inner"/>
          <c:xMode val="edge"/>
          <c:yMode val="edge"/>
          <c:x val="4.2586783587268022E-2"/>
          <c:y val="8.9673913043478257E-2"/>
          <c:w val="0.92429093267183748"/>
          <c:h val="0.75543478260871277"/>
        </c:manualLayout>
      </c:layout>
      <c:lineChart>
        <c:grouping val="standard"/>
        <c:varyColors val="0"/>
        <c:ser>
          <c:idx val="2"/>
          <c:order val="0"/>
          <c:tx>
            <c:v>2009</c:v>
          </c:tx>
          <c:spPr>
            <a:ln w="38100">
              <a:solidFill>
                <a:srgbClr val="60ED84"/>
              </a:solidFill>
              <a:prstDash val="solid"/>
            </a:ln>
          </c:spPr>
          <c:marker>
            <c:symbol val="circle"/>
            <c:size val="5"/>
            <c:spPr>
              <a:solidFill>
                <a:srgbClr val="60ED84"/>
              </a:solidFill>
              <a:ln>
                <a:solidFill>
                  <a:srgbClr val="60ED84"/>
                </a:solidFill>
                <a:prstDash val="solid"/>
              </a:ln>
            </c:spPr>
          </c:marker>
          <c:dLbls>
            <c:delete val="1"/>
          </c:dLbls>
          <c:cat>
            <c:strRef>
              <c:f>Graficos!$B$2:$M$2</c:f>
              <c:strCache>
                <c:ptCount val="12"/>
                <c:pt idx="0">
                  <c:v>Ene </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Graficos!$B$9:$M$9</c:f>
              <c:numCache>
                <c:formatCode>General</c:formatCode>
                <c:ptCount val="12"/>
                <c:pt idx="0">
                  <c:v>8</c:v>
                </c:pt>
                <c:pt idx="1">
                  <c:v>4</c:v>
                </c:pt>
                <c:pt idx="2">
                  <c:v>2</c:v>
                </c:pt>
                <c:pt idx="3">
                  <c:v>3</c:v>
                </c:pt>
                <c:pt idx="4">
                  <c:v>6</c:v>
                </c:pt>
                <c:pt idx="5">
                  <c:v>5</c:v>
                </c:pt>
                <c:pt idx="6">
                  <c:v>3</c:v>
                </c:pt>
                <c:pt idx="7">
                  <c:v>5</c:v>
                </c:pt>
                <c:pt idx="8">
                  <c:v>2</c:v>
                </c:pt>
                <c:pt idx="9">
                  <c:v>6</c:v>
                </c:pt>
                <c:pt idx="10">
                  <c:v>5</c:v>
                </c:pt>
                <c:pt idx="11">
                  <c:v>3</c:v>
                </c:pt>
              </c:numCache>
            </c:numRef>
          </c:val>
          <c:smooth val="0"/>
          <c:extLst>
            <c:ext xmlns:c16="http://schemas.microsoft.com/office/drawing/2014/chart" uri="{C3380CC4-5D6E-409C-BE32-E72D297353CC}">
              <c16:uniqueId val="{00000000-66F1-432B-8EA8-8486C7D16298}"/>
            </c:ext>
          </c:extLst>
        </c:ser>
        <c:ser>
          <c:idx val="0"/>
          <c:order val="1"/>
          <c:tx>
            <c:v>2010</c:v>
          </c:tx>
          <c:spPr>
            <a:ln w="38100">
              <a:solidFill>
                <a:srgbClr val="FF3333"/>
              </a:solidFill>
              <a:prstDash val="solid"/>
            </a:ln>
          </c:spPr>
          <c:marker>
            <c:symbol val="circle"/>
            <c:size val="5"/>
            <c:spPr>
              <a:solidFill>
                <a:srgbClr val="FF3333"/>
              </a:solidFill>
              <a:ln>
                <a:solidFill>
                  <a:srgbClr val="FF3333"/>
                </a:solidFill>
                <a:prstDash val="solid"/>
              </a:ln>
            </c:spPr>
          </c:marker>
          <c:dLbls>
            <c:delete val="1"/>
          </c:dLbls>
          <c:cat>
            <c:strRef>
              <c:f>Graficos!$B$2:$M$2</c:f>
              <c:strCache>
                <c:ptCount val="12"/>
                <c:pt idx="0">
                  <c:v>Ene </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Graficos!$B$10:$M$10</c:f>
              <c:numCache>
                <c:formatCode>General</c:formatCode>
                <c:ptCount val="12"/>
                <c:pt idx="0">
                  <c:v>7</c:v>
                </c:pt>
                <c:pt idx="1">
                  <c:v>4</c:v>
                </c:pt>
                <c:pt idx="2">
                  <c:v>5</c:v>
                </c:pt>
                <c:pt idx="3">
                  <c:v>5</c:v>
                </c:pt>
                <c:pt idx="4">
                  <c:v>2</c:v>
                </c:pt>
                <c:pt idx="5">
                  <c:v>5</c:v>
                </c:pt>
                <c:pt idx="6">
                  <c:v>6</c:v>
                </c:pt>
                <c:pt idx="7">
                  <c:v>8</c:v>
                </c:pt>
                <c:pt idx="8">
                  <c:v>3</c:v>
                </c:pt>
                <c:pt idx="9">
                  <c:v>8</c:v>
                </c:pt>
                <c:pt idx="10">
                  <c:v>0</c:v>
                </c:pt>
                <c:pt idx="11">
                  <c:v>6</c:v>
                </c:pt>
              </c:numCache>
            </c:numRef>
          </c:val>
          <c:smooth val="0"/>
          <c:extLst>
            <c:ext xmlns:c16="http://schemas.microsoft.com/office/drawing/2014/chart" uri="{C3380CC4-5D6E-409C-BE32-E72D297353CC}">
              <c16:uniqueId val="{00000001-66F1-432B-8EA8-8486C7D16298}"/>
            </c:ext>
          </c:extLst>
        </c:ser>
        <c:ser>
          <c:idx val="1"/>
          <c:order val="2"/>
          <c:tx>
            <c:v>2011</c:v>
          </c:tx>
          <c:spPr>
            <a:ln w="38100">
              <a:solidFill>
                <a:srgbClr val="0000FF"/>
              </a:solidFill>
              <a:prstDash val="solid"/>
            </a:ln>
          </c:spPr>
          <c:marker>
            <c:symbol val="circle"/>
            <c:size val="5"/>
            <c:spPr>
              <a:solidFill>
                <a:srgbClr val="0000FF"/>
              </a:solidFill>
              <a:ln>
                <a:solidFill>
                  <a:srgbClr val="0000FF"/>
                </a:solidFill>
                <a:prstDash val="solid"/>
              </a:ln>
            </c:spPr>
          </c:marker>
          <c:dLbls>
            <c:delete val="1"/>
          </c:dLbls>
          <c:cat>
            <c:strRef>
              <c:f>Graficos!$B$2:$M$2</c:f>
              <c:strCache>
                <c:ptCount val="12"/>
                <c:pt idx="0">
                  <c:v>Ene </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Graficos!$N$10:$Y$10</c:f>
              <c:numCache>
                <c:formatCode>General</c:formatCode>
                <c:ptCount val="12"/>
                <c:pt idx="0">
                  <c:v>5</c:v>
                </c:pt>
                <c:pt idx="1">
                  <c:v>3</c:v>
                </c:pt>
                <c:pt idx="2">
                  <c:v>6</c:v>
                </c:pt>
                <c:pt idx="3">
                  <c:v>4</c:v>
                </c:pt>
                <c:pt idx="4">
                  <c:v>5</c:v>
                </c:pt>
                <c:pt idx="5">
                  <c:v>6</c:v>
                </c:pt>
                <c:pt idx="6">
                  <c:v>9</c:v>
                </c:pt>
                <c:pt idx="7">
                  <c:v>6</c:v>
                </c:pt>
                <c:pt idx="8">
                  <c:v>4</c:v>
                </c:pt>
                <c:pt idx="9">
                  <c:v>2</c:v>
                </c:pt>
                <c:pt idx="10">
                  <c:v>3</c:v>
                </c:pt>
                <c:pt idx="11">
                  <c:v>3</c:v>
                </c:pt>
              </c:numCache>
            </c:numRef>
          </c:val>
          <c:smooth val="0"/>
          <c:extLst>
            <c:ext xmlns:c16="http://schemas.microsoft.com/office/drawing/2014/chart" uri="{C3380CC4-5D6E-409C-BE32-E72D297353CC}">
              <c16:uniqueId val="{00000002-66F1-432B-8EA8-8486C7D16298}"/>
            </c:ext>
          </c:extLst>
        </c:ser>
        <c:ser>
          <c:idx val="3"/>
          <c:order val="3"/>
          <c:tx>
            <c:v>2012</c:v>
          </c:tx>
          <c:spPr>
            <a:ln>
              <a:solidFill>
                <a:schemeClr val="tx1"/>
              </a:solidFill>
            </a:ln>
          </c:spPr>
          <c:marker>
            <c:symbol val="circle"/>
            <c:size val="7"/>
            <c:spPr>
              <a:solidFill>
                <a:schemeClr val="tx1"/>
              </a:solidFill>
            </c:spPr>
          </c:marker>
          <c:dLbls>
            <c:dLbl>
              <c:idx val="0"/>
              <c:layout>
                <c:manualLayout>
                  <c:x val="-2.9442628086472012E-2"/>
                  <c:y val="4.12757243708722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F1-432B-8EA8-8486C7D16298}"/>
                </c:ext>
              </c:extLst>
            </c:dLbl>
            <c:dLbl>
              <c:idx val="1"/>
              <c:layout>
                <c:manualLayout>
                  <c:x val="-1.4098669709490634E-2"/>
                  <c:y val="4.58694657321993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F1-432B-8EA8-8486C7D16298}"/>
                </c:ext>
              </c:extLst>
            </c:dLbl>
            <c:dLbl>
              <c:idx val="2"/>
              <c:layout>
                <c:manualLayout>
                  <c:x val="-2.2021714797985446E-2"/>
                  <c:y val="6.6379853046736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F1-432B-8EA8-8486C7D16298}"/>
                </c:ext>
              </c:extLst>
            </c:dLbl>
            <c:dLbl>
              <c:idx val="3"/>
              <c:layout>
                <c:manualLayout>
                  <c:x val="-2.5692000597649655E-2"/>
                  <c:y val="5.16287745919061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6F1-432B-8EA8-8486C7D16298}"/>
                </c:ext>
              </c:extLst>
            </c:dLbl>
            <c:dLbl>
              <c:idx val="4"/>
              <c:layout>
                <c:manualLayout>
                  <c:x val="-1.835142899832122E-2"/>
                  <c:y val="5.53165442056141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6F1-432B-8EA8-8486C7D16298}"/>
                </c:ext>
              </c:extLst>
            </c:dLbl>
            <c:dLbl>
              <c:idx val="5"/>
              <c:layout>
                <c:manualLayout>
                  <c:x val="-3.4867715096810296E-2"/>
                  <c:y val="-3.31899265233682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6F1-432B-8EA8-8486C7D16298}"/>
                </c:ext>
              </c:extLst>
            </c:dLbl>
            <c:dLbl>
              <c:idx val="6"/>
              <c:layout>
                <c:manualLayout>
                  <c:x val="-2.197802197802191E-2"/>
                  <c:y val="4.34782608695652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6F1-432B-8EA8-8486C7D16298}"/>
                </c:ext>
              </c:extLst>
            </c:dLbl>
            <c:dLbl>
              <c:idx val="7"/>
              <c:layout>
                <c:manualLayout>
                  <c:x val="-2.197802197802199E-2"/>
                  <c:y val="-3.2608695652174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6F1-432B-8EA8-8486C7D16298}"/>
                </c:ext>
              </c:extLst>
            </c:dLbl>
            <c:dLbl>
              <c:idx val="8"/>
              <c:layout>
                <c:manualLayout>
                  <c:x val="-2.197802197802199E-2"/>
                  <c:y val="3.2608695652174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6F1-432B-8EA8-8486C7D16298}"/>
                </c:ext>
              </c:extLst>
            </c:dLbl>
            <c:dLbl>
              <c:idx val="9"/>
              <c:layout>
                <c:manualLayout>
                  <c:x val="-2.197802197802199E-2"/>
                  <c:y val="3.6231884057971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6F1-432B-8EA8-8486C7D16298}"/>
                </c:ext>
              </c:extLst>
            </c:dLbl>
            <c:spPr>
              <a:noFill/>
              <a:ln w="25400">
                <a:noFill/>
              </a:ln>
            </c:spPr>
            <c:txPr>
              <a:bodyPr/>
              <a:lstStyle/>
              <a:p>
                <a:pPr>
                  <a:defRPr b="1">
                    <a:solidFill>
                      <a:schemeClr val="tx1"/>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Graficos!$Z$10:$AK$10</c:f>
              <c:numCache>
                <c:formatCode>General</c:formatCode>
                <c:ptCount val="12"/>
                <c:pt idx="0">
                  <c:v>5</c:v>
                </c:pt>
                <c:pt idx="1">
                  <c:v>1</c:v>
                </c:pt>
                <c:pt idx="2">
                  <c:v>5</c:v>
                </c:pt>
                <c:pt idx="3">
                  <c:v>2</c:v>
                </c:pt>
                <c:pt idx="4">
                  <c:v>4</c:v>
                </c:pt>
                <c:pt idx="5">
                  <c:v>7</c:v>
                </c:pt>
                <c:pt idx="6">
                  <c:v>3</c:v>
                </c:pt>
                <c:pt idx="7">
                  <c:v>7</c:v>
                </c:pt>
                <c:pt idx="8">
                  <c:v>3</c:v>
                </c:pt>
                <c:pt idx="9">
                  <c:v>3</c:v>
                </c:pt>
                <c:pt idx="10">
                  <c:v>8</c:v>
                </c:pt>
                <c:pt idx="11">
                  <c:v>3</c:v>
                </c:pt>
              </c:numCache>
            </c:numRef>
          </c:val>
          <c:smooth val="0"/>
          <c:extLst>
            <c:ext xmlns:c16="http://schemas.microsoft.com/office/drawing/2014/chart" uri="{C3380CC4-5D6E-409C-BE32-E72D297353CC}">
              <c16:uniqueId val="{0000000D-66F1-432B-8EA8-8486C7D16298}"/>
            </c:ext>
          </c:extLst>
        </c:ser>
        <c:dLbls>
          <c:showLegendKey val="0"/>
          <c:showVal val="1"/>
          <c:showCatName val="0"/>
          <c:showSerName val="0"/>
          <c:showPercent val="0"/>
          <c:showBubbleSize val="0"/>
        </c:dLbls>
        <c:marker val="1"/>
        <c:smooth val="0"/>
        <c:axId val="1403279776"/>
        <c:axId val="1403274880"/>
      </c:lineChart>
      <c:catAx>
        <c:axId val="14032797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4880"/>
        <c:crosses val="autoZero"/>
        <c:auto val="0"/>
        <c:lblAlgn val="ctr"/>
        <c:lblOffset val="100"/>
        <c:tickLblSkip val="1"/>
        <c:tickMarkSkip val="1"/>
        <c:noMultiLvlLbl val="0"/>
      </c:catAx>
      <c:valAx>
        <c:axId val="1403274880"/>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9776"/>
        <c:crosses val="autoZero"/>
        <c:crossBetween val="between"/>
        <c:majorUnit val="1"/>
      </c:valAx>
      <c:spPr>
        <a:solidFill>
          <a:srgbClr val="FFFFFF"/>
        </a:solidFill>
        <a:ln w="3175">
          <a:solidFill>
            <a:srgbClr val="000000"/>
          </a:solidFill>
          <a:prstDash val="solid"/>
        </a:ln>
      </c:spPr>
    </c:plotArea>
    <c:legend>
      <c:legendPos val="r"/>
      <c:layout>
        <c:manualLayout>
          <c:xMode val="edge"/>
          <c:yMode val="edge"/>
          <c:x val="0.24313186813186821"/>
          <c:y val="0.92391304347826086"/>
          <c:w val="0.59752747252747263"/>
          <c:h val="6.7934782608695704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orientation="landscape" horizontalDpi="300"/>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Estadistica Mensual de Accidentes Instantaneos</a:t>
            </a:r>
          </a:p>
        </c:rich>
      </c:tx>
      <c:layout>
        <c:manualLayout>
          <c:xMode val="edge"/>
          <c:yMode val="edge"/>
          <c:x val="0.18352941176470591"/>
          <c:y val="4.1841004184100396E-2"/>
        </c:manualLayout>
      </c:layout>
      <c:overlay val="0"/>
      <c:spPr>
        <a:noFill/>
        <a:ln w="25400">
          <a:noFill/>
        </a:ln>
      </c:spPr>
    </c:title>
    <c:autoTitleDeleted val="0"/>
    <c:plotArea>
      <c:layout>
        <c:manualLayout>
          <c:layoutTarget val="inner"/>
          <c:xMode val="edge"/>
          <c:yMode val="edge"/>
          <c:x val="8.4705882352945266E-2"/>
          <c:y val="0.25941422594142288"/>
          <c:w val="0.86588235294118165"/>
          <c:h val="0.45188284518829597"/>
        </c:manualLayout>
      </c:layout>
      <c:barChart>
        <c:barDir val="col"/>
        <c:grouping val="clustered"/>
        <c:varyColors val="0"/>
        <c:ser>
          <c:idx val="1"/>
          <c:order val="0"/>
          <c:tx>
            <c:v>Incapacitante</c:v>
          </c:tx>
          <c:spPr>
            <a:solidFill>
              <a:srgbClr val="FF3333"/>
            </a:solidFill>
            <a:ln w="12700">
              <a:solidFill>
                <a:srgbClr val="FF3333"/>
              </a:solidFill>
              <a:prstDash val="solid"/>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DD47-4C3B-9F03-E4D00F909943}"/>
                </c:ext>
              </c:extLst>
            </c:dLbl>
            <c:dLbl>
              <c:idx val="6"/>
              <c:delete val="1"/>
              <c:extLst>
                <c:ext xmlns:c15="http://schemas.microsoft.com/office/drawing/2012/chart" uri="{CE6537A1-D6FC-4f65-9D91-7224C49458BB}"/>
                <c:ext xmlns:c16="http://schemas.microsoft.com/office/drawing/2014/chart" uri="{C3380CC4-5D6E-409C-BE32-E72D297353CC}">
                  <c16:uniqueId val="{00000001-DD47-4C3B-9F03-E4D00F909943}"/>
                </c:ext>
              </c:extLst>
            </c:dLbl>
            <c:dLbl>
              <c:idx val="8"/>
              <c:delete val="1"/>
              <c:extLst>
                <c:ext xmlns:c15="http://schemas.microsoft.com/office/drawing/2012/chart" uri="{CE6537A1-D6FC-4f65-9D91-7224C49458BB}"/>
                <c:ext xmlns:c16="http://schemas.microsoft.com/office/drawing/2014/chart" uri="{C3380CC4-5D6E-409C-BE32-E72D297353CC}">
                  <c16:uniqueId val="{00000002-DD47-4C3B-9F03-E4D00F909943}"/>
                </c:ext>
              </c:extLst>
            </c:dLbl>
            <c:dLbl>
              <c:idx val="10"/>
              <c:delete val="1"/>
              <c:extLst>
                <c:ext xmlns:c15="http://schemas.microsoft.com/office/drawing/2012/chart" uri="{CE6537A1-D6FC-4f65-9D91-7224C49458BB}"/>
                <c:ext xmlns:c16="http://schemas.microsoft.com/office/drawing/2014/chart" uri="{C3380CC4-5D6E-409C-BE32-E72D297353CC}">
                  <c16:uniqueId val="{00000003-DD47-4C3B-9F03-E4D00F909943}"/>
                </c:ext>
              </c:extLst>
            </c:dLbl>
            <c:numFmt formatCode="#,##0" sourceLinked="0"/>
            <c:spPr>
              <a:noFill/>
              <a:ln w="25400">
                <a:noFill/>
              </a:ln>
            </c:spPr>
            <c:txPr>
              <a:bodyPr/>
              <a:lstStyle/>
              <a:p>
                <a:pPr>
                  <a:defRPr sz="1000" b="1" i="0" u="none" strike="noStrike" baseline="0">
                    <a:solidFill>
                      <a:srgbClr val="FF3333"/>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[8]Sheet2!$B$1:$P$1</c:f>
              <c:numCache>
                <c:formatCode>General</c:formatCode>
                <c:ptCount val="15"/>
              </c:numCache>
            </c:numRef>
          </c:cat>
          <c:val>
            <c:numRef>
              <c:f>[8]Sheet2!$B$39:$P$39</c:f>
              <c:numCache>
                <c:formatCode>General</c:formatCode>
                <c:ptCount val="15"/>
              </c:numCache>
            </c:numRef>
          </c:val>
          <c:extLst>
            <c:ext xmlns:c16="http://schemas.microsoft.com/office/drawing/2014/chart" uri="{C3380CC4-5D6E-409C-BE32-E72D297353CC}">
              <c16:uniqueId val="{00000004-DD47-4C3B-9F03-E4D00F909943}"/>
            </c:ext>
          </c:extLst>
        </c:ser>
        <c:ser>
          <c:idx val="2"/>
          <c:order val="1"/>
          <c:tx>
            <c:v>Menor</c:v>
          </c:tx>
          <c:spPr>
            <a:solidFill>
              <a:srgbClr val="008000"/>
            </a:solidFill>
            <a:ln w="25400">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DD47-4C3B-9F03-E4D00F909943}"/>
                </c:ext>
              </c:extLst>
            </c:dLbl>
            <c:dLbl>
              <c:idx val="2"/>
              <c:delete val="1"/>
              <c:extLst>
                <c:ext xmlns:c15="http://schemas.microsoft.com/office/drawing/2012/chart" uri="{CE6537A1-D6FC-4f65-9D91-7224C49458BB}"/>
                <c:ext xmlns:c16="http://schemas.microsoft.com/office/drawing/2014/chart" uri="{C3380CC4-5D6E-409C-BE32-E72D297353CC}">
                  <c16:uniqueId val="{00000006-DD47-4C3B-9F03-E4D00F909943}"/>
                </c:ext>
              </c:extLst>
            </c:dLbl>
            <c:dLbl>
              <c:idx val="3"/>
              <c:delete val="1"/>
              <c:extLst>
                <c:ext xmlns:c15="http://schemas.microsoft.com/office/drawing/2012/chart" uri="{CE6537A1-D6FC-4f65-9D91-7224C49458BB}"/>
                <c:ext xmlns:c16="http://schemas.microsoft.com/office/drawing/2014/chart" uri="{C3380CC4-5D6E-409C-BE32-E72D297353CC}">
                  <c16:uniqueId val="{00000007-DD47-4C3B-9F03-E4D00F909943}"/>
                </c:ext>
              </c:extLst>
            </c:dLbl>
            <c:dLbl>
              <c:idx val="4"/>
              <c:delete val="1"/>
              <c:extLst>
                <c:ext xmlns:c15="http://schemas.microsoft.com/office/drawing/2012/chart" uri="{CE6537A1-D6FC-4f65-9D91-7224C49458BB}"/>
                <c:ext xmlns:c16="http://schemas.microsoft.com/office/drawing/2014/chart" uri="{C3380CC4-5D6E-409C-BE32-E72D297353CC}">
                  <c16:uniqueId val="{00000008-DD47-4C3B-9F03-E4D00F909943}"/>
                </c:ext>
              </c:extLst>
            </c:dLbl>
            <c:dLbl>
              <c:idx val="6"/>
              <c:delete val="1"/>
              <c:extLst>
                <c:ext xmlns:c15="http://schemas.microsoft.com/office/drawing/2012/chart" uri="{CE6537A1-D6FC-4f65-9D91-7224C49458BB}"/>
                <c:ext xmlns:c16="http://schemas.microsoft.com/office/drawing/2014/chart" uri="{C3380CC4-5D6E-409C-BE32-E72D297353CC}">
                  <c16:uniqueId val="{00000009-DD47-4C3B-9F03-E4D00F909943}"/>
                </c:ext>
              </c:extLst>
            </c:dLbl>
            <c:dLbl>
              <c:idx val="7"/>
              <c:delete val="1"/>
              <c:extLst>
                <c:ext xmlns:c15="http://schemas.microsoft.com/office/drawing/2012/chart" uri="{CE6537A1-D6FC-4f65-9D91-7224C49458BB}"/>
                <c:ext xmlns:c16="http://schemas.microsoft.com/office/drawing/2014/chart" uri="{C3380CC4-5D6E-409C-BE32-E72D297353CC}">
                  <c16:uniqueId val="{0000000A-DD47-4C3B-9F03-E4D00F909943}"/>
                </c:ext>
              </c:extLst>
            </c:dLbl>
            <c:dLbl>
              <c:idx val="8"/>
              <c:delete val="1"/>
              <c:extLst>
                <c:ext xmlns:c15="http://schemas.microsoft.com/office/drawing/2012/chart" uri="{CE6537A1-D6FC-4f65-9D91-7224C49458BB}"/>
                <c:ext xmlns:c16="http://schemas.microsoft.com/office/drawing/2014/chart" uri="{C3380CC4-5D6E-409C-BE32-E72D297353CC}">
                  <c16:uniqueId val="{0000000B-DD47-4C3B-9F03-E4D00F909943}"/>
                </c:ext>
              </c:extLst>
            </c:dLbl>
            <c:dLbl>
              <c:idx val="9"/>
              <c:delete val="1"/>
              <c:extLst>
                <c:ext xmlns:c15="http://schemas.microsoft.com/office/drawing/2012/chart" uri="{CE6537A1-D6FC-4f65-9D91-7224C49458BB}"/>
                <c:ext xmlns:c16="http://schemas.microsoft.com/office/drawing/2014/chart" uri="{C3380CC4-5D6E-409C-BE32-E72D297353CC}">
                  <c16:uniqueId val="{0000000C-DD47-4C3B-9F03-E4D00F909943}"/>
                </c:ext>
              </c:extLst>
            </c:dLbl>
            <c:dLbl>
              <c:idx val="12"/>
              <c:delete val="1"/>
              <c:extLst>
                <c:ext xmlns:c15="http://schemas.microsoft.com/office/drawing/2012/chart" uri="{CE6537A1-D6FC-4f65-9D91-7224C49458BB}"/>
                <c:ext xmlns:c16="http://schemas.microsoft.com/office/drawing/2014/chart" uri="{C3380CC4-5D6E-409C-BE32-E72D297353CC}">
                  <c16:uniqueId val="{0000000D-DD47-4C3B-9F03-E4D00F909943}"/>
                </c:ext>
              </c:extLst>
            </c:dLbl>
            <c:spPr>
              <a:noFill/>
              <a:ln w="25400">
                <a:noFill/>
              </a:ln>
            </c:spPr>
            <c:txPr>
              <a:bodyPr/>
              <a:lstStyle/>
              <a:p>
                <a:pPr>
                  <a:defRPr sz="1000" b="1" i="0" u="none" strike="noStrike" baseline="0">
                    <a:solidFill>
                      <a:srgbClr val="008000"/>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[8]Sheet2!$B$1:$P$1</c:f>
              <c:numCache>
                <c:formatCode>General</c:formatCode>
                <c:ptCount val="15"/>
              </c:numCache>
            </c:numRef>
          </c:cat>
          <c:val>
            <c:numRef>
              <c:f>[8]Sheet2!$B$41:$P$41</c:f>
              <c:numCache>
                <c:formatCode>General</c:formatCode>
                <c:ptCount val="15"/>
              </c:numCache>
            </c:numRef>
          </c:val>
          <c:extLst>
            <c:ext xmlns:c16="http://schemas.microsoft.com/office/drawing/2014/chart" uri="{C3380CC4-5D6E-409C-BE32-E72D297353CC}">
              <c16:uniqueId val="{0000000E-DD47-4C3B-9F03-E4D00F909943}"/>
            </c:ext>
          </c:extLst>
        </c:ser>
        <c:ser>
          <c:idx val="0"/>
          <c:order val="2"/>
          <c:tx>
            <c:v>DMR</c:v>
          </c:tx>
          <c:spPr>
            <a:solidFill>
              <a:srgbClr val="0000FF"/>
            </a:solidFill>
            <a:ln w="12700">
              <a:solidFill>
                <a:srgbClr val="000000"/>
              </a:solidFill>
              <a:prstDash val="solid"/>
            </a:ln>
          </c:spPr>
          <c:invertIfNegative val="0"/>
          <c:dLbls>
            <c:delete val="1"/>
          </c:dLbls>
          <c:cat>
            <c:numRef>
              <c:f>[8]Sheet2!$B$1:$P$1</c:f>
              <c:numCache>
                <c:formatCode>General</c:formatCode>
                <c:ptCount val="15"/>
              </c:numCache>
            </c:numRef>
          </c:cat>
          <c:val>
            <c:numRef>
              <c:f>[8]Sheet2!$B$40:$P$40</c:f>
              <c:numCache>
                <c:formatCode>General</c:formatCode>
                <c:ptCount val="15"/>
              </c:numCache>
            </c:numRef>
          </c:val>
          <c:extLst>
            <c:ext xmlns:c16="http://schemas.microsoft.com/office/drawing/2014/chart" uri="{C3380CC4-5D6E-409C-BE32-E72D297353CC}">
              <c16:uniqueId val="{0000000F-DD47-4C3B-9F03-E4D00F909943}"/>
            </c:ext>
          </c:extLst>
        </c:ser>
        <c:dLbls>
          <c:showLegendKey val="0"/>
          <c:showVal val="1"/>
          <c:showCatName val="0"/>
          <c:showSerName val="0"/>
          <c:showPercent val="0"/>
          <c:showBubbleSize val="0"/>
        </c:dLbls>
        <c:gapWidth val="150"/>
        <c:axId val="1403249312"/>
        <c:axId val="1403268352"/>
      </c:barChart>
      <c:catAx>
        <c:axId val="14032493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8352"/>
        <c:crosses val="autoZero"/>
        <c:auto val="0"/>
        <c:lblAlgn val="ctr"/>
        <c:lblOffset val="100"/>
        <c:tickLblSkip val="2"/>
        <c:tickMarkSkip val="1"/>
        <c:noMultiLvlLbl val="0"/>
      </c:catAx>
      <c:valAx>
        <c:axId val="1403268352"/>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49312"/>
        <c:crosses val="autoZero"/>
        <c:crossBetween val="between"/>
        <c:majorUnit val="1"/>
      </c:valAx>
      <c:spPr>
        <a:solidFill>
          <a:srgbClr val="D4D4D4"/>
        </a:solidFill>
        <a:ln w="12700">
          <a:solidFill>
            <a:srgbClr val="000000"/>
          </a:solidFill>
          <a:prstDash val="solid"/>
        </a:ln>
      </c:spPr>
    </c:plotArea>
    <c:legend>
      <c:legendPos val="r"/>
      <c:layout>
        <c:manualLayout>
          <c:xMode val="edge"/>
          <c:yMode val="edge"/>
          <c:x val="3.2941176470588522E-2"/>
          <c:y val="0.86192468619246865"/>
          <c:w val="0.55529411764705883"/>
          <c:h val="9.2050209205020966E-2"/>
        </c:manualLayout>
      </c:layout>
      <c:overlay val="0"/>
      <c:spPr>
        <a:solidFill>
          <a:srgbClr val="FFFFFF"/>
        </a:solidFill>
        <a:ln w="3175">
          <a:solidFill>
            <a:srgbClr val="000000"/>
          </a:solidFill>
          <a:prstDash val="solid"/>
        </a:ln>
      </c:spPr>
      <c:txPr>
        <a:bodyPr/>
        <a:lstStyle/>
        <a:p>
          <a:pPr>
            <a:defRPr lang="es-PE" sz="690"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CDC
Incapacitantes + DMR </a:t>
            </a:r>
          </a:p>
        </c:rich>
      </c:tx>
      <c:layout>
        <c:manualLayout>
          <c:xMode val="edge"/>
          <c:yMode val="edge"/>
          <c:x val="0.36983845734980658"/>
          <c:y val="1.8050541516245487E-2"/>
        </c:manualLayout>
      </c:layout>
      <c:overlay val="0"/>
      <c:spPr>
        <a:noFill/>
        <a:ln w="25400">
          <a:noFill/>
        </a:ln>
      </c:spPr>
    </c:title>
    <c:autoTitleDeleted val="0"/>
    <c:plotArea>
      <c:layout>
        <c:manualLayout>
          <c:layoutTarget val="inner"/>
          <c:xMode val="edge"/>
          <c:yMode val="edge"/>
          <c:x val="7.1813285457809822E-2"/>
          <c:y val="0.22382710935227704"/>
          <c:w val="0.89766606822260253"/>
          <c:h val="0.66426109872288663"/>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
              <c:layout>
                <c:manualLayout>
                  <c:x val="-4.7636146020347103E-2"/>
                  <c:y val="6.78558583640304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59-4B49-94FE-943977DF1471}"/>
                </c:ext>
              </c:extLst>
            </c:dLbl>
            <c:dLbl>
              <c:idx val="3"/>
              <c:layout>
                <c:manualLayout>
                  <c:x val="-4.1532016756433532E-2"/>
                  <c:y val="6.78354043357443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59-4B49-94FE-943977DF1471}"/>
                </c:ext>
              </c:extLst>
            </c:dLbl>
            <c:dLbl>
              <c:idx val="5"/>
              <c:layout>
                <c:manualLayout>
                  <c:x val="-4.7995212447637034E-2"/>
                  <c:y val="7.0532882311756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59-4B49-94FE-943977DF1471}"/>
                </c:ext>
              </c:extLst>
            </c:dLbl>
            <c:dLbl>
              <c:idx val="6"/>
              <c:layout>
                <c:manualLayout>
                  <c:x val="-9.9341711549969132E-3"/>
                  <c:y val="-6.8420823354960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59-4B49-94FE-943977DF1471}"/>
                </c:ext>
              </c:extLst>
            </c:dLbl>
            <c:dLbl>
              <c:idx val="7"/>
              <c:layout>
                <c:manualLayout>
                  <c:x val="-5.9844404548174732E-2"/>
                  <c:y val="5.91022628710155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59-4B49-94FE-943977DF1471}"/>
                </c:ext>
              </c:extLst>
            </c:dLbl>
            <c:dLbl>
              <c:idx val="8"/>
              <c:layout>
                <c:manualLayout>
                  <c:x val="-7.3847995212447712E-2"/>
                  <c:y val="-3.17569024753071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59-4B49-94FE-943977DF1471}"/>
                </c:ext>
              </c:extLst>
            </c:dLbl>
            <c:dLbl>
              <c:idx val="9"/>
              <c:layout>
                <c:manualLayout>
                  <c:x val="-3.2196289646918001E-2"/>
                  <c:y val="-4.12577191006172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359-4B49-94FE-943977DF1471}"/>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2854-49EA-9E52-F2E681313714}"/>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Graficos!$G$192:$G$201</c:f>
              <c:numCache>
                <c:formatCode>#,##0.0</c:formatCode>
                <c:ptCount val="10"/>
                <c:pt idx="0">
                  <c:v>4.9890427649370794</c:v>
                </c:pt>
                <c:pt idx="1">
                  <c:v>2.7854169643387614</c:v>
                </c:pt>
                <c:pt idx="2">
                  <c:v>6.2765095666782971</c:v>
                </c:pt>
                <c:pt idx="3">
                  <c:v>2.6443144995000614</c:v>
                </c:pt>
                <c:pt idx="4">
                  <c:v>6.6801485424550497</c:v>
                </c:pt>
                <c:pt idx="5">
                  <c:v>6.4958733218956697</c:v>
                </c:pt>
                <c:pt idx="6">
                  <c:v>11.878482082984643</c:v>
                </c:pt>
                <c:pt idx="7">
                  <c:v>5.5696067007906391</c:v>
                </c:pt>
                <c:pt idx="8">
                  <c:v>0</c:v>
                </c:pt>
                <c:pt idx="9">
                  <c:v>4.7651675401933549</c:v>
                </c:pt>
              </c:numCache>
            </c:numRef>
          </c:val>
          <c:smooth val="0"/>
          <c:extLst>
            <c:ext xmlns:c16="http://schemas.microsoft.com/office/drawing/2014/chart" uri="{C3380CC4-5D6E-409C-BE32-E72D297353CC}">
              <c16:uniqueId val="{00000008-4359-4B49-94FE-943977DF1471}"/>
            </c:ext>
          </c:extLst>
        </c:ser>
        <c:dLbls>
          <c:showLegendKey val="0"/>
          <c:showVal val="1"/>
          <c:showCatName val="0"/>
          <c:showSerName val="0"/>
          <c:showPercent val="0"/>
          <c:showBubbleSize val="0"/>
        </c:dLbls>
        <c:marker val="1"/>
        <c:smooth val="0"/>
        <c:axId val="1403254208"/>
        <c:axId val="1403265632"/>
      </c:lineChart>
      <c:catAx>
        <c:axId val="140325420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5632"/>
        <c:crosses val="autoZero"/>
        <c:auto val="0"/>
        <c:lblAlgn val="ctr"/>
        <c:lblOffset val="100"/>
        <c:tickLblSkip val="1"/>
        <c:tickMarkSkip val="1"/>
        <c:noMultiLvlLbl val="0"/>
      </c:catAx>
      <c:valAx>
        <c:axId val="1403265632"/>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54208"/>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SEVERIDAD - CDC</a:t>
            </a:r>
          </a:p>
        </c:rich>
      </c:tx>
      <c:layout>
        <c:manualLayout>
          <c:xMode val="edge"/>
          <c:yMode val="edge"/>
          <c:x val="0.36812149794761245"/>
          <c:y val="1.858736059479554E-2"/>
        </c:manualLayout>
      </c:layout>
      <c:overlay val="0"/>
      <c:spPr>
        <a:noFill/>
        <a:ln w="25400">
          <a:noFill/>
        </a:ln>
      </c:spPr>
    </c:title>
    <c:autoTitleDeleted val="0"/>
    <c:plotArea>
      <c:layout>
        <c:manualLayout>
          <c:layoutTarget val="inner"/>
          <c:xMode val="edge"/>
          <c:yMode val="edge"/>
          <c:x val="7.2106261859585782E-2"/>
          <c:y val="0.23791821561338294"/>
          <c:w val="0.90322580645161465"/>
          <c:h val="0.64684014869891249"/>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3.8773028134291558E-2"/>
                  <c:y val="-0.118568822019924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A5D-4AC5-A225-6F1BD46B5E29}"/>
                </c:ext>
              </c:extLst>
            </c:dLbl>
            <c:dLbl>
              <c:idx val="1"/>
              <c:layout>
                <c:manualLayout>
                  <c:x val="-5.4332800430308845E-2"/>
                  <c:y val="4.7615646557191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5D-4AC5-A225-6F1BD46B5E29}"/>
                </c:ext>
              </c:extLst>
            </c:dLbl>
            <c:dLbl>
              <c:idx val="2"/>
              <c:layout>
                <c:manualLayout>
                  <c:x val="-5.8507373485335211E-2"/>
                  <c:y val="-5.29044092536765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A5D-4AC5-A225-6F1BD46B5E29}"/>
                </c:ext>
              </c:extLst>
            </c:dLbl>
            <c:dLbl>
              <c:idx val="3"/>
              <c:layout>
                <c:manualLayout>
                  <c:x val="-8.3554811815506266E-2"/>
                  <c:y val="3.58984866668620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5D-4AC5-A225-6F1BD46B5E29}"/>
                </c:ext>
              </c:extLst>
            </c:dLbl>
            <c:dLbl>
              <c:idx val="5"/>
              <c:layout>
                <c:manualLayout>
                  <c:x val="-8.8108891511900725E-2"/>
                  <c:y val="-1.03320356330923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A5D-4AC5-A225-6F1BD46B5E29}"/>
                </c:ext>
              </c:extLst>
            </c:dLbl>
            <c:dLbl>
              <c:idx val="6"/>
              <c:layout>
                <c:manualLayout>
                  <c:x val="-1.0689536673191022E-2"/>
                  <c:y val="-2.17549200401994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5D-4AC5-A225-6F1BD46B5E29}"/>
                </c:ext>
              </c:extLst>
            </c:dLbl>
            <c:dLbl>
              <c:idx val="8"/>
              <c:layout>
                <c:manualLayout>
                  <c:x val="-6.0784413333534827E-2"/>
                  <c:y val="3.42132326396004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A5D-4AC5-A225-6F1BD46B5E29}"/>
                </c:ext>
              </c:extLst>
            </c:dLbl>
            <c:dLbl>
              <c:idx val="9"/>
              <c:layout>
                <c:manualLayout>
                  <c:x val="-2.3213255838276409E-2"/>
                  <c:y val="-6.99360907024175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A5D-4AC5-A225-6F1BD46B5E29}"/>
                </c:ext>
              </c:extLst>
            </c:dLbl>
            <c:dLbl>
              <c:idx val="10"/>
              <c:numFmt formatCode="0" sourceLinked="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3C99-47C8-8817-387BCCBAB1CC}"/>
                </c:ext>
              </c:extLst>
            </c:dLbl>
            <c:numFmt formatCode="0" sourceLinked="0"/>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Graficos!$H$192:$H$201</c:f>
              <c:numCache>
                <c:formatCode>#,##0</c:formatCode>
                <c:ptCount val="10"/>
                <c:pt idx="0">
                  <c:v>145.68004873616272</c:v>
                </c:pt>
                <c:pt idx="1">
                  <c:v>85.41945357305535</c:v>
                </c:pt>
                <c:pt idx="2">
                  <c:v>247.47380577188716</c:v>
                </c:pt>
                <c:pt idx="3">
                  <c:v>29.087459494500674</c:v>
                </c:pt>
                <c:pt idx="4">
                  <c:v>177.85895494286569</c:v>
                </c:pt>
                <c:pt idx="5">
                  <c:v>32.479366609478348</c:v>
                </c:pt>
                <c:pt idx="6">
                  <c:v>164.71495155072037</c:v>
                </c:pt>
                <c:pt idx="7">
                  <c:v>4842.3751972874043</c:v>
                </c:pt>
                <c:pt idx="8">
                  <c:v>0</c:v>
                </c:pt>
                <c:pt idx="9">
                  <c:v>1.8439848660474074</c:v>
                </c:pt>
              </c:numCache>
            </c:numRef>
          </c:val>
          <c:smooth val="0"/>
          <c:extLst>
            <c:ext xmlns:c16="http://schemas.microsoft.com/office/drawing/2014/chart" uri="{C3380CC4-5D6E-409C-BE32-E72D297353CC}">
              <c16:uniqueId val="{00000009-5A5D-4AC5-A225-6F1BD46B5E29}"/>
            </c:ext>
          </c:extLst>
        </c:ser>
        <c:dLbls>
          <c:showLegendKey val="0"/>
          <c:showVal val="1"/>
          <c:showCatName val="0"/>
          <c:showSerName val="0"/>
          <c:showPercent val="0"/>
          <c:showBubbleSize val="0"/>
        </c:dLbls>
        <c:marker val="1"/>
        <c:smooth val="0"/>
        <c:axId val="1403272704"/>
        <c:axId val="1403273792"/>
      </c:lineChart>
      <c:catAx>
        <c:axId val="140327270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3792"/>
        <c:crosses val="autoZero"/>
        <c:auto val="0"/>
        <c:lblAlgn val="ctr"/>
        <c:lblOffset val="100"/>
        <c:tickLblSkip val="1"/>
        <c:tickMarkSkip val="1"/>
        <c:noMultiLvlLbl val="0"/>
      </c:catAx>
      <c:valAx>
        <c:axId val="1403273792"/>
        <c:scaling>
          <c:orientation val="minMax"/>
          <c:max val="500"/>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2704"/>
        <c:crosses val="autoZero"/>
        <c:crossBetween val="between"/>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OSHA INCIDENT RATE - CDC
Incapacitantes + DMR + Menor</a:t>
            </a:r>
          </a:p>
        </c:rich>
      </c:tx>
      <c:layout>
        <c:manualLayout>
          <c:xMode val="edge"/>
          <c:yMode val="edge"/>
          <c:x val="0.33596844593321346"/>
          <c:y val="3.5714285714285712E-2"/>
        </c:manualLayout>
      </c:layout>
      <c:overlay val="0"/>
      <c:spPr>
        <a:noFill/>
        <a:ln w="25400">
          <a:noFill/>
        </a:ln>
      </c:spPr>
    </c:title>
    <c:autoTitleDeleted val="0"/>
    <c:plotArea>
      <c:layout>
        <c:manualLayout>
          <c:layoutTarget val="inner"/>
          <c:xMode val="edge"/>
          <c:yMode val="edge"/>
          <c:x val="7.1146245059288543E-2"/>
          <c:y val="0.29642908835989557"/>
          <c:w val="0.9071146245059285"/>
          <c:h val="0.59285817671975549"/>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1"/>
              <c:layout>
                <c:manualLayout>
                  <c:x val="-4.7892066851330781E-2"/>
                  <c:y val="7.24346229279131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D5-4E6C-BB3D-CFE3AAC6E9A8}"/>
                </c:ext>
              </c:extLst>
            </c:dLbl>
            <c:dLbl>
              <c:idx val="3"/>
              <c:layout>
                <c:manualLayout>
                  <c:x val="-5.0263608353303922E-2"/>
                  <c:y val="6.28036328614674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D5-4E6C-BB3D-CFE3AAC6E9A8}"/>
                </c:ext>
              </c:extLst>
            </c:dLbl>
            <c:dLbl>
              <c:idx val="4"/>
              <c:layout>
                <c:manualLayout>
                  <c:x val="-1.1923687404687543E-2"/>
                  <c:y val="5.05611204187951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D5-4E6C-BB3D-CFE3AAC6E9A8}"/>
                </c:ext>
              </c:extLst>
            </c:dLbl>
            <c:dLbl>
              <c:idx val="5"/>
              <c:layout>
                <c:manualLayout>
                  <c:x val="1.2582241449068341E-2"/>
                  <c:y val="-1.09868231233259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D5-4E6C-BB3D-CFE3AAC6E9A8}"/>
                </c:ext>
              </c:extLst>
            </c:dLbl>
            <c:dLbl>
              <c:idx val="6"/>
              <c:layout>
                <c:manualLayout>
                  <c:x val="-8.3465189380971597E-2"/>
                  <c:y val="-4.20505950281628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D5-4E6C-BB3D-CFE3AAC6E9A8}"/>
                </c:ext>
              </c:extLst>
            </c:dLbl>
            <c:dLbl>
              <c:idx val="7"/>
              <c:layout>
                <c:manualLayout>
                  <c:x val="-3.5243845507455705E-2"/>
                  <c:y val="-8.3581329362646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D5-4E6C-BB3D-CFE3AAC6E9A8}"/>
                </c:ext>
              </c:extLst>
            </c:dLbl>
            <c:dLbl>
              <c:idx val="8"/>
              <c:layout>
                <c:manualLayout>
                  <c:x val="-3.8405900843422242E-2"/>
                  <c:y val="-7.78452989024644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D5-4E6C-BB3D-CFE3AAC6E9A8}"/>
                </c:ext>
              </c:extLst>
            </c:dLbl>
            <c:dLbl>
              <c:idx val="9"/>
              <c:layout>
                <c:manualLayout>
                  <c:x val="-1.5322896890853029E-2"/>
                  <c:y val="-7.0702429303434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D5-4E6C-BB3D-CFE3AAC6E9A8}"/>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16FB-4E64-A4A5-86DA4586597B}"/>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Graficos!$I$192:$I$201</c:f>
              <c:numCache>
                <c:formatCode>#,##0.0</c:formatCode>
                <c:ptCount val="10"/>
                <c:pt idx="0">
                  <c:v>1.7960553953773486</c:v>
                </c:pt>
                <c:pt idx="1">
                  <c:v>1.4855557143140061</c:v>
                </c:pt>
                <c:pt idx="2">
                  <c:v>2.3312749819090817</c:v>
                </c:pt>
                <c:pt idx="3">
                  <c:v>1.2340134331000288</c:v>
                </c:pt>
                <c:pt idx="4">
                  <c:v>2.1710482762978911</c:v>
                </c:pt>
                <c:pt idx="5">
                  <c:v>2.2735556626634845</c:v>
                </c:pt>
                <c:pt idx="6">
                  <c:v>3.4843547443421619</c:v>
                </c:pt>
                <c:pt idx="7">
                  <c:v>2.5461059203614349</c:v>
                </c:pt>
                <c:pt idx="8">
                  <c:v>0</c:v>
                </c:pt>
                <c:pt idx="9">
                  <c:v>0</c:v>
                </c:pt>
              </c:numCache>
            </c:numRef>
          </c:val>
          <c:smooth val="0"/>
          <c:extLst>
            <c:ext xmlns:c16="http://schemas.microsoft.com/office/drawing/2014/chart" uri="{C3380CC4-5D6E-409C-BE32-E72D297353CC}">
              <c16:uniqueId val="{00000009-3BD5-4E6C-BB3D-CFE3AAC6E9A8}"/>
            </c:ext>
          </c:extLst>
        </c:ser>
        <c:dLbls>
          <c:showLegendKey val="0"/>
          <c:showVal val="1"/>
          <c:showCatName val="0"/>
          <c:showSerName val="0"/>
          <c:showPercent val="0"/>
          <c:showBubbleSize val="0"/>
        </c:dLbls>
        <c:marker val="1"/>
        <c:smooth val="0"/>
        <c:axId val="1403256384"/>
        <c:axId val="1403269984"/>
      </c:lineChart>
      <c:catAx>
        <c:axId val="140325638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9984"/>
        <c:crosses val="autoZero"/>
        <c:auto val="0"/>
        <c:lblAlgn val="ctr"/>
        <c:lblOffset val="100"/>
        <c:tickLblSkip val="1"/>
        <c:tickMarkSkip val="1"/>
        <c:noMultiLvlLbl val="0"/>
      </c:catAx>
      <c:valAx>
        <c:axId val="1403269984"/>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56384"/>
        <c:crosses val="autoZero"/>
        <c:crossBetween val="between"/>
        <c:majorUnit val="1"/>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ESTADISTICA ANUAL ACCIDENTES CDC</a:t>
            </a:r>
          </a:p>
        </c:rich>
      </c:tx>
      <c:layout>
        <c:manualLayout>
          <c:xMode val="edge"/>
          <c:yMode val="edge"/>
          <c:x val="0.28629055118110225"/>
          <c:y val="1.6666666666666701E-2"/>
        </c:manualLayout>
      </c:layout>
      <c:overlay val="0"/>
      <c:spPr>
        <a:noFill/>
        <a:ln w="25400">
          <a:noFill/>
        </a:ln>
      </c:spPr>
    </c:title>
    <c:autoTitleDeleted val="0"/>
    <c:plotArea>
      <c:layout>
        <c:manualLayout>
          <c:layoutTarget val="inner"/>
          <c:xMode val="edge"/>
          <c:yMode val="edge"/>
          <c:x val="5.4435537459379922E-2"/>
          <c:y val="0.17666724175534942"/>
          <c:w val="0.90121056460528426"/>
          <c:h val="0.62666870660390073"/>
        </c:manualLayout>
      </c:layout>
      <c:lineChart>
        <c:grouping val="standard"/>
        <c:varyColors val="0"/>
        <c:ser>
          <c:idx val="1"/>
          <c:order val="0"/>
          <c:tx>
            <c:v>Total</c:v>
          </c:tx>
          <c:spPr>
            <a:ln w="25400">
              <a:solidFill>
                <a:srgbClr val="000000"/>
              </a:solidFill>
              <a:prstDash val="solid"/>
            </a:ln>
          </c:spPr>
          <c:marker>
            <c:symbol val="circle"/>
            <c:size val="5"/>
            <c:spPr>
              <a:solidFill>
                <a:srgbClr val="000000"/>
              </a:solidFill>
              <a:ln>
                <a:solidFill>
                  <a:srgbClr val="000000"/>
                </a:solidFill>
                <a:prstDash val="solid"/>
              </a:ln>
            </c:spPr>
          </c:marker>
          <c:dLbls>
            <c:dLbl>
              <c:idx val="4"/>
              <c:layout>
                <c:manualLayout>
                  <c:x val="-6.8212280186565999E-2"/>
                  <c:y val="-9.81945838767497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E8-4810-8729-DC3F51AA4C9C}"/>
                </c:ext>
              </c:extLst>
            </c:dLbl>
            <c:dLbl>
              <c:idx val="5"/>
              <c:layout>
                <c:manualLayout>
                  <c:x val="-5.6115616437551884E-2"/>
                  <c:y val="-8.36112502018029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E8-4810-8729-DC3F51AA4C9C}"/>
                </c:ext>
              </c:extLst>
            </c:dLbl>
            <c:dLbl>
              <c:idx val="6"/>
              <c:layout>
                <c:manualLayout>
                  <c:x val="-5.6115527123532183E-2"/>
                  <c:y val="-2.02777377909874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E8-4810-8729-DC3F51AA4C9C}"/>
                </c:ext>
              </c:extLst>
            </c:dLbl>
            <c:dLbl>
              <c:idx val="8"/>
              <c:layout>
                <c:manualLayout>
                  <c:x val="-1.9825201856329681E-2"/>
                  <c:y val="-8.11112821516484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E8-4810-8729-DC3F51AA4C9C}"/>
                </c:ext>
              </c:extLst>
            </c:dLbl>
            <c:spPr>
              <a:noFill/>
              <a:ln w="25400">
                <a:noFill/>
              </a:ln>
            </c:spPr>
            <c:txPr>
              <a:bodyPr/>
              <a:lstStyle/>
              <a:p>
                <a:pPr>
                  <a:defRPr sz="1000" b="1" i="0" u="none" strike="noStrike" baseline="0">
                    <a:solidFill>
                      <a:srgbClr val="000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Graficos!$B$192:$B$201</c:f>
              <c:numCache>
                <c:formatCode>General</c:formatCode>
                <c:ptCount val="10"/>
                <c:pt idx="0">
                  <c:v>9</c:v>
                </c:pt>
                <c:pt idx="1">
                  <c:v>8</c:v>
                </c:pt>
                <c:pt idx="2">
                  <c:v>13</c:v>
                </c:pt>
                <c:pt idx="3">
                  <c:v>7</c:v>
                </c:pt>
                <c:pt idx="4">
                  <c:v>13</c:v>
                </c:pt>
                <c:pt idx="5">
                  <c:v>14</c:v>
                </c:pt>
                <c:pt idx="6">
                  <c:v>22</c:v>
                </c:pt>
                <c:pt idx="7">
                  <c:v>16</c:v>
                </c:pt>
                <c:pt idx="8" formatCode="0">
                  <c:v>0</c:v>
                </c:pt>
                <c:pt idx="9" formatCode="0">
                  <c:v>1</c:v>
                </c:pt>
              </c:numCache>
            </c:numRef>
          </c:val>
          <c:smooth val="0"/>
          <c:extLst>
            <c:ext xmlns:c16="http://schemas.microsoft.com/office/drawing/2014/chart" uri="{C3380CC4-5D6E-409C-BE32-E72D297353CC}">
              <c16:uniqueId val="{00000004-4CE8-4810-8729-DC3F51AA4C9C}"/>
            </c:ext>
          </c:extLst>
        </c:ser>
        <c:ser>
          <c:idx val="0"/>
          <c:order val="1"/>
          <c:tx>
            <c:v>Incapacitantes</c:v>
          </c:tx>
          <c:spPr>
            <a:ln w="38100">
              <a:solidFill>
                <a:srgbClr val="FF3333"/>
              </a:solidFill>
              <a:prstDash val="solid"/>
            </a:ln>
          </c:spPr>
          <c:marker>
            <c:symbol val="circle"/>
            <c:size val="5"/>
            <c:spPr>
              <a:solidFill>
                <a:srgbClr val="FF3333"/>
              </a:solidFill>
              <a:ln>
                <a:solidFill>
                  <a:srgbClr val="FF3333"/>
                </a:solidFill>
                <a:prstDash val="solid"/>
              </a:ln>
            </c:spPr>
          </c:marker>
          <c:dPt>
            <c:idx val="8"/>
            <c:bubble3D val="0"/>
            <c:spPr>
              <a:ln w="38100">
                <a:solidFill>
                  <a:srgbClr val="FF3333"/>
                </a:solidFill>
                <a:prstDash val="sysDash"/>
              </a:ln>
            </c:spPr>
            <c:extLst>
              <c:ext xmlns:c16="http://schemas.microsoft.com/office/drawing/2014/chart" uri="{C3380CC4-5D6E-409C-BE32-E72D297353CC}">
                <c16:uniqueId val="{00000006-4CE8-4810-8729-DC3F51AA4C9C}"/>
              </c:ext>
            </c:extLst>
          </c:dPt>
          <c:dLbls>
            <c:dLbl>
              <c:idx val="1"/>
              <c:layout>
                <c:manualLayout>
                  <c:x val="-3.5954240189310496E-2"/>
                  <c:y val="4.26389792907044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E8-4810-8729-DC3F51AA4C9C}"/>
                </c:ext>
              </c:extLst>
            </c:dLbl>
            <c:dLbl>
              <c:idx val="2"/>
              <c:layout>
                <c:manualLayout>
                  <c:x val="-3.3938231525366611E-2"/>
                  <c:y val="4.09724686336089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CE8-4810-8729-DC3F51AA4C9C}"/>
                </c:ext>
              </c:extLst>
            </c:dLbl>
            <c:dLbl>
              <c:idx val="3"/>
              <c:layout>
                <c:manualLayout>
                  <c:x val="-3.7970404245374852E-2"/>
                  <c:y val="3.93056351066413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CE8-4810-8729-DC3F51AA4C9C}"/>
                </c:ext>
              </c:extLst>
            </c:dLbl>
            <c:dLbl>
              <c:idx val="4"/>
              <c:layout>
                <c:manualLayout>
                  <c:x val="-3.7970314931355095E-2"/>
                  <c:y val="3.8889081388239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CE8-4810-8729-DC3F51AA4C9C}"/>
                </c:ext>
              </c:extLst>
            </c:dLbl>
            <c:dLbl>
              <c:idx val="8"/>
              <c:layout>
                <c:manualLayout>
                  <c:x val="-2.9905856941399949E-2"/>
                  <c:y val="5.22224852108754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CE8-4810-8729-DC3F51AA4C9C}"/>
                </c:ext>
              </c:extLst>
            </c:dLbl>
            <c:dLbl>
              <c:idx val="9"/>
              <c:layout>
                <c:manualLayout>
                  <c:x val="-7.7283264402255424E-3"/>
                  <c:y val="-9.861097347630024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CE8-4810-8729-DC3F51AA4C9C}"/>
                </c:ext>
              </c:extLst>
            </c:dLbl>
            <c:dLbl>
              <c:idx val="10"/>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extLst>
                <c:ext xmlns:c16="http://schemas.microsoft.com/office/drawing/2014/chart" uri="{C3380CC4-5D6E-409C-BE32-E72D297353CC}">
                  <c16:uniqueId val="{00000002-B4A0-4357-BF72-F8BFA56205B7}"/>
                </c:ext>
              </c:extLst>
            </c:dLbl>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Graficos!$D$192:$D$201</c:f>
              <c:numCache>
                <c:formatCode>General</c:formatCode>
                <c:ptCount val="10"/>
                <c:pt idx="0">
                  <c:v>5</c:v>
                </c:pt>
                <c:pt idx="1">
                  <c:v>3</c:v>
                </c:pt>
                <c:pt idx="2">
                  <c:v>7</c:v>
                </c:pt>
                <c:pt idx="3">
                  <c:v>3</c:v>
                </c:pt>
                <c:pt idx="4">
                  <c:v>8</c:v>
                </c:pt>
                <c:pt idx="5">
                  <c:v>4</c:v>
                </c:pt>
                <c:pt idx="6">
                  <c:v>12</c:v>
                </c:pt>
                <c:pt idx="7">
                  <c:v>7</c:v>
                </c:pt>
                <c:pt idx="8" formatCode="0">
                  <c:v>0</c:v>
                </c:pt>
                <c:pt idx="9" formatCode="0">
                  <c:v>0</c:v>
                </c:pt>
              </c:numCache>
            </c:numRef>
          </c:val>
          <c:smooth val="0"/>
          <c:extLst>
            <c:ext xmlns:c16="http://schemas.microsoft.com/office/drawing/2014/chart" uri="{C3380CC4-5D6E-409C-BE32-E72D297353CC}">
              <c16:uniqueId val="{0000000D-4CE8-4810-8729-DC3F51AA4C9C}"/>
            </c:ext>
          </c:extLst>
        </c:ser>
        <c:ser>
          <c:idx val="2"/>
          <c:order val="2"/>
          <c:tx>
            <c:v>Incapacitantes+DMR</c:v>
          </c:tx>
          <c:spPr>
            <a:ln w="381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3.998659153735816E-2"/>
                  <c:y val="-6.48611149497379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CE8-4810-8729-DC3F51AA4C9C}"/>
                </c:ext>
              </c:extLst>
            </c:dLbl>
            <c:dLbl>
              <c:idx val="1"/>
              <c:layout>
                <c:manualLayout>
                  <c:x val="-3.3938109172296234E-2"/>
                  <c:y val="-4.40279694949361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CE8-4810-8729-DC3F51AA4C9C}"/>
                </c:ext>
              </c:extLst>
            </c:dLbl>
            <c:dLbl>
              <c:idx val="2"/>
              <c:layout>
                <c:manualLayout>
                  <c:x val="-3.5954362542380582E-2"/>
                  <c:y val="-7.90279219926641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CE8-4810-8729-DC3F51AA4C9C}"/>
                </c:ext>
              </c:extLst>
            </c:dLbl>
            <c:dLbl>
              <c:idx val="3"/>
              <c:layout>
                <c:manualLayout>
                  <c:x val="-2.990588017731861E-2"/>
                  <c:y val="-5.4028002047125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CE8-4810-8729-DC3F51AA4C9C}"/>
                </c:ext>
              </c:extLst>
            </c:dLbl>
            <c:dLbl>
              <c:idx val="4"/>
              <c:layout>
                <c:manualLayout>
                  <c:x val="-3.3938052897326966E-2"/>
                  <c:y val="-6.4444588317716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CE8-4810-8729-DC3F51AA4C9C}"/>
                </c:ext>
              </c:extLst>
            </c:dLbl>
            <c:dLbl>
              <c:idx val="5"/>
              <c:layout>
                <c:manualLayout>
                  <c:x val="-3.9986568301439471E-2"/>
                  <c:y val="-7.11112766858426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CE8-4810-8729-DC3F51AA4C9C}"/>
                </c:ext>
              </c:extLst>
            </c:dLbl>
            <c:dLbl>
              <c:idx val="6"/>
              <c:layout>
                <c:manualLayout>
                  <c:x val="-4.6034872038461877E-2"/>
                  <c:y val="-6.569457234279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CE8-4810-8729-DC3F51AA4C9C}"/>
                </c:ext>
              </c:extLst>
            </c:dLbl>
            <c:dLbl>
              <c:idx val="8"/>
              <c:layout>
                <c:manualLayout>
                  <c:x val="-9.7445467712593947E-3"/>
                  <c:y val="-4.4444496126954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CE8-4810-8729-DC3F51AA4C9C}"/>
                </c:ext>
              </c:extLst>
            </c:dLbl>
            <c:dLbl>
              <c:idx val="9"/>
              <c:layout>
                <c:manualLayout>
                  <c:x val="-7.7283264402255424E-3"/>
                  <c:y val="-9.31947019492072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CE8-4810-8729-DC3F51AA4C9C}"/>
                </c:ext>
              </c:extLst>
            </c:dLbl>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Graficos!$C$192:$C$201</c:f>
              <c:numCache>
                <c:formatCode>General</c:formatCode>
                <c:ptCount val="10"/>
                <c:pt idx="0">
                  <c:v>5</c:v>
                </c:pt>
                <c:pt idx="1">
                  <c:v>3</c:v>
                </c:pt>
                <c:pt idx="2">
                  <c:v>7</c:v>
                </c:pt>
                <c:pt idx="3">
                  <c:v>3</c:v>
                </c:pt>
                <c:pt idx="4">
                  <c:v>8</c:v>
                </c:pt>
                <c:pt idx="5">
                  <c:v>8</c:v>
                </c:pt>
                <c:pt idx="6">
                  <c:v>15</c:v>
                </c:pt>
                <c:pt idx="7">
                  <c:v>7</c:v>
                </c:pt>
                <c:pt idx="8" formatCode="0">
                  <c:v>0</c:v>
                </c:pt>
                <c:pt idx="9" formatCode="0">
                  <c:v>0</c:v>
                </c:pt>
              </c:numCache>
            </c:numRef>
          </c:val>
          <c:smooth val="0"/>
          <c:extLst>
            <c:ext xmlns:c16="http://schemas.microsoft.com/office/drawing/2014/chart" uri="{C3380CC4-5D6E-409C-BE32-E72D297353CC}">
              <c16:uniqueId val="{00000017-4CE8-4810-8729-DC3F51AA4C9C}"/>
            </c:ext>
          </c:extLst>
        </c:ser>
        <c:dLbls>
          <c:showLegendKey val="0"/>
          <c:showVal val="1"/>
          <c:showCatName val="0"/>
          <c:showSerName val="0"/>
          <c:showPercent val="0"/>
          <c:showBubbleSize val="0"/>
        </c:dLbls>
        <c:marker val="1"/>
        <c:smooth val="0"/>
        <c:axId val="1403267808"/>
        <c:axId val="1403266720"/>
      </c:lineChart>
      <c:catAx>
        <c:axId val="140326780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6720"/>
        <c:crosses val="autoZero"/>
        <c:auto val="0"/>
        <c:lblAlgn val="ctr"/>
        <c:lblOffset val="100"/>
        <c:tickLblSkip val="1"/>
        <c:tickMarkSkip val="1"/>
        <c:noMultiLvlLbl val="0"/>
      </c:catAx>
      <c:valAx>
        <c:axId val="1403266720"/>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7808"/>
        <c:crosses val="autoZero"/>
        <c:crossBetween val="between"/>
        <c:majorUnit val="3"/>
      </c:valAx>
      <c:spPr>
        <a:solidFill>
          <a:srgbClr val="D4D4D4"/>
        </a:solidFill>
        <a:ln w="3175">
          <a:solidFill>
            <a:srgbClr val="000000"/>
          </a:solidFill>
          <a:prstDash val="solid"/>
        </a:ln>
      </c:spPr>
    </c:plotArea>
    <c:legend>
      <c:legendPos val="r"/>
      <c:layout>
        <c:manualLayout>
          <c:xMode val="edge"/>
          <c:yMode val="edge"/>
          <c:x val="1.0080577427821523E-2"/>
          <c:y val="0.86000000000000065"/>
          <c:w val="0.66935485564305208"/>
          <c:h val="7.3333333333333681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ACCIDENTES INCAPACITANTES CDC Y TERCEROS</a:t>
            </a:r>
          </a:p>
        </c:rich>
      </c:tx>
      <c:layout>
        <c:manualLayout>
          <c:xMode val="edge"/>
          <c:yMode val="edge"/>
          <c:x val="0.2421875"/>
          <c:y val="1.7605633802816902E-2"/>
        </c:manualLayout>
      </c:layout>
      <c:overlay val="0"/>
      <c:spPr>
        <a:noFill/>
        <a:ln w="25400">
          <a:noFill/>
        </a:ln>
      </c:spPr>
    </c:title>
    <c:autoTitleDeleted val="0"/>
    <c:plotArea>
      <c:layout>
        <c:manualLayout>
          <c:layoutTarget val="inner"/>
          <c:xMode val="edge"/>
          <c:yMode val="edge"/>
          <c:x val="8.5937500000000028E-2"/>
          <c:y val="0.20774647887324593"/>
          <c:w val="0.876953125"/>
          <c:h val="0.55633802816901412"/>
        </c:manualLayout>
      </c:layout>
      <c:lineChart>
        <c:grouping val="standard"/>
        <c:varyColors val="0"/>
        <c:ser>
          <c:idx val="1"/>
          <c:order val="0"/>
          <c:tx>
            <c:v>Total Alicorp+Terceros</c:v>
          </c:tx>
          <c:spPr>
            <a:ln w="25400">
              <a:solidFill>
                <a:srgbClr val="0000FF"/>
              </a:solidFill>
              <a:prstDash val="solid"/>
            </a:ln>
          </c:spPr>
          <c:marker>
            <c:symbol val="circle"/>
            <c:size val="5"/>
            <c:spPr>
              <a:solidFill>
                <a:srgbClr val="0000FF"/>
              </a:solidFill>
              <a:ln>
                <a:solidFill>
                  <a:srgbClr val="0000FF"/>
                </a:solidFill>
                <a:prstDash val="solid"/>
              </a:ln>
            </c:spPr>
          </c:marker>
          <c:dLbls>
            <c:dLbl>
              <c:idx val="4"/>
              <c:layout>
                <c:manualLayout>
                  <c:x val="-2.7311146653544352E-2"/>
                  <c:y val="-8.90724926989767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5B-4AF1-9999-8DCF55F8F8CE}"/>
                </c:ext>
              </c:extLst>
            </c:dLbl>
            <c:dLbl>
              <c:idx val="5"/>
              <c:layout>
                <c:manualLayout>
                  <c:x val="-2.867843667979E-2"/>
                  <c:y val="-9.61147462201027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5B-4AF1-9999-8DCF55F8F8CE}"/>
                </c:ext>
              </c:extLst>
            </c:dLbl>
            <c:dLbl>
              <c:idx val="6"/>
              <c:layout>
                <c:manualLayout>
                  <c:x val="-6.3248646653543364E-2"/>
                  <c:y val="-6.24442719307979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5B-4AF1-9999-8DCF55F8F8CE}"/>
                </c:ext>
              </c:extLst>
            </c:dLbl>
            <c:dLbl>
              <c:idx val="10"/>
              <c:spPr>
                <a:noFill/>
                <a:ln w="25400">
                  <a:noFill/>
                </a:ln>
              </c:spPr>
              <c:txPr>
                <a:bodyPr/>
                <a:lstStyle/>
                <a:p>
                  <a:pPr>
                    <a:defRPr sz="12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DF21-44EB-8821-4ED9E2EC610D}"/>
                </c:ext>
              </c:extLst>
            </c:dLbl>
            <c:spPr>
              <a:noFill/>
              <a:ln w="25400">
                <a:noFill/>
              </a:ln>
            </c:spPr>
            <c:txPr>
              <a:bodyPr/>
              <a:lstStyle/>
              <a:p>
                <a:pPr>
                  <a:defRPr sz="12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Graficos!$C$192:$C$201</c:f>
              <c:numCache>
                <c:formatCode>General</c:formatCode>
                <c:ptCount val="10"/>
                <c:pt idx="0">
                  <c:v>5</c:v>
                </c:pt>
                <c:pt idx="1">
                  <c:v>3</c:v>
                </c:pt>
                <c:pt idx="2">
                  <c:v>7</c:v>
                </c:pt>
                <c:pt idx="3">
                  <c:v>3</c:v>
                </c:pt>
                <c:pt idx="4">
                  <c:v>8</c:v>
                </c:pt>
                <c:pt idx="5">
                  <c:v>8</c:v>
                </c:pt>
                <c:pt idx="6">
                  <c:v>15</c:v>
                </c:pt>
                <c:pt idx="7">
                  <c:v>7</c:v>
                </c:pt>
                <c:pt idx="8" formatCode="0">
                  <c:v>0</c:v>
                </c:pt>
                <c:pt idx="9" formatCode="0">
                  <c:v>0</c:v>
                </c:pt>
              </c:numCache>
            </c:numRef>
          </c:val>
          <c:smooth val="0"/>
          <c:extLst>
            <c:ext xmlns:c16="http://schemas.microsoft.com/office/drawing/2014/chart" uri="{C3380CC4-5D6E-409C-BE32-E72D297353CC}">
              <c16:uniqueId val="{00000004-365B-4AF1-9999-8DCF55F8F8CE}"/>
            </c:ext>
          </c:extLst>
        </c:ser>
        <c:ser>
          <c:idx val="0"/>
          <c:order val="1"/>
          <c:tx>
            <c:v>Terceros</c:v>
          </c:tx>
          <c:spPr>
            <a:ln w="25400">
              <a:solidFill>
                <a:srgbClr val="FF3333"/>
              </a:solidFill>
              <a:prstDash val="solid"/>
            </a:ln>
          </c:spPr>
          <c:marker>
            <c:symbol val="circle"/>
            <c:size val="5"/>
            <c:spPr>
              <a:solidFill>
                <a:srgbClr val="FF3333"/>
              </a:solidFill>
              <a:ln>
                <a:solidFill>
                  <a:srgbClr val="FF3333"/>
                </a:solidFill>
                <a:prstDash val="solid"/>
              </a:ln>
            </c:spPr>
          </c:marker>
          <c:dLbls>
            <c:dLbl>
              <c:idx val="5"/>
              <c:layout>
                <c:manualLayout>
                  <c:x val="-4.0397186679790073E-2"/>
                  <c:y val="-5.59125355809397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5B-4AF1-9999-8DCF55F8F8CE}"/>
                </c:ext>
              </c:extLst>
            </c:dLbl>
            <c:spPr>
              <a:noFill/>
              <a:ln w="25400">
                <a:noFill/>
              </a:ln>
            </c:spPr>
            <c:txPr>
              <a:bodyPr/>
              <a:lstStyle/>
              <a:p>
                <a:pPr>
                  <a:defRPr sz="11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Graficos!$A$92:$A$101</c:f>
              <c:numCache>
                <c:formatCode>General</c:formatCode>
                <c:ptCount val="5"/>
                <c:pt idx="0">
                  <c:v>2007</c:v>
                </c:pt>
                <c:pt idx="1">
                  <c:v>2008</c:v>
                </c:pt>
                <c:pt idx="2">
                  <c:v>2009</c:v>
                </c:pt>
                <c:pt idx="3">
                  <c:v>2010</c:v>
                </c:pt>
                <c:pt idx="4">
                  <c:v>2011</c:v>
                </c:pt>
              </c:numCache>
            </c:numRef>
          </c:cat>
          <c:val>
            <c:numRef>
              <c:f>Graficos!$J$192:$J$201</c:f>
              <c:numCache>
                <c:formatCode>0</c:formatCode>
                <c:ptCount val="10"/>
                <c:pt idx="0">
                  <c:v>0</c:v>
                </c:pt>
                <c:pt idx="1">
                  <c:v>1</c:v>
                </c:pt>
                <c:pt idx="2">
                  <c:v>3</c:v>
                </c:pt>
                <c:pt idx="3">
                  <c:v>0</c:v>
                </c:pt>
                <c:pt idx="4">
                  <c:v>4</c:v>
                </c:pt>
                <c:pt idx="5">
                  <c:v>5</c:v>
                </c:pt>
                <c:pt idx="6">
                  <c:v>5</c:v>
                </c:pt>
                <c:pt idx="7">
                  <c:v>3</c:v>
                </c:pt>
                <c:pt idx="8">
                  <c:v>3</c:v>
                </c:pt>
                <c:pt idx="9" formatCode="General">
                  <c:v>0</c:v>
                </c:pt>
              </c:numCache>
            </c:numRef>
          </c:val>
          <c:smooth val="0"/>
          <c:extLst>
            <c:ext xmlns:c16="http://schemas.microsoft.com/office/drawing/2014/chart" uri="{C3380CC4-5D6E-409C-BE32-E72D297353CC}">
              <c16:uniqueId val="{00000006-365B-4AF1-9999-8DCF55F8F8CE}"/>
            </c:ext>
          </c:extLst>
        </c:ser>
        <c:dLbls>
          <c:showLegendKey val="0"/>
          <c:showVal val="1"/>
          <c:showCatName val="0"/>
          <c:showSerName val="0"/>
          <c:showPercent val="0"/>
          <c:showBubbleSize val="0"/>
        </c:dLbls>
        <c:marker val="1"/>
        <c:smooth val="0"/>
        <c:axId val="1403270528"/>
        <c:axId val="1403253120"/>
      </c:lineChart>
      <c:catAx>
        <c:axId val="140327052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53120"/>
        <c:crosses val="autoZero"/>
        <c:auto val="0"/>
        <c:lblAlgn val="ctr"/>
        <c:lblOffset val="100"/>
        <c:tickLblSkip val="1"/>
        <c:tickMarkSkip val="1"/>
        <c:noMultiLvlLbl val="0"/>
      </c:catAx>
      <c:valAx>
        <c:axId val="1403253120"/>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0528"/>
        <c:crosses val="autoZero"/>
        <c:crossBetween val="between"/>
      </c:valAx>
      <c:spPr>
        <a:solidFill>
          <a:srgbClr val="D4D4D4"/>
        </a:solidFill>
        <a:ln w="12700">
          <a:solidFill>
            <a:srgbClr val="C0C4C7"/>
          </a:solidFill>
          <a:prstDash val="solid"/>
        </a:ln>
      </c:spPr>
    </c:plotArea>
    <c:legend>
      <c:legendPos val="r"/>
      <c:layout>
        <c:manualLayout>
          <c:xMode val="edge"/>
          <c:yMode val="edge"/>
          <c:x val="0.18554687500000044"/>
          <c:y val="0.88380281690140861"/>
          <c:w val="0.44726562499999989"/>
          <c:h val="7.7464788732394596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Estadistica Mensual de Accidentes CDC</a:t>
            </a:r>
          </a:p>
        </c:rich>
      </c:tx>
      <c:layout>
        <c:manualLayout>
          <c:xMode val="edge"/>
          <c:yMode val="edge"/>
          <c:x val="0.2782260181187029"/>
          <c:y val="3.5335689045936397E-2"/>
        </c:manualLayout>
      </c:layout>
      <c:overlay val="0"/>
      <c:spPr>
        <a:noFill/>
        <a:ln w="25400">
          <a:noFill/>
        </a:ln>
      </c:spPr>
    </c:title>
    <c:autoTitleDeleted val="0"/>
    <c:plotArea>
      <c:layout>
        <c:manualLayout>
          <c:layoutTarget val="inner"/>
          <c:xMode val="edge"/>
          <c:yMode val="edge"/>
          <c:x val="7.0564585595492058E-2"/>
          <c:y val="0.20848092507889293"/>
          <c:w val="0.89112990952021398"/>
          <c:h val="0.50883480019255223"/>
        </c:manualLayout>
      </c:layout>
      <c:barChart>
        <c:barDir val="col"/>
        <c:grouping val="clustered"/>
        <c:varyColors val="0"/>
        <c:ser>
          <c:idx val="1"/>
          <c:order val="0"/>
          <c:tx>
            <c:v>Incapacitante</c:v>
          </c:tx>
          <c:spPr>
            <a:solidFill>
              <a:srgbClr val="FF3333"/>
            </a:solidFill>
            <a:ln w="12700">
              <a:solidFill>
                <a:srgbClr val="FF3333"/>
              </a:solidFill>
              <a:prstDash val="solid"/>
            </a:ln>
          </c:spPr>
          <c:invertIfNegative val="0"/>
          <c:dLbls>
            <c:delete val="1"/>
          </c:dLbls>
          <c:cat>
            <c:strRef>
              <c:f>Graficos!$B$82:$Q$82</c:f>
              <c:strCache>
                <c:ptCount val="16"/>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pt idx="14">
                  <c:v>Mar-11</c:v>
                </c:pt>
                <c:pt idx="15">
                  <c:v>Abr-11</c:v>
                </c:pt>
              </c:strCache>
            </c:strRef>
          </c:cat>
          <c:val>
            <c:numRef>
              <c:f>Graficos!$B$83:$Q$83</c:f>
              <c:numCache>
                <c:formatCode>General</c:formatCode>
                <c:ptCount val="16"/>
                <c:pt idx="0">
                  <c:v>1</c:v>
                </c:pt>
                <c:pt idx="1">
                  <c:v>0</c:v>
                </c:pt>
                <c:pt idx="2">
                  <c:v>0</c:v>
                </c:pt>
                <c:pt idx="3">
                  <c:v>0</c:v>
                </c:pt>
                <c:pt idx="4">
                  <c:v>0</c:v>
                </c:pt>
                <c:pt idx="5">
                  <c:v>0</c:v>
                </c:pt>
                <c:pt idx="6">
                  <c:v>0</c:v>
                </c:pt>
                <c:pt idx="7">
                  <c:v>0</c:v>
                </c:pt>
                <c:pt idx="8">
                  <c:v>0</c:v>
                </c:pt>
                <c:pt idx="9">
                  <c:v>0</c:v>
                </c:pt>
                <c:pt idx="10">
                  <c:v>0</c:v>
                </c:pt>
                <c:pt idx="11">
                  <c:v>1</c:v>
                </c:pt>
                <c:pt idx="12">
                  <c:v>0</c:v>
                </c:pt>
                <c:pt idx="13">
                  <c:v>0</c:v>
                </c:pt>
                <c:pt idx="14">
                  <c:v>0</c:v>
                </c:pt>
                <c:pt idx="15">
                  <c:v>0</c:v>
                </c:pt>
              </c:numCache>
            </c:numRef>
          </c:val>
          <c:extLst>
            <c:ext xmlns:c16="http://schemas.microsoft.com/office/drawing/2014/chart" uri="{C3380CC4-5D6E-409C-BE32-E72D297353CC}">
              <c16:uniqueId val="{00000000-6026-4C82-8BFA-251EB33AE31E}"/>
            </c:ext>
          </c:extLst>
        </c:ser>
        <c:ser>
          <c:idx val="2"/>
          <c:order val="1"/>
          <c:tx>
            <c:v>Menor</c:v>
          </c:tx>
          <c:spPr>
            <a:solidFill>
              <a:srgbClr val="008000"/>
            </a:solidFill>
            <a:ln w="25400">
              <a:no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6026-4C82-8BFA-251EB33AE31E}"/>
                </c:ext>
              </c:extLst>
            </c:dLbl>
            <c:dLbl>
              <c:idx val="2"/>
              <c:delete val="1"/>
              <c:extLst>
                <c:ext xmlns:c15="http://schemas.microsoft.com/office/drawing/2012/chart" uri="{CE6537A1-D6FC-4f65-9D91-7224C49458BB}"/>
                <c:ext xmlns:c16="http://schemas.microsoft.com/office/drawing/2014/chart" uri="{C3380CC4-5D6E-409C-BE32-E72D297353CC}">
                  <c16:uniqueId val="{00000002-6026-4C82-8BFA-251EB33AE31E}"/>
                </c:ext>
              </c:extLst>
            </c:dLbl>
            <c:dLbl>
              <c:idx val="3"/>
              <c:delete val="1"/>
              <c:extLst>
                <c:ext xmlns:c15="http://schemas.microsoft.com/office/drawing/2012/chart" uri="{CE6537A1-D6FC-4f65-9D91-7224C49458BB}"/>
                <c:ext xmlns:c16="http://schemas.microsoft.com/office/drawing/2014/chart" uri="{C3380CC4-5D6E-409C-BE32-E72D297353CC}">
                  <c16:uniqueId val="{00000003-6026-4C82-8BFA-251EB33AE31E}"/>
                </c:ext>
              </c:extLst>
            </c:dLbl>
            <c:dLbl>
              <c:idx val="4"/>
              <c:delete val="1"/>
              <c:extLst>
                <c:ext xmlns:c15="http://schemas.microsoft.com/office/drawing/2012/chart" uri="{CE6537A1-D6FC-4f65-9D91-7224C49458BB}"/>
                <c:ext xmlns:c16="http://schemas.microsoft.com/office/drawing/2014/chart" uri="{C3380CC4-5D6E-409C-BE32-E72D297353CC}">
                  <c16:uniqueId val="{00000004-6026-4C82-8BFA-251EB33AE31E}"/>
                </c:ext>
              </c:extLst>
            </c:dLbl>
            <c:dLbl>
              <c:idx val="6"/>
              <c:delete val="1"/>
              <c:extLst>
                <c:ext xmlns:c15="http://schemas.microsoft.com/office/drawing/2012/chart" uri="{CE6537A1-D6FC-4f65-9D91-7224C49458BB}"/>
                <c:ext xmlns:c16="http://schemas.microsoft.com/office/drawing/2014/chart" uri="{C3380CC4-5D6E-409C-BE32-E72D297353CC}">
                  <c16:uniqueId val="{00000005-6026-4C82-8BFA-251EB33AE31E}"/>
                </c:ext>
              </c:extLst>
            </c:dLbl>
            <c:dLbl>
              <c:idx val="7"/>
              <c:delete val="1"/>
              <c:extLst>
                <c:ext xmlns:c15="http://schemas.microsoft.com/office/drawing/2012/chart" uri="{CE6537A1-D6FC-4f65-9D91-7224C49458BB}"/>
                <c:ext xmlns:c16="http://schemas.microsoft.com/office/drawing/2014/chart" uri="{C3380CC4-5D6E-409C-BE32-E72D297353CC}">
                  <c16:uniqueId val="{00000006-6026-4C82-8BFA-251EB33AE31E}"/>
                </c:ext>
              </c:extLst>
            </c:dLbl>
            <c:dLbl>
              <c:idx val="8"/>
              <c:delete val="1"/>
              <c:extLst>
                <c:ext xmlns:c15="http://schemas.microsoft.com/office/drawing/2012/chart" uri="{CE6537A1-D6FC-4f65-9D91-7224C49458BB}"/>
                <c:ext xmlns:c16="http://schemas.microsoft.com/office/drawing/2014/chart" uri="{C3380CC4-5D6E-409C-BE32-E72D297353CC}">
                  <c16:uniqueId val="{00000007-6026-4C82-8BFA-251EB33AE31E}"/>
                </c:ext>
              </c:extLst>
            </c:dLbl>
            <c:dLbl>
              <c:idx val="9"/>
              <c:delete val="1"/>
              <c:extLst>
                <c:ext xmlns:c15="http://schemas.microsoft.com/office/drawing/2012/chart" uri="{CE6537A1-D6FC-4f65-9D91-7224C49458BB}"/>
                <c:ext xmlns:c16="http://schemas.microsoft.com/office/drawing/2014/chart" uri="{C3380CC4-5D6E-409C-BE32-E72D297353CC}">
                  <c16:uniqueId val="{00000008-6026-4C82-8BFA-251EB33AE31E}"/>
                </c:ext>
              </c:extLst>
            </c:dLbl>
            <c:dLbl>
              <c:idx val="12"/>
              <c:delete val="1"/>
              <c:extLst>
                <c:ext xmlns:c15="http://schemas.microsoft.com/office/drawing/2012/chart" uri="{CE6537A1-D6FC-4f65-9D91-7224C49458BB}"/>
                <c:ext xmlns:c16="http://schemas.microsoft.com/office/drawing/2014/chart" uri="{C3380CC4-5D6E-409C-BE32-E72D297353CC}">
                  <c16:uniqueId val="{00000009-6026-4C82-8BFA-251EB33AE31E}"/>
                </c:ext>
              </c:extLst>
            </c:dLbl>
            <c:spPr>
              <a:noFill/>
              <a:ln w="25400">
                <a:noFill/>
              </a:ln>
            </c:spPr>
            <c:txPr>
              <a:bodyPr/>
              <a:lstStyle/>
              <a:p>
                <a:pPr>
                  <a:defRPr sz="1000" b="1" i="0" u="none" strike="noStrike" baseline="0">
                    <a:solidFill>
                      <a:srgbClr val="008000"/>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Graficos!$B$82:$Q$82</c:f>
              <c:strCache>
                <c:ptCount val="16"/>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pt idx="14">
                  <c:v>Mar-11</c:v>
                </c:pt>
                <c:pt idx="15">
                  <c:v>Abr-11</c:v>
                </c:pt>
              </c:strCache>
            </c:strRef>
          </c:cat>
          <c:val>
            <c:numRef>
              <c:f>Graficos!$B$85:$O$85</c:f>
              <c:numCache>
                <c:formatCode>General</c:formatCode>
                <c:ptCount val="14"/>
                <c:pt idx="0">
                  <c:v>1</c:v>
                </c:pt>
                <c:pt idx="1">
                  <c:v>1</c:v>
                </c:pt>
                <c:pt idx="2">
                  <c:v>0</c:v>
                </c:pt>
                <c:pt idx="3">
                  <c:v>0</c:v>
                </c:pt>
                <c:pt idx="4">
                  <c:v>0</c:v>
                </c:pt>
                <c:pt idx="5">
                  <c:v>0</c:v>
                </c:pt>
                <c:pt idx="6">
                  <c:v>0</c:v>
                </c:pt>
                <c:pt idx="7">
                  <c:v>0</c:v>
                </c:pt>
                <c:pt idx="8">
                  <c:v>1</c:v>
                </c:pt>
                <c:pt idx="9">
                  <c:v>0</c:v>
                </c:pt>
                <c:pt idx="10">
                  <c:v>0</c:v>
                </c:pt>
                <c:pt idx="11">
                  <c:v>0</c:v>
                </c:pt>
                <c:pt idx="12">
                  <c:v>0</c:v>
                </c:pt>
                <c:pt idx="13">
                  <c:v>0</c:v>
                </c:pt>
              </c:numCache>
            </c:numRef>
          </c:val>
          <c:extLst>
            <c:ext xmlns:c16="http://schemas.microsoft.com/office/drawing/2014/chart" uri="{C3380CC4-5D6E-409C-BE32-E72D297353CC}">
              <c16:uniqueId val="{0000000A-6026-4C82-8BFA-251EB33AE31E}"/>
            </c:ext>
          </c:extLst>
        </c:ser>
        <c:ser>
          <c:idx val="0"/>
          <c:order val="2"/>
          <c:tx>
            <c:v>DMR</c:v>
          </c:tx>
          <c:spPr>
            <a:solidFill>
              <a:srgbClr val="9999FF"/>
            </a:solidFill>
            <a:ln w="12700">
              <a:solidFill>
                <a:srgbClr val="000000"/>
              </a:solidFill>
              <a:prstDash val="solid"/>
            </a:ln>
          </c:spPr>
          <c:invertIfNegative val="0"/>
          <c:dLbls>
            <c:delete val="1"/>
          </c:dLbls>
          <c:cat>
            <c:strRef>
              <c:f>Graficos!$B$82:$Q$82</c:f>
              <c:strCache>
                <c:ptCount val="16"/>
                <c:pt idx="0">
                  <c:v>Ene </c:v>
                </c:pt>
                <c:pt idx="1">
                  <c:v>Feb</c:v>
                </c:pt>
                <c:pt idx="2">
                  <c:v>Mar</c:v>
                </c:pt>
                <c:pt idx="3">
                  <c:v>Abr</c:v>
                </c:pt>
                <c:pt idx="4">
                  <c:v>May</c:v>
                </c:pt>
                <c:pt idx="5">
                  <c:v>Jun</c:v>
                </c:pt>
                <c:pt idx="6">
                  <c:v>Jul</c:v>
                </c:pt>
                <c:pt idx="7">
                  <c:v>Ago</c:v>
                </c:pt>
                <c:pt idx="8">
                  <c:v>Sep</c:v>
                </c:pt>
                <c:pt idx="9">
                  <c:v>Oct</c:v>
                </c:pt>
                <c:pt idx="10">
                  <c:v>Nov</c:v>
                </c:pt>
                <c:pt idx="11">
                  <c:v>Dic</c:v>
                </c:pt>
                <c:pt idx="12">
                  <c:v>Ene-11</c:v>
                </c:pt>
                <c:pt idx="13">
                  <c:v>Feb-11</c:v>
                </c:pt>
                <c:pt idx="14">
                  <c:v>Mar-11</c:v>
                </c:pt>
                <c:pt idx="15">
                  <c:v>Abr-11</c:v>
                </c:pt>
              </c:strCache>
            </c:strRef>
          </c:cat>
          <c:val>
            <c:numRef>
              <c:f>Graficos!$B$84:$Q$84</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B-6026-4C82-8BFA-251EB33AE31E}"/>
            </c:ext>
          </c:extLst>
        </c:ser>
        <c:dLbls>
          <c:showLegendKey val="0"/>
          <c:showVal val="1"/>
          <c:showCatName val="0"/>
          <c:showSerName val="0"/>
          <c:showPercent val="0"/>
          <c:showBubbleSize val="0"/>
        </c:dLbls>
        <c:gapWidth val="150"/>
        <c:axId val="1403279232"/>
        <c:axId val="1403249856"/>
      </c:barChart>
      <c:catAx>
        <c:axId val="14032792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49856"/>
        <c:crosses val="autoZero"/>
        <c:auto val="0"/>
        <c:lblAlgn val="ctr"/>
        <c:lblOffset val="100"/>
        <c:tickLblSkip val="1"/>
        <c:tickMarkSkip val="1"/>
        <c:noMultiLvlLbl val="0"/>
      </c:catAx>
      <c:valAx>
        <c:axId val="1403249856"/>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9232"/>
        <c:crosses val="autoZero"/>
        <c:crossBetween val="between"/>
        <c:majorUnit val="1"/>
      </c:valAx>
      <c:spPr>
        <a:solidFill>
          <a:srgbClr val="D4D4D4"/>
        </a:solidFill>
        <a:ln w="12700">
          <a:solidFill>
            <a:srgbClr val="000000"/>
          </a:solidFill>
          <a:prstDash val="solid"/>
        </a:ln>
      </c:spPr>
    </c:plotArea>
    <c:legend>
      <c:legendPos val="r"/>
      <c:layout>
        <c:manualLayout>
          <c:xMode val="edge"/>
          <c:yMode val="edge"/>
          <c:x val="0.12298387096774199"/>
          <c:y val="0.86572438162544174"/>
          <c:w val="0.47580645161290597"/>
          <c:h val="7.7738515901060123E-2"/>
        </c:manualLayout>
      </c:layout>
      <c:overlay val="0"/>
      <c:spPr>
        <a:solidFill>
          <a:srgbClr val="FFFFFF"/>
        </a:solidFill>
        <a:ln w="3175">
          <a:solidFill>
            <a:srgbClr val="000000"/>
          </a:solidFill>
          <a:prstDash val="solid"/>
        </a:ln>
      </c:spPr>
      <c:txPr>
        <a:bodyPr/>
        <a:lstStyle/>
        <a:p>
          <a:pPr>
            <a:defRPr lang="es-PE" sz="690"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INDICE DE FRECUENCIA - CDC
Incapacitantes + DMR </a:t>
            </a:r>
          </a:p>
        </c:rich>
      </c:tx>
      <c:layout>
        <c:manualLayout>
          <c:xMode val="edge"/>
          <c:yMode val="edge"/>
          <c:x val="0.33916894716518953"/>
          <c:y val="1.7985611510791366E-2"/>
        </c:manualLayout>
      </c:layout>
      <c:overlay val="0"/>
      <c:spPr>
        <a:noFill/>
        <a:ln w="25400">
          <a:noFill/>
        </a:ln>
      </c:spPr>
    </c:title>
    <c:autoTitleDeleted val="0"/>
    <c:plotArea>
      <c:layout>
        <c:manualLayout>
          <c:layoutTarget val="inner"/>
          <c:xMode val="edge"/>
          <c:yMode val="edge"/>
          <c:x val="9.4092004252432068E-2"/>
          <c:y val="0.22661870503597123"/>
          <c:w val="0.8687098997259427"/>
          <c:h val="0.6079136690647482"/>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5.6159938432203634E-2"/>
                  <c:y val="-4.37647991842745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9C-4B7E-A4DE-C544E00A2598}"/>
                </c:ext>
              </c:extLst>
            </c:dLbl>
            <c:dLbl>
              <c:idx val="1"/>
              <c:delete val="1"/>
              <c:extLst>
                <c:ext xmlns:c15="http://schemas.microsoft.com/office/drawing/2012/chart" uri="{CE6537A1-D6FC-4f65-9D91-7224C49458BB}"/>
                <c:ext xmlns:c16="http://schemas.microsoft.com/office/drawing/2014/chart" uri="{C3380CC4-5D6E-409C-BE32-E72D297353CC}">
                  <c16:uniqueId val="{00000001-169C-4B7E-A4DE-C544E00A2598}"/>
                </c:ext>
              </c:extLst>
            </c:dLbl>
            <c:dLbl>
              <c:idx val="2"/>
              <c:delete val="1"/>
              <c:extLst>
                <c:ext xmlns:c15="http://schemas.microsoft.com/office/drawing/2012/chart" uri="{CE6537A1-D6FC-4f65-9D91-7224C49458BB}"/>
                <c:ext xmlns:c16="http://schemas.microsoft.com/office/drawing/2014/chart" uri="{C3380CC4-5D6E-409C-BE32-E72D297353CC}">
                  <c16:uniqueId val="{00000002-169C-4B7E-A4DE-C544E00A2598}"/>
                </c:ext>
              </c:extLst>
            </c:dLbl>
            <c:dLbl>
              <c:idx val="3"/>
              <c:layout>
                <c:manualLayout>
                  <c:x val="-0.10211524434719274"/>
                  <c:y val="-4.79616306954440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9C-4B7E-A4DE-C544E00A2598}"/>
                </c:ext>
              </c:extLst>
            </c:dLbl>
            <c:dLbl>
              <c:idx val="4"/>
              <c:layout>
                <c:manualLayout>
                  <c:x val="-5.2516411378557122E-2"/>
                  <c:y val="-4.31654676258991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9C-4B7E-A4DE-C544E00A2598}"/>
                </c:ext>
              </c:extLst>
            </c:dLbl>
            <c:dLbl>
              <c:idx val="5"/>
              <c:layout>
                <c:manualLayout>
                  <c:x val="-3.5010940919037205E-2"/>
                  <c:y val="3.83693045563550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9C-4B7E-A4DE-C544E00A2598}"/>
                </c:ext>
              </c:extLst>
            </c:dLbl>
            <c:dLbl>
              <c:idx val="6"/>
              <c:layout>
                <c:manualLayout>
                  <c:x val="-9.9198125398442485E-2"/>
                  <c:y val="-1.48574398860289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69C-4B7E-A4DE-C544E00A2598}"/>
                </c:ext>
              </c:extLst>
            </c:dLbl>
            <c:dLbl>
              <c:idx val="7"/>
              <c:layout>
                <c:manualLayout>
                  <c:x val="-6.7104303428154627E-2"/>
                  <c:y val="-5.49155805402075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9C-4B7E-A4DE-C544E00A2598}"/>
                </c:ext>
              </c:extLst>
            </c:dLbl>
            <c:dLbl>
              <c:idx val="8"/>
              <c:layout>
                <c:manualLayout>
                  <c:x val="-5.2516411378557122E-2"/>
                  <c:y val="5.2570317463373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69C-4B7E-A4DE-C544E00A2598}"/>
                </c:ext>
              </c:extLst>
            </c:dLbl>
            <c:dLbl>
              <c:idx val="9"/>
              <c:layout>
                <c:manualLayout>
                  <c:x val="-5.5433989788475573E-2"/>
                  <c:y val="-6.25377817992799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69C-4B7E-A4DE-C544E00A2598}"/>
                </c:ext>
              </c:extLst>
            </c:dLbl>
            <c:dLbl>
              <c:idx val="10"/>
              <c:layout>
                <c:manualLayout>
                  <c:x val="-4.6681254558716294E-2"/>
                  <c:y val="-4.31654676258992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69C-4B7E-A4DE-C544E00A2598}"/>
                </c:ext>
              </c:extLst>
            </c:dLbl>
            <c:dLbl>
              <c:idx val="11"/>
              <c:layout>
                <c:manualLayout>
                  <c:x val="-4.8829694975217913E-2"/>
                  <c:y val="4.67625899280579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69C-4B7E-A4DE-C544E00A2598}"/>
                </c:ext>
              </c:extLst>
            </c:dLbl>
            <c:dLbl>
              <c:idx val="12"/>
              <c:layout>
                <c:manualLayout>
                  <c:x val="-5.1743827426385704E-2"/>
                  <c:y val="-5.51558439058197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69C-4B7E-A4DE-C544E00A2598}"/>
                </c:ext>
              </c:extLst>
            </c:dLbl>
            <c:dLbl>
              <c:idx val="13"/>
              <c:layout>
                <c:manualLayout>
                  <c:x val="-1.1670313639679073E-2"/>
                  <c:y val="3.31035943245480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69C-4B7E-A4DE-C544E00A2598}"/>
                </c:ext>
              </c:extLst>
            </c:dLbl>
            <c:dLbl>
              <c:idx val="14"/>
              <c:layout>
                <c:manualLayout>
                  <c:x val="-9.0113885018104009E-2"/>
                  <c:y val="-3.13423591835194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69C-4B7E-A4DE-C544E00A2598}"/>
                </c:ext>
              </c:extLst>
            </c:dLbl>
            <c:dLbl>
              <c:idx val="15"/>
              <c:layout>
                <c:manualLayout>
                  <c:x val="-4.9598832968636958E-2"/>
                  <c:y val="4.23210408051511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69C-4B7E-A4DE-C544E00A2598}"/>
                </c:ext>
              </c:extLst>
            </c:dLbl>
            <c:dLbl>
              <c:idx val="16"/>
              <c:layout>
                <c:manualLayout>
                  <c:x val="-1.7615633866662189E-2"/>
                  <c:y val="3.71702637889688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69C-4B7E-A4DE-C544E00A2598}"/>
                </c:ext>
              </c:extLst>
            </c:dLbl>
            <c:dLbl>
              <c:idx val="17"/>
              <c:delete val="1"/>
              <c:extLst>
                <c:ext xmlns:c15="http://schemas.microsoft.com/office/drawing/2012/chart" uri="{CE6537A1-D6FC-4f65-9D91-7224C49458BB}"/>
                <c:ext xmlns:c16="http://schemas.microsoft.com/office/drawing/2014/chart" uri="{C3380CC4-5D6E-409C-BE32-E72D297353CC}">
                  <c16:uniqueId val="{00000011-169C-4B7E-A4DE-C544E00A2598}"/>
                </c:ext>
              </c:extLst>
            </c:dLbl>
            <c:dLbl>
              <c:idx val="18"/>
              <c:layout>
                <c:manualLayout>
                  <c:x val="-0.10876618034686042"/>
                  <c:y val="-4.91761551388810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69C-4B7E-A4DE-C544E00A2598}"/>
                </c:ext>
              </c:extLst>
            </c:dLbl>
            <c:dLbl>
              <c:idx val="19"/>
              <c:layout>
                <c:manualLayout>
                  <c:x val="-2.8429282160625451E-2"/>
                  <c:y val="-3.3573141486810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69C-4B7E-A4DE-C544E00A2598}"/>
                </c:ext>
              </c:extLst>
            </c:dLbl>
            <c:dLbl>
              <c:idx val="20"/>
              <c:delete val="1"/>
              <c:extLst>
                <c:ext xmlns:c15="http://schemas.microsoft.com/office/drawing/2012/chart" uri="{CE6537A1-D6FC-4f65-9D91-7224C49458BB}"/>
                <c:ext xmlns:c16="http://schemas.microsoft.com/office/drawing/2014/chart" uri="{C3380CC4-5D6E-409C-BE32-E72D297353CC}">
                  <c16:uniqueId val="{00000014-169C-4B7E-A4DE-C544E00A2598}"/>
                </c:ext>
              </c:extLst>
            </c:dLbl>
            <c:dLbl>
              <c:idx val="21"/>
              <c:layout>
                <c:manualLayout>
                  <c:x val="-3.7611940298507646E-2"/>
                  <c:y val="6.35491606714624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69C-4B7E-A4DE-C544E00A2598}"/>
                </c:ext>
              </c:extLst>
            </c:dLbl>
            <c:dLbl>
              <c:idx val="23"/>
              <c:layout>
                <c:manualLayout>
                  <c:x val="-2.0480275786422431E-3"/>
                  <c:y val="4.43645083932853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169C-4B7E-A4DE-C544E00A2598}"/>
                </c:ext>
              </c:extLst>
            </c:dLbl>
            <c:numFmt formatCode="#,##0.00" sourceLinked="0"/>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Graficos!$N$82:$AK$82</c:f>
              <c:numCache>
                <c:formatCode>mmm\-yy</c:formatCode>
                <c:ptCount val="24"/>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40817</c:v>
                </c:pt>
                <c:pt idx="22">
                  <c:v>41214</c:v>
                </c:pt>
                <c:pt idx="23">
                  <c:v>41244</c:v>
                </c:pt>
              </c:numCache>
            </c:numRef>
          </c:cat>
          <c:val>
            <c:numRef>
              <c:f>Graficos!$N$87:$AK$87</c:f>
              <c:numCache>
                <c:formatCode>General</c:formatCode>
                <c:ptCount val="24"/>
                <c:pt idx="0">
                  <c:v>0.8</c:v>
                </c:pt>
                <c:pt idx="1">
                  <c:v>0.8</c:v>
                </c:pt>
                <c:pt idx="2">
                  <c:v>0.9</c:v>
                </c:pt>
                <c:pt idx="3">
                  <c:v>0.9</c:v>
                </c:pt>
                <c:pt idx="4" formatCode="0.0">
                  <c:v>1</c:v>
                </c:pt>
                <c:pt idx="5" formatCode="0.0">
                  <c:v>1</c:v>
                </c:pt>
                <c:pt idx="6" formatCode="0.0">
                  <c:v>3.7</c:v>
                </c:pt>
                <c:pt idx="7" formatCode="0.0">
                  <c:v>3.7</c:v>
                </c:pt>
                <c:pt idx="8" formatCode="0.0">
                  <c:v>3.7</c:v>
                </c:pt>
                <c:pt idx="9" formatCode="0.0">
                  <c:v>3.8</c:v>
                </c:pt>
                <c:pt idx="10" formatCode="0.0">
                  <c:v>3.7</c:v>
                </c:pt>
                <c:pt idx="11" formatCode="0.0">
                  <c:v>2.7</c:v>
                </c:pt>
                <c:pt idx="12" formatCode="0.0">
                  <c:v>3.9</c:v>
                </c:pt>
                <c:pt idx="13" formatCode="0.0">
                  <c:v>3.7</c:v>
                </c:pt>
                <c:pt idx="14" formatCode="0.0">
                  <c:v>7.1</c:v>
                </c:pt>
                <c:pt idx="15" formatCode="0.0">
                  <c:v>6.5</c:v>
                </c:pt>
                <c:pt idx="16" formatCode="0.0">
                  <c:v>7</c:v>
                </c:pt>
                <c:pt idx="17" formatCode="0.0">
                  <c:v>2.2105844129534624</c:v>
                </c:pt>
                <c:pt idx="18" formatCode="0.0">
                  <c:v>2.2105844129534624</c:v>
                </c:pt>
                <c:pt idx="19" formatCode="0.0">
                  <c:v>2.2105844129534624</c:v>
                </c:pt>
                <c:pt idx="20" formatCode="0.0">
                  <c:v>2.2105844129534624</c:v>
                </c:pt>
                <c:pt idx="21" formatCode="0.0">
                  <c:v>7.5</c:v>
                </c:pt>
                <c:pt idx="22" formatCode="0.0">
                  <c:v>2.2105844129534624</c:v>
                </c:pt>
                <c:pt idx="23" formatCode="0.0">
                  <c:v>2.2105844129534624</c:v>
                </c:pt>
              </c:numCache>
            </c:numRef>
          </c:val>
          <c:smooth val="0"/>
          <c:extLst>
            <c:ext xmlns:c16="http://schemas.microsoft.com/office/drawing/2014/chart" uri="{C3380CC4-5D6E-409C-BE32-E72D297353CC}">
              <c16:uniqueId val="{00000017-169C-4B7E-A4DE-C544E00A2598}"/>
            </c:ext>
          </c:extLst>
        </c:ser>
        <c:dLbls>
          <c:showLegendKey val="0"/>
          <c:showVal val="1"/>
          <c:showCatName val="0"/>
          <c:showSerName val="0"/>
          <c:showPercent val="0"/>
          <c:showBubbleSize val="0"/>
        </c:dLbls>
        <c:marker val="1"/>
        <c:smooth val="0"/>
        <c:axId val="1403262368"/>
        <c:axId val="1403265088"/>
      </c:lineChart>
      <c:catAx>
        <c:axId val="1403262368"/>
        <c:scaling>
          <c:orientation val="minMax"/>
        </c:scaling>
        <c:delete val="0"/>
        <c:axPos val="b"/>
        <c:numFmt formatCode="mmm\-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5088"/>
        <c:crossesAt val="0"/>
        <c:auto val="0"/>
        <c:lblAlgn val="ctr"/>
        <c:lblOffset val="100"/>
        <c:tickLblSkip val="2"/>
        <c:tickMarkSkip val="1"/>
        <c:noMultiLvlLbl val="0"/>
      </c:catAx>
      <c:valAx>
        <c:axId val="1403265088"/>
        <c:scaling>
          <c:orientation val="minMax"/>
          <c:min val="0"/>
        </c:scaling>
        <c:delete val="0"/>
        <c:axPos val="l"/>
        <c:majorGridlines>
          <c:spPr>
            <a:ln w="3175">
              <a:solidFill>
                <a:srgbClr val="000000"/>
              </a:solidFill>
              <a:prstDash val="solid"/>
            </a:ln>
          </c:spPr>
        </c:majorGridlines>
        <c:minorGridlines/>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2368"/>
        <c:crosses val="autoZero"/>
        <c:crossBetween val="between"/>
        <c:minorUnit val="0.5"/>
      </c:valAx>
      <c:spPr>
        <a:solidFill>
          <a:srgbClr val="D4D4D4"/>
        </a:solidFill>
        <a:ln w="12700">
          <a:solidFill>
            <a:srgbClr val="C0C4C7"/>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ESTADISTICA MENSUAL ACCIDENTES CDC</a:t>
            </a:r>
          </a:p>
        </c:rich>
      </c:tx>
      <c:layout>
        <c:manualLayout>
          <c:xMode val="edge"/>
          <c:yMode val="edge"/>
          <c:x val="0.31911582142279632"/>
          <c:y val="1.5243966063875045E-2"/>
        </c:manualLayout>
      </c:layout>
      <c:overlay val="0"/>
      <c:spPr>
        <a:noFill/>
        <a:ln w="25400">
          <a:noFill/>
        </a:ln>
      </c:spPr>
    </c:title>
    <c:autoTitleDeleted val="0"/>
    <c:plotArea>
      <c:layout>
        <c:manualLayout>
          <c:layoutTarget val="inner"/>
          <c:xMode val="edge"/>
          <c:yMode val="edge"/>
          <c:x val="3.3175406631687263E-2"/>
          <c:y val="0.14939046629440444"/>
          <c:w val="0.92733160441906781"/>
          <c:h val="0.66463513575876565"/>
        </c:manualLayout>
      </c:layout>
      <c:lineChart>
        <c:grouping val="standard"/>
        <c:varyColors val="0"/>
        <c:ser>
          <c:idx val="1"/>
          <c:order val="0"/>
          <c:tx>
            <c:v>Incapacitantes</c:v>
          </c:tx>
          <c:marker>
            <c:spPr>
              <a:solidFill>
                <a:srgbClr val="FF0000"/>
              </a:solidFill>
            </c:spPr>
          </c:marker>
          <c:dLbls>
            <c:dLbl>
              <c:idx val="6"/>
              <c:layout>
                <c:manualLayout>
                  <c:x val="-2.5276461295418627E-2"/>
                  <c:y val="-5.3267553174110485E-2"/>
                </c:manualLayout>
              </c:layout>
              <c:tx>
                <c:rich>
                  <a:bodyPr/>
                  <a:lstStyle/>
                  <a:p>
                    <a:pPr>
                      <a:defRPr/>
                    </a:pPr>
                    <a:r>
                      <a:rPr lang="es-PE" sz="1200" b="1">
                        <a:solidFill>
                          <a:srgbClr val="FF0000"/>
                        </a:solidFill>
                      </a:rPr>
                      <a:t>2</a:t>
                    </a:r>
                  </a:p>
                </c:rich>
              </c:tx>
              <c:numFmt formatCode="General" sourceLinked="0"/>
              <c:spPr>
                <a:noFill/>
                <a:ln w="25400">
                  <a:noFill/>
                </a:ln>
              </c:sp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953-4879-A322-64E81BE54136}"/>
                </c:ext>
              </c:extLst>
            </c:dLbl>
            <c:dLbl>
              <c:idx val="12"/>
              <c:layout>
                <c:manualLayout>
                  <c:x val="-2.5276461295418627E-2"/>
                  <c:y val="-4.1493775933609964E-2"/>
                </c:manualLayout>
              </c:layout>
              <c:tx>
                <c:rich>
                  <a:bodyPr/>
                  <a:lstStyle/>
                  <a:p>
                    <a:pPr>
                      <a:defRPr/>
                    </a:pPr>
                    <a:r>
                      <a:rPr lang="en-US" sz="1200" b="1">
                        <a:solidFill>
                          <a:srgbClr val="FF0000"/>
                        </a:solidFill>
                      </a:rPr>
                      <a:t>1</a:t>
                    </a:r>
                  </a:p>
                </c:rich>
              </c:tx>
              <c:numFmt formatCode="General" sourceLinked="0"/>
              <c:spPr>
                <a:noFill/>
                <a:ln w="25400">
                  <a:noFill/>
                </a:ln>
              </c:sp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953-4879-A322-64E81BE54136}"/>
                </c:ext>
              </c:extLst>
            </c:dLbl>
            <c:dLbl>
              <c:idx val="14"/>
              <c:layout>
                <c:manualLayout>
                  <c:x val="-2.3170089520800422E-2"/>
                  <c:y val="-4.1493775933609964E-2"/>
                </c:manualLayout>
              </c:layout>
              <c:tx>
                <c:rich>
                  <a:bodyPr/>
                  <a:lstStyle/>
                  <a:p>
                    <a:pPr>
                      <a:defRPr/>
                    </a:pPr>
                    <a:r>
                      <a:rPr lang="en-US" sz="1200" b="1">
                        <a:solidFill>
                          <a:srgbClr val="FF0000"/>
                        </a:solidFill>
                      </a:rPr>
                      <a:t>3</a:t>
                    </a:r>
                  </a:p>
                </c:rich>
              </c:tx>
              <c:numFmt formatCode="General" sourceLinked="0"/>
              <c:spPr>
                <a:noFill/>
                <a:ln w="25400">
                  <a:noFill/>
                </a:ln>
              </c:sp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953-4879-A322-64E81BE54136}"/>
                </c:ext>
              </c:extLst>
            </c:dLbl>
            <c:dLbl>
              <c:idx val="16"/>
              <c:layout>
                <c:manualLayout>
                  <c:x val="-2.7382833070036871E-2"/>
                  <c:y val="-5.289960830175984E-2"/>
                </c:manualLayout>
              </c:layout>
              <c:tx>
                <c:rich>
                  <a:bodyPr/>
                  <a:lstStyle/>
                  <a:p>
                    <a:pPr>
                      <a:defRPr/>
                    </a:pPr>
                    <a:r>
                      <a:rPr lang="en-US" b="1">
                        <a:solidFill>
                          <a:srgbClr val="FF0000"/>
                        </a:solidFill>
                      </a:rPr>
                      <a:t>1</a:t>
                    </a:r>
                  </a:p>
                </c:rich>
              </c:tx>
              <c:numFmt formatCode="General" sourceLinked="0"/>
              <c:spPr>
                <a:noFill/>
                <a:ln w="25400">
                  <a:noFill/>
                </a:ln>
              </c:sp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953-4879-A322-64E81BE54136}"/>
                </c:ext>
              </c:extLst>
            </c:dLbl>
            <c:dLbl>
              <c:idx val="17"/>
              <c:layout>
                <c:manualLayout>
                  <c:x val="-2.655603870411721E-2"/>
                  <c:y val="-4.2877231895309204E-2"/>
                </c:manualLayout>
              </c:layout>
              <c:tx>
                <c:rich>
                  <a:bodyPr/>
                  <a:lstStyle/>
                  <a:p>
                    <a:pPr>
                      <a:defRPr/>
                    </a:pPr>
                    <a:r>
                      <a:rPr lang="en-US" sz="1050" b="1">
                        <a:solidFill>
                          <a:srgbClr val="FF0000"/>
                        </a:solidFill>
                      </a:rPr>
                      <a:t>2</a:t>
                    </a:r>
                  </a:p>
                </c:rich>
              </c:tx>
              <c:numFmt formatCode="General" sourceLinked="0"/>
              <c:spPr>
                <a:noFill/>
                <a:ln w="25400">
                  <a:noFill/>
                </a:ln>
              </c:sp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953-4879-A322-64E81BE54136}"/>
                </c:ext>
              </c:extLst>
            </c:dLbl>
            <c:dLbl>
              <c:idx val="20"/>
              <c:layout>
                <c:manualLayout>
                  <c:x val="-2.3880597014925495E-2"/>
                  <c:y val="-5.2582159624413163E-2"/>
                </c:manualLayout>
              </c:layout>
              <c:tx>
                <c:rich>
                  <a:bodyPr/>
                  <a:lstStyle/>
                  <a:p>
                    <a:r>
                      <a:rPr lang="en-US" sz="1100" b="1">
                        <a:solidFill>
                          <a:srgbClr val="FF0000"/>
                        </a:solidFill>
                      </a:rPr>
                      <a: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953-4879-A322-64E81BE54136}"/>
                </c:ext>
              </c:extLst>
            </c:dLbl>
            <c:dLbl>
              <c:idx val="21"/>
              <c:layout>
                <c:manualLayout>
                  <c:x val="-2.8230184581976212E-2"/>
                  <c:y val="-3.4985422740524796E-2"/>
                </c:manualLayout>
              </c:layout>
              <c:tx>
                <c:rich>
                  <a:bodyPr/>
                  <a:lstStyle/>
                  <a:p>
                    <a:r>
                      <a:rPr lang="en-US" b="1">
                        <a:solidFill>
                          <a:srgbClr val="FF0000"/>
                        </a:solidFill>
                      </a:rPr>
                      <a:t>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953-4879-A322-64E81BE54136}"/>
                </c:ext>
              </c:extLst>
            </c:dLbl>
            <c:numFmt formatCode="General" sourceLinked="0"/>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Graficos!$N$82:$AJ$82</c:f>
              <c:numCache>
                <c:formatCode>mmm\-yy</c:formatCode>
                <c:ptCount val="23"/>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40817</c:v>
                </c:pt>
                <c:pt idx="22">
                  <c:v>41214</c:v>
                </c:pt>
              </c:numCache>
            </c:numRef>
          </c:cat>
          <c:val>
            <c:numRef>
              <c:f>Graficos!$N$83:$AK$83</c:f>
              <c:numCache>
                <c:formatCode>General</c:formatCode>
                <c:ptCount val="24"/>
                <c:pt idx="0">
                  <c:v>0</c:v>
                </c:pt>
                <c:pt idx="1">
                  <c:v>0</c:v>
                </c:pt>
                <c:pt idx="2">
                  <c:v>0</c:v>
                </c:pt>
                <c:pt idx="3">
                  <c:v>0</c:v>
                </c:pt>
                <c:pt idx="4">
                  <c:v>0</c:v>
                </c:pt>
                <c:pt idx="5">
                  <c:v>0</c:v>
                </c:pt>
                <c:pt idx="6">
                  <c:v>2</c:v>
                </c:pt>
                <c:pt idx="7">
                  <c:v>0</c:v>
                </c:pt>
                <c:pt idx="8">
                  <c:v>0</c:v>
                </c:pt>
                <c:pt idx="9">
                  <c:v>0</c:v>
                </c:pt>
                <c:pt idx="10">
                  <c:v>0</c:v>
                </c:pt>
                <c:pt idx="11">
                  <c:v>0</c:v>
                </c:pt>
                <c:pt idx="12">
                  <c:v>1</c:v>
                </c:pt>
                <c:pt idx="13">
                  <c:v>0</c:v>
                </c:pt>
                <c:pt idx="14">
                  <c:v>3</c:v>
                </c:pt>
                <c:pt idx="15">
                  <c:v>0</c:v>
                </c:pt>
                <c:pt idx="16">
                  <c:v>1</c:v>
                </c:pt>
                <c:pt idx="17">
                  <c:v>2</c:v>
                </c:pt>
                <c:pt idx="18">
                  <c:v>0</c:v>
                </c:pt>
                <c:pt idx="19">
                  <c:v>0</c:v>
                </c:pt>
                <c:pt idx="20">
                  <c:v>1</c:v>
                </c:pt>
                <c:pt idx="21">
                  <c:v>2</c:v>
                </c:pt>
                <c:pt idx="22">
                  <c:v>1</c:v>
                </c:pt>
                <c:pt idx="23">
                  <c:v>0</c:v>
                </c:pt>
              </c:numCache>
            </c:numRef>
          </c:val>
          <c:smooth val="0"/>
          <c:extLst>
            <c:ext xmlns:c16="http://schemas.microsoft.com/office/drawing/2014/chart" uri="{C3380CC4-5D6E-409C-BE32-E72D297353CC}">
              <c16:uniqueId val="{00000007-7953-4879-A322-64E81BE54136}"/>
            </c:ext>
          </c:extLst>
        </c:ser>
        <c:ser>
          <c:idx val="2"/>
          <c:order val="1"/>
          <c:tx>
            <c:v>Menores</c:v>
          </c:tx>
          <c:spPr>
            <a:ln w="12700">
              <a:solidFill>
                <a:srgbClr val="008000"/>
              </a:solidFill>
              <a:prstDash val="solid"/>
            </a:ln>
          </c:spPr>
          <c:marker>
            <c:symbol val="triangle"/>
            <c:size val="5"/>
            <c:spPr>
              <a:solidFill>
                <a:srgbClr val="008000"/>
              </a:solidFill>
              <a:ln>
                <a:solidFill>
                  <a:srgbClr val="008000"/>
                </a:solidFill>
                <a:prstDash val="solid"/>
              </a:ln>
            </c:spPr>
          </c:marker>
          <c:dLbls>
            <c:dLbl>
              <c:idx val="0"/>
              <c:delete val="1"/>
              <c:extLst>
                <c:ext xmlns:c15="http://schemas.microsoft.com/office/drawing/2012/chart" uri="{CE6537A1-D6FC-4f65-9D91-7224C49458BB}"/>
                <c:ext xmlns:c16="http://schemas.microsoft.com/office/drawing/2014/chart" uri="{C3380CC4-5D6E-409C-BE32-E72D297353CC}">
                  <c16:uniqueId val="{00000008-7953-4879-A322-64E81BE54136}"/>
                </c:ext>
              </c:extLst>
            </c:dLbl>
            <c:dLbl>
              <c:idx val="1"/>
              <c:delete val="1"/>
              <c:extLst>
                <c:ext xmlns:c15="http://schemas.microsoft.com/office/drawing/2012/chart" uri="{CE6537A1-D6FC-4f65-9D91-7224C49458BB}"/>
                <c:ext xmlns:c16="http://schemas.microsoft.com/office/drawing/2014/chart" uri="{C3380CC4-5D6E-409C-BE32-E72D297353CC}">
                  <c16:uniqueId val="{00000009-7953-4879-A322-64E81BE54136}"/>
                </c:ext>
              </c:extLst>
            </c:dLbl>
            <c:dLbl>
              <c:idx val="2"/>
              <c:delete val="1"/>
              <c:extLst>
                <c:ext xmlns:c15="http://schemas.microsoft.com/office/drawing/2012/chart" uri="{CE6537A1-D6FC-4f65-9D91-7224C49458BB}"/>
                <c:ext xmlns:c16="http://schemas.microsoft.com/office/drawing/2014/chart" uri="{C3380CC4-5D6E-409C-BE32-E72D297353CC}">
                  <c16:uniqueId val="{0000000A-7953-4879-A322-64E81BE54136}"/>
                </c:ext>
              </c:extLst>
            </c:dLbl>
            <c:dLbl>
              <c:idx val="4"/>
              <c:delete val="1"/>
              <c:extLst>
                <c:ext xmlns:c15="http://schemas.microsoft.com/office/drawing/2012/chart" uri="{CE6537A1-D6FC-4f65-9D91-7224C49458BB}"/>
                <c:ext xmlns:c16="http://schemas.microsoft.com/office/drawing/2014/chart" uri="{C3380CC4-5D6E-409C-BE32-E72D297353CC}">
                  <c16:uniqueId val="{0000000B-7953-4879-A322-64E81BE54136}"/>
                </c:ext>
              </c:extLst>
            </c:dLbl>
            <c:dLbl>
              <c:idx val="7"/>
              <c:delete val="1"/>
              <c:extLst>
                <c:ext xmlns:c15="http://schemas.microsoft.com/office/drawing/2012/chart" uri="{CE6537A1-D6FC-4f65-9D91-7224C49458BB}"/>
                <c:ext xmlns:c16="http://schemas.microsoft.com/office/drawing/2014/chart" uri="{C3380CC4-5D6E-409C-BE32-E72D297353CC}">
                  <c16:uniqueId val="{0000000C-7953-4879-A322-64E81BE54136}"/>
                </c:ext>
              </c:extLst>
            </c:dLbl>
            <c:dLbl>
              <c:idx val="8"/>
              <c:delete val="1"/>
              <c:extLst>
                <c:ext xmlns:c15="http://schemas.microsoft.com/office/drawing/2012/chart" uri="{CE6537A1-D6FC-4f65-9D91-7224C49458BB}"/>
                <c:ext xmlns:c16="http://schemas.microsoft.com/office/drawing/2014/chart" uri="{C3380CC4-5D6E-409C-BE32-E72D297353CC}">
                  <c16:uniqueId val="{0000000D-7953-4879-A322-64E81BE54136}"/>
                </c:ext>
              </c:extLst>
            </c:dLbl>
            <c:dLbl>
              <c:idx val="9"/>
              <c:delete val="1"/>
              <c:extLst>
                <c:ext xmlns:c15="http://schemas.microsoft.com/office/drawing/2012/chart" uri="{CE6537A1-D6FC-4f65-9D91-7224C49458BB}"/>
                <c:ext xmlns:c16="http://schemas.microsoft.com/office/drawing/2014/chart" uri="{C3380CC4-5D6E-409C-BE32-E72D297353CC}">
                  <c16:uniqueId val="{0000000E-7953-4879-A322-64E81BE54136}"/>
                </c:ext>
              </c:extLst>
            </c:dLbl>
            <c:dLbl>
              <c:idx val="10"/>
              <c:delete val="1"/>
              <c:extLst>
                <c:ext xmlns:c15="http://schemas.microsoft.com/office/drawing/2012/chart" uri="{CE6537A1-D6FC-4f65-9D91-7224C49458BB}"/>
                <c:ext xmlns:c16="http://schemas.microsoft.com/office/drawing/2014/chart" uri="{C3380CC4-5D6E-409C-BE32-E72D297353CC}">
                  <c16:uniqueId val="{0000000F-7953-4879-A322-64E81BE54136}"/>
                </c:ext>
              </c:extLst>
            </c:dLbl>
            <c:dLbl>
              <c:idx val="11"/>
              <c:delete val="1"/>
              <c:extLst>
                <c:ext xmlns:c15="http://schemas.microsoft.com/office/drawing/2012/chart" uri="{CE6537A1-D6FC-4f65-9D91-7224C49458BB}"/>
                <c:ext xmlns:c16="http://schemas.microsoft.com/office/drawing/2014/chart" uri="{C3380CC4-5D6E-409C-BE32-E72D297353CC}">
                  <c16:uniqueId val="{00000010-7953-4879-A322-64E81BE54136}"/>
                </c:ext>
              </c:extLst>
            </c:dLbl>
            <c:dLbl>
              <c:idx val="12"/>
              <c:delete val="1"/>
              <c:extLst>
                <c:ext xmlns:c15="http://schemas.microsoft.com/office/drawing/2012/chart" uri="{CE6537A1-D6FC-4f65-9D91-7224C49458BB}"/>
                <c:ext xmlns:c16="http://schemas.microsoft.com/office/drawing/2014/chart" uri="{C3380CC4-5D6E-409C-BE32-E72D297353CC}">
                  <c16:uniqueId val="{00000011-7953-4879-A322-64E81BE54136}"/>
                </c:ext>
              </c:extLst>
            </c:dLbl>
            <c:dLbl>
              <c:idx val="13"/>
              <c:delete val="1"/>
              <c:extLst>
                <c:ext xmlns:c15="http://schemas.microsoft.com/office/drawing/2012/chart" uri="{CE6537A1-D6FC-4f65-9D91-7224C49458BB}"/>
                <c:ext xmlns:c16="http://schemas.microsoft.com/office/drawing/2014/chart" uri="{C3380CC4-5D6E-409C-BE32-E72D297353CC}">
                  <c16:uniqueId val="{00000012-7953-4879-A322-64E81BE54136}"/>
                </c:ext>
              </c:extLst>
            </c:dLbl>
            <c:dLbl>
              <c:idx val="14"/>
              <c:delete val="1"/>
              <c:extLst>
                <c:ext xmlns:c15="http://schemas.microsoft.com/office/drawing/2012/chart" uri="{CE6537A1-D6FC-4f65-9D91-7224C49458BB}"/>
                <c:ext xmlns:c16="http://schemas.microsoft.com/office/drawing/2014/chart" uri="{C3380CC4-5D6E-409C-BE32-E72D297353CC}">
                  <c16:uniqueId val="{00000013-7953-4879-A322-64E81BE54136}"/>
                </c:ext>
              </c:extLst>
            </c:dLbl>
            <c:dLbl>
              <c:idx val="15"/>
              <c:delete val="1"/>
              <c:extLst>
                <c:ext xmlns:c15="http://schemas.microsoft.com/office/drawing/2012/chart" uri="{CE6537A1-D6FC-4f65-9D91-7224C49458BB}"/>
                <c:ext xmlns:c16="http://schemas.microsoft.com/office/drawing/2014/chart" uri="{C3380CC4-5D6E-409C-BE32-E72D297353CC}">
                  <c16:uniqueId val="{00000014-7953-4879-A322-64E81BE54136}"/>
                </c:ext>
              </c:extLst>
            </c:dLbl>
            <c:dLbl>
              <c:idx val="16"/>
              <c:delete val="1"/>
              <c:extLst>
                <c:ext xmlns:c15="http://schemas.microsoft.com/office/drawing/2012/chart" uri="{CE6537A1-D6FC-4f65-9D91-7224C49458BB}"/>
                <c:ext xmlns:c16="http://schemas.microsoft.com/office/drawing/2014/chart" uri="{C3380CC4-5D6E-409C-BE32-E72D297353CC}">
                  <c16:uniqueId val="{00000015-7953-4879-A322-64E81BE54136}"/>
                </c:ext>
              </c:extLst>
            </c:dLbl>
            <c:dLbl>
              <c:idx val="17"/>
              <c:layout>
                <c:manualLayout>
                  <c:x val="-2.3880597014925495E-2"/>
                  <c:y val="-2.2844552881594232E-2"/>
                </c:manualLayout>
              </c:layout>
              <c:tx>
                <c:rich>
                  <a:bodyPr/>
                  <a:lstStyle/>
                  <a:p>
                    <a:pPr>
                      <a:defRPr sz="1000" b="1" i="0" u="none" strike="noStrike" baseline="0">
                        <a:solidFill>
                          <a:srgbClr val="FF3333"/>
                        </a:solidFill>
                        <a:latin typeface="Arial"/>
                        <a:ea typeface="Arial"/>
                        <a:cs typeface="Arial"/>
                      </a:defRPr>
                    </a:pPr>
                    <a:r>
                      <a:rPr lang="es-PE" sz="800">
                        <a:solidFill>
                          <a:sysClr val="windowText" lastClr="000000"/>
                        </a:solidFill>
                      </a:rPr>
                      <a:t>1</a:t>
                    </a:r>
                    <a:r>
                      <a:rPr lang="es-PE"/>
                      <a:t>
</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953-4879-A322-64E81BE54136}"/>
                </c:ext>
              </c:extLst>
            </c:dLbl>
            <c:dLbl>
              <c:idx val="18"/>
              <c:delete val="1"/>
              <c:extLst>
                <c:ext xmlns:c15="http://schemas.microsoft.com/office/drawing/2012/chart" uri="{CE6537A1-D6FC-4f65-9D91-7224C49458BB}"/>
                <c:ext xmlns:c16="http://schemas.microsoft.com/office/drawing/2014/chart" uri="{C3380CC4-5D6E-409C-BE32-E72D297353CC}">
                  <c16:uniqueId val="{00000017-7953-4879-A322-64E81BE54136}"/>
                </c:ext>
              </c:extLst>
            </c:dLbl>
            <c:dLbl>
              <c:idx val="19"/>
              <c:delete val="1"/>
              <c:extLst>
                <c:ext xmlns:c15="http://schemas.microsoft.com/office/drawing/2012/chart" uri="{CE6537A1-D6FC-4f65-9D91-7224C49458BB}"/>
                <c:ext xmlns:c16="http://schemas.microsoft.com/office/drawing/2014/chart" uri="{C3380CC4-5D6E-409C-BE32-E72D297353CC}">
                  <c16:uniqueId val="{00000018-7953-4879-A322-64E81BE54136}"/>
                </c:ext>
              </c:extLst>
            </c:dLbl>
            <c:dLbl>
              <c:idx val="20"/>
              <c:layout>
                <c:manualLayout>
                  <c:x val="-2.3880597014925495E-2"/>
                  <c:y val="-2.6291079812206616E-2"/>
                </c:manualLayout>
              </c:layout>
              <c:tx>
                <c:rich>
                  <a:bodyPr/>
                  <a:lstStyle/>
                  <a:p>
                    <a:r>
                      <a:rPr lang="en-US" b="1">
                        <a:solidFill>
                          <a:sysClr val="windowText" lastClr="000000"/>
                        </a:solidFill>
                      </a:rPr>
                      <a:t>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953-4879-A322-64E81BE54136}"/>
                </c:ext>
              </c:extLst>
            </c:dLbl>
            <c:dLbl>
              <c:idx val="22"/>
              <c:tx>
                <c:rich>
                  <a:bodyPr/>
                  <a:lstStyle/>
                  <a:p>
                    <a:r>
                      <a:rPr lang="en-US" b="1">
                        <a:solidFill>
                          <a:srgbClr val="FF0000"/>
                        </a:solidFill>
                      </a:rPr>
                      <a:t>1</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953-4879-A322-64E81BE54136}"/>
                </c:ext>
              </c:extLst>
            </c:dLbl>
            <c:spPr>
              <a:noFill/>
              <a:ln w="25400">
                <a:noFill/>
              </a:ln>
            </c:spPr>
            <c:txPr>
              <a:bodyPr/>
              <a:lstStyle/>
              <a:p>
                <a:pPr>
                  <a:defRPr sz="1000" b="0" i="0" u="none" strike="noStrike" baseline="0">
                    <a:solidFill>
                      <a:srgbClr val="000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Graficos!$N$82:$AJ$82</c:f>
              <c:numCache>
                <c:formatCode>mmm\-yy</c:formatCode>
                <c:ptCount val="23"/>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40817</c:v>
                </c:pt>
                <c:pt idx="22">
                  <c:v>41214</c:v>
                </c:pt>
              </c:numCache>
            </c:numRef>
          </c:cat>
          <c:val>
            <c:numRef>
              <c:f>Graficos!$N$85:$AK$85</c:f>
              <c:numCache>
                <c:formatCode>General</c:formatCode>
                <c:ptCount val="24"/>
                <c:pt idx="0">
                  <c:v>0</c:v>
                </c:pt>
                <c:pt idx="1">
                  <c:v>0</c:v>
                </c:pt>
                <c:pt idx="2">
                  <c:v>0</c:v>
                </c:pt>
                <c:pt idx="3">
                  <c:v>1</c:v>
                </c:pt>
                <c:pt idx="4">
                  <c:v>0</c:v>
                </c:pt>
                <c:pt idx="5">
                  <c:v>2</c:v>
                </c:pt>
                <c:pt idx="6">
                  <c:v>1</c:v>
                </c:pt>
                <c:pt idx="7">
                  <c:v>0</c:v>
                </c:pt>
                <c:pt idx="8">
                  <c:v>0</c:v>
                </c:pt>
                <c:pt idx="9">
                  <c:v>0</c:v>
                </c:pt>
                <c:pt idx="10">
                  <c:v>0</c:v>
                </c:pt>
                <c:pt idx="11">
                  <c:v>0</c:v>
                </c:pt>
                <c:pt idx="12">
                  <c:v>0</c:v>
                </c:pt>
                <c:pt idx="13">
                  <c:v>0</c:v>
                </c:pt>
                <c:pt idx="14">
                  <c:v>0</c:v>
                </c:pt>
                <c:pt idx="15">
                  <c:v>0</c:v>
                </c:pt>
                <c:pt idx="16">
                  <c:v>0</c:v>
                </c:pt>
                <c:pt idx="17">
                  <c:v>1</c:v>
                </c:pt>
                <c:pt idx="18">
                  <c:v>0</c:v>
                </c:pt>
                <c:pt idx="19">
                  <c:v>0</c:v>
                </c:pt>
                <c:pt idx="20">
                  <c:v>3</c:v>
                </c:pt>
                <c:pt idx="21">
                  <c:v>3</c:v>
                </c:pt>
                <c:pt idx="22">
                  <c:v>1</c:v>
                </c:pt>
                <c:pt idx="23">
                  <c:v>1</c:v>
                </c:pt>
              </c:numCache>
            </c:numRef>
          </c:val>
          <c:smooth val="0"/>
          <c:extLst>
            <c:ext xmlns:c16="http://schemas.microsoft.com/office/drawing/2014/chart" uri="{C3380CC4-5D6E-409C-BE32-E72D297353CC}">
              <c16:uniqueId val="{0000001B-7953-4879-A322-64E81BE54136}"/>
            </c:ext>
          </c:extLst>
        </c:ser>
        <c:dLbls>
          <c:showLegendKey val="0"/>
          <c:showVal val="1"/>
          <c:showCatName val="0"/>
          <c:showSerName val="0"/>
          <c:showPercent val="0"/>
          <c:showBubbleSize val="0"/>
        </c:dLbls>
        <c:marker val="1"/>
        <c:smooth val="0"/>
        <c:axId val="1403267264"/>
        <c:axId val="1403280320"/>
      </c:lineChart>
      <c:catAx>
        <c:axId val="1403267264"/>
        <c:scaling>
          <c:orientation val="minMax"/>
        </c:scaling>
        <c:delete val="0"/>
        <c:axPos val="b"/>
        <c:numFmt formatCode="mmm\-yy" sourceLinked="1"/>
        <c:majorTickMark val="cross"/>
        <c:minorTickMark val="none"/>
        <c:tickLblPos val="nextTo"/>
        <c:spPr>
          <a:ln w="3175">
            <a:solidFill>
              <a:srgbClr val="FFFF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80320"/>
        <c:crosses val="autoZero"/>
        <c:auto val="0"/>
        <c:lblAlgn val="ctr"/>
        <c:lblOffset val="100"/>
        <c:tickLblSkip val="1"/>
        <c:tickMarkSkip val="1"/>
        <c:noMultiLvlLbl val="0"/>
      </c:catAx>
      <c:valAx>
        <c:axId val="1403280320"/>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7264"/>
        <c:crosses val="autoZero"/>
        <c:crossBetween val="between"/>
        <c:majorUnit val="1"/>
      </c:valAx>
      <c:spPr>
        <a:solidFill>
          <a:srgbClr val="D4D4D4"/>
        </a:solidFill>
        <a:ln w="3175">
          <a:solidFill>
            <a:srgbClr val="000000"/>
          </a:solidFill>
          <a:prstDash val="solid"/>
        </a:ln>
      </c:spPr>
    </c:plotArea>
    <c:legend>
      <c:legendPos val="r"/>
      <c:layout>
        <c:manualLayout>
          <c:xMode val="edge"/>
          <c:yMode val="edge"/>
          <c:x val="5.3712563117969903E-2"/>
          <c:y val="0.91666794699443055"/>
          <c:w val="0.5244873810342876"/>
          <c:h val="6.402439024390251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ACCIDENTES INCAPACITANTES+DMR  Alicorp + Molinca - Acumulado 2012</a:t>
            </a:r>
          </a:p>
        </c:rich>
      </c:tx>
      <c:layout>
        <c:manualLayout>
          <c:xMode val="edge"/>
          <c:yMode val="edge"/>
          <c:x val="0.16610741253909794"/>
          <c:y val="1.3550220856539275E-2"/>
        </c:manualLayout>
      </c:layout>
      <c:overlay val="0"/>
      <c:spPr>
        <a:noFill/>
        <a:ln w="25400">
          <a:noFill/>
        </a:ln>
      </c:spPr>
    </c:title>
    <c:autoTitleDeleted val="0"/>
    <c:plotArea>
      <c:layout>
        <c:manualLayout>
          <c:layoutTarget val="inner"/>
          <c:xMode val="edge"/>
          <c:yMode val="edge"/>
          <c:x val="5.8654470766261485E-2"/>
          <c:y val="8.9981197338107693E-2"/>
          <c:w val="0.94127516778523457"/>
          <c:h val="0.73817102259612666"/>
        </c:manualLayout>
      </c:layout>
      <c:lineChart>
        <c:grouping val="standard"/>
        <c:varyColors val="0"/>
        <c:ser>
          <c:idx val="1"/>
          <c:order val="0"/>
          <c:tx>
            <c:v>2011</c:v>
          </c:tx>
          <c:spPr>
            <a:ln w="38100">
              <a:solidFill>
                <a:srgbClr val="0000FF"/>
              </a:solidFill>
              <a:prstDash val="solid"/>
            </a:ln>
          </c:spPr>
          <c:marker>
            <c:symbol val="circle"/>
            <c:size val="5"/>
            <c:spPr>
              <a:solidFill>
                <a:srgbClr val="0000FF"/>
              </a:solidFill>
              <a:ln>
                <a:solidFill>
                  <a:srgbClr val="0000FF"/>
                </a:solidFill>
                <a:prstDash val="solid"/>
              </a:ln>
            </c:spPr>
          </c:marker>
          <c:dLbls>
            <c:dLbl>
              <c:idx val="11"/>
              <c:layout>
                <c:manualLayout>
                  <c:x val="-4.4742729306487834E-3"/>
                  <c:y val="-1.0840108401084163E-2"/>
                </c:manualLayout>
              </c:layout>
              <c:spPr>
                <a:noFill/>
                <a:ln w="25400">
                  <a:noFill/>
                </a:ln>
              </c:spPr>
              <c:txPr>
                <a:bodyPr/>
                <a:lstStyle/>
                <a:p>
                  <a:pPr>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00-46AC-A7AD-B29CCA53298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Graficos!$B$2:$M$2</c:f>
              <c:strCache>
                <c:ptCount val="12"/>
                <c:pt idx="0">
                  <c:v>Ene </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Graficos!$AU$5:$BF$5</c:f>
              <c:numCache>
                <c:formatCode>General</c:formatCode>
                <c:ptCount val="12"/>
                <c:pt idx="0">
                  <c:v>5</c:v>
                </c:pt>
                <c:pt idx="1">
                  <c:v>8</c:v>
                </c:pt>
                <c:pt idx="2">
                  <c:v>14</c:v>
                </c:pt>
                <c:pt idx="3">
                  <c:v>18</c:v>
                </c:pt>
                <c:pt idx="4">
                  <c:v>23</c:v>
                </c:pt>
                <c:pt idx="5">
                  <c:v>29</c:v>
                </c:pt>
                <c:pt idx="6">
                  <c:v>38</c:v>
                </c:pt>
                <c:pt idx="7">
                  <c:v>44</c:v>
                </c:pt>
                <c:pt idx="8">
                  <c:v>48</c:v>
                </c:pt>
                <c:pt idx="9">
                  <c:v>50</c:v>
                </c:pt>
                <c:pt idx="10">
                  <c:v>53</c:v>
                </c:pt>
                <c:pt idx="11">
                  <c:v>56</c:v>
                </c:pt>
              </c:numCache>
            </c:numRef>
          </c:val>
          <c:smooth val="0"/>
          <c:extLst>
            <c:ext xmlns:c16="http://schemas.microsoft.com/office/drawing/2014/chart" uri="{C3380CC4-5D6E-409C-BE32-E72D297353CC}">
              <c16:uniqueId val="{00000001-0700-46AC-A7AD-B29CCA53298A}"/>
            </c:ext>
          </c:extLst>
        </c:ser>
        <c:ser>
          <c:idx val="0"/>
          <c:order val="1"/>
          <c:tx>
            <c:v>2010</c:v>
          </c:tx>
          <c:spPr>
            <a:ln w="38100">
              <a:solidFill>
                <a:srgbClr val="FF3333"/>
              </a:solidFill>
              <a:prstDash val="solid"/>
            </a:ln>
          </c:spPr>
          <c:marker>
            <c:symbol val="circle"/>
            <c:size val="5"/>
            <c:spPr>
              <a:solidFill>
                <a:srgbClr val="FF3333"/>
              </a:solidFill>
              <a:ln>
                <a:solidFill>
                  <a:srgbClr val="FF3333"/>
                </a:solidFill>
                <a:prstDash val="solid"/>
              </a:ln>
            </c:spPr>
          </c:marker>
          <c:dLbls>
            <c:dLbl>
              <c:idx val="11"/>
              <c:layout>
                <c:manualLayout>
                  <c:x val="-5.8026387641142534E-3"/>
                  <c:y val="-4.7057735669220224E-2"/>
                </c:manualLayout>
              </c:layout>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00-46AC-A7AD-B29CCA53298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Graficos!$B$2:$M$2</c:f>
              <c:strCache>
                <c:ptCount val="12"/>
                <c:pt idx="0">
                  <c:v>Ene </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Graficos!$AU$4:$BF$4</c:f>
              <c:numCache>
                <c:formatCode>General</c:formatCode>
                <c:ptCount val="12"/>
                <c:pt idx="0">
                  <c:v>7</c:v>
                </c:pt>
                <c:pt idx="1">
                  <c:v>11</c:v>
                </c:pt>
                <c:pt idx="2">
                  <c:v>16</c:v>
                </c:pt>
                <c:pt idx="3">
                  <c:v>21</c:v>
                </c:pt>
                <c:pt idx="4">
                  <c:v>23</c:v>
                </c:pt>
                <c:pt idx="5">
                  <c:v>28</c:v>
                </c:pt>
                <c:pt idx="6">
                  <c:v>34</c:v>
                </c:pt>
                <c:pt idx="7">
                  <c:v>42</c:v>
                </c:pt>
                <c:pt idx="8">
                  <c:v>45</c:v>
                </c:pt>
                <c:pt idx="9">
                  <c:v>53</c:v>
                </c:pt>
                <c:pt idx="10">
                  <c:v>53</c:v>
                </c:pt>
                <c:pt idx="11">
                  <c:v>59</c:v>
                </c:pt>
              </c:numCache>
            </c:numRef>
          </c:val>
          <c:smooth val="0"/>
          <c:extLst>
            <c:ext xmlns:c16="http://schemas.microsoft.com/office/drawing/2014/chart" uri="{C3380CC4-5D6E-409C-BE32-E72D297353CC}">
              <c16:uniqueId val="{00000003-0700-46AC-A7AD-B29CCA53298A}"/>
            </c:ext>
          </c:extLst>
        </c:ser>
        <c:ser>
          <c:idx val="2"/>
          <c:order val="2"/>
          <c:tx>
            <c:v>2009</c:v>
          </c:tx>
          <c:spPr>
            <a:ln w="38100">
              <a:solidFill>
                <a:srgbClr val="60ED84"/>
              </a:solidFill>
              <a:prstDash val="solid"/>
            </a:ln>
          </c:spPr>
          <c:marker>
            <c:symbol val="circle"/>
            <c:size val="5"/>
            <c:spPr>
              <a:solidFill>
                <a:srgbClr val="60ED84"/>
              </a:solidFill>
              <a:ln>
                <a:solidFill>
                  <a:srgbClr val="60ED84"/>
                </a:solidFill>
                <a:prstDash val="solid"/>
              </a:ln>
            </c:spPr>
          </c:marker>
          <c:dLbls>
            <c:dLbl>
              <c:idx val="11"/>
              <c:layout>
                <c:manualLayout>
                  <c:x val="0"/>
                  <c:y val="-9.7799511002445282E-3"/>
                </c:manualLayout>
              </c:layout>
              <c:spPr>
                <a:noFill/>
                <a:ln w="25400">
                  <a:noFill/>
                </a:ln>
              </c:spPr>
              <c:txPr>
                <a:bodyPr/>
                <a:lstStyle/>
                <a:p>
                  <a:pPr>
                    <a:defRPr sz="1000" b="1" i="0" u="none" strike="noStrike" baseline="0">
                      <a:solidFill>
                        <a:srgbClr val="5BCB77"/>
                      </a:solidFill>
                      <a:latin typeface="Arial"/>
                      <a:ea typeface="Arial"/>
                      <a:cs typeface="Arial"/>
                    </a:defRPr>
                  </a:pPr>
                  <a:endParaRPr lang="es-P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00-46AC-A7AD-B29CCA53298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Graficos!$B$2:$M$2</c:f>
              <c:strCache>
                <c:ptCount val="12"/>
                <c:pt idx="0">
                  <c:v>Ene </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Graficos!$AU$3:$BF$3</c:f>
              <c:numCache>
                <c:formatCode>General</c:formatCode>
                <c:ptCount val="12"/>
                <c:pt idx="0">
                  <c:v>8</c:v>
                </c:pt>
                <c:pt idx="1">
                  <c:v>12</c:v>
                </c:pt>
                <c:pt idx="2">
                  <c:v>14</c:v>
                </c:pt>
                <c:pt idx="3">
                  <c:v>17</c:v>
                </c:pt>
                <c:pt idx="4">
                  <c:v>23</c:v>
                </c:pt>
                <c:pt idx="5">
                  <c:v>28</c:v>
                </c:pt>
                <c:pt idx="6">
                  <c:v>31</c:v>
                </c:pt>
                <c:pt idx="7">
                  <c:v>36</c:v>
                </c:pt>
                <c:pt idx="8">
                  <c:v>38</c:v>
                </c:pt>
                <c:pt idx="9">
                  <c:v>44</c:v>
                </c:pt>
                <c:pt idx="10">
                  <c:v>49</c:v>
                </c:pt>
                <c:pt idx="11">
                  <c:v>52</c:v>
                </c:pt>
              </c:numCache>
            </c:numRef>
          </c:val>
          <c:smooth val="0"/>
          <c:extLst>
            <c:ext xmlns:c16="http://schemas.microsoft.com/office/drawing/2014/chart" uri="{C3380CC4-5D6E-409C-BE32-E72D297353CC}">
              <c16:uniqueId val="{00000005-0700-46AC-A7AD-B29CCA53298A}"/>
            </c:ext>
          </c:extLst>
        </c:ser>
        <c:ser>
          <c:idx val="3"/>
          <c:order val="3"/>
          <c:tx>
            <c:v>2012</c:v>
          </c:tx>
          <c:spPr>
            <a:ln>
              <a:solidFill>
                <a:schemeClr val="tx1"/>
              </a:solidFill>
            </a:ln>
          </c:spPr>
          <c:marker>
            <c:symbol val="circle"/>
            <c:size val="7"/>
            <c:spPr>
              <a:solidFill>
                <a:schemeClr val="tx1"/>
              </a:solidFill>
            </c:spPr>
          </c:marker>
          <c:dLbls>
            <c:dLbl>
              <c:idx val="0"/>
              <c:layout>
                <c:manualLayout>
                  <c:x val="-1.3422818791946341E-2"/>
                  <c:y val="3.2520325203252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00-46AC-A7AD-B29CCA53298A}"/>
                </c:ext>
              </c:extLst>
            </c:dLbl>
            <c:dLbl>
              <c:idx val="1"/>
              <c:layout>
                <c:manualLayout>
                  <c:x val="-2.2371364653244676E-3"/>
                  <c:y val="2.93667760020256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700-46AC-A7AD-B29CCA53298A}"/>
                </c:ext>
              </c:extLst>
            </c:dLbl>
            <c:dLbl>
              <c:idx val="2"/>
              <c:layout>
                <c:manualLayout>
                  <c:x val="-1.3422818791946341E-2"/>
                  <c:y val="4.77210110032920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700-46AC-A7AD-B29CCA53298A}"/>
                </c:ext>
              </c:extLst>
            </c:dLbl>
            <c:dLbl>
              <c:idx val="3"/>
              <c:layout>
                <c:manualLayout>
                  <c:x val="-2.2371364653244494E-2"/>
                  <c:y val="4.77210110032920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700-46AC-A7AD-B29CCA53298A}"/>
                </c:ext>
              </c:extLst>
            </c:dLbl>
            <c:dLbl>
              <c:idx val="5"/>
              <c:layout>
                <c:manualLayout>
                  <c:x val="-1.5269600884795219E-2"/>
                  <c:y val="4.56026058631921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700-46AC-A7AD-B29CCA53298A}"/>
                </c:ext>
              </c:extLst>
            </c:dLbl>
            <c:dLbl>
              <c:idx val="6"/>
              <c:layout>
                <c:manualLayout>
                  <c:x val="-1.5260045284039176E-2"/>
                  <c:y val="4.56502961579680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700-46AC-A7AD-B29CCA53298A}"/>
                </c:ext>
              </c:extLst>
            </c:dLbl>
            <c:dLbl>
              <c:idx val="7"/>
              <c:layout>
                <c:manualLayout>
                  <c:x val="-1.3352408202193621E-2"/>
                  <c:y val="3.58598207008964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700-46AC-A7AD-B29CCA53298A}"/>
                </c:ext>
              </c:extLst>
            </c:dLbl>
            <c:dLbl>
              <c:idx val="8"/>
              <c:layout>
                <c:manualLayout>
                  <c:x val="-1.1444921316166073E-2"/>
                  <c:y val="1.3039934800325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700-46AC-A7AD-B29CCA53298A}"/>
                </c:ext>
              </c:extLst>
            </c:dLbl>
            <c:dLbl>
              <c:idx val="9"/>
              <c:layout>
                <c:manualLayout>
                  <c:x val="-5.7224606580829774E-3"/>
                  <c:y val="1.3039934800325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700-46AC-A7AD-B29CCA53298A}"/>
                </c:ext>
              </c:extLst>
            </c:dLbl>
            <c:dLbl>
              <c:idx val="10"/>
              <c:layout>
                <c:manualLayout>
                  <c:x val="-5.7224606580829774E-3"/>
                  <c:y val="1.95599022004889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700-46AC-A7AD-B29CCA53298A}"/>
                </c:ext>
              </c:extLst>
            </c:dLbl>
            <c:dLbl>
              <c:idx val="11"/>
              <c:layout>
                <c:manualLayout>
                  <c:x val="0"/>
                  <c:y val="2.93398533007334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700-46AC-A7AD-B29CCA53298A}"/>
                </c:ext>
              </c:extLst>
            </c:dLbl>
            <c:spPr>
              <a:noFill/>
              <a:ln w="25400">
                <a:noFill/>
              </a:ln>
            </c:spPr>
            <c:txPr>
              <a:bodyPr/>
              <a:lstStyle/>
              <a:p>
                <a:pPr>
                  <a:defRPr b="1">
                    <a:solidFill>
                      <a:sysClr val="windowText" lastClr="00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Graficos!$AU$6:$BF$6</c:f>
              <c:numCache>
                <c:formatCode>General</c:formatCode>
                <c:ptCount val="12"/>
                <c:pt idx="0">
                  <c:v>5</c:v>
                </c:pt>
                <c:pt idx="1">
                  <c:v>6</c:v>
                </c:pt>
                <c:pt idx="2">
                  <c:v>11</c:v>
                </c:pt>
                <c:pt idx="3">
                  <c:v>13</c:v>
                </c:pt>
                <c:pt idx="4">
                  <c:v>17</c:v>
                </c:pt>
                <c:pt idx="5">
                  <c:v>24</c:v>
                </c:pt>
                <c:pt idx="6">
                  <c:v>27</c:v>
                </c:pt>
                <c:pt idx="7">
                  <c:v>34</c:v>
                </c:pt>
                <c:pt idx="8">
                  <c:v>37</c:v>
                </c:pt>
                <c:pt idx="9">
                  <c:v>40</c:v>
                </c:pt>
                <c:pt idx="10">
                  <c:v>48</c:v>
                </c:pt>
                <c:pt idx="11">
                  <c:v>51</c:v>
                </c:pt>
              </c:numCache>
            </c:numRef>
          </c:val>
          <c:smooth val="0"/>
          <c:extLst>
            <c:ext xmlns:c16="http://schemas.microsoft.com/office/drawing/2014/chart" uri="{C3380CC4-5D6E-409C-BE32-E72D297353CC}">
              <c16:uniqueId val="{00000011-0700-46AC-A7AD-B29CCA53298A}"/>
            </c:ext>
          </c:extLst>
        </c:ser>
        <c:ser>
          <c:idx val="4"/>
          <c:order val="4"/>
          <c:tx>
            <c:v>OBJ</c:v>
          </c:tx>
          <c:spPr>
            <a:ln>
              <a:solidFill>
                <a:srgbClr val="FF0000"/>
              </a:solidFill>
              <a:prstDash val="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2-0700-46AC-A7AD-B29CCA53298A}"/>
                </c:ext>
              </c:extLst>
            </c:dLbl>
            <c:dLbl>
              <c:idx val="1"/>
              <c:delete val="1"/>
              <c:extLst>
                <c:ext xmlns:c15="http://schemas.microsoft.com/office/drawing/2012/chart" uri="{CE6537A1-D6FC-4f65-9D91-7224C49458BB}"/>
                <c:ext xmlns:c16="http://schemas.microsoft.com/office/drawing/2014/chart" uri="{C3380CC4-5D6E-409C-BE32-E72D297353CC}">
                  <c16:uniqueId val="{00000013-0700-46AC-A7AD-B29CCA53298A}"/>
                </c:ext>
              </c:extLst>
            </c:dLbl>
            <c:dLbl>
              <c:idx val="2"/>
              <c:delete val="1"/>
              <c:extLst>
                <c:ext xmlns:c15="http://schemas.microsoft.com/office/drawing/2012/chart" uri="{CE6537A1-D6FC-4f65-9D91-7224C49458BB}"/>
                <c:ext xmlns:c16="http://schemas.microsoft.com/office/drawing/2014/chart" uri="{C3380CC4-5D6E-409C-BE32-E72D297353CC}">
                  <c16:uniqueId val="{00000014-0700-46AC-A7AD-B29CCA53298A}"/>
                </c:ext>
              </c:extLst>
            </c:dLbl>
            <c:dLbl>
              <c:idx val="3"/>
              <c:delete val="1"/>
              <c:extLst>
                <c:ext xmlns:c15="http://schemas.microsoft.com/office/drawing/2012/chart" uri="{CE6537A1-D6FC-4f65-9D91-7224C49458BB}"/>
                <c:ext xmlns:c16="http://schemas.microsoft.com/office/drawing/2014/chart" uri="{C3380CC4-5D6E-409C-BE32-E72D297353CC}">
                  <c16:uniqueId val="{00000015-0700-46AC-A7AD-B29CCA53298A}"/>
                </c:ext>
              </c:extLst>
            </c:dLbl>
            <c:dLbl>
              <c:idx val="4"/>
              <c:delete val="1"/>
              <c:extLst>
                <c:ext xmlns:c15="http://schemas.microsoft.com/office/drawing/2012/chart" uri="{CE6537A1-D6FC-4f65-9D91-7224C49458BB}"/>
                <c:ext xmlns:c16="http://schemas.microsoft.com/office/drawing/2014/chart" uri="{C3380CC4-5D6E-409C-BE32-E72D297353CC}">
                  <c16:uniqueId val="{00000016-0700-46AC-A7AD-B29CCA53298A}"/>
                </c:ext>
              </c:extLst>
            </c:dLbl>
            <c:dLbl>
              <c:idx val="5"/>
              <c:delete val="1"/>
              <c:extLst>
                <c:ext xmlns:c15="http://schemas.microsoft.com/office/drawing/2012/chart" uri="{CE6537A1-D6FC-4f65-9D91-7224C49458BB}"/>
                <c:ext xmlns:c16="http://schemas.microsoft.com/office/drawing/2014/chart" uri="{C3380CC4-5D6E-409C-BE32-E72D297353CC}">
                  <c16:uniqueId val="{00000017-0700-46AC-A7AD-B29CCA53298A}"/>
                </c:ext>
              </c:extLst>
            </c:dLbl>
            <c:dLbl>
              <c:idx val="6"/>
              <c:delete val="1"/>
              <c:extLst>
                <c:ext xmlns:c15="http://schemas.microsoft.com/office/drawing/2012/chart" uri="{CE6537A1-D6FC-4f65-9D91-7224C49458BB}"/>
                <c:ext xmlns:c16="http://schemas.microsoft.com/office/drawing/2014/chart" uri="{C3380CC4-5D6E-409C-BE32-E72D297353CC}">
                  <c16:uniqueId val="{00000018-0700-46AC-A7AD-B29CCA53298A}"/>
                </c:ext>
              </c:extLst>
            </c:dLbl>
            <c:dLbl>
              <c:idx val="7"/>
              <c:delete val="1"/>
              <c:extLst>
                <c:ext xmlns:c15="http://schemas.microsoft.com/office/drawing/2012/chart" uri="{CE6537A1-D6FC-4f65-9D91-7224C49458BB}"/>
                <c:ext xmlns:c16="http://schemas.microsoft.com/office/drawing/2014/chart" uri="{C3380CC4-5D6E-409C-BE32-E72D297353CC}">
                  <c16:uniqueId val="{00000019-0700-46AC-A7AD-B29CCA53298A}"/>
                </c:ext>
              </c:extLst>
            </c:dLbl>
            <c:dLbl>
              <c:idx val="8"/>
              <c:delete val="1"/>
              <c:extLst>
                <c:ext xmlns:c15="http://schemas.microsoft.com/office/drawing/2012/chart" uri="{CE6537A1-D6FC-4f65-9D91-7224C49458BB}"/>
                <c:ext xmlns:c16="http://schemas.microsoft.com/office/drawing/2014/chart" uri="{C3380CC4-5D6E-409C-BE32-E72D297353CC}">
                  <c16:uniqueId val="{0000001A-0700-46AC-A7AD-B29CCA53298A}"/>
                </c:ext>
              </c:extLst>
            </c:dLbl>
            <c:dLbl>
              <c:idx val="9"/>
              <c:delete val="1"/>
              <c:extLst>
                <c:ext xmlns:c15="http://schemas.microsoft.com/office/drawing/2012/chart" uri="{CE6537A1-D6FC-4f65-9D91-7224C49458BB}"/>
                <c:ext xmlns:c16="http://schemas.microsoft.com/office/drawing/2014/chart" uri="{C3380CC4-5D6E-409C-BE32-E72D297353CC}">
                  <c16:uniqueId val="{0000001B-0700-46AC-A7AD-B29CCA53298A}"/>
                </c:ext>
              </c:extLst>
            </c:dLbl>
            <c:dLbl>
              <c:idx val="10"/>
              <c:delete val="1"/>
              <c:extLst>
                <c:ext xmlns:c15="http://schemas.microsoft.com/office/drawing/2012/chart" uri="{CE6537A1-D6FC-4f65-9D91-7224C49458BB}"/>
                <c:ext xmlns:c16="http://schemas.microsoft.com/office/drawing/2014/chart" uri="{C3380CC4-5D6E-409C-BE32-E72D297353CC}">
                  <c16:uniqueId val="{0000001C-0700-46AC-A7AD-B29CCA53298A}"/>
                </c:ext>
              </c:extLst>
            </c:dLbl>
            <c:dLbl>
              <c:idx val="11"/>
              <c:spPr>
                <a:noFill/>
                <a:ln w="25400">
                  <a:noFill/>
                </a:ln>
              </c:spPr>
              <c:txPr>
                <a:bodyPr/>
                <a:lstStyle/>
                <a:p>
                  <a:pPr>
                    <a:defRPr b="1">
                      <a:solidFill>
                        <a:srgbClr val="FF0000"/>
                      </a:solidFill>
                    </a:defRPr>
                  </a:pPr>
                  <a:endParaRPr lang="es-PE"/>
                </a:p>
              </c:txPr>
              <c:showLegendKey val="0"/>
              <c:showVal val="1"/>
              <c:showCatName val="0"/>
              <c:showSerName val="0"/>
              <c:showPercent val="0"/>
              <c:showBubbleSize val="0"/>
              <c:extLst>
                <c:ext xmlns:c16="http://schemas.microsoft.com/office/drawing/2014/chart" uri="{C3380CC4-5D6E-409C-BE32-E72D297353CC}">
                  <c16:uniqueId val="{00000000-D88F-42B0-A26A-C3A019B65440}"/>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Graficos!$AU$7:$BF$7</c:f>
              <c:numCache>
                <c:formatCode>General</c:formatCode>
                <c:ptCount val="12"/>
                <c:pt idx="0">
                  <c:v>3.5</c:v>
                </c:pt>
                <c:pt idx="1">
                  <c:v>7</c:v>
                </c:pt>
                <c:pt idx="2">
                  <c:v>10.5</c:v>
                </c:pt>
                <c:pt idx="3">
                  <c:v>14</c:v>
                </c:pt>
                <c:pt idx="4">
                  <c:v>17.5</c:v>
                </c:pt>
                <c:pt idx="5">
                  <c:v>21</c:v>
                </c:pt>
                <c:pt idx="6">
                  <c:v>24.5</c:v>
                </c:pt>
                <c:pt idx="7">
                  <c:v>28</c:v>
                </c:pt>
                <c:pt idx="8">
                  <c:v>31.5</c:v>
                </c:pt>
                <c:pt idx="9">
                  <c:v>35</c:v>
                </c:pt>
                <c:pt idx="10">
                  <c:v>38.5</c:v>
                </c:pt>
                <c:pt idx="11">
                  <c:v>42</c:v>
                </c:pt>
              </c:numCache>
            </c:numRef>
          </c:val>
          <c:smooth val="1"/>
          <c:extLst>
            <c:ext xmlns:c16="http://schemas.microsoft.com/office/drawing/2014/chart" uri="{C3380CC4-5D6E-409C-BE32-E72D297353CC}">
              <c16:uniqueId val="{0000001E-0700-46AC-A7AD-B29CCA53298A}"/>
            </c:ext>
          </c:extLst>
        </c:ser>
        <c:dLbls>
          <c:showLegendKey val="0"/>
          <c:showVal val="1"/>
          <c:showCatName val="0"/>
          <c:showSerName val="0"/>
          <c:showPercent val="0"/>
          <c:showBubbleSize val="0"/>
        </c:dLbls>
        <c:marker val="1"/>
        <c:smooth val="0"/>
        <c:axId val="1403277600"/>
        <c:axId val="1403274336"/>
      </c:lineChart>
      <c:catAx>
        <c:axId val="140327760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4336"/>
        <c:crosses val="autoZero"/>
        <c:auto val="0"/>
        <c:lblAlgn val="ctr"/>
        <c:lblOffset val="100"/>
        <c:tickLblSkip val="1"/>
        <c:tickMarkSkip val="1"/>
        <c:noMultiLvlLbl val="0"/>
      </c:catAx>
      <c:valAx>
        <c:axId val="1403274336"/>
        <c:scaling>
          <c:orientation val="minMax"/>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7600"/>
        <c:crosses val="autoZero"/>
        <c:crossBetween val="between"/>
        <c:majorUnit val="5"/>
      </c:valAx>
      <c:spPr>
        <a:solidFill>
          <a:srgbClr val="FFFFFF"/>
        </a:solidFill>
        <a:ln w="3175">
          <a:solidFill>
            <a:srgbClr val="000000"/>
          </a:solidFill>
          <a:prstDash val="solid"/>
        </a:ln>
      </c:spPr>
    </c:plotArea>
    <c:legend>
      <c:legendPos val="r"/>
      <c:layout>
        <c:manualLayout>
          <c:xMode val="edge"/>
          <c:yMode val="edge"/>
          <c:x val="0.21888442597184871"/>
          <c:y val="0.88264164053145544"/>
          <c:w val="0.64520834060983323"/>
          <c:h val="0.11002458122968303"/>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INDICE DE FRECUENCIA - DETERGENTES
Incapacitantes + DMR </a:t>
            </a:r>
          </a:p>
        </c:rich>
      </c:tx>
      <c:layout>
        <c:manualLayout>
          <c:xMode val="edge"/>
          <c:yMode val="edge"/>
          <c:x val="0.28446415250725238"/>
          <c:y val="1.7985712950929676E-2"/>
        </c:manualLayout>
      </c:layout>
      <c:overlay val="0"/>
      <c:spPr>
        <a:noFill/>
        <a:ln w="25400">
          <a:noFill/>
        </a:ln>
      </c:spPr>
    </c:title>
    <c:autoTitleDeleted val="0"/>
    <c:plotArea>
      <c:layout>
        <c:manualLayout>
          <c:layoutTarget val="inner"/>
          <c:xMode val="edge"/>
          <c:yMode val="edge"/>
          <c:x val="6.710964696815945E-2"/>
          <c:y val="0.1691088707757176"/>
          <c:w val="0.90257267135623442"/>
          <c:h val="0.58633093525179858"/>
        </c:manualLayout>
      </c:layout>
      <c:lineChart>
        <c:grouping val="standard"/>
        <c:varyColors val="0"/>
        <c:ser>
          <c:idx val="1"/>
          <c:order val="0"/>
          <c:spPr>
            <a:ln w="25400">
              <a:solidFill>
                <a:srgbClr val="0000FF"/>
              </a:solidFill>
              <a:prstDash val="solid"/>
            </a:ln>
          </c:spPr>
          <c:marker>
            <c:symbol val="circle"/>
            <c:size val="5"/>
            <c:spPr>
              <a:solidFill>
                <a:srgbClr val="0000FF"/>
              </a:solidFill>
              <a:ln>
                <a:solidFill>
                  <a:srgbClr val="0000FF"/>
                </a:solidFill>
                <a:prstDash val="solid"/>
              </a:ln>
            </c:spPr>
          </c:marker>
          <c:dLbls>
            <c:dLbl>
              <c:idx val="0"/>
              <c:layout>
                <c:manualLayout>
                  <c:x val="-2.3398329717207868E-2"/>
                  <c:y val="-6.7199983067720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13E-42AB-990C-A1C7930A5F74}"/>
                </c:ext>
              </c:extLst>
            </c:dLbl>
            <c:dLbl>
              <c:idx val="1"/>
              <c:layout>
                <c:manualLayout>
                  <c:x val="-2.5069638982722752E-2"/>
                  <c:y val="-5.2799986696066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3E-42AB-990C-A1C7930A5F74}"/>
                </c:ext>
              </c:extLst>
            </c:dLbl>
            <c:dLbl>
              <c:idx val="2"/>
              <c:layout>
                <c:manualLayout>
                  <c:x val="-2.3398329717207868E-2"/>
                  <c:y val="-5.75999854866178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13E-42AB-990C-A1C7930A5F74}"/>
                </c:ext>
              </c:extLst>
            </c:dLbl>
            <c:dLbl>
              <c:idx val="3"/>
              <c:layout>
                <c:manualLayout>
                  <c:x val="-2.5069638982722752E-2"/>
                  <c:y val="5.75999854866178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3E-42AB-990C-A1C7930A5F74}"/>
                </c:ext>
              </c:extLst>
            </c:dLbl>
            <c:dLbl>
              <c:idx val="6"/>
              <c:layout>
                <c:manualLayout>
                  <c:x val="-5.1810587230960423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13E-42AB-990C-A1C7930A5F74}"/>
                </c:ext>
              </c:extLst>
            </c:dLbl>
            <c:dLbl>
              <c:idx val="7"/>
              <c:layout>
                <c:manualLayout>
                  <c:x val="-2.3398461316362001E-2"/>
                  <c:y val="-6.23999842771694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3E-42AB-990C-A1C7930A5F74}"/>
                </c:ext>
              </c:extLst>
            </c:dLbl>
            <c:dLbl>
              <c:idx val="8"/>
              <c:layout>
                <c:manualLayout>
                  <c:x val="-2.5069638982722752E-2"/>
                  <c:y val="-6.7199983067720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13E-42AB-990C-A1C7930A5F74}"/>
                </c:ext>
              </c:extLst>
            </c:dLbl>
            <c:dLbl>
              <c:idx val="9"/>
              <c:layout>
                <c:manualLayout>
                  <c:x val="-2.5069638982722752E-2"/>
                  <c:y val="-4.7999987905516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3E-42AB-990C-A1C7930A5F74}"/>
                </c:ext>
              </c:extLst>
            </c:dLbl>
            <c:dLbl>
              <c:idx val="10"/>
              <c:layout>
                <c:manualLayout>
                  <c:x val="-2.5069638982722752E-2"/>
                  <c:y val="-4.7999987905516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13E-42AB-990C-A1C7930A5F74}"/>
                </c:ext>
              </c:extLst>
            </c:dLbl>
            <c:dLbl>
              <c:idx val="11"/>
              <c:layout>
                <c:manualLayout>
                  <c:x val="-2.5069638982722752E-2"/>
                  <c:y val="-4.7999987905516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13E-42AB-990C-A1C7930A5F74}"/>
                </c:ext>
              </c:extLst>
            </c:dLbl>
            <c:dLbl>
              <c:idx val="12"/>
              <c:layout>
                <c:manualLayout>
                  <c:x val="-2.5069638982722752E-2"/>
                  <c:y val="-6.23999842771694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13E-42AB-990C-A1C7930A5F74}"/>
                </c:ext>
              </c:extLst>
            </c:dLbl>
            <c:dLbl>
              <c:idx val="14"/>
              <c:layout>
                <c:manualLayout>
                  <c:x val="-2.5069638982722752E-2"/>
                  <c:y val="-4.7999987905516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13E-42AB-990C-A1C7930A5F74}"/>
                </c:ext>
              </c:extLst>
            </c:dLbl>
            <c:dLbl>
              <c:idx val="16"/>
              <c:layout>
                <c:manualLayout>
                  <c:x val="-7.0175622783994085E-2"/>
                  <c:y val="4.74601839818568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13E-42AB-990C-A1C7930A5F74}"/>
                </c:ext>
              </c:extLst>
            </c:dLbl>
            <c:dLbl>
              <c:idx val="17"/>
              <c:layout>
                <c:manualLayout>
                  <c:x val="-3.9766081871345033E-2"/>
                  <c:y val="5.18312395416592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13E-42AB-990C-A1C7930A5F74}"/>
                </c:ext>
              </c:extLst>
            </c:dLbl>
            <c:dLbl>
              <c:idx val="18"/>
              <c:delete val="1"/>
              <c:extLst>
                <c:ext xmlns:c15="http://schemas.microsoft.com/office/drawing/2012/chart" uri="{CE6537A1-D6FC-4f65-9D91-7224C49458BB}"/>
                <c:ext xmlns:c16="http://schemas.microsoft.com/office/drawing/2014/chart" uri="{C3380CC4-5D6E-409C-BE32-E72D297353CC}">
                  <c16:uniqueId val="{0000000E-D13E-42AB-990C-A1C7930A5F74}"/>
                </c:ext>
              </c:extLst>
            </c:dLbl>
            <c:dLbl>
              <c:idx val="19"/>
              <c:layout>
                <c:manualLayout>
                  <c:x val="-2.8070175438596492E-2"/>
                  <c:y val="6.04099244875943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13E-42AB-990C-A1C7930A5F74}"/>
                </c:ext>
              </c:extLst>
            </c:dLbl>
            <c:dLbl>
              <c:idx val="20"/>
              <c:layout>
                <c:manualLayout>
                  <c:x val="-7.0175438596491333E-3"/>
                  <c:y val="6.47249190938511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13E-42AB-990C-A1C7930A5F74}"/>
                </c:ext>
              </c:extLst>
            </c:dLbl>
            <c:dLbl>
              <c:idx val="21"/>
              <c:delete val="1"/>
              <c:extLst>
                <c:ext xmlns:c15="http://schemas.microsoft.com/office/drawing/2012/chart" uri="{CE6537A1-D6FC-4f65-9D91-7224C49458BB}"/>
                <c:ext xmlns:c16="http://schemas.microsoft.com/office/drawing/2014/chart" uri="{C3380CC4-5D6E-409C-BE32-E72D297353CC}">
                  <c16:uniqueId val="{00000011-D13E-42AB-990C-A1C7930A5F74}"/>
                </c:ext>
              </c:extLst>
            </c:dLbl>
            <c:dLbl>
              <c:idx val="22"/>
              <c:layout>
                <c:manualLayout>
                  <c:x val="-1.4035087719298246E-2"/>
                  <c:y val="6.04099244875943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13E-42AB-990C-A1C7930A5F74}"/>
                </c:ext>
              </c:extLst>
            </c:dLbl>
            <c:dLbl>
              <c:idx val="23"/>
              <c:layout>
                <c:manualLayout>
                  <c:x val="-4.2105263157894736E-2"/>
                  <c:y val="-3.4519956850053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13E-42AB-990C-A1C7930A5F74}"/>
                </c:ext>
              </c:extLst>
            </c:dLbl>
            <c:spPr>
              <a:noFill/>
              <a:ln w="25400">
                <a:noFill/>
              </a:ln>
            </c:spPr>
            <c:txPr>
              <a:bodyPr/>
              <a:lstStyle/>
              <a:p>
                <a:pPr>
                  <a:defRPr sz="1100" b="1" i="0" u="none" strike="noStrike" baseline="0">
                    <a:solidFill>
                      <a:srgbClr val="0000FF"/>
                    </a:solidFill>
                    <a:latin typeface="Arial"/>
                    <a:ea typeface="Arial"/>
                    <a:cs typeface="Aria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Graficos!$N$68:$AK$68</c:f>
              <c:numCache>
                <c:formatCode>mmm\-yy</c:formatCode>
                <c:ptCount val="24"/>
                <c:pt idx="0">
                  <c:v>40544</c:v>
                </c:pt>
                <c:pt idx="1">
                  <c:v>40575</c:v>
                </c:pt>
                <c:pt idx="2">
                  <c:v>40603</c:v>
                </c:pt>
                <c:pt idx="3">
                  <c:v>40634</c:v>
                </c:pt>
                <c:pt idx="4">
                  <c:v>40664</c:v>
                </c:pt>
                <c:pt idx="5">
                  <c:v>40695</c:v>
                </c:pt>
                <c:pt idx="6">
                  <c:v>40725</c:v>
                </c:pt>
                <c:pt idx="7">
                  <c:v>40756</c:v>
                </c:pt>
                <c:pt idx="8">
                  <c:v>40787</c:v>
                </c:pt>
                <c:pt idx="9">
                  <c:v>40817</c:v>
                </c:pt>
                <c:pt idx="10">
                  <c:v>40848</c:v>
                </c:pt>
                <c:pt idx="11">
                  <c:v>40878</c:v>
                </c:pt>
                <c:pt idx="12">
                  <c:v>40909</c:v>
                </c:pt>
                <c:pt idx="13">
                  <c:v>40940</c:v>
                </c:pt>
                <c:pt idx="14">
                  <c:v>40969</c:v>
                </c:pt>
                <c:pt idx="15">
                  <c:v>41000</c:v>
                </c:pt>
                <c:pt idx="16">
                  <c:v>41030</c:v>
                </c:pt>
                <c:pt idx="17">
                  <c:v>41061</c:v>
                </c:pt>
                <c:pt idx="18">
                  <c:v>41091</c:v>
                </c:pt>
                <c:pt idx="19">
                  <c:v>41122</c:v>
                </c:pt>
                <c:pt idx="20">
                  <c:v>41153</c:v>
                </c:pt>
                <c:pt idx="21">
                  <c:v>41183</c:v>
                </c:pt>
                <c:pt idx="22">
                  <c:v>41214</c:v>
                </c:pt>
                <c:pt idx="23">
                  <c:v>41244</c:v>
                </c:pt>
              </c:numCache>
            </c:numRef>
          </c:cat>
          <c:val>
            <c:numRef>
              <c:f>Graficos!$N$73:$AK$73</c:f>
              <c:numCache>
                <c:formatCode>#,##0.0</c:formatCode>
                <c:ptCount val="24"/>
                <c:pt idx="0" formatCode="General">
                  <c:v>7.4</c:v>
                </c:pt>
                <c:pt idx="1">
                  <c:v>7.4</c:v>
                </c:pt>
                <c:pt idx="2">
                  <c:v>7.5</c:v>
                </c:pt>
                <c:pt idx="3" formatCode="General">
                  <c:v>7.3</c:v>
                </c:pt>
                <c:pt idx="4" formatCode="0.0">
                  <c:v>9.9</c:v>
                </c:pt>
                <c:pt idx="5" formatCode="0.0">
                  <c:v>7.6</c:v>
                </c:pt>
                <c:pt idx="6" formatCode="0.0">
                  <c:v>2.4</c:v>
                </c:pt>
                <c:pt idx="7" formatCode="0.0">
                  <c:v>2.4</c:v>
                </c:pt>
                <c:pt idx="8" formatCode="0.0">
                  <c:v>2.4</c:v>
                </c:pt>
                <c:pt idx="9" formatCode="0.0">
                  <c:v>2.4</c:v>
                </c:pt>
                <c:pt idx="10" formatCode="0.0">
                  <c:v>2.4</c:v>
                </c:pt>
                <c:pt idx="11" formatCode="0.0">
                  <c:v>2.4</c:v>
                </c:pt>
                <c:pt idx="12" formatCode="0.0">
                  <c:v>2.4</c:v>
                </c:pt>
                <c:pt idx="13" formatCode="0.0">
                  <c:v>2.4</c:v>
                </c:pt>
                <c:pt idx="14" formatCode="0.0">
                  <c:v>7.3</c:v>
                </c:pt>
                <c:pt idx="15" formatCode="0.0">
                  <c:v>7.3</c:v>
                </c:pt>
                <c:pt idx="16" formatCode="0.0">
                  <c:v>4.9000000000000004</c:v>
                </c:pt>
                <c:pt idx="17" formatCode="0.0">
                  <c:v>4.8</c:v>
                </c:pt>
                <c:pt idx="18" formatCode="0.0">
                  <c:v>4.9000000000000004</c:v>
                </c:pt>
                <c:pt idx="19" formatCode="0.0">
                  <c:v>4.9000000000000004</c:v>
                </c:pt>
                <c:pt idx="20" formatCode="0.0">
                  <c:v>5.0999999999999996</c:v>
                </c:pt>
                <c:pt idx="21" formatCode="0.0">
                  <c:v>5.0999999999999996</c:v>
                </c:pt>
                <c:pt idx="22" formatCode="0.0">
                  <c:v>5.0999999999999996</c:v>
                </c:pt>
                <c:pt idx="23" formatCode="0.0">
                  <c:v>8.8790032040327009</c:v>
                </c:pt>
              </c:numCache>
            </c:numRef>
          </c:val>
          <c:smooth val="0"/>
          <c:extLst>
            <c:ext xmlns:c16="http://schemas.microsoft.com/office/drawing/2014/chart" uri="{C3380CC4-5D6E-409C-BE32-E72D297353CC}">
              <c16:uniqueId val="{00000014-D13E-42AB-990C-A1C7930A5F74}"/>
            </c:ext>
          </c:extLst>
        </c:ser>
        <c:dLbls>
          <c:showLegendKey val="0"/>
          <c:showVal val="1"/>
          <c:showCatName val="0"/>
          <c:showSerName val="0"/>
          <c:showPercent val="0"/>
          <c:showBubbleSize val="0"/>
        </c:dLbls>
        <c:marker val="1"/>
        <c:smooth val="0"/>
        <c:axId val="1403280864"/>
        <c:axId val="1403275424"/>
      </c:lineChart>
      <c:catAx>
        <c:axId val="1403280864"/>
        <c:scaling>
          <c:orientation val="minMax"/>
        </c:scaling>
        <c:delete val="0"/>
        <c:axPos val="b"/>
        <c:numFmt formatCode="mmm\-yy" sourceLinked="1"/>
        <c:majorTickMark val="cross"/>
        <c:minorTickMark val="none"/>
        <c:tickLblPos val="nextTo"/>
        <c:spPr>
          <a:ln w="3175">
            <a:solidFill>
              <a:srgbClr val="000000"/>
            </a:solidFill>
            <a:prstDash val="solid"/>
          </a:ln>
        </c:spPr>
        <c:txPr>
          <a:bodyPr rot="-2700000" vert="horz"/>
          <a:lstStyle/>
          <a:p>
            <a:pPr>
              <a:defRPr sz="800" b="0" i="0" u="none" strike="noStrike" baseline="0">
                <a:solidFill>
                  <a:srgbClr val="000000"/>
                </a:solidFill>
                <a:latin typeface="Arial"/>
                <a:ea typeface="Arial"/>
                <a:cs typeface="Arial"/>
              </a:defRPr>
            </a:pPr>
            <a:endParaRPr lang="es-PE"/>
          </a:p>
        </c:txPr>
        <c:crossAx val="1403275424"/>
        <c:crosses val="autoZero"/>
        <c:auto val="0"/>
        <c:lblAlgn val="ctr"/>
        <c:lblOffset val="100"/>
        <c:tickLblSkip val="1"/>
        <c:tickMarkSkip val="1"/>
        <c:noMultiLvlLbl val="0"/>
      </c:catAx>
      <c:valAx>
        <c:axId val="1403275424"/>
        <c:scaling>
          <c:orientation val="minMax"/>
          <c:min val="1"/>
        </c:scaling>
        <c:delete val="0"/>
        <c:axPos val="l"/>
        <c:majorGridlines>
          <c:spPr>
            <a:ln w="3175">
              <a:solidFill>
                <a:srgbClr val="000000"/>
              </a:solidFill>
              <a:prstDash val="solid"/>
            </a:ln>
          </c:spPr>
        </c:majorGridlines>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80864"/>
        <c:crosses val="autoZero"/>
        <c:crossBetween val="between"/>
      </c:valAx>
      <c:spPr>
        <a:solidFill>
          <a:srgbClr val="D4D4D4"/>
        </a:solidFill>
        <a:ln w="12700">
          <a:solidFill>
            <a:srgbClr val="C0C4C7"/>
          </a:solidFill>
          <a:prstDash val="solid"/>
        </a:ln>
      </c:spPr>
    </c:plotArea>
    <c:plotVisOnly val="0"/>
    <c:dispBlanksAs val="span"/>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PE" sz="800" b="1" i="0" u="none" strike="noStrike" baseline="0">
                <a:solidFill>
                  <a:srgbClr val="000000"/>
                </a:solidFill>
                <a:latin typeface="Arial"/>
                <a:ea typeface="Arial"/>
                <a:cs typeface="Arial"/>
              </a:defRPr>
            </a:pPr>
            <a:r>
              <a:rPr lang="es-PE"/>
              <a:t>DIAS</a:t>
            </a:r>
            <a:r>
              <a:rPr lang="es-PE" baseline="0"/>
              <a:t> PERDIDOS (+cargo ANSI)</a:t>
            </a:r>
            <a:r>
              <a:rPr lang="es-PE"/>
              <a:t>  Alicorp - Acumulado 2012</a:t>
            </a:r>
          </a:p>
        </c:rich>
      </c:tx>
      <c:layout>
        <c:manualLayout>
          <c:xMode val="edge"/>
          <c:yMode val="edge"/>
          <c:x val="0.27519829252112488"/>
          <c:y val="1.6642931023143747E-2"/>
        </c:manualLayout>
      </c:layout>
      <c:overlay val="0"/>
      <c:spPr>
        <a:noFill/>
        <a:ln w="25400">
          <a:noFill/>
        </a:ln>
      </c:spPr>
    </c:title>
    <c:autoTitleDeleted val="0"/>
    <c:plotArea>
      <c:layout>
        <c:manualLayout>
          <c:layoutTarget val="inner"/>
          <c:xMode val="edge"/>
          <c:yMode val="edge"/>
          <c:x val="4.5302013422819434E-2"/>
          <c:y val="8.6721096716994725E-2"/>
          <c:w val="0.94127516778523457"/>
          <c:h val="0.76422966481853738"/>
        </c:manualLayout>
      </c:layout>
      <c:lineChart>
        <c:grouping val="standard"/>
        <c:varyColors val="0"/>
        <c:ser>
          <c:idx val="2"/>
          <c:order val="0"/>
          <c:tx>
            <c:v>2009</c:v>
          </c:tx>
          <c:spPr>
            <a:ln w="38100">
              <a:solidFill>
                <a:srgbClr val="60ED84"/>
              </a:solidFill>
              <a:prstDash val="solid"/>
            </a:ln>
          </c:spPr>
          <c:marker>
            <c:symbol val="circle"/>
            <c:size val="5"/>
            <c:spPr>
              <a:solidFill>
                <a:srgbClr val="60ED84"/>
              </a:solidFill>
              <a:ln>
                <a:solidFill>
                  <a:srgbClr val="60ED84"/>
                </a:solidFill>
                <a:prstDash val="solid"/>
              </a:ln>
            </c:spPr>
          </c:marker>
          <c:dLbls>
            <c:dLbl>
              <c:idx val="11"/>
              <c:spPr>
                <a:noFill/>
                <a:ln w="25400">
                  <a:noFill/>
                </a:ln>
              </c:spPr>
              <c:txPr>
                <a:bodyPr/>
                <a:lstStyle/>
                <a:p>
                  <a:pPr>
                    <a:defRPr sz="1000" b="1" i="0" u="none" strike="noStrike" baseline="0">
                      <a:solidFill>
                        <a:srgbClr val="5BCB77"/>
                      </a:solidFill>
                      <a:latin typeface="Arial"/>
                      <a:ea typeface="Arial"/>
                      <a:cs typeface="Arial"/>
                    </a:defRPr>
                  </a:pPr>
                  <a:endParaRPr lang="es-P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93-4FBE-BA6E-621DC40A639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Graficos!$B$2:$M$2</c:f>
              <c:strCache>
                <c:ptCount val="12"/>
                <c:pt idx="0">
                  <c:v>Ene </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Graficos!$AU$34:$BF$34</c:f>
              <c:numCache>
                <c:formatCode>General</c:formatCode>
                <c:ptCount val="12"/>
                <c:pt idx="0">
                  <c:v>49</c:v>
                </c:pt>
                <c:pt idx="1">
                  <c:v>86</c:v>
                </c:pt>
                <c:pt idx="2">
                  <c:v>110</c:v>
                </c:pt>
                <c:pt idx="3">
                  <c:v>135</c:v>
                </c:pt>
                <c:pt idx="4">
                  <c:v>174</c:v>
                </c:pt>
                <c:pt idx="5">
                  <c:v>6228</c:v>
                </c:pt>
                <c:pt idx="6">
                  <c:v>6279</c:v>
                </c:pt>
                <c:pt idx="7">
                  <c:v>8106</c:v>
                </c:pt>
                <c:pt idx="8">
                  <c:v>8119</c:v>
                </c:pt>
                <c:pt idx="9">
                  <c:v>8171</c:v>
                </c:pt>
                <c:pt idx="10">
                  <c:v>8229</c:v>
                </c:pt>
                <c:pt idx="11">
                  <c:v>8231</c:v>
                </c:pt>
              </c:numCache>
            </c:numRef>
          </c:val>
          <c:smooth val="0"/>
          <c:extLst>
            <c:ext xmlns:c16="http://schemas.microsoft.com/office/drawing/2014/chart" uri="{C3380CC4-5D6E-409C-BE32-E72D297353CC}">
              <c16:uniqueId val="{00000001-A093-4FBE-BA6E-621DC40A6393}"/>
            </c:ext>
          </c:extLst>
        </c:ser>
        <c:ser>
          <c:idx val="0"/>
          <c:order val="1"/>
          <c:tx>
            <c:v>2010</c:v>
          </c:tx>
          <c:spPr>
            <a:ln w="38100">
              <a:solidFill>
                <a:srgbClr val="FF3333"/>
              </a:solidFill>
              <a:prstDash val="solid"/>
            </a:ln>
          </c:spPr>
          <c:marker>
            <c:symbol val="circle"/>
            <c:size val="5"/>
            <c:spPr>
              <a:solidFill>
                <a:srgbClr val="FF3333"/>
              </a:solidFill>
              <a:ln>
                <a:solidFill>
                  <a:srgbClr val="FF3333"/>
                </a:solidFill>
                <a:prstDash val="solid"/>
              </a:ln>
            </c:spPr>
          </c:marker>
          <c:dLbls>
            <c:dLbl>
              <c:idx val="11"/>
              <c:layout>
                <c:manualLayout>
                  <c:x val="-5.802688125522799E-3"/>
                  <c:y val="-2.8793010462733384E-2"/>
                </c:manualLayout>
              </c:layout>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93-4FBE-BA6E-621DC40A639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Graficos!$B$2:$M$2</c:f>
              <c:strCache>
                <c:ptCount val="12"/>
                <c:pt idx="0">
                  <c:v>Ene </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Graficos!$AU$35:$BF$35</c:f>
              <c:numCache>
                <c:formatCode>General</c:formatCode>
                <c:ptCount val="12"/>
                <c:pt idx="0">
                  <c:v>90</c:v>
                </c:pt>
                <c:pt idx="1">
                  <c:v>180</c:v>
                </c:pt>
                <c:pt idx="2">
                  <c:v>326</c:v>
                </c:pt>
                <c:pt idx="3">
                  <c:v>363</c:v>
                </c:pt>
                <c:pt idx="4">
                  <c:v>398</c:v>
                </c:pt>
                <c:pt idx="5">
                  <c:v>495</c:v>
                </c:pt>
                <c:pt idx="6">
                  <c:v>661</c:v>
                </c:pt>
                <c:pt idx="7">
                  <c:v>839</c:v>
                </c:pt>
                <c:pt idx="8">
                  <c:v>882</c:v>
                </c:pt>
                <c:pt idx="9">
                  <c:v>938</c:v>
                </c:pt>
                <c:pt idx="10">
                  <c:v>938</c:v>
                </c:pt>
                <c:pt idx="11">
                  <c:v>1111</c:v>
                </c:pt>
              </c:numCache>
            </c:numRef>
          </c:val>
          <c:smooth val="0"/>
          <c:extLst>
            <c:ext xmlns:c16="http://schemas.microsoft.com/office/drawing/2014/chart" uri="{C3380CC4-5D6E-409C-BE32-E72D297353CC}">
              <c16:uniqueId val="{00000003-A093-4FBE-BA6E-621DC40A6393}"/>
            </c:ext>
          </c:extLst>
        </c:ser>
        <c:ser>
          <c:idx val="1"/>
          <c:order val="2"/>
          <c:tx>
            <c:v>2011</c:v>
          </c:tx>
          <c:spPr>
            <a:ln w="38100">
              <a:solidFill>
                <a:srgbClr val="0000FF"/>
              </a:solidFill>
              <a:prstDash val="solid"/>
            </a:ln>
          </c:spPr>
          <c:marker>
            <c:symbol val="circle"/>
            <c:size val="5"/>
            <c:spPr>
              <a:solidFill>
                <a:srgbClr val="0000FF"/>
              </a:solidFill>
              <a:ln>
                <a:solidFill>
                  <a:srgbClr val="0000FF"/>
                </a:solidFill>
                <a:prstDash val="solid"/>
              </a:ln>
            </c:spPr>
          </c:marker>
          <c:dLbls>
            <c:dLbl>
              <c:idx val="11"/>
              <c:layout>
                <c:manualLayout>
                  <c:x val="-4.4741936306538421E-3"/>
                  <c:y val="-4.3925415030317237E-2"/>
                </c:manualLayout>
              </c:layout>
              <c:spPr>
                <a:noFill/>
                <a:ln w="25400">
                  <a:noFill/>
                </a:ln>
              </c:spPr>
              <c:txPr>
                <a:bodyPr/>
                <a:lstStyle/>
                <a:p>
                  <a:pPr>
                    <a:defRPr b="1">
                      <a:solidFill>
                        <a:srgbClr val="0070C0"/>
                      </a:solidFill>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93-4FBE-BA6E-621DC40A639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Graficos!$B$2:$M$2</c:f>
              <c:strCache>
                <c:ptCount val="12"/>
                <c:pt idx="0">
                  <c:v>Ene </c:v>
                </c:pt>
                <c:pt idx="1">
                  <c:v>Feb</c:v>
                </c:pt>
                <c:pt idx="2">
                  <c:v>Mar</c:v>
                </c:pt>
                <c:pt idx="3">
                  <c:v>Abr</c:v>
                </c:pt>
                <c:pt idx="4">
                  <c:v>May</c:v>
                </c:pt>
                <c:pt idx="5">
                  <c:v>Jun</c:v>
                </c:pt>
                <c:pt idx="6">
                  <c:v>Jul</c:v>
                </c:pt>
                <c:pt idx="7">
                  <c:v>Ago</c:v>
                </c:pt>
                <c:pt idx="8">
                  <c:v>Sep</c:v>
                </c:pt>
                <c:pt idx="9">
                  <c:v>Oct</c:v>
                </c:pt>
                <c:pt idx="10">
                  <c:v>Nov</c:v>
                </c:pt>
                <c:pt idx="11">
                  <c:v>Dic</c:v>
                </c:pt>
              </c:strCache>
            </c:strRef>
          </c:cat>
          <c:val>
            <c:numRef>
              <c:f>Graficos!$AU$36:$BF$36</c:f>
              <c:numCache>
                <c:formatCode>General</c:formatCode>
                <c:ptCount val="12"/>
                <c:pt idx="0">
                  <c:v>254</c:v>
                </c:pt>
                <c:pt idx="1">
                  <c:v>327</c:v>
                </c:pt>
                <c:pt idx="2">
                  <c:v>392</c:v>
                </c:pt>
                <c:pt idx="3">
                  <c:v>812</c:v>
                </c:pt>
                <c:pt idx="4">
                  <c:v>1272</c:v>
                </c:pt>
                <c:pt idx="5">
                  <c:v>1411</c:v>
                </c:pt>
                <c:pt idx="6">
                  <c:v>1470</c:v>
                </c:pt>
                <c:pt idx="7">
                  <c:v>1527</c:v>
                </c:pt>
                <c:pt idx="8">
                  <c:v>1926</c:v>
                </c:pt>
                <c:pt idx="9">
                  <c:v>1931</c:v>
                </c:pt>
                <c:pt idx="10">
                  <c:v>2091</c:v>
                </c:pt>
                <c:pt idx="11">
                  <c:v>2121</c:v>
                </c:pt>
              </c:numCache>
            </c:numRef>
          </c:val>
          <c:smooth val="0"/>
          <c:extLst>
            <c:ext xmlns:c16="http://schemas.microsoft.com/office/drawing/2014/chart" uri="{C3380CC4-5D6E-409C-BE32-E72D297353CC}">
              <c16:uniqueId val="{00000005-A093-4FBE-BA6E-621DC40A6393}"/>
            </c:ext>
          </c:extLst>
        </c:ser>
        <c:ser>
          <c:idx val="3"/>
          <c:order val="3"/>
          <c:tx>
            <c:v>2012</c:v>
          </c:tx>
          <c:spPr>
            <a:ln>
              <a:solidFill>
                <a:schemeClr val="tx1"/>
              </a:solidFill>
            </a:ln>
          </c:spPr>
          <c:marker>
            <c:symbol val="circle"/>
            <c:size val="7"/>
            <c:spPr>
              <a:solidFill>
                <a:schemeClr val="tx1"/>
              </a:solidFill>
            </c:spPr>
          </c:marker>
          <c:dLbls>
            <c:dLbl>
              <c:idx val="10"/>
              <c:layout>
                <c:manualLayout>
                  <c:x val="-3.9597069597069601E-2"/>
                  <c:y val="-3.42465753424657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93-4FBE-BA6E-621DC40A6393}"/>
                </c:ext>
              </c:extLst>
            </c:dLbl>
            <c:dLbl>
              <c:idx val="11"/>
              <c:layout>
                <c:manualLayout>
                  <c:x val="-4.1901012373451955E-3"/>
                  <c:y val="-4.94672754946728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93-4FBE-BA6E-621DC40A6393}"/>
                </c:ext>
              </c:extLst>
            </c:dLbl>
            <c:spPr>
              <a:noFill/>
              <a:ln w="25400">
                <a:noFill/>
              </a:ln>
            </c:spPr>
            <c:txPr>
              <a:bodyPr/>
              <a:lstStyle/>
              <a:p>
                <a:pPr>
                  <a:defRPr b="1">
                    <a:solidFill>
                      <a:sysClr val="windowText" lastClr="000000"/>
                    </a:solidFil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Graficos!$AU$37:$BF$37</c:f>
              <c:numCache>
                <c:formatCode>General</c:formatCode>
                <c:ptCount val="12"/>
                <c:pt idx="0">
                  <c:v>202</c:v>
                </c:pt>
                <c:pt idx="1">
                  <c:v>217</c:v>
                </c:pt>
                <c:pt idx="2">
                  <c:v>273</c:v>
                </c:pt>
                <c:pt idx="3">
                  <c:v>288</c:v>
                </c:pt>
                <c:pt idx="4">
                  <c:v>327</c:v>
                </c:pt>
                <c:pt idx="5">
                  <c:v>394</c:v>
                </c:pt>
                <c:pt idx="6">
                  <c:v>432</c:v>
                </c:pt>
                <c:pt idx="7">
                  <c:v>513</c:v>
                </c:pt>
                <c:pt idx="8">
                  <c:v>711</c:v>
                </c:pt>
                <c:pt idx="9">
                  <c:v>723</c:v>
                </c:pt>
                <c:pt idx="10">
                  <c:v>1259</c:v>
                </c:pt>
                <c:pt idx="11">
                  <c:v>1303</c:v>
                </c:pt>
              </c:numCache>
            </c:numRef>
          </c:val>
          <c:smooth val="0"/>
          <c:extLst>
            <c:ext xmlns:c16="http://schemas.microsoft.com/office/drawing/2014/chart" uri="{C3380CC4-5D6E-409C-BE32-E72D297353CC}">
              <c16:uniqueId val="{00000008-A093-4FBE-BA6E-621DC40A6393}"/>
            </c:ext>
          </c:extLst>
        </c:ser>
        <c:ser>
          <c:idx val="4"/>
          <c:order val="4"/>
          <c:tx>
            <c:v>OBJ</c:v>
          </c:tx>
          <c:spPr>
            <a:ln>
              <a:solidFill>
                <a:srgbClr val="FF0000"/>
              </a:solidFill>
              <a:prstDash val="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9-A093-4FBE-BA6E-621DC40A6393}"/>
                </c:ext>
              </c:extLst>
            </c:dLbl>
            <c:dLbl>
              <c:idx val="1"/>
              <c:delete val="1"/>
              <c:extLst>
                <c:ext xmlns:c15="http://schemas.microsoft.com/office/drawing/2012/chart" uri="{CE6537A1-D6FC-4f65-9D91-7224C49458BB}"/>
                <c:ext xmlns:c16="http://schemas.microsoft.com/office/drawing/2014/chart" uri="{C3380CC4-5D6E-409C-BE32-E72D297353CC}">
                  <c16:uniqueId val="{0000000A-A093-4FBE-BA6E-621DC40A6393}"/>
                </c:ext>
              </c:extLst>
            </c:dLbl>
            <c:dLbl>
              <c:idx val="2"/>
              <c:delete val="1"/>
              <c:extLst>
                <c:ext xmlns:c15="http://schemas.microsoft.com/office/drawing/2012/chart" uri="{CE6537A1-D6FC-4f65-9D91-7224C49458BB}"/>
                <c:ext xmlns:c16="http://schemas.microsoft.com/office/drawing/2014/chart" uri="{C3380CC4-5D6E-409C-BE32-E72D297353CC}">
                  <c16:uniqueId val="{0000000B-A093-4FBE-BA6E-621DC40A6393}"/>
                </c:ext>
              </c:extLst>
            </c:dLbl>
            <c:dLbl>
              <c:idx val="3"/>
              <c:delete val="1"/>
              <c:extLst>
                <c:ext xmlns:c15="http://schemas.microsoft.com/office/drawing/2012/chart" uri="{CE6537A1-D6FC-4f65-9D91-7224C49458BB}"/>
                <c:ext xmlns:c16="http://schemas.microsoft.com/office/drawing/2014/chart" uri="{C3380CC4-5D6E-409C-BE32-E72D297353CC}">
                  <c16:uniqueId val="{0000000C-A093-4FBE-BA6E-621DC40A6393}"/>
                </c:ext>
              </c:extLst>
            </c:dLbl>
            <c:dLbl>
              <c:idx val="4"/>
              <c:delete val="1"/>
              <c:extLst>
                <c:ext xmlns:c15="http://schemas.microsoft.com/office/drawing/2012/chart" uri="{CE6537A1-D6FC-4f65-9D91-7224C49458BB}"/>
                <c:ext xmlns:c16="http://schemas.microsoft.com/office/drawing/2014/chart" uri="{C3380CC4-5D6E-409C-BE32-E72D297353CC}">
                  <c16:uniqueId val="{0000000D-A093-4FBE-BA6E-621DC40A6393}"/>
                </c:ext>
              </c:extLst>
            </c:dLbl>
            <c:dLbl>
              <c:idx val="5"/>
              <c:delete val="1"/>
              <c:extLst>
                <c:ext xmlns:c15="http://schemas.microsoft.com/office/drawing/2012/chart" uri="{CE6537A1-D6FC-4f65-9D91-7224C49458BB}"/>
                <c:ext xmlns:c16="http://schemas.microsoft.com/office/drawing/2014/chart" uri="{C3380CC4-5D6E-409C-BE32-E72D297353CC}">
                  <c16:uniqueId val="{0000000E-A093-4FBE-BA6E-621DC40A6393}"/>
                </c:ext>
              </c:extLst>
            </c:dLbl>
            <c:dLbl>
              <c:idx val="6"/>
              <c:delete val="1"/>
              <c:extLst>
                <c:ext xmlns:c15="http://schemas.microsoft.com/office/drawing/2012/chart" uri="{CE6537A1-D6FC-4f65-9D91-7224C49458BB}"/>
                <c:ext xmlns:c16="http://schemas.microsoft.com/office/drawing/2014/chart" uri="{C3380CC4-5D6E-409C-BE32-E72D297353CC}">
                  <c16:uniqueId val="{0000000F-A093-4FBE-BA6E-621DC40A6393}"/>
                </c:ext>
              </c:extLst>
            </c:dLbl>
            <c:dLbl>
              <c:idx val="7"/>
              <c:delete val="1"/>
              <c:extLst>
                <c:ext xmlns:c15="http://schemas.microsoft.com/office/drawing/2012/chart" uri="{CE6537A1-D6FC-4f65-9D91-7224C49458BB}"/>
                <c:ext xmlns:c16="http://schemas.microsoft.com/office/drawing/2014/chart" uri="{C3380CC4-5D6E-409C-BE32-E72D297353CC}">
                  <c16:uniqueId val="{00000010-A093-4FBE-BA6E-621DC40A6393}"/>
                </c:ext>
              </c:extLst>
            </c:dLbl>
            <c:dLbl>
              <c:idx val="8"/>
              <c:delete val="1"/>
              <c:extLst>
                <c:ext xmlns:c15="http://schemas.microsoft.com/office/drawing/2012/chart" uri="{CE6537A1-D6FC-4f65-9D91-7224C49458BB}"/>
                <c:ext xmlns:c16="http://schemas.microsoft.com/office/drawing/2014/chart" uri="{C3380CC4-5D6E-409C-BE32-E72D297353CC}">
                  <c16:uniqueId val="{00000011-A093-4FBE-BA6E-621DC40A6393}"/>
                </c:ext>
              </c:extLst>
            </c:dLbl>
            <c:dLbl>
              <c:idx val="9"/>
              <c:delete val="1"/>
              <c:extLst>
                <c:ext xmlns:c15="http://schemas.microsoft.com/office/drawing/2012/chart" uri="{CE6537A1-D6FC-4f65-9D91-7224C49458BB}"/>
                <c:ext xmlns:c16="http://schemas.microsoft.com/office/drawing/2014/chart" uri="{C3380CC4-5D6E-409C-BE32-E72D297353CC}">
                  <c16:uniqueId val="{00000012-A093-4FBE-BA6E-621DC40A6393}"/>
                </c:ext>
              </c:extLst>
            </c:dLbl>
            <c:dLbl>
              <c:idx val="10"/>
              <c:delete val="1"/>
              <c:extLst>
                <c:ext xmlns:c15="http://schemas.microsoft.com/office/drawing/2012/chart" uri="{CE6537A1-D6FC-4f65-9D91-7224C49458BB}"/>
                <c:ext xmlns:c16="http://schemas.microsoft.com/office/drawing/2014/chart" uri="{C3380CC4-5D6E-409C-BE32-E72D297353CC}">
                  <c16:uniqueId val="{00000013-A093-4FBE-BA6E-621DC40A6393}"/>
                </c:ext>
              </c:extLst>
            </c:dLbl>
            <c:dLbl>
              <c:idx val="11"/>
              <c:layout>
                <c:manualLayout>
                  <c:x val="-1.8315018315018257E-2"/>
                  <c:y val="-4.8706240487062395E-2"/>
                </c:manualLayout>
              </c:layout>
              <c:spPr>
                <a:noFill/>
                <a:ln w="25400">
                  <a:noFill/>
                </a:ln>
              </c:spPr>
              <c:txPr>
                <a:bodyPr/>
                <a:lstStyle/>
                <a:p>
                  <a:pPr>
                    <a:defRPr b="1">
                      <a:solidFill>
                        <a:srgbClr val="FF0000"/>
                      </a:solidFill>
                    </a:defRPr>
                  </a:pPr>
                  <a:endParaRPr lang="es-P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093-4FBE-BA6E-621DC40A6393}"/>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Graficos!$AU$38:$BF$38</c:f>
              <c:numCache>
                <c:formatCode>#,##0</c:formatCode>
                <c:ptCount val="12"/>
                <c:pt idx="0">
                  <c:v>58.333333333333336</c:v>
                </c:pt>
                <c:pt idx="1">
                  <c:v>116.66666666666667</c:v>
                </c:pt>
                <c:pt idx="2">
                  <c:v>175</c:v>
                </c:pt>
                <c:pt idx="3">
                  <c:v>233.33333333333334</c:v>
                </c:pt>
                <c:pt idx="4">
                  <c:v>291.66666666666669</c:v>
                </c:pt>
                <c:pt idx="5">
                  <c:v>350</c:v>
                </c:pt>
                <c:pt idx="6">
                  <c:v>408.33333333333331</c:v>
                </c:pt>
                <c:pt idx="7">
                  <c:v>466.66666666666663</c:v>
                </c:pt>
                <c:pt idx="8">
                  <c:v>525</c:v>
                </c:pt>
                <c:pt idx="9">
                  <c:v>583.33333333333337</c:v>
                </c:pt>
                <c:pt idx="10">
                  <c:v>641.66666666666674</c:v>
                </c:pt>
                <c:pt idx="11">
                  <c:v>700</c:v>
                </c:pt>
              </c:numCache>
            </c:numRef>
          </c:val>
          <c:smooth val="1"/>
          <c:extLst>
            <c:ext xmlns:c16="http://schemas.microsoft.com/office/drawing/2014/chart" uri="{C3380CC4-5D6E-409C-BE32-E72D297353CC}">
              <c16:uniqueId val="{00000015-A093-4FBE-BA6E-621DC40A6393}"/>
            </c:ext>
          </c:extLst>
        </c:ser>
        <c:dLbls>
          <c:showLegendKey val="0"/>
          <c:showVal val="1"/>
          <c:showCatName val="0"/>
          <c:showSerName val="0"/>
          <c:showPercent val="0"/>
          <c:showBubbleSize val="0"/>
        </c:dLbls>
        <c:marker val="1"/>
        <c:smooth val="0"/>
        <c:axId val="1403268896"/>
        <c:axId val="1403276512"/>
      </c:lineChart>
      <c:catAx>
        <c:axId val="14032688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76512"/>
        <c:crosses val="autoZero"/>
        <c:auto val="0"/>
        <c:lblAlgn val="ctr"/>
        <c:lblOffset val="100"/>
        <c:tickLblSkip val="1"/>
        <c:tickMarkSkip val="1"/>
        <c:noMultiLvlLbl val="0"/>
      </c:catAx>
      <c:valAx>
        <c:axId val="1403276512"/>
        <c:scaling>
          <c:orientation val="minMax"/>
          <c:max val="2200"/>
        </c:scaling>
        <c:delete val="0"/>
        <c:axPos val="l"/>
        <c:majorGridlines>
          <c:spPr>
            <a:ln w="3175">
              <a:solidFill>
                <a:schemeClr val="tx1">
                  <a:alpha val="57000"/>
                </a:schemeClr>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8896"/>
        <c:crosses val="autoZero"/>
        <c:crossBetween val="between"/>
        <c:majorUnit val="200"/>
      </c:valAx>
      <c:spPr>
        <a:noFill/>
        <a:ln w="3175">
          <a:solidFill>
            <a:srgbClr val="000000"/>
          </a:solidFill>
          <a:prstDash val="solid"/>
        </a:ln>
      </c:spPr>
    </c:plotArea>
    <c:legend>
      <c:legendPos val="r"/>
      <c:layout>
        <c:manualLayout>
          <c:xMode val="edge"/>
          <c:yMode val="edge"/>
          <c:x val="0.21978021978021994"/>
          <c:y val="0.92085427677704668"/>
          <c:w val="0.64697802197802678"/>
          <c:h val="7.2298565419048694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Graficos!$AT$69</c:f>
              <c:strCache>
                <c:ptCount val="1"/>
                <c:pt idx="0">
                  <c:v>Activ.Productivas</c:v>
                </c:pt>
              </c:strCache>
            </c:strRef>
          </c:tx>
          <c:spPr>
            <a:ln>
              <a:solidFill>
                <a:schemeClr val="tx1"/>
              </a:solidFill>
            </a:ln>
          </c:spPr>
          <c:marker>
            <c:symbol val="none"/>
          </c:marker>
          <c:cat>
            <c:strRef>
              <c:f>Graficos!$AU$68:$BF$68</c:f>
              <c:strCache>
                <c:ptCount val="12"/>
                <c:pt idx="0">
                  <c:v>Ene</c:v>
                </c:pt>
                <c:pt idx="1">
                  <c:v>Feb</c:v>
                </c:pt>
                <c:pt idx="2">
                  <c:v>Mar</c:v>
                </c:pt>
                <c:pt idx="3">
                  <c:v>Abr </c:v>
                </c:pt>
                <c:pt idx="4">
                  <c:v>May</c:v>
                </c:pt>
                <c:pt idx="5">
                  <c:v>Jun</c:v>
                </c:pt>
                <c:pt idx="6">
                  <c:v>Jul</c:v>
                </c:pt>
                <c:pt idx="7">
                  <c:v>Ago</c:v>
                </c:pt>
                <c:pt idx="8">
                  <c:v>Set</c:v>
                </c:pt>
                <c:pt idx="9">
                  <c:v>oct</c:v>
                </c:pt>
                <c:pt idx="10">
                  <c:v>Nov</c:v>
                </c:pt>
                <c:pt idx="11">
                  <c:v>Dic</c:v>
                </c:pt>
              </c:strCache>
            </c:strRef>
          </c:cat>
          <c:val>
            <c:numRef>
              <c:f>Graficos!$AU$69:$BF$69</c:f>
              <c:numCache>
                <c:formatCode>General</c:formatCode>
                <c:ptCount val="12"/>
                <c:pt idx="0">
                  <c:v>1</c:v>
                </c:pt>
                <c:pt idx="1">
                  <c:v>1</c:v>
                </c:pt>
                <c:pt idx="2">
                  <c:v>4</c:v>
                </c:pt>
                <c:pt idx="3">
                  <c:v>1</c:v>
                </c:pt>
                <c:pt idx="4">
                  <c:v>4</c:v>
                </c:pt>
                <c:pt idx="5">
                  <c:v>1</c:v>
                </c:pt>
                <c:pt idx="6">
                  <c:v>2</c:v>
                </c:pt>
                <c:pt idx="7">
                  <c:v>3</c:v>
                </c:pt>
                <c:pt idx="8">
                  <c:v>1</c:v>
                </c:pt>
                <c:pt idx="9">
                  <c:v>2</c:v>
                </c:pt>
                <c:pt idx="10">
                  <c:v>2</c:v>
                </c:pt>
                <c:pt idx="11">
                  <c:v>3</c:v>
                </c:pt>
              </c:numCache>
            </c:numRef>
          </c:val>
          <c:smooth val="0"/>
          <c:extLst>
            <c:ext xmlns:c16="http://schemas.microsoft.com/office/drawing/2014/chart" uri="{C3380CC4-5D6E-409C-BE32-E72D297353CC}">
              <c16:uniqueId val="{00000000-1742-4301-A396-2AA1159CF5D9}"/>
            </c:ext>
          </c:extLst>
        </c:ser>
        <c:ser>
          <c:idx val="1"/>
          <c:order val="1"/>
          <c:tx>
            <c:strRef>
              <c:f>Graficos!$AT$70</c:f>
              <c:strCache>
                <c:ptCount val="1"/>
                <c:pt idx="0">
                  <c:v>Desplazamientos</c:v>
                </c:pt>
              </c:strCache>
            </c:strRef>
          </c:tx>
          <c:spPr>
            <a:ln>
              <a:solidFill>
                <a:srgbClr val="00B050"/>
              </a:solidFill>
            </a:ln>
          </c:spPr>
          <c:marker>
            <c:symbol val="none"/>
          </c:marker>
          <c:cat>
            <c:strRef>
              <c:f>Graficos!$AU$68:$BF$68</c:f>
              <c:strCache>
                <c:ptCount val="12"/>
                <c:pt idx="0">
                  <c:v>Ene</c:v>
                </c:pt>
                <c:pt idx="1">
                  <c:v>Feb</c:v>
                </c:pt>
                <c:pt idx="2">
                  <c:v>Mar</c:v>
                </c:pt>
                <c:pt idx="3">
                  <c:v>Abr </c:v>
                </c:pt>
                <c:pt idx="4">
                  <c:v>May</c:v>
                </c:pt>
                <c:pt idx="5">
                  <c:v>Jun</c:v>
                </c:pt>
                <c:pt idx="6">
                  <c:v>Jul</c:v>
                </c:pt>
                <c:pt idx="7">
                  <c:v>Ago</c:v>
                </c:pt>
                <c:pt idx="8">
                  <c:v>Set</c:v>
                </c:pt>
                <c:pt idx="9">
                  <c:v>oct</c:v>
                </c:pt>
                <c:pt idx="10">
                  <c:v>Nov</c:v>
                </c:pt>
                <c:pt idx="11">
                  <c:v>Dic</c:v>
                </c:pt>
              </c:strCache>
            </c:strRef>
          </c:cat>
          <c:val>
            <c:numRef>
              <c:f>Graficos!$AU$70:$BF$70</c:f>
              <c:numCache>
                <c:formatCode>General</c:formatCode>
                <c:ptCount val="12"/>
                <c:pt idx="0">
                  <c:v>2</c:v>
                </c:pt>
                <c:pt idx="1">
                  <c:v>0</c:v>
                </c:pt>
                <c:pt idx="2">
                  <c:v>0</c:v>
                </c:pt>
                <c:pt idx="3">
                  <c:v>0</c:v>
                </c:pt>
                <c:pt idx="4">
                  <c:v>0</c:v>
                </c:pt>
                <c:pt idx="5">
                  <c:v>0</c:v>
                </c:pt>
                <c:pt idx="6">
                  <c:v>0</c:v>
                </c:pt>
                <c:pt idx="7">
                  <c:v>1</c:v>
                </c:pt>
                <c:pt idx="8">
                  <c:v>0</c:v>
                </c:pt>
                <c:pt idx="9">
                  <c:v>0</c:v>
                </c:pt>
                <c:pt idx="10">
                  <c:v>2</c:v>
                </c:pt>
                <c:pt idx="11">
                  <c:v>0</c:v>
                </c:pt>
              </c:numCache>
            </c:numRef>
          </c:val>
          <c:smooth val="0"/>
          <c:extLst>
            <c:ext xmlns:c16="http://schemas.microsoft.com/office/drawing/2014/chart" uri="{C3380CC4-5D6E-409C-BE32-E72D297353CC}">
              <c16:uniqueId val="{00000001-1742-4301-A396-2AA1159CF5D9}"/>
            </c:ext>
          </c:extLst>
        </c:ser>
        <c:ser>
          <c:idx val="2"/>
          <c:order val="2"/>
          <c:tx>
            <c:strRef>
              <c:f>Graficos!$AT$71</c:f>
              <c:strCache>
                <c:ptCount val="1"/>
                <c:pt idx="0">
                  <c:v>Carga/Descarga </c:v>
                </c:pt>
              </c:strCache>
            </c:strRef>
          </c:tx>
          <c:spPr>
            <a:ln>
              <a:solidFill>
                <a:schemeClr val="tx2">
                  <a:lumMod val="60000"/>
                  <a:lumOff val="40000"/>
                </a:schemeClr>
              </a:solidFill>
            </a:ln>
          </c:spPr>
          <c:marker>
            <c:symbol val="none"/>
          </c:marker>
          <c:cat>
            <c:strRef>
              <c:f>Graficos!$AU$68:$BF$68</c:f>
              <c:strCache>
                <c:ptCount val="12"/>
                <c:pt idx="0">
                  <c:v>Ene</c:v>
                </c:pt>
                <c:pt idx="1">
                  <c:v>Feb</c:v>
                </c:pt>
                <c:pt idx="2">
                  <c:v>Mar</c:v>
                </c:pt>
                <c:pt idx="3">
                  <c:v>Abr </c:v>
                </c:pt>
                <c:pt idx="4">
                  <c:v>May</c:v>
                </c:pt>
                <c:pt idx="5">
                  <c:v>Jun</c:v>
                </c:pt>
                <c:pt idx="6">
                  <c:v>Jul</c:v>
                </c:pt>
                <c:pt idx="7">
                  <c:v>Ago</c:v>
                </c:pt>
                <c:pt idx="8">
                  <c:v>Set</c:v>
                </c:pt>
                <c:pt idx="9">
                  <c:v>oct</c:v>
                </c:pt>
                <c:pt idx="10">
                  <c:v>Nov</c:v>
                </c:pt>
                <c:pt idx="11">
                  <c:v>Dic</c:v>
                </c:pt>
              </c:strCache>
            </c:strRef>
          </c:cat>
          <c:val>
            <c:numRef>
              <c:f>Graficos!$AU$71:$BF$71</c:f>
              <c:numCache>
                <c:formatCode>General</c:formatCode>
                <c:ptCount val="12"/>
                <c:pt idx="0">
                  <c:v>0</c:v>
                </c:pt>
                <c:pt idx="1">
                  <c:v>0</c:v>
                </c:pt>
                <c:pt idx="2">
                  <c:v>1</c:v>
                </c:pt>
                <c:pt idx="3">
                  <c:v>0</c:v>
                </c:pt>
                <c:pt idx="4">
                  <c:v>0</c:v>
                </c:pt>
                <c:pt idx="5">
                  <c:v>2</c:v>
                </c:pt>
                <c:pt idx="6">
                  <c:v>0</c:v>
                </c:pt>
                <c:pt idx="7">
                  <c:v>0</c:v>
                </c:pt>
                <c:pt idx="8">
                  <c:v>1</c:v>
                </c:pt>
                <c:pt idx="9">
                  <c:v>1</c:v>
                </c:pt>
                <c:pt idx="10">
                  <c:v>2</c:v>
                </c:pt>
                <c:pt idx="11">
                  <c:v>0</c:v>
                </c:pt>
              </c:numCache>
            </c:numRef>
          </c:val>
          <c:smooth val="0"/>
          <c:extLst>
            <c:ext xmlns:c16="http://schemas.microsoft.com/office/drawing/2014/chart" uri="{C3380CC4-5D6E-409C-BE32-E72D297353CC}">
              <c16:uniqueId val="{00000002-1742-4301-A396-2AA1159CF5D9}"/>
            </c:ext>
          </c:extLst>
        </c:ser>
        <c:ser>
          <c:idx val="3"/>
          <c:order val="3"/>
          <c:tx>
            <c:strRef>
              <c:f>Graficos!$AT$72</c:f>
              <c:strCache>
                <c:ptCount val="1"/>
                <c:pt idx="0">
                  <c:v>Mnto/Proyectos</c:v>
                </c:pt>
              </c:strCache>
            </c:strRef>
          </c:tx>
          <c:marker>
            <c:symbol val="none"/>
          </c:marker>
          <c:cat>
            <c:strRef>
              <c:f>Graficos!$AU$68:$BF$68</c:f>
              <c:strCache>
                <c:ptCount val="12"/>
                <c:pt idx="0">
                  <c:v>Ene</c:v>
                </c:pt>
                <c:pt idx="1">
                  <c:v>Feb</c:v>
                </c:pt>
                <c:pt idx="2">
                  <c:v>Mar</c:v>
                </c:pt>
                <c:pt idx="3">
                  <c:v>Abr </c:v>
                </c:pt>
                <c:pt idx="4">
                  <c:v>May</c:v>
                </c:pt>
                <c:pt idx="5">
                  <c:v>Jun</c:v>
                </c:pt>
                <c:pt idx="6">
                  <c:v>Jul</c:v>
                </c:pt>
                <c:pt idx="7">
                  <c:v>Ago</c:v>
                </c:pt>
                <c:pt idx="8">
                  <c:v>Set</c:v>
                </c:pt>
                <c:pt idx="9">
                  <c:v>oct</c:v>
                </c:pt>
                <c:pt idx="10">
                  <c:v>Nov</c:v>
                </c:pt>
                <c:pt idx="11">
                  <c:v>Dic</c:v>
                </c:pt>
              </c:strCache>
            </c:strRef>
          </c:cat>
          <c:val>
            <c:numRef>
              <c:f>Graficos!$AU$72:$BF$72</c:f>
              <c:numCache>
                <c:formatCode>General</c:formatCode>
                <c:ptCount val="12"/>
                <c:pt idx="0">
                  <c:v>1</c:v>
                </c:pt>
                <c:pt idx="1">
                  <c:v>0</c:v>
                </c:pt>
                <c:pt idx="2">
                  <c:v>0</c:v>
                </c:pt>
                <c:pt idx="3">
                  <c:v>0</c:v>
                </c:pt>
                <c:pt idx="4">
                  <c:v>0</c:v>
                </c:pt>
                <c:pt idx="5">
                  <c:v>2</c:v>
                </c:pt>
                <c:pt idx="6">
                  <c:v>0</c:v>
                </c:pt>
                <c:pt idx="7">
                  <c:v>1</c:v>
                </c:pt>
                <c:pt idx="8">
                  <c:v>1</c:v>
                </c:pt>
                <c:pt idx="9">
                  <c:v>0</c:v>
                </c:pt>
                <c:pt idx="10">
                  <c:v>1</c:v>
                </c:pt>
                <c:pt idx="11">
                  <c:v>0</c:v>
                </c:pt>
              </c:numCache>
            </c:numRef>
          </c:val>
          <c:smooth val="0"/>
          <c:extLst>
            <c:ext xmlns:c16="http://schemas.microsoft.com/office/drawing/2014/chart" uri="{C3380CC4-5D6E-409C-BE32-E72D297353CC}">
              <c16:uniqueId val="{00000003-1742-4301-A396-2AA1159CF5D9}"/>
            </c:ext>
          </c:extLst>
        </c:ser>
        <c:ser>
          <c:idx val="4"/>
          <c:order val="4"/>
          <c:tx>
            <c:strRef>
              <c:f>Graficos!$AT$73</c:f>
              <c:strCache>
                <c:ptCount val="1"/>
                <c:pt idx="0">
                  <c:v>Otras actividades</c:v>
                </c:pt>
              </c:strCache>
            </c:strRef>
          </c:tx>
          <c:spPr>
            <a:ln>
              <a:solidFill>
                <a:srgbClr val="FF0000"/>
              </a:solidFill>
            </a:ln>
          </c:spPr>
          <c:marker>
            <c:symbol val="none"/>
          </c:marker>
          <c:cat>
            <c:strRef>
              <c:f>Graficos!$AU$68:$BF$68</c:f>
              <c:strCache>
                <c:ptCount val="12"/>
                <c:pt idx="0">
                  <c:v>Ene</c:v>
                </c:pt>
                <c:pt idx="1">
                  <c:v>Feb</c:v>
                </c:pt>
                <c:pt idx="2">
                  <c:v>Mar</c:v>
                </c:pt>
                <c:pt idx="3">
                  <c:v>Abr </c:v>
                </c:pt>
                <c:pt idx="4">
                  <c:v>May</c:v>
                </c:pt>
                <c:pt idx="5">
                  <c:v>Jun</c:v>
                </c:pt>
                <c:pt idx="6">
                  <c:v>Jul</c:v>
                </c:pt>
                <c:pt idx="7">
                  <c:v>Ago</c:v>
                </c:pt>
                <c:pt idx="8">
                  <c:v>Set</c:v>
                </c:pt>
                <c:pt idx="9">
                  <c:v>oct</c:v>
                </c:pt>
                <c:pt idx="10">
                  <c:v>Nov</c:v>
                </c:pt>
                <c:pt idx="11">
                  <c:v>Dic</c:v>
                </c:pt>
              </c:strCache>
            </c:strRef>
          </c:cat>
          <c:val>
            <c:numRef>
              <c:f>Graficos!$AU$73:$BF$73</c:f>
              <c:numCache>
                <c:formatCode>General</c:formatCode>
                <c:ptCount val="12"/>
                <c:pt idx="0">
                  <c:v>1</c:v>
                </c:pt>
                <c:pt idx="1">
                  <c:v>0</c:v>
                </c:pt>
                <c:pt idx="2">
                  <c:v>0</c:v>
                </c:pt>
                <c:pt idx="3">
                  <c:v>1</c:v>
                </c:pt>
                <c:pt idx="4">
                  <c:v>0</c:v>
                </c:pt>
                <c:pt idx="5">
                  <c:v>2</c:v>
                </c:pt>
                <c:pt idx="6">
                  <c:v>1</c:v>
                </c:pt>
                <c:pt idx="7">
                  <c:v>2</c:v>
                </c:pt>
                <c:pt idx="8">
                  <c:v>0</c:v>
                </c:pt>
                <c:pt idx="9">
                  <c:v>0</c:v>
                </c:pt>
                <c:pt idx="10">
                  <c:v>1</c:v>
                </c:pt>
                <c:pt idx="11">
                  <c:v>0</c:v>
                </c:pt>
              </c:numCache>
            </c:numRef>
          </c:val>
          <c:smooth val="0"/>
          <c:extLst>
            <c:ext xmlns:c16="http://schemas.microsoft.com/office/drawing/2014/chart" uri="{C3380CC4-5D6E-409C-BE32-E72D297353CC}">
              <c16:uniqueId val="{00000004-1742-4301-A396-2AA1159CF5D9}"/>
            </c:ext>
          </c:extLst>
        </c:ser>
        <c:dLbls>
          <c:showLegendKey val="0"/>
          <c:showVal val="0"/>
          <c:showCatName val="0"/>
          <c:showSerName val="0"/>
          <c:showPercent val="0"/>
          <c:showBubbleSize val="0"/>
        </c:dLbls>
        <c:smooth val="0"/>
        <c:axId val="1403252576"/>
        <c:axId val="1403264000"/>
      </c:lineChart>
      <c:catAx>
        <c:axId val="1403252576"/>
        <c:scaling>
          <c:orientation val="minMax"/>
        </c:scaling>
        <c:delete val="0"/>
        <c:axPos val="b"/>
        <c:numFmt formatCode="General" sourceLinked="1"/>
        <c:majorTickMark val="out"/>
        <c:minorTickMark val="none"/>
        <c:tickLblPos val="nextTo"/>
        <c:crossAx val="1403264000"/>
        <c:crosses val="autoZero"/>
        <c:auto val="1"/>
        <c:lblAlgn val="ctr"/>
        <c:lblOffset val="100"/>
        <c:noMultiLvlLbl val="0"/>
      </c:catAx>
      <c:valAx>
        <c:axId val="1403264000"/>
        <c:scaling>
          <c:orientation val="minMax"/>
          <c:max val="5"/>
        </c:scaling>
        <c:delete val="0"/>
        <c:axPos val="l"/>
        <c:majorGridlines/>
        <c:numFmt formatCode="General" sourceLinked="1"/>
        <c:majorTickMark val="out"/>
        <c:minorTickMark val="none"/>
        <c:tickLblPos val="nextTo"/>
        <c:crossAx val="1403252576"/>
        <c:crosses val="autoZero"/>
        <c:crossBetween val="between"/>
        <c:majorUnit val="1"/>
      </c:valAx>
    </c:plotArea>
    <c:legend>
      <c:legendPos val="r"/>
      <c:layout>
        <c:manualLayout>
          <c:xMode val="edge"/>
          <c:yMode val="edge"/>
          <c:x val="0.76829333648647002"/>
          <c:y val="0.29044117647058826"/>
          <c:w val="0.21602805833179617"/>
          <c:h val="0.41176470588235603"/>
        </c:manualLayout>
      </c:layout>
      <c:overlay val="0"/>
      <c:txPr>
        <a:bodyPr/>
        <a:lstStyle/>
        <a:p>
          <a:pPr>
            <a:defRPr sz="900"/>
          </a:pPr>
          <a:endParaRPr lang="es-PE"/>
        </a:p>
      </c:txPr>
    </c:legend>
    <c:plotVisOnly val="1"/>
    <c:dispBlanksAs val="gap"/>
    <c:showDLblsOverMax val="0"/>
  </c:chart>
  <c:printSettings>
    <c:headerFooter/>
    <c:pageMargins b="0.75000000000000744" l="0.70000000000000062" r="0.70000000000000062" t="0.75000000000000744" header="0.30000000000000032" footer="0.30000000000000032"/>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Graficos!$BD$63</c:f>
              <c:strCache>
                <c:ptCount val="1"/>
                <c:pt idx="0">
                  <c:v>Activ.Productivas</c:v>
                </c:pt>
              </c:strCache>
            </c:strRef>
          </c:tx>
          <c:spPr>
            <a:ln>
              <a:solidFill>
                <a:srgbClr val="00B050"/>
              </a:solidFill>
            </a:ln>
          </c:spPr>
          <c:marker>
            <c:symbol val="none"/>
          </c:marker>
          <c:cat>
            <c:strRef>
              <c:f>Graficos!$BE$62:$BP$62</c:f>
              <c:strCache>
                <c:ptCount val="12"/>
                <c:pt idx="0">
                  <c:v>Ene</c:v>
                </c:pt>
                <c:pt idx="1">
                  <c:v>Feb</c:v>
                </c:pt>
                <c:pt idx="2">
                  <c:v>Mar</c:v>
                </c:pt>
                <c:pt idx="3">
                  <c:v>Abr </c:v>
                </c:pt>
                <c:pt idx="4">
                  <c:v>May</c:v>
                </c:pt>
                <c:pt idx="5">
                  <c:v>Jun</c:v>
                </c:pt>
                <c:pt idx="6">
                  <c:v>Jul</c:v>
                </c:pt>
                <c:pt idx="7">
                  <c:v>Ago</c:v>
                </c:pt>
                <c:pt idx="8">
                  <c:v>Set</c:v>
                </c:pt>
                <c:pt idx="9">
                  <c:v>Oct</c:v>
                </c:pt>
                <c:pt idx="10">
                  <c:v>Nov</c:v>
                </c:pt>
                <c:pt idx="11">
                  <c:v>Dic</c:v>
                </c:pt>
              </c:strCache>
            </c:strRef>
          </c:cat>
          <c:val>
            <c:numRef>
              <c:f>Graficos!$BE$63:$BP$63</c:f>
              <c:numCache>
                <c:formatCode>General</c:formatCode>
                <c:ptCount val="12"/>
                <c:pt idx="0">
                  <c:v>1</c:v>
                </c:pt>
                <c:pt idx="1">
                  <c:v>2</c:v>
                </c:pt>
                <c:pt idx="2">
                  <c:v>6</c:v>
                </c:pt>
                <c:pt idx="3">
                  <c:v>7</c:v>
                </c:pt>
                <c:pt idx="4">
                  <c:v>11</c:v>
                </c:pt>
                <c:pt idx="5">
                  <c:v>12</c:v>
                </c:pt>
                <c:pt idx="6">
                  <c:v>14</c:v>
                </c:pt>
                <c:pt idx="7">
                  <c:v>17</c:v>
                </c:pt>
                <c:pt idx="8">
                  <c:v>18</c:v>
                </c:pt>
                <c:pt idx="9">
                  <c:v>20</c:v>
                </c:pt>
                <c:pt idx="10">
                  <c:v>22</c:v>
                </c:pt>
                <c:pt idx="11">
                  <c:v>25</c:v>
                </c:pt>
              </c:numCache>
            </c:numRef>
          </c:val>
          <c:smooth val="0"/>
          <c:extLst>
            <c:ext xmlns:c16="http://schemas.microsoft.com/office/drawing/2014/chart" uri="{C3380CC4-5D6E-409C-BE32-E72D297353CC}">
              <c16:uniqueId val="{00000000-5627-409E-A62E-FD8735C91DBF}"/>
            </c:ext>
          </c:extLst>
        </c:ser>
        <c:ser>
          <c:idx val="2"/>
          <c:order val="1"/>
          <c:tx>
            <c:strRef>
              <c:f>Graficos!$BD$64</c:f>
              <c:strCache>
                <c:ptCount val="1"/>
                <c:pt idx="0">
                  <c:v>Desplazamientos</c:v>
                </c:pt>
              </c:strCache>
            </c:strRef>
          </c:tx>
          <c:spPr>
            <a:ln>
              <a:solidFill>
                <a:schemeClr val="tx2">
                  <a:lumMod val="60000"/>
                  <a:lumOff val="40000"/>
                </a:schemeClr>
              </a:solidFill>
            </a:ln>
          </c:spPr>
          <c:marker>
            <c:symbol val="none"/>
          </c:marker>
          <c:cat>
            <c:strRef>
              <c:f>Graficos!$BE$62:$BP$62</c:f>
              <c:strCache>
                <c:ptCount val="12"/>
                <c:pt idx="0">
                  <c:v>Ene</c:v>
                </c:pt>
                <c:pt idx="1">
                  <c:v>Feb</c:v>
                </c:pt>
                <c:pt idx="2">
                  <c:v>Mar</c:v>
                </c:pt>
                <c:pt idx="3">
                  <c:v>Abr </c:v>
                </c:pt>
                <c:pt idx="4">
                  <c:v>May</c:v>
                </c:pt>
                <c:pt idx="5">
                  <c:v>Jun</c:v>
                </c:pt>
                <c:pt idx="6">
                  <c:v>Jul</c:v>
                </c:pt>
                <c:pt idx="7">
                  <c:v>Ago</c:v>
                </c:pt>
                <c:pt idx="8">
                  <c:v>Set</c:v>
                </c:pt>
                <c:pt idx="9">
                  <c:v>Oct</c:v>
                </c:pt>
                <c:pt idx="10">
                  <c:v>Nov</c:v>
                </c:pt>
                <c:pt idx="11">
                  <c:v>Dic</c:v>
                </c:pt>
              </c:strCache>
            </c:strRef>
          </c:cat>
          <c:val>
            <c:numRef>
              <c:f>Graficos!$BE$64:$BP$64</c:f>
              <c:numCache>
                <c:formatCode>General</c:formatCode>
                <c:ptCount val="12"/>
                <c:pt idx="0">
                  <c:v>2</c:v>
                </c:pt>
                <c:pt idx="1">
                  <c:v>2</c:v>
                </c:pt>
                <c:pt idx="2">
                  <c:v>2</c:v>
                </c:pt>
                <c:pt idx="3">
                  <c:v>2</c:v>
                </c:pt>
                <c:pt idx="4">
                  <c:v>2</c:v>
                </c:pt>
                <c:pt idx="5">
                  <c:v>2</c:v>
                </c:pt>
                <c:pt idx="6">
                  <c:v>2</c:v>
                </c:pt>
                <c:pt idx="7">
                  <c:v>3</c:v>
                </c:pt>
                <c:pt idx="8">
                  <c:v>3</c:v>
                </c:pt>
                <c:pt idx="9">
                  <c:v>3</c:v>
                </c:pt>
                <c:pt idx="10">
                  <c:v>5</c:v>
                </c:pt>
                <c:pt idx="11">
                  <c:v>5</c:v>
                </c:pt>
              </c:numCache>
            </c:numRef>
          </c:val>
          <c:smooth val="0"/>
          <c:extLst>
            <c:ext xmlns:c16="http://schemas.microsoft.com/office/drawing/2014/chart" uri="{C3380CC4-5D6E-409C-BE32-E72D297353CC}">
              <c16:uniqueId val="{00000001-5627-409E-A62E-FD8735C91DBF}"/>
            </c:ext>
          </c:extLst>
        </c:ser>
        <c:ser>
          <c:idx val="3"/>
          <c:order val="2"/>
          <c:tx>
            <c:strRef>
              <c:f>Graficos!$BD$65</c:f>
              <c:strCache>
                <c:ptCount val="1"/>
                <c:pt idx="0">
                  <c:v>Carga/Descarga </c:v>
                </c:pt>
              </c:strCache>
            </c:strRef>
          </c:tx>
          <c:marker>
            <c:symbol val="none"/>
          </c:marker>
          <c:cat>
            <c:strRef>
              <c:f>Graficos!$BE$62:$BP$62</c:f>
              <c:strCache>
                <c:ptCount val="12"/>
                <c:pt idx="0">
                  <c:v>Ene</c:v>
                </c:pt>
                <c:pt idx="1">
                  <c:v>Feb</c:v>
                </c:pt>
                <c:pt idx="2">
                  <c:v>Mar</c:v>
                </c:pt>
                <c:pt idx="3">
                  <c:v>Abr </c:v>
                </c:pt>
                <c:pt idx="4">
                  <c:v>May</c:v>
                </c:pt>
                <c:pt idx="5">
                  <c:v>Jun</c:v>
                </c:pt>
                <c:pt idx="6">
                  <c:v>Jul</c:v>
                </c:pt>
                <c:pt idx="7">
                  <c:v>Ago</c:v>
                </c:pt>
                <c:pt idx="8">
                  <c:v>Set</c:v>
                </c:pt>
                <c:pt idx="9">
                  <c:v>Oct</c:v>
                </c:pt>
                <c:pt idx="10">
                  <c:v>Nov</c:v>
                </c:pt>
                <c:pt idx="11">
                  <c:v>Dic</c:v>
                </c:pt>
              </c:strCache>
            </c:strRef>
          </c:cat>
          <c:val>
            <c:numRef>
              <c:f>Graficos!$BE$65:$BP$65</c:f>
              <c:numCache>
                <c:formatCode>General</c:formatCode>
                <c:ptCount val="12"/>
                <c:pt idx="0">
                  <c:v>0</c:v>
                </c:pt>
                <c:pt idx="1">
                  <c:v>0</c:v>
                </c:pt>
                <c:pt idx="2">
                  <c:v>1</c:v>
                </c:pt>
                <c:pt idx="3">
                  <c:v>1</c:v>
                </c:pt>
                <c:pt idx="4">
                  <c:v>1</c:v>
                </c:pt>
                <c:pt idx="5">
                  <c:v>3</c:v>
                </c:pt>
                <c:pt idx="6">
                  <c:v>3</c:v>
                </c:pt>
                <c:pt idx="7">
                  <c:v>3</c:v>
                </c:pt>
                <c:pt idx="8">
                  <c:v>4</c:v>
                </c:pt>
                <c:pt idx="9">
                  <c:v>5</c:v>
                </c:pt>
                <c:pt idx="10">
                  <c:v>7</c:v>
                </c:pt>
                <c:pt idx="11">
                  <c:v>7</c:v>
                </c:pt>
              </c:numCache>
            </c:numRef>
          </c:val>
          <c:smooth val="0"/>
          <c:extLst>
            <c:ext xmlns:c16="http://schemas.microsoft.com/office/drawing/2014/chart" uri="{C3380CC4-5D6E-409C-BE32-E72D297353CC}">
              <c16:uniqueId val="{00000002-5627-409E-A62E-FD8735C91DBF}"/>
            </c:ext>
          </c:extLst>
        </c:ser>
        <c:ser>
          <c:idx val="4"/>
          <c:order val="3"/>
          <c:tx>
            <c:strRef>
              <c:f>Graficos!$BD$66</c:f>
              <c:strCache>
                <c:ptCount val="1"/>
                <c:pt idx="0">
                  <c:v>Mnto/Proyectos</c:v>
                </c:pt>
              </c:strCache>
            </c:strRef>
          </c:tx>
          <c:spPr>
            <a:ln>
              <a:solidFill>
                <a:srgbClr val="FF0000"/>
              </a:solidFill>
            </a:ln>
          </c:spPr>
          <c:marker>
            <c:symbol val="none"/>
          </c:marker>
          <c:cat>
            <c:strRef>
              <c:f>Graficos!$BE$62:$BP$62</c:f>
              <c:strCache>
                <c:ptCount val="12"/>
                <c:pt idx="0">
                  <c:v>Ene</c:v>
                </c:pt>
                <c:pt idx="1">
                  <c:v>Feb</c:v>
                </c:pt>
                <c:pt idx="2">
                  <c:v>Mar</c:v>
                </c:pt>
                <c:pt idx="3">
                  <c:v>Abr </c:v>
                </c:pt>
                <c:pt idx="4">
                  <c:v>May</c:v>
                </c:pt>
                <c:pt idx="5">
                  <c:v>Jun</c:v>
                </c:pt>
                <c:pt idx="6">
                  <c:v>Jul</c:v>
                </c:pt>
                <c:pt idx="7">
                  <c:v>Ago</c:v>
                </c:pt>
                <c:pt idx="8">
                  <c:v>Set</c:v>
                </c:pt>
                <c:pt idx="9">
                  <c:v>Oct</c:v>
                </c:pt>
                <c:pt idx="10">
                  <c:v>Nov</c:v>
                </c:pt>
                <c:pt idx="11">
                  <c:v>Dic</c:v>
                </c:pt>
              </c:strCache>
            </c:strRef>
          </c:cat>
          <c:val>
            <c:numRef>
              <c:f>Graficos!$BE$66:$BP$66</c:f>
              <c:numCache>
                <c:formatCode>General</c:formatCode>
                <c:ptCount val="12"/>
                <c:pt idx="0">
                  <c:v>1</c:v>
                </c:pt>
                <c:pt idx="1">
                  <c:v>1</c:v>
                </c:pt>
                <c:pt idx="2">
                  <c:v>1</c:v>
                </c:pt>
                <c:pt idx="3">
                  <c:v>1</c:v>
                </c:pt>
                <c:pt idx="4">
                  <c:v>1</c:v>
                </c:pt>
                <c:pt idx="5">
                  <c:v>3</c:v>
                </c:pt>
                <c:pt idx="6">
                  <c:v>3</c:v>
                </c:pt>
                <c:pt idx="7">
                  <c:v>4</c:v>
                </c:pt>
                <c:pt idx="8">
                  <c:v>5</c:v>
                </c:pt>
                <c:pt idx="9">
                  <c:v>5</c:v>
                </c:pt>
                <c:pt idx="10">
                  <c:v>6</c:v>
                </c:pt>
                <c:pt idx="11">
                  <c:v>6</c:v>
                </c:pt>
              </c:numCache>
            </c:numRef>
          </c:val>
          <c:smooth val="0"/>
          <c:extLst>
            <c:ext xmlns:c16="http://schemas.microsoft.com/office/drawing/2014/chart" uri="{C3380CC4-5D6E-409C-BE32-E72D297353CC}">
              <c16:uniqueId val="{00000003-5627-409E-A62E-FD8735C91DBF}"/>
            </c:ext>
          </c:extLst>
        </c:ser>
        <c:ser>
          <c:idx val="5"/>
          <c:order val="4"/>
          <c:tx>
            <c:strRef>
              <c:f>Graficos!$BD$67</c:f>
              <c:strCache>
                <c:ptCount val="1"/>
                <c:pt idx="0">
                  <c:v>Otras actividades</c:v>
                </c:pt>
              </c:strCache>
            </c:strRef>
          </c:tx>
          <c:marker>
            <c:symbol val="none"/>
          </c:marker>
          <c:cat>
            <c:strRef>
              <c:f>Graficos!$BE$62:$BP$62</c:f>
              <c:strCache>
                <c:ptCount val="12"/>
                <c:pt idx="0">
                  <c:v>Ene</c:v>
                </c:pt>
                <c:pt idx="1">
                  <c:v>Feb</c:v>
                </c:pt>
                <c:pt idx="2">
                  <c:v>Mar</c:v>
                </c:pt>
                <c:pt idx="3">
                  <c:v>Abr </c:v>
                </c:pt>
                <c:pt idx="4">
                  <c:v>May</c:v>
                </c:pt>
                <c:pt idx="5">
                  <c:v>Jun</c:v>
                </c:pt>
                <c:pt idx="6">
                  <c:v>Jul</c:v>
                </c:pt>
                <c:pt idx="7">
                  <c:v>Ago</c:v>
                </c:pt>
                <c:pt idx="8">
                  <c:v>Set</c:v>
                </c:pt>
                <c:pt idx="9">
                  <c:v>Oct</c:v>
                </c:pt>
                <c:pt idx="10">
                  <c:v>Nov</c:v>
                </c:pt>
                <c:pt idx="11">
                  <c:v>Dic</c:v>
                </c:pt>
              </c:strCache>
            </c:strRef>
          </c:cat>
          <c:val>
            <c:numRef>
              <c:f>Graficos!$BE$67:$BP$67</c:f>
              <c:numCache>
                <c:formatCode>General</c:formatCode>
                <c:ptCount val="12"/>
                <c:pt idx="0">
                  <c:v>1</c:v>
                </c:pt>
                <c:pt idx="1">
                  <c:v>1</c:v>
                </c:pt>
                <c:pt idx="2">
                  <c:v>1</c:v>
                </c:pt>
                <c:pt idx="3">
                  <c:v>2</c:v>
                </c:pt>
                <c:pt idx="4">
                  <c:v>2</c:v>
                </c:pt>
                <c:pt idx="5">
                  <c:v>4</c:v>
                </c:pt>
                <c:pt idx="6">
                  <c:v>5</c:v>
                </c:pt>
                <c:pt idx="7">
                  <c:v>7</c:v>
                </c:pt>
                <c:pt idx="8">
                  <c:v>7</c:v>
                </c:pt>
                <c:pt idx="9">
                  <c:v>7</c:v>
                </c:pt>
                <c:pt idx="10">
                  <c:v>8</c:v>
                </c:pt>
                <c:pt idx="11">
                  <c:v>8</c:v>
                </c:pt>
              </c:numCache>
            </c:numRef>
          </c:val>
          <c:smooth val="0"/>
          <c:extLst>
            <c:ext xmlns:c16="http://schemas.microsoft.com/office/drawing/2014/chart" uri="{C3380CC4-5D6E-409C-BE32-E72D297353CC}">
              <c16:uniqueId val="{00000004-5627-409E-A62E-FD8735C91DBF}"/>
            </c:ext>
          </c:extLst>
        </c:ser>
        <c:dLbls>
          <c:showLegendKey val="0"/>
          <c:showVal val="0"/>
          <c:showCatName val="0"/>
          <c:showSerName val="0"/>
          <c:showPercent val="0"/>
          <c:showBubbleSize val="0"/>
        </c:dLbls>
        <c:smooth val="0"/>
        <c:axId val="1403250400"/>
        <c:axId val="1403250944"/>
      </c:lineChart>
      <c:catAx>
        <c:axId val="1403250400"/>
        <c:scaling>
          <c:orientation val="minMax"/>
        </c:scaling>
        <c:delete val="0"/>
        <c:axPos val="b"/>
        <c:numFmt formatCode="General" sourceLinked="1"/>
        <c:majorTickMark val="out"/>
        <c:minorTickMark val="none"/>
        <c:tickLblPos val="nextTo"/>
        <c:crossAx val="1403250944"/>
        <c:crosses val="autoZero"/>
        <c:auto val="1"/>
        <c:lblAlgn val="ctr"/>
        <c:lblOffset val="100"/>
        <c:noMultiLvlLbl val="0"/>
      </c:catAx>
      <c:valAx>
        <c:axId val="1403250944"/>
        <c:scaling>
          <c:orientation val="minMax"/>
        </c:scaling>
        <c:delete val="0"/>
        <c:axPos val="l"/>
        <c:majorGridlines/>
        <c:numFmt formatCode="General" sourceLinked="1"/>
        <c:majorTickMark val="out"/>
        <c:minorTickMark val="none"/>
        <c:tickLblPos val="nextTo"/>
        <c:crossAx val="1403250400"/>
        <c:crosses val="autoZero"/>
        <c:crossBetween val="between"/>
        <c:majorUnit val="2"/>
      </c:valAx>
    </c:plotArea>
    <c:legend>
      <c:legendPos val="r"/>
      <c:layout>
        <c:manualLayout>
          <c:xMode val="edge"/>
          <c:yMode val="edge"/>
          <c:x val="0.7527881040892197"/>
          <c:y val="0.30716723549488295"/>
          <c:w val="0.23099142346983684"/>
          <c:h val="0.38396173174599141"/>
        </c:manualLayout>
      </c:layout>
      <c:overlay val="0"/>
      <c:txPr>
        <a:bodyPr/>
        <a:lstStyle/>
        <a:p>
          <a:pPr>
            <a:defRPr sz="900"/>
          </a:pPr>
          <a:endParaRPr lang="es-PE"/>
        </a:p>
      </c:txPr>
    </c:legend>
    <c:plotVisOnly val="1"/>
    <c:dispBlanksAs val="gap"/>
    <c:showDLblsOverMax val="0"/>
  </c:chart>
  <c:printSettings>
    <c:headerFooter/>
    <c:pageMargins b="0.75000000000000766" l="0.70000000000000062" r="0.70000000000000062" t="0.75000000000000766" header="0.30000000000000032" footer="0.30000000000000032"/>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Accidentabilidad </a:t>
            </a:r>
            <a:r>
              <a:rPr lang="en-US" sz="1200"/>
              <a:t>(IF x IS / 1000)</a:t>
            </a:r>
          </a:p>
        </c:rich>
      </c:tx>
      <c:overlay val="0"/>
    </c:title>
    <c:autoTitleDeleted val="0"/>
    <c:plotArea>
      <c:layout/>
      <c:lineChart>
        <c:grouping val="stacked"/>
        <c:varyColors val="0"/>
        <c:ser>
          <c:idx val="0"/>
          <c:order val="0"/>
          <c:dLbls>
            <c:dLbl>
              <c:idx val="0"/>
              <c:layout>
                <c:manualLayout>
                  <c:x val="-3.6101083032490974E-2"/>
                  <c:y val="-5.72597137014315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531-4B89-92A0-5117F6E2837E}"/>
                </c:ext>
              </c:extLst>
            </c:dLbl>
            <c:dLbl>
              <c:idx val="1"/>
              <c:layout>
                <c:manualLayout>
                  <c:x val="-4.3321299638989168E-2"/>
                  <c:y val="4.4989775051124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31-4B89-92A0-5117F6E2837E}"/>
                </c:ext>
              </c:extLst>
            </c:dLbl>
            <c:dLbl>
              <c:idx val="2"/>
              <c:layout>
                <c:manualLayout>
                  <c:x val="-4.5728038507821922E-2"/>
                  <c:y val="-4.49900970967588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31-4B89-92A0-5117F6E2837E}"/>
                </c:ext>
              </c:extLst>
            </c:dLbl>
            <c:dLbl>
              <c:idx val="3"/>
              <c:layout>
                <c:manualLayout>
                  <c:x val="-4.5728038507821922E-2"/>
                  <c:y val="4.4989775051124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31-4B89-92A0-5117F6E2837E}"/>
                </c:ext>
              </c:extLst>
            </c:dLbl>
            <c:dLbl>
              <c:idx val="4"/>
              <c:layout>
                <c:manualLayout>
                  <c:x val="-4.5728038507821832E-2"/>
                  <c:y val="-5.3169734151329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31-4B89-92A0-5117F6E2837E}"/>
                </c:ext>
              </c:extLst>
            </c:dLbl>
            <c:dLbl>
              <c:idx val="5"/>
              <c:layout>
                <c:manualLayout>
                  <c:x val="-3.6101083032490974E-2"/>
                  <c:y val="-5.3169734151329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31-4B89-92A0-5117F6E2837E}"/>
                </c:ext>
              </c:extLst>
            </c:dLbl>
            <c:dLbl>
              <c:idx val="6"/>
              <c:layout>
                <c:manualLayout>
                  <c:x val="-3.8507821901323715E-2"/>
                  <c:y val="4.4989775051124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531-4B89-92A0-5117F6E2837E}"/>
                </c:ext>
              </c:extLst>
            </c:dLbl>
            <c:dLbl>
              <c:idx val="7"/>
              <c:layout>
                <c:manualLayout>
                  <c:x val="-3.8507821901323805E-2"/>
                  <c:y val="-4.90797546012270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31-4B89-92A0-5117F6E2837E}"/>
                </c:ext>
              </c:extLst>
            </c:dLbl>
            <c:dLbl>
              <c:idx val="8"/>
              <c:layout>
                <c:manualLayout>
                  <c:x val="-4.3321299638989168E-2"/>
                  <c:y val="3.6809815950920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531-4B89-92A0-5117F6E2837E}"/>
                </c:ext>
              </c:extLst>
            </c:dLbl>
            <c:dLbl>
              <c:idx val="9"/>
              <c:layout>
                <c:manualLayout>
                  <c:x val="-4.3321299638989168E-2"/>
                  <c:y val="-4.4989775051124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531-4B89-92A0-5117F6E2837E}"/>
                </c:ext>
              </c:extLst>
            </c:dLbl>
            <c:dLbl>
              <c:idx val="10"/>
              <c:layout>
                <c:manualLayout>
                  <c:x val="-3.6101083032490974E-2"/>
                  <c:y val="4.08997955010224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531-4B89-92A0-5117F6E2837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Graficos!$A$97:$A$102</c:f>
              <c:numCache>
                <c:formatCode>General</c:formatCode>
                <c:ptCount val="6"/>
                <c:pt idx="0">
                  <c:v>2007</c:v>
                </c:pt>
                <c:pt idx="1">
                  <c:v>2008</c:v>
                </c:pt>
                <c:pt idx="2">
                  <c:v>2009</c:v>
                </c:pt>
                <c:pt idx="3">
                  <c:v>2010</c:v>
                </c:pt>
                <c:pt idx="4">
                  <c:v>2011</c:v>
                </c:pt>
                <c:pt idx="5">
                  <c:v>2012</c:v>
                </c:pt>
              </c:numCache>
            </c:numRef>
          </c:cat>
          <c:val>
            <c:numRef>
              <c:f>Graficos!$M$97:$M$102</c:f>
              <c:numCache>
                <c:formatCode>#,##0.00</c:formatCode>
                <c:ptCount val="6"/>
                <c:pt idx="0">
                  <c:v>0.82873308231175202</c:v>
                </c:pt>
                <c:pt idx="1">
                  <c:v>0.33094711944893146</c:v>
                </c:pt>
                <c:pt idx="2">
                  <c:v>2.6150311844607086</c:v>
                </c:pt>
                <c:pt idx="3">
                  <c:v>0.33316330296879626</c:v>
                </c:pt>
                <c:pt idx="4">
                  <c:v>0.85539999999999994</c:v>
                </c:pt>
                <c:pt idx="5">
                  <c:v>0.40400000000000003</c:v>
                </c:pt>
              </c:numCache>
            </c:numRef>
          </c:val>
          <c:smooth val="0"/>
          <c:extLst>
            <c:ext xmlns:c16="http://schemas.microsoft.com/office/drawing/2014/chart" uri="{C3380CC4-5D6E-409C-BE32-E72D297353CC}">
              <c16:uniqueId val="{0000000B-4531-4B89-92A0-5117F6E2837E}"/>
            </c:ext>
          </c:extLst>
        </c:ser>
        <c:dLbls>
          <c:showLegendKey val="0"/>
          <c:showVal val="1"/>
          <c:showCatName val="0"/>
          <c:showSerName val="0"/>
          <c:showPercent val="0"/>
          <c:showBubbleSize val="0"/>
        </c:dLbls>
        <c:marker val="1"/>
        <c:smooth val="0"/>
        <c:axId val="1403251488"/>
        <c:axId val="1403269440"/>
      </c:lineChart>
      <c:catAx>
        <c:axId val="1403251488"/>
        <c:scaling>
          <c:orientation val="minMax"/>
        </c:scaling>
        <c:delete val="0"/>
        <c:axPos val="b"/>
        <c:numFmt formatCode="General" sourceLinked="1"/>
        <c:majorTickMark val="none"/>
        <c:minorTickMark val="none"/>
        <c:tickLblPos val="nextTo"/>
        <c:crossAx val="1403269440"/>
        <c:crosses val="autoZero"/>
        <c:auto val="1"/>
        <c:lblAlgn val="ctr"/>
        <c:lblOffset val="100"/>
        <c:noMultiLvlLbl val="0"/>
      </c:catAx>
      <c:valAx>
        <c:axId val="1403269440"/>
        <c:scaling>
          <c:orientation val="minMax"/>
        </c:scaling>
        <c:delete val="0"/>
        <c:axPos val="l"/>
        <c:majorGridlines/>
        <c:numFmt formatCode="#,##0.00" sourceLinked="1"/>
        <c:majorTickMark val="none"/>
        <c:minorTickMark val="none"/>
        <c:tickLblPos val="nextTo"/>
        <c:crossAx val="1403251488"/>
        <c:crosses val="autoZero"/>
        <c:crossBetween val="between"/>
      </c:valAx>
    </c:plotArea>
    <c:plotVisOnly val="1"/>
    <c:dispBlanksAs val="zero"/>
    <c:showDLblsOverMax val="0"/>
  </c:chart>
  <c:printSettings>
    <c:headerFooter/>
    <c:pageMargins b="0.75000000000000255" l="0.70000000000000062" r="0.70000000000000062" t="0.75000000000000255" header="0.30000000000000032" footer="0.30000000000000032"/>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Arial"/>
                <a:ea typeface="Arial"/>
                <a:cs typeface="Arial"/>
              </a:defRPr>
            </a:pPr>
            <a:r>
              <a:rPr lang="es-PE"/>
              <a:t>TOTAL ASISTENCIA BRIGADAS (datos mensuales)</a:t>
            </a:r>
          </a:p>
        </c:rich>
      </c:tx>
      <c:layout>
        <c:manualLayout>
          <c:xMode val="edge"/>
          <c:yMode val="edge"/>
          <c:x val="0.26106886257538431"/>
          <c:y val="1.3966480446927563E-2"/>
        </c:manualLayout>
      </c:layout>
      <c:overlay val="0"/>
      <c:spPr>
        <a:noFill/>
        <a:ln w="25400">
          <a:noFill/>
        </a:ln>
      </c:spPr>
    </c:title>
    <c:autoTitleDeleted val="0"/>
    <c:plotArea>
      <c:layout>
        <c:manualLayout>
          <c:layoutTarget val="inner"/>
          <c:xMode val="edge"/>
          <c:yMode val="edge"/>
          <c:x val="8.0916090854671732E-2"/>
          <c:y val="9.7765496472231567E-2"/>
          <c:w val="0.89771059287824451"/>
          <c:h val="0.74860437298739135"/>
        </c:manualLayout>
      </c:layout>
      <c:lineChart>
        <c:grouping val="standard"/>
        <c:varyColors val="0"/>
        <c:ser>
          <c:idx val="0"/>
          <c:order val="0"/>
          <c:tx>
            <c:v>MCA</c:v>
          </c:tx>
          <c:spPr>
            <a:ln w="25400">
              <a:solidFill>
                <a:srgbClr val="0000FF"/>
              </a:solidFill>
              <a:prstDash val="solid"/>
            </a:ln>
          </c:spPr>
          <c:marker>
            <c:symbol val="none"/>
          </c:marker>
          <c:dLbls>
            <c:dLbl>
              <c:idx val="1"/>
              <c:layout>
                <c:manualLayout>
                  <c:x val="-3.2569947050337916E-2"/>
                  <c:y val="-5.53068472993289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58-4056-8674-AB538288939B}"/>
                </c:ext>
              </c:extLst>
            </c:dLbl>
            <c:dLbl>
              <c:idx val="2"/>
              <c:layout>
                <c:manualLayout>
                  <c:x val="-3.8676726229805045E-2"/>
                  <c:y val="-4.39940943111024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58-4056-8674-AB538288939B}"/>
                </c:ext>
              </c:extLst>
            </c:dLbl>
            <c:dLbl>
              <c:idx val="3"/>
              <c:layout>
                <c:manualLayout>
                  <c:x val="-2.7989760045497251E-2"/>
                  <c:y val="6.55033258395873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58-4056-8674-AB538288939B}"/>
                </c:ext>
              </c:extLst>
            </c:dLbl>
            <c:dLbl>
              <c:idx val="4"/>
              <c:layout>
                <c:manualLayout>
                  <c:x val="-3.715013690101461E-2"/>
                  <c:y val="-5.1675678534274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58-4056-8674-AB538288939B}"/>
                </c:ext>
              </c:extLst>
            </c:dLbl>
            <c:dLbl>
              <c:idx val="5"/>
              <c:layout>
                <c:manualLayout>
                  <c:x val="-1.2722542173058319E-2"/>
                  <c:y val="-5.30723094831697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58-4056-8674-AB538288939B}"/>
                </c:ext>
              </c:extLst>
            </c:dLbl>
            <c:dLbl>
              <c:idx val="6"/>
              <c:layout>
                <c:manualLayout>
                  <c:x val="1.0178614019918061E-3"/>
                  <c:y val="-1.91337572590592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58-4056-8674-AB538288939B}"/>
                </c:ext>
              </c:extLst>
            </c:dLbl>
            <c:spPr>
              <a:noFill/>
              <a:ln w="25400">
                <a:noFill/>
              </a:ln>
            </c:spPr>
            <c:txPr>
              <a:bodyPr/>
              <a:lstStyle/>
              <a:p>
                <a:pPr>
                  <a:defRPr sz="105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indicadores'!$J$1:$P$1</c:f>
              <c:strCache>
                <c:ptCount val="7"/>
                <c:pt idx="0">
                  <c:v>Ene</c:v>
                </c:pt>
                <c:pt idx="1">
                  <c:v>Feb</c:v>
                </c:pt>
                <c:pt idx="2">
                  <c:v>Mar</c:v>
                </c:pt>
                <c:pt idx="3">
                  <c:v>Abr</c:v>
                </c:pt>
                <c:pt idx="4">
                  <c:v>May</c:v>
                </c:pt>
                <c:pt idx="5">
                  <c:v>Jun</c:v>
                </c:pt>
                <c:pt idx="6">
                  <c:v>Jul</c:v>
                </c:pt>
              </c:strCache>
            </c:strRef>
          </c:cat>
          <c:val>
            <c:numRef>
              <c:f>'Otros indicadores'!$J$2:$P$2</c:f>
              <c:numCache>
                <c:formatCode>0%</c:formatCode>
                <c:ptCount val="7"/>
                <c:pt idx="0">
                  <c:v>0.59</c:v>
                </c:pt>
                <c:pt idx="1">
                  <c:v>0.79</c:v>
                </c:pt>
                <c:pt idx="2">
                  <c:v>0.82</c:v>
                </c:pt>
                <c:pt idx="3">
                  <c:v>0.54</c:v>
                </c:pt>
                <c:pt idx="4">
                  <c:v>0.77</c:v>
                </c:pt>
                <c:pt idx="5">
                  <c:v>0.87</c:v>
                </c:pt>
                <c:pt idx="6">
                  <c:v>0.96</c:v>
                </c:pt>
              </c:numCache>
            </c:numRef>
          </c:val>
          <c:smooth val="0"/>
          <c:extLst>
            <c:ext xmlns:c16="http://schemas.microsoft.com/office/drawing/2014/chart" uri="{C3380CC4-5D6E-409C-BE32-E72D297353CC}">
              <c16:uniqueId val="{00000006-B658-4056-8674-AB538288939B}"/>
            </c:ext>
          </c:extLst>
        </c:ser>
        <c:ser>
          <c:idx val="1"/>
          <c:order val="1"/>
          <c:tx>
            <c:v>MFA</c:v>
          </c:tx>
          <c:spPr>
            <a:ln w="25400">
              <a:solidFill>
                <a:srgbClr val="008000"/>
              </a:solidFill>
              <a:prstDash val="solid"/>
            </a:ln>
          </c:spPr>
          <c:marker>
            <c:symbol val="none"/>
          </c:marker>
          <c:dLbls>
            <c:dLbl>
              <c:idx val="3"/>
              <c:layout>
                <c:manualLayout>
                  <c:x val="-2.1882885264012494E-2"/>
                  <c:y val="-8.19830239919153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58-4056-8674-AB538288939B}"/>
                </c:ext>
              </c:extLst>
            </c:dLbl>
            <c:dLbl>
              <c:idx val="4"/>
              <c:layout>
                <c:manualLayout>
                  <c:x val="-3.1043262119531043E-2"/>
                  <c:y val="5.06987022196906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58-4056-8674-AB538288939B}"/>
                </c:ext>
              </c:extLst>
            </c:dLbl>
            <c:dLbl>
              <c:idx val="5"/>
              <c:layout>
                <c:manualLayout>
                  <c:x val="-1.2722542173058319E-2"/>
                  <c:y val="4.13410870053913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58-4056-8674-AB538288939B}"/>
                </c:ext>
              </c:extLst>
            </c:dLbl>
            <c:dLbl>
              <c:idx val="6"/>
              <c:layout>
                <c:manualLayout>
                  <c:x val="-9.6691694656063747E-3"/>
                  <c:y val="-4.748342330809913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658-4056-8674-AB538288939B}"/>
                </c:ext>
              </c:extLst>
            </c:dLbl>
            <c:spPr>
              <a:noFill/>
              <a:ln w="25400">
                <a:noFill/>
              </a:ln>
            </c:spPr>
            <c:txPr>
              <a:bodyPr/>
              <a:lstStyle/>
              <a:p>
                <a:pPr>
                  <a:defRPr sz="1050" b="1" i="0" u="none" strike="noStrike" baseline="0">
                    <a:solidFill>
                      <a:srgbClr val="008000"/>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indicadores'!$J$1:$P$1</c:f>
              <c:strCache>
                <c:ptCount val="7"/>
                <c:pt idx="0">
                  <c:v>Ene</c:v>
                </c:pt>
                <c:pt idx="1">
                  <c:v>Feb</c:v>
                </c:pt>
                <c:pt idx="2">
                  <c:v>Mar</c:v>
                </c:pt>
                <c:pt idx="3">
                  <c:v>Abr</c:v>
                </c:pt>
                <c:pt idx="4">
                  <c:v>May</c:v>
                </c:pt>
                <c:pt idx="5">
                  <c:v>Jun</c:v>
                </c:pt>
                <c:pt idx="6">
                  <c:v>Jul</c:v>
                </c:pt>
              </c:strCache>
            </c:strRef>
          </c:cat>
          <c:val>
            <c:numRef>
              <c:f>'Otros indicadores'!$J$3:$P$3</c:f>
              <c:numCache>
                <c:formatCode>0%</c:formatCode>
                <c:ptCount val="7"/>
                <c:pt idx="0">
                  <c:v>0.53</c:v>
                </c:pt>
                <c:pt idx="1">
                  <c:v>0.59</c:v>
                </c:pt>
                <c:pt idx="2">
                  <c:v>0.72</c:v>
                </c:pt>
                <c:pt idx="3">
                  <c:v>0.86</c:v>
                </c:pt>
                <c:pt idx="4">
                  <c:v>0.76</c:v>
                </c:pt>
                <c:pt idx="5">
                  <c:v>0.75</c:v>
                </c:pt>
                <c:pt idx="6">
                  <c:v>0.85</c:v>
                </c:pt>
              </c:numCache>
            </c:numRef>
          </c:val>
          <c:smooth val="0"/>
          <c:extLst>
            <c:ext xmlns:c16="http://schemas.microsoft.com/office/drawing/2014/chart" uri="{C3380CC4-5D6E-409C-BE32-E72D297353CC}">
              <c16:uniqueId val="{0000000B-B658-4056-8674-AB538288939B}"/>
            </c:ext>
          </c:extLst>
        </c:ser>
        <c:ser>
          <c:idx val="2"/>
          <c:order val="2"/>
          <c:tx>
            <c:v>MSR</c:v>
          </c:tx>
          <c:spPr>
            <a:ln w="25400">
              <a:solidFill>
                <a:srgbClr val="FF3333"/>
              </a:solidFill>
              <a:prstDash val="solid"/>
            </a:ln>
          </c:spPr>
          <c:marker>
            <c:symbol val="none"/>
          </c:marker>
          <c:dLbls>
            <c:dLbl>
              <c:idx val="0"/>
              <c:layout>
                <c:manualLayout>
                  <c:x val="-6.1577537579099707E-2"/>
                  <c:y val="-1.39631834997145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658-4056-8674-AB538288939B}"/>
                </c:ext>
              </c:extLst>
            </c:dLbl>
            <c:dLbl>
              <c:idx val="3"/>
              <c:layout>
                <c:manualLayout>
                  <c:x val="-2.7989760045497251E-2"/>
                  <c:y val="5.26541332530497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58-4056-8674-AB538288939B}"/>
                </c:ext>
              </c:extLst>
            </c:dLbl>
            <c:dLbl>
              <c:idx val="4"/>
              <c:layout>
                <c:manualLayout>
                  <c:x val="5.5979865693781446E-3"/>
                  <c:y val="4.5112102421277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58-4056-8674-AB538288939B}"/>
                </c:ext>
              </c:extLst>
            </c:dLbl>
            <c:dLbl>
              <c:idx val="5"/>
              <c:layout>
                <c:manualLayout>
                  <c:x val="-6.615667391573956E-3"/>
                  <c:y val="-6.843326755568912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658-4056-8674-AB538288939B}"/>
                </c:ext>
              </c:extLst>
            </c:dLbl>
            <c:dLbl>
              <c:idx val="6"/>
              <c:layout>
                <c:manualLayout>
                  <c:x val="-1.7302762942462125E-2"/>
                  <c:y val="-5.72622403312719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658-4056-8674-AB538288939B}"/>
                </c:ext>
              </c:extLst>
            </c:dLbl>
            <c:spPr>
              <a:noFill/>
              <a:ln w="25400">
                <a:noFill/>
              </a:ln>
            </c:spPr>
            <c:txPr>
              <a:bodyPr/>
              <a:lstStyle/>
              <a:p>
                <a:pPr>
                  <a:defRPr sz="105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indicadores'!$J$1:$P$1</c:f>
              <c:strCache>
                <c:ptCount val="7"/>
                <c:pt idx="0">
                  <c:v>Ene</c:v>
                </c:pt>
                <c:pt idx="1">
                  <c:v>Feb</c:v>
                </c:pt>
                <c:pt idx="2">
                  <c:v>Mar</c:v>
                </c:pt>
                <c:pt idx="3">
                  <c:v>Abr</c:v>
                </c:pt>
                <c:pt idx="4">
                  <c:v>May</c:v>
                </c:pt>
                <c:pt idx="5">
                  <c:v>Jun</c:v>
                </c:pt>
                <c:pt idx="6">
                  <c:v>Jul</c:v>
                </c:pt>
              </c:strCache>
            </c:strRef>
          </c:cat>
          <c:val>
            <c:numRef>
              <c:f>'Otros indicadores'!$J$4:$P$4</c:f>
              <c:numCache>
                <c:formatCode>0%</c:formatCode>
                <c:ptCount val="7"/>
                <c:pt idx="0">
                  <c:v>0.56999999999999995</c:v>
                </c:pt>
                <c:pt idx="1">
                  <c:v>0.96</c:v>
                </c:pt>
                <c:pt idx="2">
                  <c:v>0.95</c:v>
                </c:pt>
                <c:pt idx="3">
                  <c:v>0.78</c:v>
                </c:pt>
                <c:pt idx="4">
                  <c:v>0.76</c:v>
                </c:pt>
                <c:pt idx="5">
                  <c:v>0.8</c:v>
                </c:pt>
                <c:pt idx="6">
                  <c:v>0.97</c:v>
                </c:pt>
              </c:numCache>
            </c:numRef>
          </c:val>
          <c:smooth val="0"/>
          <c:extLst>
            <c:ext xmlns:c16="http://schemas.microsoft.com/office/drawing/2014/chart" uri="{C3380CC4-5D6E-409C-BE32-E72D297353CC}">
              <c16:uniqueId val="{00000011-B658-4056-8674-AB538288939B}"/>
            </c:ext>
          </c:extLst>
        </c:ser>
        <c:dLbls>
          <c:showLegendKey val="0"/>
          <c:showVal val="0"/>
          <c:showCatName val="0"/>
          <c:showSerName val="0"/>
          <c:showPercent val="0"/>
          <c:showBubbleSize val="0"/>
        </c:dLbls>
        <c:smooth val="0"/>
        <c:axId val="1403253664"/>
        <c:axId val="1403256928"/>
      </c:lineChart>
      <c:catAx>
        <c:axId val="14032536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es-PE"/>
          </a:p>
        </c:txPr>
        <c:crossAx val="1403256928"/>
        <c:crossesAt val="0.30000000000000032"/>
        <c:auto val="1"/>
        <c:lblAlgn val="ctr"/>
        <c:lblOffset val="100"/>
        <c:tickLblSkip val="1"/>
        <c:tickMarkSkip val="1"/>
        <c:noMultiLvlLbl val="0"/>
      </c:catAx>
      <c:valAx>
        <c:axId val="1403256928"/>
        <c:scaling>
          <c:orientation val="minMax"/>
          <c:max val="1.1000000000000001"/>
          <c:min val="0.30000000000000032"/>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es-PE"/>
          </a:p>
        </c:txPr>
        <c:crossAx val="1403253664"/>
        <c:crosses val="autoZero"/>
        <c:crossBetween val="between"/>
      </c:valAx>
      <c:spPr>
        <a:solidFill>
          <a:srgbClr val="D4D4D4"/>
        </a:solidFill>
        <a:ln w="12700">
          <a:solidFill>
            <a:srgbClr val="C0C4C7"/>
          </a:solidFill>
          <a:prstDash val="solid"/>
        </a:ln>
      </c:spPr>
    </c:plotArea>
    <c:legend>
      <c:legendPos val="r"/>
      <c:layout>
        <c:manualLayout>
          <c:xMode val="edge"/>
          <c:yMode val="edge"/>
          <c:x val="0.40305343511450381"/>
          <c:y val="0.91620111731844045"/>
          <c:w val="0.25648854961832068"/>
          <c:h val="6.1452513966480472E-2"/>
        </c:manualLayout>
      </c:layout>
      <c:overlay val="0"/>
      <c:spPr>
        <a:solidFill>
          <a:srgbClr val="FFFFFF"/>
        </a:solidFill>
        <a:ln w="3175">
          <a:solidFill>
            <a:srgbClr val="000000"/>
          </a:solidFill>
          <a:prstDash val="solid"/>
        </a:ln>
      </c:spPr>
      <c:txPr>
        <a:bodyPr/>
        <a:lstStyle/>
        <a:p>
          <a:pPr>
            <a:defRPr lang="es-PE" sz="780"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US"/>
              <a:t>ASISTENCIA BRIGADAS - DIRECTOR CONTROL (datos mensuales)</a:t>
            </a:r>
          </a:p>
        </c:rich>
      </c:tx>
      <c:layout>
        <c:manualLayout>
          <c:xMode val="edge"/>
          <c:yMode val="edge"/>
          <c:x val="0.20483870967741941"/>
          <c:y val="1.7182130584192441E-2"/>
        </c:manualLayout>
      </c:layout>
      <c:overlay val="0"/>
      <c:spPr>
        <a:noFill/>
        <a:ln w="25400">
          <a:noFill/>
        </a:ln>
      </c:spPr>
    </c:title>
    <c:autoTitleDeleted val="0"/>
    <c:plotArea>
      <c:layout>
        <c:manualLayout>
          <c:layoutTarget val="inner"/>
          <c:xMode val="edge"/>
          <c:yMode val="edge"/>
          <c:x val="8.5483870967741932E-2"/>
          <c:y val="0.12027531771946715"/>
          <c:w val="0.89193548387095956"/>
          <c:h val="0.7010332804220375"/>
        </c:manualLayout>
      </c:layout>
      <c:lineChart>
        <c:grouping val="standard"/>
        <c:varyColors val="0"/>
        <c:ser>
          <c:idx val="0"/>
          <c:order val="0"/>
          <c:tx>
            <c:v>MCA</c:v>
          </c:tx>
          <c:spPr>
            <a:ln w="25400">
              <a:solidFill>
                <a:srgbClr val="0000FF"/>
              </a:solidFill>
              <a:prstDash val="solid"/>
            </a:ln>
          </c:spPr>
          <c:marker>
            <c:symbol val="none"/>
          </c:marker>
          <c:dLbls>
            <c:dLbl>
              <c:idx val="1"/>
              <c:layout>
                <c:manualLayout>
                  <c:x val="-1.1021590043180688E-2"/>
                  <c:y val="4.18100364529507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21-43E6-942B-B5DBC4D8D7D1}"/>
                </c:ext>
              </c:extLst>
            </c:dLbl>
            <c:dLbl>
              <c:idx val="2"/>
              <c:layout>
                <c:manualLayout>
                  <c:x val="-5.4569977139954332E-2"/>
                  <c:y val="5.21193494003335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21-43E6-942B-B5DBC4D8D7D1}"/>
                </c:ext>
              </c:extLst>
            </c:dLbl>
            <c:dLbl>
              <c:idx val="3"/>
              <c:layout>
                <c:manualLayout>
                  <c:x val="-9.4086868173741955E-3"/>
                  <c:y val="2.42840434092676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21-43E6-942B-B5DBC4D8D7D1}"/>
                </c:ext>
              </c:extLst>
            </c:dLbl>
            <c:dLbl>
              <c:idx val="4"/>
              <c:layout>
                <c:manualLayout>
                  <c:x val="2.6873253746517028E-4"/>
                  <c:y val="5.7251783833277194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21-43E6-942B-B5DBC4D8D7D1}"/>
                </c:ext>
              </c:extLst>
            </c:dLbl>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indicadores'!$J$1:$P$1</c:f>
              <c:strCache>
                <c:ptCount val="7"/>
                <c:pt idx="0">
                  <c:v>Ene</c:v>
                </c:pt>
                <c:pt idx="1">
                  <c:v>Feb</c:v>
                </c:pt>
                <c:pt idx="2">
                  <c:v>Mar</c:v>
                </c:pt>
                <c:pt idx="3">
                  <c:v>Abr</c:v>
                </c:pt>
                <c:pt idx="4">
                  <c:v>May</c:v>
                </c:pt>
                <c:pt idx="5">
                  <c:v>Jun</c:v>
                </c:pt>
                <c:pt idx="6">
                  <c:v>Jul</c:v>
                </c:pt>
              </c:strCache>
            </c:strRef>
          </c:cat>
          <c:val>
            <c:numRef>
              <c:f>'Otros indicadores'!$J$6:$P$6</c:f>
              <c:numCache>
                <c:formatCode>0%</c:formatCode>
                <c:ptCount val="7"/>
                <c:pt idx="0">
                  <c:v>0.67</c:v>
                </c:pt>
                <c:pt idx="1">
                  <c:v>1</c:v>
                </c:pt>
                <c:pt idx="2">
                  <c:v>1</c:v>
                </c:pt>
                <c:pt idx="3">
                  <c:v>0.38</c:v>
                </c:pt>
                <c:pt idx="4">
                  <c:v>0.6</c:v>
                </c:pt>
                <c:pt idx="5">
                  <c:v>1</c:v>
                </c:pt>
                <c:pt idx="6">
                  <c:v>1</c:v>
                </c:pt>
              </c:numCache>
            </c:numRef>
          </c:val>
          <c:smooth val="0"/>
          <c:extLst>
            <c:ext xmlns:c16="http://schemas.microsoft.com/office/drawing/2014/chart" uri="{C3380CC4-5D6E-409C-BE32-E72D297353CC}">
              <c16:uniqueId val="{00000004-E221-43E6-942B-B5DBC4D8D7D1}"/>
            </c:ext>
          </c:extLst>
        </c:ser>
        <c:ser>
          <c:idx val="1"/>
          <c:order val="1"/>
          <c:tx>
            <c:v>MFA</c:v>
          </c:tx>
          <c:spPr>
            <a:ln w="25400">
              <a:solidFill>
                <a:srgbClr val="008000"/>
              </a:solidFill>
              <a:prstDash val="solid"/>
            </a:ln>
          </c:spPr>
          <c:marker>
            <c:symbol val="none"/>
          </c:marker>
          <c:dLbls>
            <c:dLbl>
              <c:idx val="3"/>
              <c:layout>
                <c:manualLayout>
                  <c:x val="-3.3602235204470442E-2"/>
                  <c:y val="4.18097696278643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21-43E6-942B-B5DBC4D8D7D1}"/>
                </c:ext>
              </c:extLst>
            </c:dLbl>
            <c:dLbl>
              <c:idx val="4"/>
              <c:layout>
                <c:manualLayout>
                  <c:x val="-4.5699771399542403E-3"/>
                  <c:y val="5.89919578735025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21-43E6-942B-B5DBC4D8D7D1}"/>
                </c:ext>
              </c:extLst>
            </c:dLbl>
            <c:dLbl>
              <c:idx val="5"/>
              <c:layout>
                <c:manualLayout>
                  <c:x val="-2.5537719075438142E-2"/>
                  <c:y val="-3.49946568345181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21-43E6-942B-B5DBC4D8D7D1}"/>
                </c:ext>
              </c:extLst>
            </c:dLbl>
            <c:dLbl>
              <c:idx val="6"/>
              <c:layout>
                <c:manualLayout>
                  <c:x val="-7.7957835915672133E-3"/>
                  <c:y val="-3.37917252404004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21-43E6-942B-B5DBC4D8D7D1}"/>
                </c:ext>
              </c:extLst>
            </c:dLbl>
            <c:spPr>
              <a:noFill/>
              <a:ln w="25400">
                <a:noFill/>
              </a:ln>
            </c:spPr>
            <c:txPr>
              <a:bodyPr/>
              <a:lstStyle/>
              <a:p>
                <a:pPr>
                  <a:defRPr sz="1000" b="1" i="0" u="none" strike="noStrike" baseline="0">
                    <a:solidFill>
                      <a:srgbClr val="008000"/>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indicadores'!$J$1:$P$1</c:f>
              <c:strCache>
                <c:ptCount val="7"/>
                <c:pt idx="0">
                  <c:v>Ene</c:v>
                </c:pt>
                <c:pt idx="1">
                  <c:v>Feb</c:v>
                </c:pt>
                <c:pt idx="2">
                  <c:v>Mar</c:v>
                </c:pt>
                <c:pt idx="3">
                  <c:v>Abr</c:v>
                </c:pt>
                <c:pt idx="4">
                  <c:v>May</c:v>
                </c:pt>
                <c:pt idx="5">
                  <c:v>Jun</c:v>
                </c:pt>
                <c:pt idx="6">
                  <c:v>Jul</c:v>
                </c:pt>
              </c:strCache>
            </c:strRef>
          </c:cat>
          <c:val>
            <c:numRef>
              <c:f>'Otros indicadores'!$J$7:$P$7</c:f>
              <c:numCache>
                <c:formatCode>0%</c:formatCode>
                <c:ptCount val="7"/>
                <c:pt idx="0">
                  <c:v>0.53</c:v>
                </c:pt>
                <c:pt idx="1">
                  <c:v>0.59</c:v>
                </c:pt>
                <c:pt idx="2">
                  <c:v>0.71</c:v>
                </c:pt>
                <c:pt idx="3">
                  <c:v>0.6</c:v>
                </c:pt>
                <c:pt idx="4">
                  <c:v>0.6</c:v>
                </c:pt>
                <c:pt idx="5">
                  <c:v>0.83</c:v>
                </c:pt>
                <c:pt idx="6">
                  <c:v>0.8</c:v>
                </c:pt>
              </c:numCache>
            </c:numRef>
          </c:val>
          <c:smooth val="0"/>
          <c:extLst>
            <c:ext xmlns:c16="http://schemas.microsoft.com/office/drawing/2014/chart" uri="{C3380CC4-5D6E-409C-BE32-E72D297353CC}">
              <c16:uniqueId val="{00000009-E221-43E6-942B-B5DBC4D8D7D1}"/>
            </c:ext>
          </c:extLst>
        </c:ser>
        <c:ser>
          <c:idx val="2"/>
          <c:order val="2"/>
          <c:tx>
            <c:v>MSR</c:v>
          </c:tx>
          <c:spPr>
            <a:ln w="25400">
              <a:solidFill>
                <a:srgbClr val="FF3333"/>
              </a:solidFill>
              <a:prstDash val="solid"/>
            </a:ln>
          </c:spPr>
          <c:marker>
            <c:symbol val="none"/>
          </c:marker>
          <c:dLbls>
            <c:dLbl>
              <c:idx val="0"/>
              <c:layout>
                <c:manualLayout>
                  <c:x val="-6.1021590043180092E-2"/>
                  <c:y val="5.7278466341901114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21-43E6-942B-B5DBC4D8D7D1}"/>
                </c:ext>
              </c:extLst>
            </c:dLbl>
            <c:dLbl>
              <c:idx val="3"/>
              <c:layout>
                <c:manualLayout>
                  <c:x val="-2.5537719075438232E-2"/>
                  <c:y val="-5.78466553717507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21-43E6-942B-B5DBC4D8D7D1}"/>
                </c:ext>
              </c:extLst>
            </c:dLbl>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indicadores'!$J$1:$P$1</c:f>
              <c:strCache>
                <c:ptCount val="7"/>
                <c:pt idx="0">
                  <c:v>Ene</c:v>
                </c:pt>
                <c:pt idx="1">
                  <c:v>Feb</c:v>
                </c:pt>
                <c:pt idx="2">
                  <c:v>Mar</c:v>
                </c:pt>
                <c:pt idx="3">
                  <c:v>Abr</c:v>
                </c:pt>
                <c:pt idx="4">
                  <c:v>May</c:v>
                </c:pt>
                <c:pt idx="5">
                  <c:v>Jun</c:v>
                </c:pt>
                <c:pt idx="6">
                  <c:v>Jul</c:v>
                </c:pt>
              </c:strCache>
            </c:strRef>
          </c:cat>
          <c:val>
            <c:numRef>
              <c:f>'Otros indicadores'!$J$8:$P$8</c:f>
              <c:numCache>
                <c:formatCode>0%</c:formatCode>
                <c:ptCount val="7"/>
                <c:pt idx="0">
                  <c:v>1</c:v>
                </c:pt>
                <c:pt idx="1">
                  <c:v>1</c:v>
                </c:pt>
                <c:pt idx="2">
                  <c:v>1</c:v>
                </c:pt>
                <c:pt idx="3">
                  <c:v>1</c:v>
                </c:pt>
                <c:pt idx="4">
                  <c:v>0.67</c:v>
                </c:pt>
                <c:pt idx="5">
                  <c:v>1</c:v>
                </c:pt>
                <c:pt idx="6">
                  <c:v>1</c:v>
                </c:pt>
              </c:numCache>
            </c:numRef>
          </c:val>
          <c:smooth val="0"/>
          <c:extLst>
            <c:ext xmlns:c16="http://schemas.microsoft.com/office/drawing/2014/chart" uri="{C3380CC4-5D6E-409C-BE32-E72D297353CC}">
              <c16:uniqueId val="{0000000C-E221-43E6-942B-B5DBC4D8D7D1}"/>
            </c:ext>
          </c:extLst>
        </c:ser>
        <c:dLbls>
          <c:showLegendKey val="0"/>
          <c:showVal val="0"/>
          <c:showCatName val="0"/>
          <c:showSerName val="0"/>
          <c:showPercent val="0"/>
          <c:showBubbleSize val="0"/>
        </c:dLbls>
        <c:smooth val="0"/>
        <c:axId val="1403257472"/>
        <c:axId val="1403258016"/>
      </c:lineChart>
      <c:catAx>
        <c:axId val="140325747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58016"/>
        <c:crossesAt val="0.30000000000000032"/>
        <c:auto val="1"/>
        <c:lblAlgn val="ctr"/>
        <c:lblOffset val="100"/>
        <c:tickLblSkip val="1"/>
        <c:tickMarkSkip val="1"/>
        <c:noMultiLvlLbl val="0"/>
      </c:catAx>
      <c:valAx>
        <c:axId val="1403258016"/>
        <c:scaling>
          <c:orientation val="minMax"/>
          <c:max val="1.1000000000000001"/>
          <c:min val="0.30000000000000032"/>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57472"/>
        <c:crosses val="autoZero"/>
        <c:crossBetween val="between"/>
      </c:valAx>
      <c:spPr>
        <a:solidFill>
          <a:srgbClr val="D4D4D4"/>
        </a:solidFill>
        <a:ln w="12700">
          <a:solidFill>
            <a:srgbClr val="C0C4C7"/>
          </a:solidFill>
          <a:prstDash val="solid"/>
        </a:ln>
      </c:spPr>
    </c:plotArea>
    <c:legend>
      <c:legendPos val="r"/>
      <c:layout>
        <c:manualLayout>
          <c:xMode val="edge"/>
          <c:yMode val="edge"/>
          <c:x val="0.3951612903225834"/>
          <c:y val="0.90034364261168465"/>
          <c:w val="0.27096774193548623"/>
          <c:h val="7.560137457044673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US"/>
              <a:t>USO EPP's (datos mensuales)</a:t>
            </a:r>
          </a:p>
        </c:rich>
      </c:tx>
      <c:layout>
        <c:manualLayout>
          <c:xMode val="edge"/>
          <c:yMode val="edge"/>
          <c:x val="0.37042682926829745"/>
          <c:y val="1.7182130584192441E-2"/>
        </c:manualLayout>
      </c:layout>
      <c:overlay val="0"/>
      <c:spPr>
        <a:noFill/>
        <a:ln w="25400">
          <a:noFill/>
        </a:ln>
      </c:spPr>
    </c:title>
    <c:autoTitleDeleted val="0"/>
    <c:plotArea>
      <c:layout>
        <c:manualLayout>
          <c:layoutTarget val="inner"/>
          <c:xMode val="edge"/>
          <c:yMode val="edge"/>
          <c:x val="6.5548780487804881E-2"/>
          <c:y val="0.10996600477208802"/>
          <c:w val="0.91310975609756095"/>
          <c:h val="0.72508834396593058"/>
        </c:manualLayout>
      </c:layout>
      <c:lineChart>
        <c:grouping val="standard"/>
        <c:varyColors val="0"/>
        <c:ser>
          <c:idx val="0"/>
          <c:order val="0"/>
          <c:tx>
            <c:v>MCA</c:v>
          </c:tx>
          <c:spPr>
            <a:ln w="25400">
              <a:solidFill>
                <a:srgbClr val="0000FF"/>
              </a:solidFill>
              <a:prstDash val="solid"/>
            </a:ln>
          </c:spPr>
          <c:marker>
            <c:symbol val="none"/>
          </c:marker>
          <c:dLbls>
            <c:dLbl>
              <c:idx val="0"/>
              <c:layout>
                <c:manualLayout>
                  <c:x val="-3.0868862428781802E-2"/>
                  <c:y val="3.5337470083316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058-432D-8C00-CA2B51E582A5}"/>
                </c:ext>
              </c:extLst>
            </c:dLbl>
            <c:dLbl>
              <c:idx val="1"/>
              <c:layout>
                <c:manualLayout>
                  <c:x val="-3.8236828628128855E-2"/>
                  <c:y val="-5.80531053332887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58-432D-8C00-CA2B51E582A5}"/>
                </c:ext>
              </c:extLst>
            </c:dLbl>
            <c:dLbl>
              <c:idx val="2"/>
              <c:layout>
                <c:manualLayout>
                  <c:x val="-4.2555854298700457E-2"/>
                  <c:y val="5.33734096096577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58-432D-8C00-CA2B51E582A5}"/>
                </c:ext>
              </c:extLst>
            </c:dLbl>
            <c:dLbl>
              <c:idx val="3"/>
              <c:layout>
                <c:manualLayout>
                  <c:x val="-2.4009186351706104E-2"/>
                  <c:y val="4.33221200233694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58-432D-8C00-CA2B51E582A5}"/>
                </c:ext>
              </c:extLst>
            </c:dLbl>
            <c:dLbl>
              <c:idx val="4"/>
              <c:layout>
                <c:manualLayout>
                  <c:x val="-5.4242846168619206E-2"/>
                  <c:y val="-5.62486535593474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058-432D-8C00-CA2B51E582A5}"/>
                </c:ext>
              </c:extLst>
            </c:dLbl>
            <c:spPr>
              <a:noFill/>
              <a:ln w="25400">
                <a:noFill/>
              </a:ln>
            </c:spPr>
            <c:txPr>
              <a:bodyPr/>
              <a:lstStyle/>
              <a:p>
                <a:pPr>
                  <a:defRPr sz="1025"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indicadores'!$K$1:$P$1</c:f>
              <c:strCache>
                <c:ptCount val="6"/>
                <c:pt idx="0">
                  <c:v>Feb</c:v>
                </c:pt>
                <c:pt idx="1">
                  <c:v>Mar</c:v>
                </c:pt>
                <c:pt idx="2">
                  <c:v>Abr</c:v>
                </c:pt>
                <c:pt idx="3">
                  <c:v>May</c:v>
                </c:pt>
                <c:pt idx="4">
                  <c:v>Jun</c:v>
                </c:pt>
                <c:pt idx="5">
                  <c:v>Jul</c:v>
                </c:pt>
              </c:strCache>
            </c:strRef>
          </c:cat>
          <c:val>
            <c:numRef>
              <c:f>'Otros indicadores'!$K$10:$P$10</c:f>
              <c:numCache>
                <c:formatCode>0%</c:formatCode>
                <c:ptCount val="6"/>
                <c:pt idx="0">
                  <c:v>0.95294117647058818</c:v>
                </c:pt>
                <c:pt idx="1">
                  <c:v>1</c:v>
                </c:pt>
                <c:pt idx="2">
                  <c:v>0.87</c:v>
                </c:pt>
                <c:pt idx="3">
                  <c:v>0.8</c:v>
                </c:pt>
                <c:pt idx="4">
                  <c:v>0.91</c:v>
                </c:pt>
                <c:pt idx="5">
                  <c:v>1</c:v>
                </c:pt>
              </c:numCache>
            </c:numRef>
          </c:val>
          <c:smooth val="0"/>
          <c:extLst>
            <c:ext xmlns:c16="http://schemas.microsoft.com/office/drawing/2014/chart" uri="{C3380CC4-5D6E-409C-BE32-E72D297353CC}">
              <c16:uniqueId val="{00000005-D058-432D-8C00-CA2B51E582A5}"/>
            </c:ext>
          </c:extLst>
        </c:ser>
        <c:ser>
          <c:idx val="1"/>
          <c:order val="1"/>
          <c:tx>
            <c:v>MFA</c:v>
          </c:tx>
          <c:spPr>
            <a:ln w="25400">
              <a:solidFill>
                <a:srgbClr val="008000"/>
              </a:solidFill>
              <a:prstDash val="solid"/>
            </a:ln>
          </c:spPr>
          <c:marker>
            <c:symbol val="none"/>
          </c:marker>
          <c:dLbls>
            <c:dLbl>
              <c:idx val="0"/>
              <c:layout>
                <c:manualLayout>
                  <c:x val="-5.3734716087318522E-2"/>
                  <c:y val="-3.92407532003399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058-432D-8C00-CA2B51E582A5}"/>
                </c:ext>
              </c:extLst>
            </c:dLbl>
            <c:dLbl>
              <c:idx val="1"/>
              <c:layout>
                <c:manualLayout>
                  <c:x val="-3.9761218872031205E-2"/>
                  <c:y val="3.72483814744178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058-432D-8C00-CA2B51E582A5}"/>
                </c:ext>
              </c:extLst>
            </c:dLbl>
            <c:dLbl>
              <c:idx val="2"/>
              <c:layout>
                <c:manualLayout>
                  <c:x val="-3.9507073810895632E-2"/>
                  <c:y val="-5.11802300350339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058-432D-8C00-CA2B51E582A5}"/>
                </c:ext>
              </c:extLst>
            </c:dLbl>
            <c:dLbl>
              <c:idx val="3"/>
              <c:layout>
                <c:manualLayout>
                  <c:x val="-1.6387235132193846E-2"/>
                  <c:y val="3.6277139606005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058-432D-8C00-CA2B51E582A5}"/>
                </c:ext>
              </c:extLst>
            </c:dLbl>
            <c:dLbl>
              <c:idx val="4"/>
              <c:layout>
                <c:manualLayout>
                  <c:x val="-1.613309007105811E-2"/>
                  <c:y val="-4.77437923859058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058-432D-8C00-CA2B51E582A5}"/>
                </c:ext>
              </c:extLst>
            </c:dLbl>
            <c:spPr>
              <a:noFill/>
              <a:ln w="25400">
                <a:noFill/>
              </a:ln>
            </c:spPr>
            <c:txPr>
              <a:bodyPr/>
              <a:lstStyle/>
              <a:p>
                <a:pPr>
                  <a:defRPr sz="1025" b="1" i="0" u="none" strike="noStrike" baseline="0">
                    <a:solidFill>
                      <a:srgbClr val="008000"/>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indicadores'!$K$1:$P$1</c:f>
              <c:strCache>
                <c:ptCount val="6"/>
                <c:pt idx="0">
                  <c:v>Feb</c:v>
                </c:pt>
                <c:pt idx="1">
                  <c:v>Mar</c:v>
                </c:pt>
                <c:pt idx="2">
                  <c:v>Abr</c:v>
                </c:pt>
                <c:pt idx="3">
                  <c:v>May</c:v>
                </c:pt>
                <c:pt idx="4">
                  <c:v>Jun</c:v>
                </c:pt>
                <c:pt idx="5">
                  <c:v>Jul</c:v>
                </c:pt>
              </c:strCache>
            </c:strRef>
          </c:cat>
          <c:val>
            <c:numRef>
              <c:f>'Otros indicadores'!$K$11:$P$11</c:f>
              <c:numCache>
                <c:formatCode>0%</c:formatCode>
                <c:ptCount val="6"/>
                <c:pt idx="0">
                  <c:v>0.97435897435897434</c:v>
                </c:pt>
                <c:pt idx="1">
                  <c:v>0.97674418604651159</c:v>
                </c:pt>
                <c:pt idx="2">
                  <c:v>1</c:v>
                </c:pt>
                <c:pt idx="3">
                  <c:v>0.98</c:v>
                </c:pt>
                <c:pt idx="4">
                  <c:v>1</c:v>
                </c:pt>
                <c:pt idx="5">
                  <c:v>0.98</c:v>
                </c:pt>
              </c:numCache>
            </c:numRef>
          </c:val>
          <c:smooth val="0"/>
          <c:extLst>
            <c:ext xmlns:c16="http://schemas.microsoft.com/office/drawing/2014/chart" uri="{C3380CC4-5D6E-409C-BE32-E72D297353CC}">
              <c16:uniqueId val="{0000000B-D058-432D-8C00-CA2B51E582A5}"/>
            </c:ext>
          </c:extLst>
        </c:ser>
        <c:ser>
          <c:idx val="2"/>
          <c:order val="2"/>
          <c:tx>
            <c:v>MSR</c:v>
          </c:tx>
          <c:spPr>
            <a:ln w="25400">
              <a:solidFill>
                <a:srgbClr val="FF3333"/>
              </a:solidFill>
              <a:prstDash val="solid"/>
            </a:ln>
          </c:spPr>
          <c:marker>
            <c:symbol val="none"/>
          </c:marker>
          <c:dLbls>
            <c:dLbl>
              <c:idx val="0"/>
              <c:layout>
                <c:manualLayout>
                  <c:x val="-7.5076179501952486E-2"/>
                  <c:y val="-1.37229967180637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058-432D-8C00-CA2B51E582A5}"/>
                </c:ext>
              </c:extLst>
            </c:dLbl>
            <c:dLbl>
              <c:idx val="1"/>
              <c:layout>
                <c:manualLayout>
                  <c:x val="-6.1102682286665363E-2"/>
                  <c:y val="3.66102281977978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058-432D-8C00-CA2B51E582A5}"/>
                </c:ext>
              </c:extLst>
            </c:dLbl>
            <c:dLbl>
              <c:idx val="2"/>
              <c:layout>
                <c:manualLayout>
                  <c:x val="-1.0543659176749215E-2"/>
                  <c:y val="3.7350478835218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058-432D-8C00-CA2B51E582A5}"/>
                </c:ext>
              </c:extLst>
            </c:dLbl>
            <c:dLbl>
              <c:idx val="3"/>
              <c:layout>
                <c:manualLayout>
                  <c:x val="-1.3338454644389451E-2"/>
                  <c:y val="-5.5561491912479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058-432D-8C00-CA2B51E582A5}"/>
                </c:ext>
              </c:extLst>
            </c:dLbl>
            <c:dLbl>
              <c:idx val="4"/>
              <c:layout>
                <c:manualLayout>
                  <c:x val="-1.7657480314960741E-2"/>
                  <c:y val="3.96276590131471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058-432D-8C00-CA2B51E582A5}"/>
                </c:ext>
              </c:extLst>
            </c:dLbl>
            <c:spPr>
              <a:noFill/>
              <a:ln w="25400">
                <a:noFill/>
              </a:ln>
            </c:spPr>
            <c:txPr>
              <a:bodyPr/>
              <a:lstStyle/>
              <a:p>
                <a:pPr>
                  <a:defRPr sz="1025"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indicadores'!$K$1:$P$1</c:f>
              <c:strCache>
                <c:ptCount val="6"/>
                <c:pt idx="0">
                  <c:v>Feb</c:v>
                </c:pt>
                <c:pt idx="1">
                  <c:v>Mar</c:v>
                </c:pt>
                <c:pt idx="2">
                  <c:v>Abr</c:v>
                </c:pt>
                <c:pt idx="3">
                  <c:v>May</c:v>
                </c:pt>
                <c:pt idx="4">
                  <c:v>Jun</c:v>
                </c:pt>
                <c:pt idx="5">
                  <c:v>Jul</c:v>
                </c:pt>
              </c:strCache>
            </c:strRef>
          </c:cat>
          <c:val>
            <c:numRef>
              <c:f>'Otros indicadores'!$K$12:$P$12</c:f>
              <c:numCache>
                <c:formatCode>0%</c:formatCode>
                <c:ptCount val="6"/>
                <c:pt idx="0">
                  <c:v>0.96</c:v>
                </c:pt>
                <c:pt idx="1">
                  <c:v>0.90625</c:v>
                </c:pt>
                <c:pt idx="2">
                  <c:v>0.91803278688524592</c:v>
                </c:pt>
                <c:pt idx="3">
                  <c:v>0.99</c:v>
                </c:pt>
                <c:pt idx="4">
                  <c:v>0.87</c:v>
                </c:pt>
                <c:pt idx="5">
                  <c:v>0.85</c:v>
                </c:pt>
              </c:numCache>
            </c:numRef>
          </c:val>
          <c:smooth val="0"/>
          <c:extLst>
            <c:ext xmlns:c16="http://schemas.microsoft.com/office/drawing/2014/chart" uri="{C3380CC4-5D6E-409C-BE32-E72D297353CC}">
              <c16:uniqueId val="{00000011-D058-432D-8C00-CA2B51E582A5}"/>
            </c:ext>
          </c:extLst>
        </c:ser>
        <c:dLbls>
          <c:showLegendKey val="0"/>
          <c:showVal val="0"/>
          <c:showCatName val="0"/>
          <c:showSerName val="0"/>
          <c:showPercent val="0"/>
          <c:showBubbleSize val="0"/>
        </c:dLbls>
        <c:smooth val="0"/>
        <c:axId val="1403258560"/>
        <c:axId val="1403259104"/>
      </c:lineChart>
      <c:catAx>
        <c:axId val="1403258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PE"/>
          </a:p>
        </c:txPr>
        <c:crossAx val="1403259104"/>
        <c:crossesAt val="0.70000000000000062"/>
        <c:auto val="1"/>
        <c:lblAlgn val="ctr"/>
        <c:lblOffset val="100"/>
        <c:tickLblSkip val="1"/>
        <c:tickMarkSkip val="1"/>
        <c:noMultiLvlLbl val="0"/>
      </c:catAx>
      <c:valAx>
        <c:axId val="1403259104"/>
        <c:scaling>
          <c:orientation val="minMax"/>
          <c:max val="1.1000000000000001"/>
          <c:min val="0.70000000000000062"/>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es-PE"/>
          </a:p>
        </c:txPr>
        <c:crossAx val="1403258560"/>
        <c:crosses val="autoZero"/>
        <c:crossBetween val="between"/>
      </c:valAx>
      <c:spPr>
        <a:solidFill>
          <a:srgbClr val="D4D4D4"/>
        </a:solidFill>
        <a:ln w="12700">
          <a:solidFill>
            <a:srgbClr val="C0C4C7"/>
          </a:solidFill>
          <a:prstDash val="solid"/>
        </a:ln>
      </c:spPr>
    </c:plotArea>
    <c:legend>
      <c:legendPos val="r"/>
      <c:layout>
        <c:manualLayout>
          <c:xMode val="edge"/>
          <c:yMode val="edge"/>
          <c:x val="0.38109756097561354"/>
          <c:y val="0.91408934707903777"/>
          <c:w val="0.25609756097560982"/>
          <c:h val="7.560137457044673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s-PE" sz="900" b="1" i="0" u="none" strike="noStrike" baseline="0">
                <a:solidFill>
                  <a:srgbClr val="000000"/>
                </a:solidFill>
                <a:latin typeface="Arial"/>
                <a:cs typeface="Arial"/>
              </a:rPr>
              <a:t>FISCALIZACION PERMISOS TRABAJO </a:t>
            </a:r>
            <a:r>
              <a:rPr lang="es-PE" sz="800" b="0" i="0" u="none" strike="noStrike" baseline="0">
                <a:solidFill>
                  <a:srgbClr val="000000"/>
                </a:solidFill>
                <a:latin typeface="Arial"/>
                <a:cs typeface="Arial"/>
              </a:rPr>
              <a:t>(datos mensuales)</a:t>
            </a:r>
          </a:p>
        </c:rich>
      </c:tx>
      <c:layout>
        <c:manualLayout>
          <c:xMode val="edge"/>
          <c:yMode val="edge"/>
          <c:x val="0.25806451612903231"/>
          <c:y val="1.7182130584192441E-2"/>
        </c:manualLayout>
      </c:layout>
      <c:overlay val="0"/>
      <c:spPr>
        <a:noFill/>
        <a:ln w="25400">
          <a:noFill/>
        </a:ln>
      </c:spPr>
    </c:title>
    <c:autoTitleDeleted val="0"/>
    <c:plotArea>
      <c:layout>
        <c:manualLayout>
          <c:layoutTarget val="inner"/>
          <c:xMode val="edge"/>
          <c:yMode val="edge"/>
          <c:x val="7.5806451612903933E-2"/>
          <c:y val="0.11340244242121594"/>
          <c:w val="0.90161290322580645"/>
          <c:h val="0.70790615572029258"/>
        </c:manualLayout>
      </c:layout>
      <c:lineChart>
        <c:grouping val="standard"/>
        <c:varyColors val="0"/>
        <c:ser>
          <c:idx val="3"/>
          <c:order val="0"/>
          <c:tx>
            <c:v>MCA</c:v>
          </c:tx>
          <c:spPr>
            <a:ln w="25400">
              <a:solidFill>
                <a:srgbClr val="0000FF"/>
              </a:solidFill>
              <a:prstDash val="solid"/>
            </a:ln>
          </c:spPr>
          <c:marker>
            <c:symbol val="dash"/>
            <c:size val="3"/>
            <c:spPr>
              <a:solidFill>
                <a:srgbClr val="0000FF"/>
              </a:solidFill>
              <a:ln>
                <a:solidFill>
                  <a:srgbClr val="0000FF"/>
                </a:solidFill>
                <a:prstDash val="solid"/>
              </a:ln>
            </c:spPr>
          </c:marker>
          <c:dLbls>
            <c:dLbl>
              <c:idx val="0"/>
              <c:layout>
                <c:manualLayout>
                  <c:x val="-5.9562272457879123E-2"/>
                  <c:y val="3.076422414080138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24-4245-9AE3-E38D9E846823}"/>
                </c:ext>
              </c:extLst>
            </c:dLbl>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indicadores'!$J$1:$P$1</c:f>
              <c:strCache>
                <c:ptCount val="7"/>
                <c:pt idx="0">
                  <c:v>Ene</c:v>
                </c:pt>
                <c:pt idx="1">
                  <c:v>Feb</c:v>
                </c:pt>
                <c:pt idx="2">
                  <c:v>Mar</c:v>
                </c:pt>
                <c:pt idx="3">
                  <c:v>Abr</c:v>
                </c:pt>
                <c:pt idx="4">
                  <c:v>May</c:v>
                </c:pt>
                <c:pt idx="5">
                  <c:v>Jun</c:v>
                </c:pt>
                <c:pt idx="6">
                  <c:v>Jul</c:v>
                </c:pt>
              </c:strCache>
            </c:strRef>
          </c:cat>
          <c:val>
            <c:numRef>
              <c:f>'Otros indicadores'!$J$14:$P$14</c:f>
              <c:numCache>
                <c:formatCode>0%</c:formatCode>
                <c:ptCount val="7"/>
                <c:pt idx="0">
                  <c:v>0.66</c:v>
                </c:pt>
                <c:pt idx="1">
                  <c:v>0.19</c:v>
                </c:pt>
                <c:pt idx="2">
                  <c:v>0.27</c:v>
                </c:pt>
                <c:pt idx="3">
                  <c:v>0.21</c:v>
                </c:pt>
                <c:pt idx="4">
                  <c:v>0.19</c:v>
                </c:pt>
                <c:pt idx="5">
                  <c:v>0.12</c:v>
                </c:pt>
              </c:numCache>
            </c:numRef>
          </c:val>
          <c:smooth val="0"/>
          <c:extLst>
            <c:ext xmlns:c16="http://schemas.microsoft.com/office/drawing/2014/chart" uri="{C3380CC4-5D6E-409C-BE32-E72D297353CC}">
              <c16:uniqueId val="{00000001-0B24-4245-9AE3-E38D9E846823}"/>
            </c:ext>
          </c:extLst>
        </c:ser>
        <c:ser>
          <c:idx val="4"/>
          <c:order val="1"/>
          <c:tx>
            <c:v>MFA</c:v>
          </c:tx>
          <c:spPr>
            <a:ln w="25400">
              <a:solidFill>
                <a:srgbClr val="008000"/>
              </a:solidFill>
              <a:prstDash val="solid"/>
            </a:ln>
          </c:spPr>
          <c:marker>
            <c:symbol val="dash"/>
            <c:size val="3"/>
            <c:spPr>
              <a:solidFill>
                <a:srgbClr val="008000"/>
              </a:solidFill>
              <a:ln>
                <a:solidFill>
                  <a:srgbClr val="008000"/>
                </a:solidFill>
                <a:prstDash val="solid"/>
              </a:ln>
            </c:spPr>
          </c:marker>
          <c:dLbls>
            <c:dLbl>
              <c:idx val="0"/>
              <c:layout>
                <c:manualLayout>
                  <c:x val="-6.117517568368204E-2"/>
                  <c:y val="-2.22550712595518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24-4245-9AE3-E38D9E846823}"/>
                </c:ext>
              </c:extLst>
            </c:dLbl>
            <c:dLbl>
              <c:idx val="1"/>
              <c:layout>
                <c:manualLayout>
                  <c:x val="-4.4930996528660524E-3"/>
                  <c:y val="-4.93539750052821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24-4245-9AE3-E38D9E846823}"/>
                </c:ext>
              </c:extLst>
            </c:dLbl>
            <c:dLbl>
              <c:idx val="2"/>
              <c:layout>
                <c:manualLayout>
                  <c:x val="-6.0714249428498984E-2"/>
                  <c:y val="9.5564449722481768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24-4245-9AE3-E38D9E846823}"/>
                </c:ext>
              </c:extLst>
            </c:dLbl>
            <c:spPr>
              <a:noFill/>
              <a:ln w="25400">
                <a:noFill/>
              </a:ln>
            </c:spPr>
            <c:txPr>
              <a:bodyPr/>
              <a:lstStyle/>
              <a:p>
                <a:pPr>
                  <a:defRPr sz="1000" b="1" i="0" u="none" strike="noStrike" baseline="0">
                    <a:solidFill>
                      <a:srgbClr val="008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indicadores'!$J$1:$P$1</c:f>
              <c:strCache>
                <c:ptCount val="7"/>
                <c:pt idx="0">
                  <c:v>Ene</c:v>
                </c:pt>
                <c:pt idx="1">
                  <c:v>Feb</c:v>
                </c:pt>
                <c:pt idx="2">
                  <c:v>Mar</c:v>
                </c:pt>
                <c:pt idx="3">
                  <c:v>Abr</c:v>
                </c:pt>
                <c:pt idx="4">
                  <c:v>May</c:v>
                </c:pt>
                <c:pt idx="5">
                  <c:v>Jun</c:v>
                </c:pt>
                <c:pt idx="6">
                  <c:v>Jul</c:v>
                </c:pt>
              </c:strCache>
            </c:strRef>
          </c:cat>
          <c:val>
            <c:numRef>
              <c:f>'Otros indicadores'!$J$15:$P$15</c:f>
              <c:numCache>
                <c:formatCode>0%</c:formatCode>
                <c:ptCount val="7"/>
                <c:pt idx="0">
                  <c:v>0.55000000000000004</c:v>
                </c:pt>
                <c:pt idx="1">
                  <c:v>0.53</c:v>
                </c:pt>
                <c:pt idx="2">
                  <c:v>0.33</c:v>
                </c:pt>
                <c:pt idx="3">
                  <c:v>0.38</c:v>
                </c:pt>
                <c:pt idx="4">
                  <c:v>0.37</c:v>
                </c:pt>
                <c:pt idx="5">
                  <c:v>0.17</c:v>
                </c:pt>
                <c:pt idx="6">
                  <c:v>0.42</c:v>
                </c:pt>
              </c:numCache>
            </c:numRef>
          </c:val>
          <c:smooth val="0"/>
          <c:extLst>
            <c:ext xmlns:c16="http://schemas.microsoft.com/office/drawing/2014/chart" uri="{C3380CC4-5D6E-409C-BE32-E72D297353CC}">
              <c16:uniqueId val="{00000005-0B24-4245-9AE3-E38D9E846823}"/>
            </c:ext>
          </c:extLst>
        </c:ser>
        <c:ser>
          <c:idx val="5"/>
          <c:order val="2"/>
          <c:tx>
            <c:v>MSR</c:v>
          </c:tx>
          <c:spPr>
            <a:ln w="25400">
              <a:solidFill>
                <a:srgbClr val="FF3333"/>
              </a:solidFill>
              <a:prstDash val="solid"/>
            </a:ln>
          </c:spPr>
          <c:marker>
            <c:symbol val="dash"/>
            <c:size val="3"/>
            <c:spPr>
              <a:solidFill>
                <a:srgbClr val="FF3333"/>
              </a:solidFill>
              <a:ln>
                <a:solidFill>
                  <a:srgbClr val="FF3333"/>
                </a:solidFill>
                <a:prstDash val="solid"/>
              </a:ln>
            </c:spPr>
          </c:marker>
          <c:dLbls>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indicadores'!$J$1:$P$1</c:f>
              <c:strCache>
                <c:ptCount val="7"/>
                <c:pt idx="0">
                  <c:v>Ene</c:v>
                </c:pt>
                <c:pt idx="1">
                  <c:v>Feb</c:v>
                </c:pt>
                <c:pt idx="2">
                  <c:v>Mar</c:v>
                </c:pt>
                <c:pt idx="3">
                  <c:v>Abr</c:v>
                </c:pt>
                <c:pt idx="4">
                  <c:v>May</c:v>
                </c:pt>
                <c:pt idx="5">
                  <c:v>Jun</c:v>
                </c:pt>
                <c:pt idx="6">
                  <c:v>Jul</c:v>
                </c:pt>
              </c:strCache>
            </c:strRef>
          </c:cat>
          <c:val>
            <c:numRef>
              <c:f>'Otros indicadores'!$J$16:$P$16</c:f>
              <c:numCache>
                <c:formatCode>0%</c:formatCode>
                <c:ptCount val="7"/>
                <c:pt idx="0">
                  <c:v>0.11</c:v>
                </c:pt>
                <c:pt idx="1">
                  <c:v>0.24</c:v>
                </c:pt>
                <c:pt idx="2">
                  <c:v>0.38</c:v>
                </c:pt>
                <c:pt idx="3">
                  <c:v>0.24</c:v>
                </c:pt>
                <c:pt idx="4">
                  <c:v>0.2</c:v>
                </c:pt>
                <c:pt idx="5">
                  <c:v>0.31</c:v>
                </c:pt>
              </c:numCache>
            </c:numRef>
          </c:val>
          <c:smooth val="0"/>
          <c:extLst>
            <c:ext xmlns:c16="http://schemas.microsoft.com/office/drawing/2014/chart" uri="{C3380CC4-5D6E-409C-BE32-E72D297353CC}">
              <c16:uniqueId val="{00000006-0B24-4245-9AE3-E38D9E846823}"/>
            </c:ext>
          </c:extLst>
        </c:ser>
        <c:dLbls>
          <c:showLegendKey val="0"/>
          <c:showVal val="1"/>
          <c:showCatName val="0"/>
          <c:showSerName val="0"/>
          <c:showPercent val="0"/>
          <c:showBubbleSize val="0"/>
        </c:dLbls>
        <c:marker val="1"/>
        <c:smooth val="0"/>
        <c:axId val="1403260192"/>
        <c:axId val="1403261280"/>
      </c:lineChart>
      <c:catAx>
        <c:axId val="14032601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1280"/>
        <c:crosses val="autoZero"/>
        <c:auto val="1"/>
        <c:lblAlgn val="ctr"/>
        <c:lblOffset val="100"/>
        <c:tickLblSkip val="1"/>
        <c:tickMarkSkip val="1"/>
        <c:noMultiLvlLbl val="0"/>
      </c:catAx>
      <c:valAx>
        <c:axId val="1403261280"/>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0192"/>
        <c:crosses val="autoZero"/>
        <c:crossBetween val="between"/>
      </c:valAx>
      <c:spPr>
        <a:solidFill>
          <a:srgbClr val="D4D4D4"/>
        </a:solidFill>
        <a:ln w="12700">
          <a:solidFill>
            <a:srgbClr val="C0C4C7"/>
          </a:solidFill>
          <a:prstDash val="solid"/>
        </a:ln>
      </c:spPr>
    </c:plotArea>
    <c:legend>
      <c:legendPos val="r"/>
      <c:layout>
        <c:manualLayout>
          <c:xMode val="edge"/>
          <c:yMode val="edge"/>
          <c:x val="0.39354838709677736"/>
          <c:y val="0.90034364261168465"/>
          <c:w val="0.27096774193548623"/>
          <c:h val="7.560137457044673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s-PE" sz="900" b="1" i="0" u="none" strike="noStrike" baseline="0">
                <a:solidFill>
                  <a:srgbClr val="000000"/>
                </a:solidFill>
                <a:latin typeface="Arial"/>
                <a:cs typeface="Arial"/>
              </a:rPr>
              <a:t>CUMPLIMIENTO PROGRAMA INSPECCIONES </a:t>
            </a:r>
            <a:r>
              <a:rPr lang="es-PE" sz="800" b="0" i="0" u="none" strike="noStrike" baseline="0">
                <a:solidFill>
                  <a:srgbClr val="000000"/>
                </a:solidFill>
                <a:latin typeface="Arial"/>
                <a:cs typeface="Arial"/>
              </a:rPr>
              <a:t>(datos acumulados)</a:t>
            </a:r>
          </a:p>
        </c:rich>
      </c:tx>
      <c:layout>
        <c:manualLayout>
          <c:xMode val="edge"/>
          <c:yMode val="edge"/>
          <c:x val="0.2238328663023402"/>
          <c:y val="1.7123287671232879E-2"/>
        </c:manualLayout>
      </c:layout>
      <c:overlay val="0"/>
      <c:spPr>
        <a:noFill/>
        <a:ln w="25400">
          <a:noFill/>
        </a:ln>
      </c:spPr>
    </c:title>
    <c:autoTitleDeleted val="0"/>
    <c:plotArea>
      <c:layout>
        <c:manualLayout>
          <c:layoutTarget val="inner"/>
          <c:xMode val="edge"/>
          <c:yMode val="edge"/>
          <c:x val="8.5346349993631568E-2"/>
          <c:y val="0.11301388761151475"/>
          <c:w val="0.89211090370699309"/>
          <c:h val="0.70890529501768362"/>
        </c:manualLayout>
      </c:layout>
      <c:lineChart>
        <c:grouping val="standard"/>
        <c:varyColors val="0"/>
        <c:ser>
          <c:idx val="3"/>
          <c:order val="0"/>
          <c:tx>
            <c:v>MCA</c:v>
          </c:tx>
          <c:spPr>
            <a:ln w="25400">
              <a:solidFill>
                <a:srgbClr val="0000FF"/>
              </a:solidFill>
              <a:prstDash val="solid"/>
            </a:ln>
          </c:spPr>
          <c:marker>
            <c:symbol val="dash"/>
            <c:size val="3"/>
            <c:spPr>
              <a:solidFill>
                <a:srgbClr val="0000FF"/>
              </a:solidFill>
              <a:ln>
                <a:solidFill>
                  <a:srgbClr val="0000FF"/>
                </a:solidFill>
                <a:prstDash val="solid"/>
              </a:ln>
            </c:spPr>
          </c:marker>
          <c:dLbls>
            <c:dLbl>
              <c:idx val="0"/>
              <c:layout>
                <c:manualLayout>
                  <c:x val="-5.9223622238100834E-2"/>
                  <c:y val="8.1515890645324728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BF-4778-859C-7D1D45C4517B}"/>
                </c:ext>
              </c:extLst>
            </c:dLbl>
            <c:dLbl>
              <c:idx val="4"/>
              <c:layout>
                <c:manualLayout>
                  <c:x val="-7.0853568027138034E-2"/>
                  <c:y val="-1.16113494214934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BF-4778-859C-7D1D45C4517B}"/>
                </c:ext>
              </c:extLst>
            </c:dLbl>
            <c:dLbl>
              <c:idx val="5"/>
              <c:layout>
                <c:manualLayout>
                  <c:x val="-3.1490541130689734E-2"/>
                  <c:y val="-4.55645596867566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BF-4778-859C-7D1D45C4517B}"/>
                </c:ext>
              </c:extLst>
            </c:dLbl>
            <c:dLbl>
              <c:idx val="6"/>
              <c:layout>
                <c:manualLayout>
                  <c:x val="1.109327180764322E-2"/>
                  <c:y val="-4.61517639194282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BF-4778-859C-7D1D45C4517B}"/>
                </c:ext>
              </c:extLst>
            </c:dLbl>
            <c:dLbl>
              <c:idx val="7"/>
              <c:layout>
                <c:manualLayout>
                  <c:x val="-2.3617891856418542E-2"/>
                  <c:y val="-4.57112708589029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BF-4778-859C-7D1D45C4517B}"/>
                </c:ext>
              </c:extLst>
            </c:dLbl>
            <c:dLbl>
              <c:idx val="8"/>
              <c:layout>
                <c:manualLayout>
                  <c:x val="-1.0019631746111101E-2"/>
                  <c:y val="-5.44000822536901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BF-4778-859C-7D1D45C4517B}"/>
                </c:ext>
              </c:extLst>
            </c:dLbl>
            <c:spPr>
              <a:noFill/>
              <a:ln w="25400">
                <a:noFill/>
              </a:ln>
            </c:spPr>
            <c:txPr>
              <a:bodyPr/>
              <a:lstStyle/>
              <a:p>
                <a:pPr>
                  <a:defRPr sz="1000" b="1" i="0" u="none" strike="noStrike" baseline="0">
                    <a:solidFill>
                      <a:srgbClr val="0000FF"/>
                    </a:solidFill>
                    <a:latin typeface="Arial"/>
                    <a:ea typeface="Arial"/>
                    <a:cs typeface="Aria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indicadores'!$J$1:$R$1</c:f>
              <c:strCache>
                <c:ptCount val="9"/>
                <c:pt idx="0">
                  <c:v>Ene</c:v>
                </c:pt>
                <c:pt idx="1">
                  <c:v>Feb</c:v>
                </c:pt>
                <c:pt idx="2">
                  <c:v>Mar</c:v>
                </c:pt>
                <c:pt idx="3">
                  <c:v>Abr</c:v>
                </c:pt>
                <c:pt idx="4">
                  <c:v>May</c:v>
                </c:pt>
                <c:pt idx="5">
                  <c:v>Jun</c:v>
                </c:pt>
                <c:pt idx="6">
                  <c:v>Jul</c:v>
                </c:pt>
                <c:pt idx="7">
                  <c:v>Ago</c:v>
                </c:pt>
                <c:pt idx="8">
                  <c:v>Sep</c:v>
                </c:pt>
              </c:strCache>
            </c:strRef>
          </c:cat>
          <c:val>
            <c:numRef>
              <c:f>'Otros indicadores'!$J$18:$R$18</c:f>
              <c:numCache>
                <c:formatCode>0%</c:formatCode>
                <c:ptCount val="9"/>
                <c:pt idx="0">
                  <c:v>0.5</c:v>
                </c:pt>
                <c:pt idx="1">
                  <c:v>0.83</c:v>
                </c:pt>
                <c:pt idx="2">
                  <c:v>0.83</c:v>
                </c:pt>
                <c:pt idx="3">
                  <c:v>0.74</c:v>
                </c:pt>
                <c:pt idx="4">
                  <c:v>0.88</c:v>
                </c:pt>
                <c:pt idx="5">
                  <c:v>0.86</c:v>
                </c:pt>
                <c:pt idx="6">
                  <c:v>0.9</c:v>
                </c:pt>
                <c:pt idx="7">
                  <c:v>0.87</c:v>
                </c:pt>
                <c:pt idx="8">
                  <c:v>0.90200000000000002</c:v>
                </c:pt>
              </c:numCache>
            </c:numRef>
          </c:val>
          <c:smooth val="0"/>
          <c:extLst>
            <c:ext xmlns:c16="http://schemas.microsoft.com/office/drawing/2014/chart" uri="{C3380CC4-5D6E-409C-BE32-E72D297353CC}">
              <c16:uniqueId val="{00000006-67BF-4778-859C-7D1D45C4517B}"/>
            </c:ext>
          </c:extLst>
        </c:ser>
        <c:ser>
          <c:idx val="4"/>
          <c:order val="1"/>
          <c:tx>
            <c:v>MFA</c:v>
          </c:tx>
          <c:spPr>
            <a:ln w="25400">
              <a:solidFill>
                <a:srgbClr val="008000"/>
              </a:solidFill>
              <a:prstDash val="solid"/>
            </a:ln>
          </c:spPr>
          <c:marker>
            <c:symbol val="dash"/>
            <c:size val="3"/>
            <c:spPr>
              <a:solidFill>
                <a:srgbClr val="008000"/>
              </a:solidFill>
              <a:ln>
                <a:solidFill>
                  <a:srgbClr val="008000"/>
                </a:solidFill>
                <a:prstDash val="solid"/>
              </a:ln>
            </c:spPr>
          </c:marker>
          <c:dLbls>
            <c:dLbl>
              <c:idx val="0"/>
              <c:layout>
                <c:manualLayout>
                  <c:x val="-6.0833930728549285E-2"/>
                  <c:y val="-2.07112902831143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BF-4778-859C-7D1D45C4517B}"/>
                </c:ext>
              </c:extLst>
            </c:dLbl>
            <c:dLbl>
              <c:idx val="1"/>
              <c:layout>
                <c:manualLayout>
                  <c:x val="-5.3676498666467105E-3"/>
                  <c:y val="-4.81085963707532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7BF-4778-859C-7D1D45C4517B}"/>
                </c:ext>
              </c:extLst>
            </c:dLbl>
            <c:dLbl>
              <c:idx val="2"/>
              <c:layout>
                <c:manualLayout>
                  <c:x val="-6.1012823906504914E-2"/>
                  <c:y val="8.056003567278176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BF-4778-859C-7D1D45C4517B}"/>
                </c:ext>
              </c:extLst>
            </c:dLbl>
            <c:dLbl>
              <c:idx val="7"/>
              <c:layout>
                <c:manualLayout>
                  <c:x val="-3.0059125818202002E-2"/>
                  <c:y val="-9.03786044234581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7BF-4778-859C-7D1D45C4517B}"/>
                </c:ext>
              </c:extLst>
            </c:dLbl>
            <c:dLbl>
              <c:idx val="8"/>
              <c:layout>
                <c:manualLayout>
                  <c:x val="-1.3240248727002923E-2"/>
                  <c:y val="3.8438120008155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7BF-4778-859C-7D1D45C4517B}"/>
                </c:ext>
              </c:extLst>
            </c:dLbl>
            <c:spPr>
              <a:noFill/>
              <a:ln w="25400">
                <a:noFill/>
              </a:ln>
            </c:spPr>
            <c:txPr>
              <a:bodyPr/>
              <a:lstStyle/>
              <a:p>
                <a:pPr>
                  <a:defRPr sz="1000" b="1" i="0" u="none" strike="noStrike" baseline="0">
                    <a:solidFill>
                      <a:srgbClr val="008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indicadores'!$J$1:$R$1</c:f>
              <c:strCache>
                <c:ptCount val="9"/>
                <c:pt idx="0">
                  <c:v>Ene</c:v>
                </c:pt>
                <c:pt idx="1">
                  <c:v>Feb</c:v>
                </c:pt>
                <c:pt idx="2">
                  <c:v>Mar</c:v>
                </c:pt>
                <c:pt idx="3">
                  <c:v>Abr</c:v>
                </c:pt>
                <c:pt idx="4">
                  <c:v>May</c:v>
                </c:pt>
                <c:pt idx="5">
                  <c:v>Jun</c:v>
                </c:pt>
                <c:pt idx="6">
                  <c:v>Jul</c:v>
                </c:pt>
                <c:pt idx="7">
                  <c:v>Ago</c:v>
                </c:pt>
                <c:pt idx="8">
                  <c:v>Sep</c:v>
                </c:pt>
              </c:strCache>
            </c:strRef>
          </c:cat>
          <c:val>
            <c:numRef>
              <c:f>'Otros indicadores'!$J$19:$R$19</c:f>
              <c:numCache>
                <c:formatCode>0%</c:formatCode>
                <c:ptCount val="9"/>
                <c:pt idx="0">
                  <c:v>0.8</c:v>
                </c:pt>
                <c:pt idx="1">
                  <c:v>0.8</c:v>
                </c:pt>
                <c:pt idx="2">
                  <c:v>0.94</c:v>
                </c:pt>
                <c:pt idx="3">
                  <c:v>0.96</c:v>
                </c:pt>
                <c:pt idx="4">
                  <c:v>0.93</c:v>
                </c:pt>
                <c:pt idx="5">
                  <c:v>0.94</c:v>
                </c:pt>
                <c:pt idx="6">
                  <c:v>0.91</c:v>
                </c:pt>
                <c:pt idx="7">
                  <c:v>0.88</c:v>
                </c:pt>
                <c:pt idx="8">
                  <c:v>0.80430000000000001</c:v>
                </c:pt>
              </c:numCache>
            </c:numRef>
          </c:val>
          <c:smooth val="0"/>
          <c:extLst>
            <c:ext xmlns:c16="http://schemas.microsoft.com/office/drawing/2014/chart" uri="{C3380CC4-5D6E-409C-BE32-E72D297353CC}">
              <c16:uniqueId val="{0000000C-67BF-4778-859C-7D1D45C4517B}"/>
            </c:ext>
          </c:extLst>
        </c:ser>
        <c:ser>
          <c:idx val="5"/>
          <c:order val="2"/>
          <c:tx>
            <c:v>MSR</c:v>
          </c:tx>
          <c:spPr>
            <a:ln w="25400">
              <a:solidFill>
                <a:srgbClr val="FF3333"/>
              </a:solidFill>
              <a:prstDash val="solid"/>
            </a:ln>
          </c:spPr>
          <c:marker>
            <c:symbol val="dash"/>
            <c:size val="3"/>
            <c:spPr>
              <a:solidFill>
                <a:srgbClr val="FF3333"/>
              </a:solidFill>
              <a:ln>
                <a:solidFill>
                  <a:srgbClr val="FF3333"/>
                </a:solidFill>
                <a:prstDash val="solid"/>
              </a:ln>
            </c:spPr>
          </c:marker>
          <c:dLbls>
            <c:dLbl>
              <c:idx val="4"/>
              <c:layout>
                <c:manualLayout>
                  <c:x val="-3.2206164256437228E-2"/>
                  <c:y val="4.88093126850881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7BF-4778-859C-7D1D45C4517B}"/>
                </c:ext>
              </c:extLst>
            </c:dLbl>
            <c:dLbl>
              <c:idx val="5"/>
              <c:layout>
                <c:manualLayout>
                  <c:x val="-1.8608073207123318E-2"/>
                  <c:y val="5.38973860530821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7BF-4778-859C-7D1D45C4517B}"/>
                </c:ext>
              </c:extLst>
            </c:dLbl>
            <c:dLbl>
              <c:idx val="6"/>
              <c:layout>
                <c:manualLayout>
                  <c:x val="-1.78922810203824E-2"/>
                  <c:y val="5.01793004478397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7BF-4778-859C-7D1D45C4517B}"/>
                </c:ext>
              </c:extLst>
            </c:dLbl>
            <c:dLbl>
              <c:idx val="7"/>
              <c:layout>
                <c:manualLayout>
                  <c:x val="-3.0059125818202002E-2"/>
                  <c:y val="5.38973860530821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7BF-4778-859C-7D1D45C4517B}"/>
                </c:ext>
              </c:extLst>
            </c:dLbl>
            <c:dLbl>
              <c:idx val="8"/>
              <c:layout>
                <c:manualLayout>
                  <c:x val="-8.4093232556653567E-3"/>
                  <c:y val="-3.87996687608121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7BF-4778-859C-7D1D45C4517B}"/>
                </c:ext>
              </c:extLst>
            </c:dLbl>
            <c:spPr>
              <a:noFill/>
              <a:ln w="25400">
                <a:noFill/>
              </a:ln>
            </c:spPr>
            <c:txPr>
              <a:bodyPr/>
              <a:lstStyle/>
              <a:p>
                <a:pPr>
                  <a:defRPr sz="1000" b="1" i="0" u="none" strike="noStrike" baseline="0">
                    <a:solidFill>
                      <a:srgbClr val="FF3333"/>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'Otros indicadores'!$J$1:$R$1</c:f>
              <c:strCache>
                <c:ptCount val="9"/>
                <c:pt idx="0">
                  <c:v>Ene</c:v>
                </c:pt>
                <c:pt idx="1">
                  <c:v>Feb</c:v>
                </c:pt>
                <c:pt idx="2">
                  <c:v>Mar</c:v>
                </c:pt>
                <c:pt idx="3">
                  <c:v>Abr</c:v>
                </c:pt>
                <c:pt idx="4">
                  <c:v>May</c:v>
                </c:pt>
                <c:pt idx="5">
                  <c:v>Jun</c:v>
                </c:pt>
                <c:pt idx="6">
                  <c:v>Jul</c:v>
                </c:pt>
                <c:pt idx="7">
                  <c:v>Ago</c:v>
                </c:pt>
                <c:pt idx="8">
                  <c:v>Sep</c:v>
                </c:pt>
              </c:strCache>
            </c:strRef>
          </c:cat>
          <c:val>
            <c:numRef>
              <c:f>'Otros indicadores'!$J$20:$R$20</c:f>
              <c:numCache>
                <c:formatCode>0%</c:formatCode>
                <c:ptCount val="9"/>
                <c:pt idx="0">
                  <c:v>1</c:v>
                </c:pt>
                <c:pt idx="1">
                  <c:v>0.9</c:v>
                </c:pt>
                <c:pt idx="2">
                  <c:v>0.94</c:v>
                </c:pt>
                <c:pt idx="3">
                  <c:v>0.81</c:v>
                </c:pt>
                <c:pt idx="4">
                  <c:v>0.73</c:v>
                </c:pt>
                <c:pt idx="5">
                  <c:v>0.85</c:v>
                </c:pt>
                <c:pt idx="6">
                  <c:v>0.87</c:v>
                </c:pt>
                <c:pt idx="7">
                  <c:v>0.85</c:v>
                </c:pt>
                <c:pt idx="8">
                  <c:v>0.82609999999999995</c:v>
                </c:pt>
              </c:numCache>
            </c:numRef>
          </c:val>
          <c:smooth val="0"/>
          <c:extLst>
            <c:ext xmlns:c16="http://schemas.microsoft.com/office/drawing/2014/chart" uri="{C3380CC4-5D6E-409C-BE32-E72D297353CC}">
              <c16:uniqueId val="{00000012-67BF-4778-859C-7D1D45C4517B}"/>
            </c:ext>
          </c:extLst>
        </c:ser>
        <c:dLbls>
          <c:showLegendKey val="0"/>
          <c:showVal val="1"/>
          <c:showCatName val="0"/>
          <c:showSerName val="0"/>
          <c:showPercent val="0"/>
          <c:showBubbleSize val="0"/>
        </c:dLbls>
        <c:marker val="1"/>
        <c:smooth val="0"/>
        <c:axId val="1403261824"/>
        <c:axId val="1408373280"/>
      </c:lineChart>
      <c:catAx>
        <c:axId val="140326182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8373280"/>
        <c:crossesAt val="0.4"/>
        <c:auto val="1"/>
        <c:lblAlgn val="ctr"/>
        <c:lblOffset val="100"/>
        <c:tickLblSkip val="1"/>
        <c:tickMarkSkip val="1"/>
        <c:noMultiLvlLbl val="0"/>
      </c:catAx>
      <c:valAx>
        <c:axId val="1408373280"/>
        <c:scaling>
          <c:orientation val="minMax"/>
          <c:min val="0.4"/>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s-PE"/>
          </a:p>
        </c:txPr>
        <c:crossAx val="1403261824"/>
        <c:crosses val="autoZero"/>
        <c:crossBetween val="between"/>
      </c:valAx>
      <c:spPr>
        <a:solidFill>
          <a:srgbClr val="D4D4D4"/>
        </a:solidFill>
        <a:ln w="12700">
          <a:solidFill>
            <a:srgbClr val="C0C4C7"/>
          </a:solidFill>
          <a:prstDash val="solid"/>
        </a:ln>
      </c:spPr>
    </c:plotArea>
    <c:legend>
      <c:legendPos val="r"/>
      <c:layout>
        <c:manualLayout>
          <c:xMode val="edge"/>
          <c:yMode val="edge"/>
          <c:x val="0.39613526570048585"/>
          <c:y val="0.9006849315068497"/>
          <c:w val="0.27053140096618145"/>
          <c:h val="7.5342465753424723E-2"/>
        </c:manualLayout>
      </c:layout>
      <c:overlay val="0"/>
      <c:spPr>
        <a:solidFill>
          <a:srgbClr val="FFFFFF"/>
        </a:solidFill>
        <a:ln w="3175">
          <a:solidFill>
            <a:srgbClr val="000000"/>
          </a:solidFill>
          <a:prstDash val="solid"/>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paperSize="9" orientation="landscape" horizontalDpi="-3"/>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a:t>PERU</a:t>
            </a:r>
            <a:r>
              <a:rPr lang="es-PE" baseline="0"/>
              <a:t> - </a:t>
            </a:r>
            <a:r>
              <a:rPr lang="es-PE"/>
              <a:t>IF - HH</a:t>
            </a:r>
          </a:p>
        </c:rich>
      </c:tx>
      <c:overlay val="0"/>
    </c:title>
    <c:autoTitleDeleted val="0"/>
    <c:plotArea>
      <c:layout/>
      <c:barChart>
        <c:barDir val="col"/>
        <c:grouping val="clustered"/>
        <c:varyColors val="0"/>
        <c:ser>
          <c:idx val="0"/>
          <c:order val="0"/>
          <c:tx>
            <c:v>Ind.Frecuencia</c:v>
          </c:tx>
          <c:invertIfNegative val="0"/>
          <c:dPt>
            <c:idx val="16"/>
            <c:invertIfNegative val="0"/>
            <c:bubble3D val="0"/>
            <c:spPr>
              <a:solidFill>
                <a:srgbClr val="0070C0"/>
              </a:solidFill>
            </c:spPr>
            <c:extLst>
              <c:ext xmlns:c16="http://schemas.microsoft.com/office/drawing/2014/chart" uri="{C3380CC4-5D6E-409C-BE32-E72D297353CC}">
                <c16:uniqueId val="{00000001-7B15-431B-9EE9-9EAB74EAB2FC}"/>
              </c:ext>
            </c:extLst>
          </c:dPt>
          <c:dPt>
            <c:idx val="17"/>
            <c:invertIfNegative val="0"/>
            <c:bubble3D val="0"/>
            <c:spPr>
              <a:solidFill>
                <a:srgbClr val="0070C0"/>
              </a:solidFill>
            </c:spPr>
            <c:extLst>
              <c:ext xmlns:c16="http://schemas.microsoft.com/office/drawing/2014/chart" uri="{C3380CC4-5D6E-409C-BE32-E72D297353CC}">
                <c16:uniqueId val="{00000003-7B15-431B-9EE9-9EAB74EAB2FC}"/>
              </c:ext>
            </c:extLst>
          </c:dPt>
          <c:dPt>
            <c:idx val="20"/>
            <c:invertIfNegative val="0"/>
            <c:bubble3D val="0"/>
            <c:spPr>
              <a:solidFill>
                <a:srgbClr val="00B050"/>
              </a:solidFill>
            </c:spPr>
            <c:extLst>
              <c:ext xmlns:c16="http://schemas.microsoft.com/office/drawing/2014/chart" uri="{C3380CC4-5D6E-409C-BE32-E72D297353CC}">
                <c16:uniqueId val="{00000006-646E-44E4-BE8A-D4B3AA2DE5EB}"/>
              </c:ext>
            </c:extLst>
          </c:dPt>
          <c:dPt>
            <c:idx val="21"/>
            <c:invertIfNegative val="0"/>
            <c:bubble3D val="0"/>
            <c:spPr>
              <a:solidFill>
                <a:srgbClr val="FF0000"/>
              </a:solidFill>
            </c:spPr>
            <c:extLst>
              <c:ext xmlns:c16="http://schemas.microsoft.com/office/drawing/2014/chart" uri="{C3380CC4-5D6E-409C-BE32-E72D297353CC}">
                <c16:uniqueId val="{00000005-646E-44E4-BE8A-D4B3AA2DE5EB}"/>
              </c:ext>
            </c:extLst>
          </c:dPt>
          <c:dLbls>
            <c:dLbl>
              <c:idx val="16"/>
              <c:spPr>
                <a:noFill/>
                <a:ln>
                  <a:noFill/>
                </a:ln>
                <a:effectLst/>
              </c:spPr>
              <c:txPr>
                <a:bodyPr/>
                <a:lstStyle/>
                <a:p>
                  <a:pPr>
                    <a:defRPr sz="1000" b="1">
                      <a:solidFill>
                        <a:schemeClr val="bg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1-7B15-431B-9EE9-9EAB74EAB2FC}"/>
                </c:ext>
              </c:extLst>
            </c:dLbl>
            <c:spPr>
              <a:noFill/>
              <a:ln>
                <a:noFill/>
              </a:ln>
              <a:effectLst/>
            </c:spPr>
            <c:txPr>
              <a:bodyPr/>
              <a:lstStyle/>
              <a:p>
                <a:pPr>
                  <a:defRPr sz="120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Graphics!$AK$4:$AK$26</c:f>
              <c:strCach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pt idx="22">
                  <c:v>OBJ</c:v>
                </c:pt>
              </c:strCache>
            </c:strRef>
          </c:cat>
          <c:val>
            <c:numRef>
              <c:f>Graphics!$AM$4:$AM$26</c:f>
              <c:numCache>
                <c:formatCode>0.0</c:formatCode>
                <c:ptCount val="23"/>
                <c:pt idx="0">
                  <c:v>5.0999999999999996</c:v>
                </c:pt>
                <c:pt idx="1">
                  <c:v>3.2</c:v>
                </c:pt>
                <c:pt idx="2">
                  <c:v>3.1</c:v>
                </c:pt>
                <c:pt idx="3">
                  <c:v>3.5</c:v>
                </c:pt>
                <c:pt idx="4">
                  <c:v>3.4</c:v>
                </c:pt>
                <c:pt idx="5">
                  <c:v>8.4</c:v>
                </c:pt>
                <c:pt idx="6">
                  <c:v>5.0999999999999996</c:v>
                </c:pt>
                <c:pt idx="7">
                  <c:v>4</c:v>
                </c:pt>
                <c:pt idx="8">
                  <c:v>4.2</c:v>
                </c:pt>
                <c:pt idx="9">
                  <c:v>4.5999999999999996</c:v>
                </c:pt>
                <c:pt idx="10">
                  <c:v>3.9</c:v>
                </c:pt>
                <c:pt idx="11">
                  <c:v>6</c:v>
                </c:pt>
                <c:pt idx="12">
                  <c:v>5.8</c:v>
                </c:pt>
                <c:pt idx="13">
                  <c:v>3.5</c:v>
                </c:pt>
                <c:pt idx="14">
                  <c:v>4.5999999999999996</c:v>
                </c:pt>
                <c:pt idx="15">
                  <c:v>4.4000000000000004</c:v>
                </c:pt>
                <c:pt idx="16">
                  <c:v>4.2</c:v>
                </c:pt>
                <c:pt idx="17">
                  <c:v>8.9</c:v>
                </c:pt>
                <c:pt idx="18">
                  <c:v>6.6006666200305943</c:v>
                </c:pt>
                <c:pt idx="19">
                  <c:v>5.4637208386276113</c:v>
                </c:pt>
                <c:pt idx="20">
                  <c:v>3.5529831881946592</c:v>
                </c:pt>
                <c:pt idx="21">
                  <c:v>3.5478682869288742</c:v>
                </c:pt>
                <c:pt idx="22" formatCode="General">
                  <c:v>0</c:v>
                </c:pt>
              </c:numCache>
            </c:numRef>
          </c:val>
          <c:extLst>
            <c:ext xmlns:c16="http://schemas.microsoft.com/office/drawing/2014/chart" uri="{C3380CC4-5D6E-409C-BE32-E72D297353CC}">
              <c16:uniqueId val="{00000004-7B15-431B-9EE9-9EAB74EAB2FC}"/>
            </c:ext>
          </c:extLst>
        </c:ser>
        <c:dLbls>
          <c:showLegendKey val="0"/>
          <c:showVal val="0"/>
          <c:showCatName val="0"/>
          <c:showSerName val="0"/>
          <c:showPercent val="0"/>
          <c:showBubbleSize val="0"/>
        </c:dLbls>
        <c:gapWidth val="75"/>
        <c:overlap val="-25"/>
        <c:axId val="1408357504"/>
        <c:axId val="1408368928"/>
      </c:barChart>
      <c:lineChart>
        <c:grouping val="standard"/>
        <c:varyColors val="0"/>
        <c:ser>
          <c:idx val="1"/>
          <c:order val="1"/>
          <c:tx>
            <c:v>HH</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15-431B-9EE9-9EAB74EAB2FC}"/>
                </c:ext>
              </c:extLst>
            </c:dLbl>
            <c:dLbl>
              <c:idx val="13"/>
              <c:layout>
                <c:manualLayout>
                  <c:x val="-7.0183044790629997E-3"/>
                  <c:y val="-5.780188490500561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15-431B-9EE9-9EAB74EAB2FC}"/>
                </c:ext>
              </c:extLst>
            </c:dLbl>
            <c:numFmt formatCode="#,##0" sourceLinked="0"/>
            <c:spPr>
              <a:noFill/>
              <a:ln>
                <a:noFill/>
              </a:ln>
              <a:effectLst/>
            </c:spPr>
            <c:txPr>
              <a:bodyPr/>
              <a:lstStyle/>
              <a:p>
                <a:pPr>
                  <a:defRPr sz="140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[9]Sheet2!$C$3:$C$15</c:f>
              <c:numCache>
                <c:formatCode>General</c:formatCode>
                <c:ptCount val="13"/>
              </c:numCache>
            </c:numRef>
          </c:cat>
          <c:val>
            <c:numRef>
              <c:f>Graphics!$AL$4:$AL$23</c:f>
              <c:numCache>
                <c:formatCode>#,##0</c:formatCode>
                <c:ptCount val="20"/>
                <c:pt idx="0">
                  <c:v>6972470</c:v>
                </c:pt>
                <c:pt idx="1">
                  <c:v>8045968</c:v>
                </c:pt>
                <c:pt idx="2">
                  <c:v>9019392</c:v>
                </c:pt>
                <c:pt idx="3">
                  <c:v>9639404</c:v>
                </c:pt>
                <c:pt idx="4">
                  <c:v>10346031</c:v>
                </c:pt>
                <c:pt idx="5">
                  <c:v>11785020</c:v>
                </c:pt>
                <c:pt idx="6">
                  <c:v>13580881.5</c:v>
                </c:pt>
                <c:pt idx="7">
                  <c:v>12835402.5</c:v>
                </c:pt>
                <c:pt idx="8">
                  <c:v>14026666</c:v>
                </c:pt>
                <c:pt idx="9">
                  <c:v>12017547.719999999</c:v>
                </c:pt>
                <c:pt idx="10">
                  <c:v>12838534</c:v>
                </c:pt>
                <c:pt idx="11">
                  <c:v>18139497.040702909</c:v>
                </c:pt>
                <c:pt idx="12">
                  <c:v>16915439</c:v>
                </c:pt>
                <c:pt idx="13">
                  <c:v>15644250.290777778</c:v>
                </c:pt>
                <c:pt idx="14">
                  <c:v>15702041.682896826</c:v>
                </c:pt>
                <c:pt idx="15">
                  <c:v>16206354</c:v>
                </c:pt>
                <c:pt idx="16">
                  <c:v>21060162</c:v>
                </c:pt>
                <c:pt idx="17">
                  <c:v>23426932</c:v>
                </c:pt>
                <c:pt idx="18">
                  <c:v>24694475.48</c:v>
                </c:pt>
                <c:pt idx="19">
                  <c:v>27270793</c:v>
                </c:pt>
              </c:numCache>
            </c:numRef>
          </c:val>
          <c:smooth val="0"/>
          <c:extLst>
            <c:ext xmlns:c16="http://schemas.microsoft.com/office/drawing/2014/chart" uri="{C3380CC4-5D6E-409C-BE32-E72D297353CC}">
              <c16:uniqueId val="{00000007-7B15-431B-9EE9-9EAB74EAB2FC}"/>
            </c:ext>
          </c:extLst>
        </c:ser>
        <c:dLbls>
          <c:showLegendKey val="0"/>
          <c:showVal val="0"/>
          <c:showCatName val="0"/>
          <c:showSerName val="0"/>
          <c:showPercent val="0"/>
          <c:showBubbleSize val="0"/>
        </c:dLbls>
        <c:marker val="1"/>
        <c:smooth val="0"/>
        <c:axId val="1408367840"/>
        <c:axId val="1408365120"/>
      </c:lineChart>
      <c:catAx>
        <c:axId val="1408357504"/>
        <c:scaling>
          <c:orientation val="minMax"/>
        </c:scaling>
        <c:delete val="0"/>
        <c:axPos val="b"/>
        <c:numFmt formatCode="General" sourceLinked="1"/>
        <c:majorTickMark val="none"/>
        <c:minorTickMark val="none"/>
        <c:tickLblPos val="nextTo"/>
        <c:crossAx val="1408368928"/>
        <c:crosses val="autoZero"/>
        <c:auto val="1"/>
        <c:lblAlgn val="ctr"/>
        <c:lblOffset val="100"/>
        <c:noMultiLvlLbl val="0"/>
      </c:catAx>
      <c:valAx>
        <c:axId val="1408368928"/>
        <c:scaling>
          <c:orientation val="minMax"/>
          <c:max val="25"/>
        </c:scaling>
        <c:delete val="0"/>
        <c:axPos val="l"/>
        <c:majorGridlines/>
        <c:numFmt formatCode="#,##0.0" sourceLinked="0"/>
        <c:majorTickMark val="none"/>
        <c:minorTickMark val="none"/>
        <c:tickLblPos val="nextTo"/>
        <c:spPr>
          <a:noFill/>
          <a:ln w="9525">
            <a:noFill/>
          </a:ln>
        </c:spPr>
        <c:crossAx val="1408357504"/>
        <c:crosses val="autoZero"/>
        <c:crossBetween val="between"/>
      </c:valAx>
      <c:valAx>
        <c:axId val="1408365120"/>
        <c:scaling>
          <c:orientation val="minMax"/>
        </c:scaling>
        <c:delete val="0"/>
        <c:axPos val="r"/>
        <c:numFmt formatCode="#,##0" sourceLinked="0"/>
        <c:majorTickMark val="out"/>
        <c:minorTickMark val="none"/>
        <c:tickLblPos val="nextTo"/>
        <c:crossAx val="1408367840"/>
        <c:crosses val="max"/>
        <c:crossBetween val="between"/>
        <c:dispUnits>
          <c:builtInUnit val="millions"/>
          <c:dispUnitsLbl/>
        </c:dispUnits>
      </c:valAx>
      <c:catAx>
        <c:axId val="1408367840"/>
        <c:scaling>
          <c:orientation val="minMax"/>
        </c:scaling>
        <c:delete val="1"/>
        <c:axPos val="b"/>
        <c:numFmt formatCode="General" sourceLinked="1"/>
        <c:majorTickMark val="out"/>
        <c:minorTickMark val="none"/>
        <c:tickLblPos val="nextTo"/>
        <c:crossAx val="1408365120"/>
        <c:crosses val="autoZero"/>
        <c:auto val="1"/>
        <c:lblAlgn val="ctr"/>
        <c:lblOffset val="100"/>
        <c:noMultiLvlLbl val="0"/>
      </c:catAx>
    </c:plotArea>
    <c:legend>
      <c:legendPos val="b"/>
      <c:overlay val="0"/>
    </c:legend>
    <c:plotVisOnly val="1"/>
    <c:dispBlanksAs val="gap"/>
    <c:showDLblsOverMax val="0"/>
  </c:chart>
  <c:spPr>
    <a:ln>
      <a:solidFill>
        <a:schemeClr val="bg1">
          <a:lumMod val="75000"/>
        </a:schemeClr>
      </a:solidFill>
    </a:ln>
  </c:sp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a:t>PERU - IS - HH</a:t>
            </a:r>
          </a:p>
        </c:rich>
      </c:tx>
      <c:overlay val="0"/>
    </c:title>
    <c:autoTitleDeleted val="0"/>
    <c:plotArea>
      <c:layout/>
      <c:barChart>
        <c:barDir val="col"/>
        <c:grouping val="clustered"/>
        <c:varyColors val="0"/>
        <c:ser>
          <c:idx val="0"/>
          <c:order val="0"/>
          <c:tx>
            <c:v>IS</c:v>
          </c:tx>
          <c:spPr>
            <a:solidFill>
              <a:srgbClr val="0070C0"/>
            </a:solidFill>
            <a:ln>
              <a:solidFill>
                <a:schemeClr val="accent1"/>
              </a:solidFill>
            </a:ln>
          </c:spPr>
          <c:invertIfNegative val="0"/>
          <c:dPt>
            <c:idx val="16"/>
            <c:invertIfNegative val="0"/>
            <c:bubble3D val="0"/>
            <c:extLst>
              <c:ext xmlns:c16="http://schemas.microsoft.com/office/drawing/2014/chart" uri="{C3380CC4-5D6E-409C-BE32-E72D297353CC}">
                <c16:uniqueId val="{00000000-8D08-4D09-971D-59B25C09C8ED}"/>
              </c:ext>
            </c:extLst>
          </c:dPt>
          <c:dPt>
            <c:idx val="17"/>
            <c:invertIfNegative val="0"/>
            <c:bubble3D val="0"/>
            <c:extLst>
              <c:ext xmlns:c16="http://schemas.microsoft.com/office/drawing/2014/chart" uri="{C3380CC4-5D6E-409C-BE32-E72D297353CC}">
                <c16:uniqueId val="{00000002-8D08-4D09-971D-59B25C09C8ED}"/>
              </c:ext>
            </c:extLst>
          </c:dPt>
          <c:dPt>
            <c:idx val="20"/>
            <c:invertIfNegative val="0"/>
            <c:bubble3D val="0"/>
            <c:spPr>
              <a:solidFill>
                <a:srgbClr val="00B050"/>
              </a:solidFill>
              <a:ln>
                <a:solidFill>
                  <a:schemeClr val="accent1"/>
                </a:solidFill>
              </a:ln>
            </c:spPr>
            <c:extLst>
              <c:ext xmlns:c16="http://schemas.microsoft.com/office/drawing/2014/chart" uri="{C3380CC4-5D6E-409C-BE32-E72D297353CC}">
                <c16:uniqueId val="{00000005-D17D-400A-9BBE-2D9CA24888D0}"/>
              </c:ext>
            </c:extLst>
          </c:dPt>
          <c:dPt>
            <c:idx val="21"/>
            <c:invertIfNegative val="0"/>
            <c:bubble3D val="0"/>
            <c:spPr>
              <a:solidFill>
                <a:srgbClr val="FF0000"/>
              </a:solidFill>
              <a:ln>
                <a:solidFill>
                  <a:schemeClr val="accent1"/>
                </a:solidFill>
              </a:ln>
            </c:spPr>
            <c:extLst>
              <c:ext xmlns:c16="http://schemas.microsoft.com/office/drawing/2014/chart" uri="{C3380CC4-5D6E-409C-BE32-E72D297353CC}">
                <c16:uniqueId val="{00000004-D17D-400A-9BBE-2D9CA24888D0}"/>
              </c:ext>
            </c:extLst>
          </c:dPt>
          <c:dLbls>
            <c:dLbl>
              <c:idx val="4"/>
              <c:layout>
                <c:manualLayout>
                  <c:x val="4.2461900210797855E-8"/>
                  <c:y val="6.472134617837131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3.4717953621753804E-2"/>
                      <c:h val="8.1086098595954476E-2"/>
                    </c:manualLayout>
                  </c15:layout>
                </c:ext>
                <c:ext xmlns:c16="http://schemas.microsoft.com/office/drawing/2014/chart" uri="{C3380CC4-5D6E-409C-BE32-E72D297353CC}">
                  <c16:uniqueId val="{00000004-9310-4AA9-B9FD-D3E867855D49}"/>
                </c:ext>
              </c:extLst>
            </c:dLbl>
            <c:dLbl>
              <c:idx val="6"/>
              <c:layout>
                <c:manualLayout>
                  <c:x val="4.2461900210797855E-8"/>
                  <c:y val="6.188076671823338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3.4717953621753804E-2"/>
                      <c:h val="8.1086098595954476E-2"/>
                    </c:manualLayout>
                  </c15:layout>
                </c:ext>
                <c:ext xmlns:c16="http://schemas.microsoft.com/office/drawing/2014/chart" uri="{C3380CC4-5D6E-409C-BE32-E72D297353CC}">
                  <c16:uniqueId val="{00000005-9310-4AA9-B9FD-D3E867855D49}"/>
                </c:ext>
              </c:extLst>
            </c:dLbl>
            <c:dLbl>
              <c:idx val="8"/>
              <c:layout>
                <c:manualLayout>
                  <c:x val="-1.0785322653542656E-3"/>
                  <c:y val="5.33760734574834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310-4AA9-B9FD-D3E867855D49}"/>
                </c:ext>
              </c:extLst>
            </c:dLbl>
            <c:dLbl>
              <c:idx val="20"/>
              <c:layout>
                <c:manualLayout>
                  <c:x val="0"/>
                  <c:y val="5.33988690835313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7D-400A-9BBE-2D9CA24888D0}"/>
                </c:ext>
              </c:extLst>
            </c:dLbl>
            <c:dLbl>
              <c:idx val="21"/>
              <c:layout>
                <c:manualLayout>
                  <c:x val="-1.1372723643475387E-16"/>
                  <c:y val="6.77677766051396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17D-400A-9BBE-2D9CA24888D0}"/>
                </c:ext>
              </c:extLst>
            </c:dLbl>
            <c:spPr>
              <a:noFill/>
              <a:ln>
                <a:noFill/>
              </a:ln>
              <a:effectLst/>
            </c:spPr>
            <c:txPr>
              <a:bodyPr/>
              <a:lstStyle/>
              <a:p>
                <a:pPr>
                  <a:defRPr sz="120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Graphics!$AK$4:$AK$26</c:f>
              <c:strCach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pt idx="22">
                  <c:v>OBJ</c:v>
                </c:pt>
              </c:strCache>
            </c:strRef>
          </c:cat>
          <c:val>
            <c:numRef>
              <c:f>Graphics!$AN$4:$AN$26</c:f>
              <c:numCache>
                <c:formatCode>0</c:formatCode>
                <c:ptCount val="23"/>
                <c:pt idx="0">
                  <c:v>159.77121450504629</c:v>
                </c:pt>
                <c:pt idx="1">
                  <c:v>103.77868766070161</c:v>
                </c:pt>
                <c:pt idx="2">
                  <c:v>115.30710717529519</c:v>
                </c:pt>
                <c:pt idx="3">
                  <c:v>137.35289028242826</c:v>
                </c:pt>
                <c:pt idx="4">
                  <c:v>70.171836910212235</c:v>
                </c:pt>
                <c:pt idx="5">
                  <c:v>97.666359497056433</c:v>
                </c:pt>
                <c:pt idx="6">
                  <c:v>64.207908742889771</c:v>
                </c:pt>
                <c:pt idx="7">
                  <c:v>645.48034235778732</c:v>
                </c:pt>
                <c:pt idx="8">
                  <c:v>79.206277528815477</c:v>
                </c:pt>
                <c:pt idx="9">
                  <c:v>182.31672975624349</c:v>
                </c:pt>
                <c:pt idx="10">
                  <c:v>101.49133849705893</c:v>
                </c:pt>
                <c:pt idx="11">
                  <c:v>101.43610905369952</c:v>
                </c:pt>
                <c:pt idx="12">
                  <c:v>135.02457725158655</c:v>
                </c:pt>
                <c:pt idx="13">
                  <c:v>140.69066648067377</c:v>
                </c:pt>
                <c:pt idx="14">
                  <c:v>467.64619202343818</c:v>
                </c:pt>
                <c:pt idx="15">
                  <c:v>107.36529635228257</c:v>
                </c:pt>
                <c:pt idx="16">
                  <c:v>446</c:v>
                </c:pt>
                <c:pt idx="17">
                  <c:v>718.87347434141179</c:v>
                </c:pt>
                <c:pt idx="18">
                  <c:v>260.9895482582649</c:v>
                </c:pt>
                <c:pt idx="19">
                  <c:v>313.48556677468088</c:v>
                </c:pt>
                <c:pt idx="20">
                  <c:v>102.10789185163969</c:v>
                </c:pt>
                <c:pt idx="21" formatCode="#,##0">
                  <c:v>135.10445557006162</c:v>
                </c:pt>
                <c:pt idx="22">
                  <c:v>91</c:v>
                </c:pt>
              </c:numCache>
            </c:numRef>
          </c:val>
          <c:extLst>
            <c:ext xmlns:c16="http://schemas.microsoft.com/office/drawing/2014/chart" uri="{C3380CC4-5D6E-409C-BE32-E72D297353CC}">
              <c16:uniqueId val="{00000003-8D08-4D09-971D-59B25C09C8ED}"/>
            </c:ext>
          </c:extLst>
        </c:ser>
        <c:dLbls>
          <c:showLegendKey val="0"/>
          <c:showVal val="0"/>
          <c:showCatName val="0"/>
          <c:showSerName val="0"/>
          <c:showPercent val="0"/>
          <c:showBubbleSize val="0"/>
        </c:dLbls>
        <c:gapWidth val="75"/>
        <c:overlap val="-25"/>
        <c:axId val="1408369472"/>
        <c:axId val="1408376000"/>
      </c:barChart>
      <c:lineChart>
        <c:grouping val="standard"/>
        <c:varyColors val="0"/>
        <c:ser>
          <c:idx val="1"/>
          <c:order val="1"/>
          <c:tx>
            <c:v>HH</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08-4D09-971D-59B25C09C8ED}"/>
                </c:ext>
              </c:extLst>
            </c:dLbl>
            <c:dLbl>
              <c:idx val="13"/>
              <c:layout>
                <c:manualLayout>
                  <c:x val="-1.1166112024158974E-2"/>
                  <c:y val="-3.2632867876038973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08-4D09-971D-59B25C09C8ED}"/>
                </c:ext>
              </c:extLst>
            </c:dLbl>
            <c:dLbl>
              <c:idx val="15"/>
              <c:layout>
                <c:manualLayout>
                  <c:x val="-2.3008588100942209E-2"/>
                  <c:y val="-1.5956745129659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08-4D09-971D-59B25C09C8ED}"/>
                </c:ext>
              </c:extLst>
            </c:dLbl>
            <c:dLbl>
              <c:idx val="16"/>
              <c:layout>
                <c:manualLayout>
                  <c:x val="-1.6054052433476868E-2"/>
                  <c:y val="-2.7425941464990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08-4D09-971D-59B25C09C8ED}"/>
                </c:ext>
              </c:extLst>
            </c:dLbl>
            <c:numFmt formatCode="#,##0" sourceLinked="0"/>
            <c:spPr>
              <a:noFill/>
              <a:ln>
                <a:noFill/>
              </a:ln>
              <a:effectLst/>
            </c:spPr>
            <c:txPr>
              <a:bodyPr/>
              <a:lstStyle/>
              <a:p>
                <a:pPr algn="ctr" rtl="0">
                  <a:defRPr lang="es-PE" sz="1400" b="1" i="0" u="none" strike="noStrike" kern="1200" baseline="0">
                    <a:solidFill>
                      <a:srgbClr val="FF0000"/>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Graphics!$AK$4:$AK$23</c:f>
              <c:numCache>
                <c:formatCode>General</c:formatCode>
                <c:ptCount val="20"/>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numCache>
            </c:numRef>
          </c:cat>
          <c:val>
            <c:numRef>
              <c:f>Graphics!$AL$4:$AL$23</c:f>
              <c:numCache>
                <c:formatCode>#,##0</c:formatCode>
                <c:ptCount val="20"/>
                <c:pt idx="0">
                  <c:v>6972470</c:v>
                </c:pt>
                <c:pt idx="1">
                  <c:v>8045968</c:v>
                </c:pt>
                <c:pt idx="2">
                  <c:v>9019392</c:v>
                </c:pt>
                <c:pt idx="3">
                  <c:v>9639404</c:v>
                </c:pt>
                <c:pt idx="4">
                  <c:v>10346031</c:v>
                </c:pt>
                <c:pt idx="5">
                  <c:v>11785020</c:v>
                </c:pt>
                <c:pt idx="6">
                  <c:v>13580881.5</c:v>
                </c:pt>
                <c:pt idx="7">
                  <c:v>12835402.5</c:v>
                </c:pt>
                <c:pt idx="8">
                  <c:v>14026666</c:v>
                </c:pt>
                <c:pt idx="9">
                  <c:v>12017547.719999999</c:v>
                </c:pt>
                <c:pt idx="10">
                  <c:v>12838534</c:v>
                </c:pt>
                <c:pt idx="11">
                  <c:v>18139497.040702909</c:v>
                </c:pt>
                <c:pt idx="12">
                  <c:v>16915439</c:v>
                </c:pt>
                <c:pt idx="13">
                  <c:v>15644250.290777778</c:v>
                </c:pt>
                <c:pt idx="14">
                  <c:v>15702041.682896826</c:v>
                </c:pt>
                <c:pt idx="15">
                  <c:v>16206354</c:v>
                </c:pt>
                <c:pt idx="16">
                  <c:v>21060162</c:v>
                </c:pt>
                <c:pt idx="17">
                  <c:v>23426932</c:v>
                </c:pt>
                <c:pt idx="18">
                  <c:v>24694475.48</c:v>
                </c:pt>
                <c:pt idx="19">
                  <c:v>27270793</c:v>
                </c:pt>
              </c:numCache>
            </c:numRef>
          </c:val>
          <c:smooth val="0"/>
          <c:extLst>
            <c:ext xmlns:c16="http://schemas.microsoft.com/office/drawing/2014/chart" uri="{C3380CC4-5D6E-409C-BE32-E72D297353CC}">
              <c16:uniqueId val="{00000008-8D08-4D09-971D-59B25C09C8ED}"/>
            </c:ext>
          </c:extLst>
        </c:ser>
        <c:dLbls>
          <c:showLegendKey val="0"/>
          <c:showVal val="0"/>
          <c:showCatName val="0"/>
          <c:showSerName val="0"/>
          <c:showPercent val="0"/>
          <c:showBubbleSize val="0"/>
        </c:dLbls>
        <c:marker val="1"/>
        <c:smooth val="0"/>
        <c:axId val="1408372192"/>
        <c:axId val="1408366752"/>
      </c:lineChart>
      <c:catAx>
        <c:axId val="1408369472"/>
        <c:scaling>
          <c:orientation val="minMax"/>
        </c:scaling>
        <c:delete val="0"/>
        <c:axPos val="b"/>
        <c:numFmt formatCode="General" sourceLinked="1"/>
        <c:majorTickMark val="none"/>
        <c:minorTickMark val="none"/>
        <c:tickLblPos val="nextTo"/>
        <c:crossAx val="1408376000"/>
        <c:crosses val="autoZero"/>
        <c:auto val="1"/>
        <c:lblAlgn val="ctr"/>
        <c:lblOffset val="100"/>
        <c:noMultiLvlLbl val="0"/>
      </c:catAx>
      <c:valAx>
        <c:axId val="1408376000"/>
        <c:scaling>
          <c:orientation val="minMax"/>
          <c:max val="1600"/>
        </c:scaling>
        <c:delete val="0"/>
        <c:axPos val="l"/>
        <c:majorGridlines/>
        <c:numFmt formatCode="#,##0.0" sourceLinked="0"/>
        <c:majorTickMark val="none"/>
        <c:minorTickMark val="none"/>
        <c:tickLblPos val="nextTo"/>
        <c:spPr>
          <a:noFill/>
          <a:ln w="9525">
            <a:noFill/>
          </a:ln>
        </c:spPr>
        <c:crossAx val="1408369472"/>
        <c:crosses val="autoZero"/>
        <c:crossBetween val="between"/>
      </c:valAx>
      <c:valAx>
        <c:axId val="1408366752"/>
        <c:scaling>
          <c:orientation val="minMax"/>
        </c:scaling>
        <c:delete val="0"/>
        <c:axPos val="r"/>
        <c:numFmt formatCode="#,##0" sourceLinked="0"/>
        <c:majorTickMark val="out"/>
        <c:minorTickMark val="none"/>
        <c:tickLblPos val="nextTo"/>
        <c:crossAx val="1408372192"/>
        <c:crosses val="max"/>
        <c:crossBetween val="between"/>
        <c:dispUnits>
          <c:builtInUnit val="millions"/>
          <c:dispUnitsLbl/>
        </c:dispUnits>
      </c:valAx>
      <c:catAx>
        <c:axId val="1408372192"/>
        <c:scaling>
          <c:orientation val="minMax"/>
        </c:scaling>
        <c:delete val="1"/>
        <c:axPos val="b"/>
        <c:numFmt formatCode="General" sourceLinked="1"/>
        <c:majorTickMark val="out"/>
        <c:minorTickMark val="none"/>
        <c:tickLblPos val="nextTo"/>
        <c:crossAx val="1408366752"/>
        <c:crosses val="autoZero"/>
        <c:auto val="1"/>
        <c:lblAlgn val="ctr"/>
        <c:lblOffset val="100"/>
        <c:noMultiLvlLbl val="0"/>
      </c:catAx>
    </c:plotArea>
    <c:legend>
      <c:legendPos val="b"/>
      <c:overlay val="0"/>
    </c:legend>
    <c:plotVisOnly val="1"/>
    <c:dispBlanksAs val="gap"/>
    <c:showDLblsOverMax val="0"/>
  </c:chart>
  <c:spPr>
    <a:ln>
      <a:solidFill>
        <a:schemeClr val="bg1">
          <a:lumMod val="75000"/>
        </a:schemeClr>
      </a:solidFill>
    </a:ln>
  </c:sp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a:t>IA - HH</a:t>
            </a:r>
          </a:p>
        </c:rich>
      </c:tx>
      <c:overlay val="0"/>
    </c:title>
    <c:autoTitleDeleted val="0"/>
    <c:plotArea>
      <c:layout/>
      <c:barChart>
        <c:barDir val="col"/>
        <c:grouping val="clustered"/>
        <c:varyColors val="0"/>
        <c:ser>
          <c:idx val="0"/>
          <c:order val="0"/>
          <c:tx>
            <c:v>IA</c:v>
          </c:tx>
          <c:invertIfNegative val="0"/>
          <c:dLbls>
            <c:spPr>
              <a:noFill/>
              <a:ln>
                <a:noFill/>
              </a:ln>
              <a:effectLst/>
            </c:spPr>
            <c:txPr>
              <a:bodyPr/>
              <a:lstStyle/>
              <a:p>
                <a:pPr>
                  <a:defRPr sz="140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Graphics!$AK$4:$AK$18</c:f>
              <c:numCache>
                <c:formatCode>General</c:formatCode>
                <c:ptCount val="1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numCache>
            </c:numRef>
          </c:cat>
          <c:val>
            <c:numRef>
              <c:f>Graphics!$AO$4:$AO$20</c:f>
              <c:numCache>
                <c:formatCode>0.0</c:formatCode>
                <c:ptCount val="17"/>
                <c:pt idx="0">
                  <c:v>5.0999999999999996</c:v>
                </c:pt>
                <c:pt idx="1">
                  <c:v>3.2</c:v>
                </c:pt>
                <c:pt idx="2">
                  <c:v>3.1</c:v>
                </c:pt>
                <c:pt idx="3">
                  <c:v>3.5</c:v>
                </c:pt>
                <c:pt idx="4">
                  <c:v>3.4</c:v>
                </c:pt>
                <c:pt idx="5">
                  <c:v>8.4</c:v>
                </c:pt>
                <c:pt idx="6">
                  <c:v>5.0999999999999996</c:v>
                </c:pt>
                <c:pt idx="7">
                  <c:v>4</c:v>
                </c:pt>
                <c:pt idx="8">
                  <c:v>4.2</c:v>
                </c:pt>
                <c:pt idx="9">
                  <c:v>4.5999999999999996</c:v>
                </c:pt>
                <c:pt idx="10">
                  <c:v>3.9</c:v>
                </c:pt>
                <c:pt idx="11">
                  <c:v>6</c:v>
                </c:pt>
                <c:pt idx="12">
                  <c:v>5.8</c:v>
                </c:pt>
                <c:pt idx="13">
                  <c:v>3.5</c:v>
                </c:pt>
                <c:pt idx="14">
                  <c:v>4.5999999999999996</c:v>
                </c:pt>
                <c:pt idx="15">
                  <c:v>4.4000000000000004</c:v>
                </c:pt>
                <c:pt idx="16">
                  <c:v>4.2</c:v>
                </c:pt>
              </c:numCache>
            </c:numRef>
          </c:val>
          <c:extLst>
            <c:ext xmlns:c16="http://schemas.microsoft.com/office/drawing/2014/chart" uri="{C3380CC4-5D6E-409C-BE32-E72D297353CC}">
              <c16:uniqueId val="{00000000-2766-4696-8DD4-E1B27499D17E}"/>
            </c:ext>
          </c:extLst>
        </c:ser>
        <c:dLbls>
          <c:showLegendKey val="0"/>
          <c:showVal val="0"/>
          <c:showCatName val="0"/>
          <c:showSerName val="0"/>
          <c:showPercent val="0"/>
          <c:showBubbleSize val="0"/>
        </c:dLbls>
        <c:gapWidth val="75"/>
        <c:overlap val="-25"/>
        <c:axId val="1408354240"/>
        <c:axId val="1408350432"/>
      </c:barChart>
      <c:lineChart>
        <c:grouping val="standard"/>
        <c:varyColors val="0"/>
        <c:ser>
          <c:idx val="1"/>
          <c:order val="1"/>
          <c:tx>
            <c:v>HH</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66-4696-8DD4-E1B27499D17E}"/>
                </c:ext>
              </c:extLst>
            </c:dLbl>
            <c:dLbl>
              <c:idx val="13"/>
              <c:layout>
                <c:manualLayout>
                  <c:x val="-1.1183773367892877E-2"/>
                  <c:y val="-3.0198316539562179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66-4696-8DD4-E1B27499D17E}"/>
                </c:ext>
              </c:extLst>
            </c:dLbl>
            <c:numFmt formatCode="#,##0" sourceLinked="0"/>
            <c:spPr>
              <a:noFill/>
              <a:ln>
                <a:noFill/>
              </a:ln>
              <a:effectLst/>
            </c:spPr>
            <c:txPr>
              <a:bodyPr/>
              <a:lstStyle/>
              <a:p>
                <a:pPr algn="ctr" rtl="0">
                  <a:defRPr lang="es-PE" sz="1400" b="1" i="0" u="none" strike="noStrike" kern="1200" baseline="0">
                    <a:solidFill>
                      <a:srgbClr val="FF0000"/>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[9]Sheet2!$C$3:$C$15</c:f>
              <c:numCache>
                <c:formatCode>General</c:formatCode>
                <c:ptCount val="13"/>
              </c:numCache>
            </c:numRef>
          </c:cat>
          <c:val>
            <c:numRef>
              <c:f>Graphics!$AL$4:$AL$20</c:f>
              <c:numCache>
                <c:formatCode>#,##0</c:formatCode>
                <c:ptCount val="17"/>
                <c:pt idx="0">
                  <c:v>6972470</c:v>
                </c:pt>
                <c:pt idx="1">
                  <c:v>8045968</c:v>
                </c:pt>
                <c:pt idx="2">
                  <c:v>9019392</c:v>
                </c:pt>
                <c:pt idx="3">
                  <c:v>9639404</c:v>
                </c:pt>
                <c:pt idx="4">
                  <c:v>10346031</c:v>
                </c:pt>
                <c:pt idx="5">
                  <c:v>11785020</c:v>
                </c:pt>
                <c:pt idx="6">
                  <c:v>13580881.5</c:v>
                </c:pt>
                <c:pt idx="7">
                  <c:v>12835402.5</c:v>
                </c:pt>
                <c:pt idx="8">
                  <c:v>14026666</c:v>
                </c:pt>
                <c:pt idx="9">
                  <c:v>12017547.719999999</c:v>
                </c:pt>
                <c:pt idx="10">
                  <c:v>12838534</c:v>
                </c:pt>
                <c:pt idx="11">
                  <c:v>18139497.040702909</c:v>
                </c:pt>
                <c:pt idx="12">
                  <c:v>16915439</c:v>
                </c:pt>
                <c:pt idx="13">
                  <c:v>15644250.290777778</c:v>
                </c:pt>
                <c:pt idx="14">
                  <c:v>15702041.682896826</c:v>
                </c:pt>
                <c:pt idx="15">
                  <c:v>16206354</c:v>
                </c:pt>
                <c:pt idx="16">
                  <c:v>21060162</c:v>
                </c:pt>
              </c:numCache>
            </c:numRef>
          </c:val>
          <c:smooth val="0"/>
          <c:extLst>
            <c:ext xmlns:c16="http://schemas.microsoft.com/office/drawing/2014/chart" uri="{C3380CC4-5D6E-409C-BE32-E72D297353CC}">
              <c16:uniqueId val="{00000003-2766-4696-8DD4-E1B27499D17E}"/>
            </c:ext>
          </c:extLst>
        </c:ser>
        <c:dLbls>
          <c:showLegendKey val="0"/>
          <c:showVal val="0"/>
          <c:showCatName val="0"/>
          <c:showSerName val="0"/>
          <c:showPercent val="0"/>
          <c:showBubbleSize val="0"/>
        </c:dLbls>
        <c:marker val="1"/>
        <c:smooth val="0"/>
        <c:axId val="1408378720"/>
        <c:axId val="1408358048"/>
      </c:lineChart>
      <c:catAx>
        <c:axId val="1408354240"/>
        <c:scaling>
          <c:orientation val="minMax"/>
        </c:scaling>
        <c:delete val="0"/>
        <c:axPos val="b"/>
        <c:numFmt formatCode="General" sourceLinked="1"/>
        <c:majorTickMark val="none"/>
        <c:minorTickMark val="none"/>
        <c:tickLblPos val="nextTo"/>
        <c:crossAx val="1408350432"/>
        <c:crosses val="autoZero"/>
        <c:auto val="1"/>
        <c:lblAlgn val="ctr"/>
        <c:lblOffset val="100"/>
        <c:noMultiLvlLbl val="0"/>
      </c:catAx>
      <c:valAx>
        <c:axId val="1408350432"/>
        <c:scaling>
          <c:orientation val="minMax"/>
        </c:scaling>
        <c:delete val="0"/>
        <c:axPos val="l"/>
        <c:majorGridlines/>
        <c:numFmt formatCode="#,##0.0" sourceLinked="0"/>
        <c:majorTickMark val="none"/>
        <c:minorTickMark val="none"/>
        <c:tickLblPos val="nextTo"/>
        <c:spPr>
          <a:noFill/>
          <a:ln w="9525">
            <a:noFill/>
          </a:ln>
        </c:spPr>
        <c:crossAx val="1408354240"/>
        <c:crosses val="autoZero"/>
        <c:crossBetween val="between"/>
      </c:valAx>
      <c:valAx>
        <c:axId val="1408358048"/>
        <c:scaling>
          <c:orientation val="minMax"/>
        </c:scaling>
        <c:delete val="0"/>
        <c:axPos val="r"/>
        <c:numFmt formatCode="#,##0" sourceLinked="0"/>
        <c:majorTickMark val="out"/>
        <c:minorTickMark val="none"/>
        <c:tickLblPos val="nextTo"/>
        <c:crossAx val="1408378720"/>
        <c:crosses val="max"/>
        <c:crossBetween val="between"/>
        <c:dispUnits>
          <c:builtInUnit val="millions"/>
          <c:dispUnitsLbl/>
        </c:dispUnits>
      </c:valAx>
      <c:catAx>
        <c:axId val="1408378720"/>
        <c:scaling>
          <c:orientation val="minMax"/>
        </c:scaling>
        <c:delete val="1"/>
        <c:axPos val="b"/>
        <c:numFmt formatCode="General" sourceLinked="1"/>
        <c:majorTickMark val="out"/>
        <c:minorTickMark val="none"/>
        <c:tickLblPos val="nextTo"/>
        <c:crossAx val="1408358048"/>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834306566079406"/>
          <c:y val="2.3531569290485325E-2"/>
          <c:w val="0.87165693433920588"/>
          <c:h val="0.75838924340518221"/>
        </c:manualLayout>
      </c:layout>
      <c:barChart>
        <c:barDir val="col"/>
        <c:grouping val="clustered"/>
        <c:varyColors val="0"/>
        <c:ser>
          <c:idx val="0"/>
          <c:order val="0"/>
          <c:tx>
            <c:v>Argentina</c:v>
          </c:tx>
          <c:spPr>
            <a:solidFill>
              <a:srgbClr val="FF0000"/>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Graphics!$AC$72:$AC$75</c:f>
              <c:strCache>
                <c:ptCount val="4"/>
                <c:pt idx="0">
                  <c:v>Obrero Estables</c:v>
                </c:pt>
                <c:pt idx="1">
                  <c:v>Obrero Contratados</c:v>
                </c:pt>
                <c:pt idx="2">
                  <c:v>En Formación</c:v>
                </c:pt>
                <c:pt idx="3">
                  <c:v>Propio</c:v>
                </c:pt>
              </c:strCache>
            </c:strRef>
          </c:cat>
          <c:val>
            <c:numRef>
              <c:f>Graphics!$AJ$72:$AJ$75</c:f>
              <c:numCache>
                <c:formatCode>#,##0</c:formatCode>
                <c:ptCount val="4"/>
                <c:pt idx="0">
                  <c:v>94.110365199263128</c:v>
                </c:pt>
                <c:pt idx="1">
                  <c:v>151.96560603883688</c:v>
                </c:pt>
                <c:pt idx="3" formatCode="0">
                  <c:v>66.957222486100633</c:v>
                </c:pt>
              </c:numCache>
            </c:numRef>
          </c:val>
          <c:extLst>
            <c:ext xmlns:c16="http://schemas.microsoft.com/office/drawing/2014/chart" uri="{C3380CC4-5D6E-409C-BE32-E72D297353CC}">
              <c16:uniqueId val="{00000000-DAA2-4842-B375-8BB116E59D4C}"/>
            </c:ext>
          </c:extLst>
        </c:ser>
        <c:ser>
          <c:idx val="1"/>
          <c:order val="1"/>
          <c:tx>
            <c:v>Extranjeros</c:v>
          </c:tx>
          <c:spPr>
            <a:solidFill>
              <a:schemeClr val="bg1">
                <a:lumMod val="75000"/>
              </a:schemeClr>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Graphics!$AC$72:$AC$75</c:f>
              <c:strCache>
                <c:ptCount val="4"/>
                <c:pt idx="0">
                  <c:v>Obrero Estables</c:v>
                </c:pt>
                <c:pt idx="1">
                  <c:v>Obrero Contratados</c:v>
                </c:pt>
                <c:pt idx="2">
                  <c:v>En Formación</c:v>
                </c:pt>
                <c:pt idx="3">
                  <c:v>Propio</c:v>
                </c:pt>
              </c:strCache>
            </c:strRef>
          </c:cat>
          <c:val>
            <c:numRef>
              <c:f>Graphics!$AK$72:$AK$75</c:f>
              <c:numCache>
                <c:formatCode>General</c:formatCode>
                <c:ptCount val="4"/>
                <c:pt idx="1">
                  <c:v>0</c:v>
                </c:pt>
                <c:pt idx="2">
                  <c:v>0</c:v>
                </c:pt>
              </c:numCache>
            </c:numRef>
          </c:val>
          <c:extLst>
            <c:ext xmlns:c16="http://schemas.microsoft.com/office/drawing/2014/chart" uri="{C3380CC4-5D6E-409C-BE32-E72D297353CC}">
              <c16:uniqueId val="{00000001-DAA2-4842-B375-8BB116E59D4C}"/>
            </c:ext>
          </c:extLst>
        </c:ser>
        <c:ser>
          <c:idx val="2"/>
          <c:order val="2"/>
          <c:tx>
            <c:v>Perú</c:v>
          </c:tx>
          <c:spPr>
            <a:solidFill>
              <a:srgbClr val="0070C0"/>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Graphics!$AC$72:$AC$75</c:f>
              <c:strCache>
                <c:ptCount val="4"/>
                <c:pt idx="0">
                  <c:v>Obrero Estables</c:v>
                </c:pt>
                <c:pt idx="1">
                  <c:v>Obrero Contratados</c:v>
                </c:pt>
                <c:pt idx="2">
                  <c:v>En Formación</c:v>
                </c:pt>
                <c:pt idx="3">
                  <c:v>Propio</c:v>
                </c:pt>
              </c:strCache>
            </c:strRef>
          </c:cat>
          <c:val>
            <c:numRef>
              <c:f>Graphics!$AF$72:$AF$75</c:f>
              <c:numCache>
                <c:formatCode>#,##0</c:formatCode>
                <c:ptCount val="4"/>
                <c:pt idx="0">
                  <c:v>8231616.5450000055</c:v>
                </c:pt>
                <c:pt idx="1">
                  <c:v>1057248</c:v>
                </c:pt>
                <c:pt idx="2">
                  <c:v>114206</c:v>
                </c:pt>
                <c:pt idx="3">
                  <c:v>14024108.545000006</c:v>
                </c:pt>
              </c:numCache>
            </c:numRef>
          </c:val>
          <c:extLst>
            <c:ext xmlns:c16="http://schemas.microsoft.com/office/drawing/2014/chart" uri="{C3380CC4-5D6E-409C-BE32-E72D297353CC}">
              <c16:uniqueId val="{00000002-DAA2-4842-B375-8BB116E59D4C}"/>
            </c:ext>
          </c:extLst>
        </c:ser>
        <c:dLbls>
          <c:dLblPos val="outEnd"/>
          <c:showLegendKey val="0"/>
          <c:showVal val="1"/>
          <c:showCatName val="0"/>
          <c:showSerName val="0"/>
          <c:showPercent val="0"/>
          <c:showBubbleSize val="0"/>
        </c:dLbls>
        <c:gapWidth val="150"/>
        <c:axId val="1408360768"/>
        <c:axId val="1408351520"/>
      </c:barChart>
      <c:catAx>
        <c:axId val="1408360768"/>
        <c:scaling>
          <c:orientation val="minMax"/>
        </c:scaling>
        <c:delete val="0"/>
        <c:axPos val="b"/>
        <c:numFmt formatCode="General" sourceLinked="1"/>
        <c:majorTickMark val="out"/>
        <c:minorTickMark val="none"/>
        <c:tickLblPos val="nextTo"/>
        <c:crossAx val="1408351520"/>
        <c:crosses val="autoZero"/>
        <c:auto val="1"/>
        <c:lblAlgn val="ctr"/>
        <c:lblOffset val="100"/>
        <c:noMultiLvlLbl val="0"/>
      </c:catAx>
      <c:valAx>
        <c:axId val="1408351520"/>
        <c:scaling>
          <c:orientation val="minMax"/>
        </c:scaling>
        <c:delete val="0"/>
        <c:axPos val="l"/>
        <c:majorGridlines/>
        <c:numFmt formatCode="#,##0" sourceLinked="1"/>
        <c:majorTickMark val="out"/>
        <c:minorTickMark val="none"/>
        <c:tickLblPos val="nextTo"/>
        <c:crossAx val="1408360768"/>
        <c:crosses val="autoZero"/>
        <c:crossBetween val="between"/>
      </c:valAx>
    </c:plotArea>
    <c:legend>
      <c:legendPos val="b"/>
      <c:overlay val="0"/>
      <c:txPr>
        <a:bodyPr/>
        <a:lstStyle/>
        <a:p>
          <a:pPr>
            <a:defRPr sz="1200"/>
          </a:pPr>
          <a:endParaRPr lang="es-PE"/>
        </a:p>
      </c:txPr>
    </c:legend>
    <c:plotVisOnly val="1"/>
    <c:dispBlanksAs val="gap"/>
    <c:showDLblsOverMax val="0"/>
  </c:chart>
  <c:spPr>
    <a:ln>
      <a:noFill/>
    </a:ln>
  </c:sp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Argentina</c:v>
          </c:tx>
          <c:spPr>
            <a:solidFill>
              <a:srgbClr val="FF0000"/>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Graphics!$AC$72:$AC$75</c:f>
              <c:strCache>
                <c:ptCount val="4"/>
                <c:pt idx="0">
                  <c:v>Obrero Estables</c:v>
                </c:pt>
                <c:pt idx="1">
                  <c:v>Obrero Contratados</c:v>
                </c:pt>
                <c:pt idx="2">
                  <c:v>En Formación</c:v>
                </c:pt>
                <c:pt idx="3">
                  <c:v>Propio</c:v>
                </c:pt>
              </c:strCache>
            </c:strRef>
          </c:cat>
          <c:val>
            <c:numRef>
              <c:f>Graphics!$AL$73:$AL$74</c:f>
              <c:numCache>
                <c:formatCode>General</c:formatCode>
                <c:ptCount val="2"/>
                <c:pt idx="0">
                  <c:v>0</c:v>
                </c:pt>
              </c:numCache>
            </c:numRef>
          </c:val>
          <c:extLst>
            <c:ext xmlns:c16="http://schemas.microsoft.com/office/drawing/2014/chart" uri="{C3380CC4-5D6E-409C-BE32-E72D297353CC}">
              <c16:uniqueId val="{00000000-6484-492D-A962-8D1A8F759630}"/>
            </c:ext>
          </c:extLst>
        </c:ser>
        <c:ser>
          <c:idx val="1"/>
          <c:order val="1"/>
          <c:tx>
            <c:v>Extranjeros</c:v>
          </c:tx>
          <c:spPr>
            <a:solidFill>
              <a:schemeClr val="bg1">
                <a:lumMod val="75000"/>
              </a:schemeClr>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Graphics!$AC$72:$AC$75</c:f>
              <c:strCache>
                <c:ptCount val="4"/>
                <c:pt idx="0">
                  <c:v>Obrero Estables</c:v>
                </c:pt>
                <c:pt idx="1">
                  <c:v>Obrero Contratados</c:v>
                </c:pt>
                <c:pt idx="2">
                  <c:v>En Formación</c:v>
                </c:pt>
                <c:pt idx="3">
                  <c:v>Propio</c:v>
                </c:pt>
              </c:strCache>
            </c:strRef>
          </c:cat>
          <c:val>
            <c:numRef>
              <c:f>Graphics!$AM$72:$AM$74</c:f>
              <c:numCache>
                <c:formatCode>0</c:formatCode>
                <c:ptCount val="3"/>
              </c:numCache>
            </c:numRef>
          </c:val>
          <c:extLst>
            <c:ext xmlns:c16="http://schemas.microsoft.com/office/drawing/2014/chart" uri="{C3380CC4-5D6E-409C-BE32-E72D297353CC}">
              <c16:uniqueId val="{00000001-6484-492D-A962-8D1A8F759630}"/>
            </c:ext>
          </c:extLst>
        </c:ser>
        <c:ser>
          <c:idx val="2"/>
          <c:order val="2"/>
          <c:tx>
            <c:v>Perú</c:v>
          </c:tx>
          <c:spPr>
            <a:solidFill>
              <a:srgbClr val="0070C0"/>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Graphics!$AC$72:$AC$75</c:f>
              <c:strCache>
                <c:ptCount val="4"/>
                <c:pt idx="0">
                  <c:v>Obrero Estables</c:v>
                </c:pt>
                <c:pt idx="1">
                  <c:v>Obrero Contratados</c:v>
                </c:pt>
                <c:pt idx="2">
                  <c:v>En Formación</c:v>
                </c:pt>
                <c:pt idx="3">
                  <c:v>Propio</c:v>
                </c:pt>
              </c:strCache>
            </c:strRef>
          </c:cat>
          <c:val>
            <c:numRef>
              <c:f>Graphics!$AI$72:$AI$75</c:f>
              <c:numCache>
                <c:formatCode>#,##0.0</c:formatCode>
                <c:ptCount val="4"/>
                <c:pt idx="0">
                  <c:v>4.8797967140358658</c:v>
                </c:pt>
                <c:pt idx="1">
                  <c:v>11.052044075551773</c:v>
                </c:pt>
                <c:pt idx="3" formatCode="0.0">
                  <c:v>3.7084000146148042</c:v>
                </c:pt>
              </c:numCache>
            </c:numRef>
          </c:val>
          <c:extLst>
            <c:ext xmlns:c16="http://schemas.microsoft.com/office/drawing/2014/chart" uri="{C3380CC4-5D6E-409C-BE32-E72D297353CC}">
              <c16:uniqueId val="{00000002-6484-492D-A962-8D1A8F759630}"/>
            </c:ext>
          </c:extLst>
        </c:ser>
        <c:dLbls>
          <c:dLblPos val="outEnd"/>
          <c:showLegendKey val="0"/>
          <c:showVal val="1"/>
          <c:showCatName val="0"/>
          <c:showSerName val="0"/>
          <c:showPercent val="0"/>
          <c:showBubbleSize val="0"/>
        </c:dLbls>
        <c:gapWidth val="150"/>
        <c:axId val="1408359136"/>
        <c:axId val="1408353696"/>
      </c:barChart>
      <c:catAx>
        <c:axId val="1408359136"/>
        <c:scaling>
          <c:orientation val="minMax"/>
        </c:scaling>
        <c:delete val="0"/>
        <c:axPos val="b"/>
        <c:numFmt formatCode="General" sourceLinked="1"/>
        <c:majorTickMark val="out"/>
        <c:minorTickMark val="none"/>
        <c:tickLblPos val="nextTo"/>
        <c:crossAx val="1408353696"/>
        <c:crosses val="autoZero"/>
        <c:auto val="1"/>
        <c:lblAlgn val="ctr"/>
        <c:lblOffset val="100"/>
        <c:noMultiLvlLbl val="0"/>
      </c:catAx>
      <c:valAx>
        <c:axId val="1408353696"/>
        <c:scaling>
          <c:orientation val="minMax"/>
        </c:scaling>
        <c:delete val="0"/>
        <c:axPos val="l"/>
        <c:majorGridlines/>
        <c:numFmt formatCode="General" sourceLinked="1"/>
        <c:majorTickMark val="out"/>
        <c:minorTickMark val="none"/>
        <c:tickLblPos val="nextTo"/>
        <c:crossAx val="1408359136"/>
        <c:crosses val="autoZero"/>
        <c:crossBetween val="between"/>
      </c:valAx>
    </c:plotArea>
    <c:legend>
      <c:legendPos val="b"/>
      <c:overlay val="0"/>
      <c:txPr>
        <a:bodyPr/>
        <a:lstStyle/>
        <a:p>
          <a:pPr>
            <a:defRPr sz="1200"/>
          </a:pPr>
          <a:endParaRPr lang="es-PE"/>
        </a:p>
      </c:txPr>
    </c:legend>
    <c:plotVisOnly val="1"/>
    <c:dispBlanksAs val="gap"/>
    <c:showDLblsOverMax val="0"/>
  </c:chart>
  <c:spPr>
    <a:ln>
      <a:noFill/>
    </a:ln>
  </c:sp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2014</c:v>
          </c:tx>
          <c:spPr>
            <a:solidFill>
              <a:schemeClr val="tx2">
                <a:lumMod val="60000"/>
                <a:lumOff val="40000"/>
              </a:schemeClr>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Graphics!$AF$209:$AJ$209</c:f>
              <c:strCache>
                <c:ptCount val="5"/>
                <c:pt idx="0">
                  <c:v>SAN JUSTO</c:v>
                </c:pt>
                <c:pt idx="1">
                  <c:v>MORON</c:v>
                </c:pt>
                <c:pt idx="2">
                  <c:v>GARIN</c:v>
                </c:pt>
                <c:pt idx="3">
                  <c:v>IMSA</c:v>
                </c:pt>
                <c:pt idx="4">
                  <c:v>PESA</c:v>
                </c:pt>
              </c:strCache>
            </c:strRef>
          </c:cat>
          <c:val>
            <c:numRef>
              <c:f>Graphics!$AF$210:$AJ$210</c:f>
              <c:numCache>
                <c:formatCode>0.0</c:formatCode>
                <c:ptCount val="5"/>
                <c:pt idx="0">
                  <c:v>18.100000000000001</c:v>
                </c:pt>
                <c:pt idx="1">
                  <c:v>6.8</c:v>
                </c:pt>
                <c:pt idx="2">
                  <c:v>27.8</c:v>
                </c:pt>
                <c:pt idx="3">
                  <c:v>52.6</c:v>
                </c:pt>
                <c:pt idx="4">
                  <c:v>24</c:v>
                </c:pt>
              </c:numCache>
            </c:numRef>
          </c:val>
          <c:extLst>
            <c:ext xmlns:c16="http://schemas.microsoft.com/office/drawing/2014/chart" uri="{C3380CC4-5D6E-409C-BE32-E72D297353CC}">
              <c16:uniqueId val="{00000000-F591-4405-9920-E8A339C80531}"/>
            </c:ext>
          </c:extLst>
        </c:ser>
        <c:ser>
          <c:idx val="1"/>
          <c:order val="1"/>
          <c:tx>
            <c:v>2015</c:v>
          </c:tx>
          <c:spPr>
            <a:solidFill>
              <a:schemeClr val="bg1">
                <a:lumMod val="75000"/>
              </a:schemeClr>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Graphics!$AF$209:$AJ$209</c:f>
              <c:strCache>
                <c:ptCount val="5"/>
                <c:pt idx="0">
                  <c:v>SAN JUSTO</c:v>
                </c:pt>
                <c:pt idx="1">
                  <c:v>MORON</c:v>
                </c:pt>
                <c:pt idx="2">
                  <c:v>GARIN</c:v>
                </c:pt>
                <c:pt idx="3">
                  <c:v>IMSA</c:v>
                </c:pt>
                <c:pt idx="4">
                  <c:v>PESA</c:v>
                </c:pt>
              </c:strCache>
            </c:strRef>
          </c:cat>
          <c:val>
            <c:numRef>
              <c:f>Graphics!$AF$211:$AJ$211</c:f>
              <c:numCache>
                <c:formatCode>0.0</c:formatCode>
                <c:ptCount val="5"/>
                <c:pt idx="0">
                  <c:v>15.4</c:v>
                </c:pt>
                <c:pt idx="1">
                  <c:v>0</c:v>
                </c:pt>
                <c:pt idx="2">
                  <c:v>14.1</c:v>
                </c:pt>
                <c:pt idx="3">
                  <c:v>45</c:v>
                </c:pt>
                <c:pt idx="4">
                  <c:v>11.4</c:v>
                </c:pt>
              </c:numCache>
            </c:numRef>
          </c:val>
          <c:extLst>
            <c:ext xmlns:c16="http://schemas.microsoft.com/office/drawing/2014/chart" uri="{C3380CC4-5D6E-409C-BE32-E72D297353CC}">
              <c16:uniqueId val="{00000001-F591-4405-9920-E8A339C80531}"/>
            </c:ext>
          </c:extLst>
        </c:ser>
        <c:ser>
          <c:idx val="2"/>
          <c:order val="2"/>
          <c:tx>
            <c:v>2016</c:v>
          </c:tx>
          <c:spPr>
            <a:solidFill>
              <a:srgbClr val="FF0000"/>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Graphics!$AF$209:$AJ$209</c:f>
              <c:strCache>
                <c:ptCount val="5"/>
                <c:pt idx="0">
                  <c:v>SAN JUSTO</c:v>
                </c:pt>
                <c:pt idx="1">
                  <c:v>MORON</c:v>
                </c:pt>
                <c:pt idx="2">
                  <c:v>GARIN</c:v>
                </c:pt>
                <c:pt idx="3">
                  <c:v>IMSA</c:v>
                </c:pt>
                <c:pt idx="4">
                  <c:v>PESA</c:v>
                </c:pt>
              </c:strCache>
            </c:strRef>
          </c:cat>
          <c:val>
            <c:numRef>
              <c:f>Graphics!$AF$212:$AJ$212</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2-F591-4405-9920-E8A339C80531}"/>
            </c:ext>
          </c:extLst>
        </c:ser>
        <c:dLbls>
          <c:dLblPos val="outEnd"/>
          <c:showLegendKey val="0"/>
          <c:showVal val="1"/>
          <c:showCatName val="0"/>
          <c:showSerName val="0"/>
          <c:showPercent val="0"/>
          <c:showBubbleSize val="0"/>
        </c:dLbls>
        <c:gapWidth val="150"/>
        <c:axId val="1408354784"/>
        <c:axId val="1408355872"/>
      </c:barChart>
      <c:catAx>
        <c:axId val="1408354784"/>
        <c:scaling>
          <c:orientation val="minMax"/>
        </c:scaling>
        <c:delete val="0"/>
        <c:axPos val="b"/>
        <c:numFmt formatCode="General" sourceLinked="1"/>
        <c:majorTickMark val="out"/>
        <c:minorTickMark val="none"/>
        <c:tickLblPos val="nextTo"/>
        <c:crossAx val="1408355872"/>
        <c:crosses val="autoZero"/>
        <c:auto val="1"/>
        <c:lblAlgn val="ctr"/>
        <c:lblOffset val="100"/>
        <c:noMultiLvlLbl val="0"/>
      </c:catAx>
      <c:valAx>
        <c:axId val="1408355872"/>
        <c:scaling>
          <c:orientation val="minMax"/>
        </c:scaling>
        <c:delete val="0"/>
        <c:axPos val="l"/>
        <c:majorGridlines/>
        <c:numFmt formatCode="0.0" sourceLinked="1"/>
        <c:majorTickMark val="out"/>
        <c:minorTickMark val="none"/>
        <c:tickLblPos val="nextTo"/>
        <c:crossAx val="1408354784"/>
        <c:crosses val="autoZero"/>
        <c:crossBetween val="between"/>
      </c:valAx>
    </c:plotArea>
    <c:legend>
      <c:legendPos val="b"/>
      <c:overlay val="0"/>
      <c:txPr>
        <a:bodyPr/>
        <a:lstStyle/>
        <a:p>
          <a:pPr>
            <a:defRPr sz="1200"/>
          </a:pPr>
          <a:endParaRPr lang="es-PE"/>
        </a:p>
      </c:txPr>
    </c:legend>
    <c:plotVisOnly val="1"/>
    <c:dispBlanksAs val="gap"/>
    <c:showDLblsOverMax val="0"/>
  </c:chart>
  <c:spPr>
    <a:ln>
      <a:noFill/>
    </a:ln>
  </c:sp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2014</c:v>
          </c:tx>
          <c:spPr>
            <a:solidFill>
              <a:schemeClr val="tx2">
                <a:lumMod val="60000"/>
                <a:lumOff val="40000"/>
              </a:schemeClr>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Graphics!$AK$209:$AO$209</c:f>
              <c:strCache>
                <c:ptCount val="5"/>
                <c:pt idx="0">
                  <c:v>SAN JUSTO</c:v>
                </c:pt>
                <c:pt idx="1">
                  <c:v>MORON</c:v>
                </c:pt>
                <c:pt idx="2">
                  <c:v>GARIN</c:v>
                </c:pt>
                <c:pt idx="3">
                  <c:v>IMSA</c:v>
                </c:pt>
                <c:pt idx="4">
                  <c:v>PESA</c:v>
                </c:pt>
              </c:strCache>
            </c:strRef>
          </c:cat>
          <c:val>
            <c:numRef>
              <c:f>Graphics!$AK$210:$AO$210</c:f>
              <c:numCache>
                <c:formatCode>0</c:formatCode>
                <c:ptCount val="5"/>
                <c:pt idx="0">
                  <c:v>246</c:v>
                </c:pt>
                <c:pt idx="1">
                  <c:v>281</c:v>
                </c:pt>
                <c:pt idx="2">
                  <c:v>223</c:v>
                </c:pt>
                <c:pt idx="3">
                  <c:v>2993</c:v>
                </c:pt>
                <c:pt idx="4">
                  <c:v>2433</c:v>
                </c:pt>
              </c:numCache>
            </c:numRef>
          </c:val>
          <c:extLst>
            <c:ext xmlns:c16="http://schemas.microsoft.com/office/drawing/2014/chart" uri="{C3380CC4-5D6E-409C-BE32-E72D297353CC}">
              <c16:uniqueId val="{00000000-173A-413A-A980-36D92CCA7976}"/>
            </c:ext>
          </c:extLst>
        </c:ser>
        <c:ser>
          <c:idx val="1"/>
          <c:order val="1"/>
          <c:tx>
            <c:v>2015</c:v>
          </c:tx>
          <c:spPr>
            <a:solidFill>
              <a:schemeClr val="bg1">
                <a:lumMod val="75000"/>
              </a:schemeClr>
            </a:solidFill>
          </c:spPr>
          <c:invertIfNegative val="0"/>
          <c:dLbls>
            <c:dLbl>
              <c:idx val="2"/>
              <c:layout>
                <c:manualLayout>
                  <c:x val="1.657345007248165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3A-413A-A980-36D92CCA7976}"/>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Graphics!$AK$209:$AO$209</c:f>
              <c:strCache>
                <c:ptCount val="5"/>
                <c:pt idx="0">
                  <c:v>SAN JUSTO</c:v>
                </c:pt>
                <c:pt idx="1">
                  <c:v>MORON</c:v>
                </c:pt>
                <c:pt idx="2">
                  <c:v>GARIN</c:v>
                </c:pt>
                <c:pt idx="3">
                  <c:v>IMSA</c:v>
                </c:pt>
                <c:pt idx="4">
                  <c:v>PESA</c:v>
                </c:pt>
              </c:strCache>
            </c:strRef>
          </c:cat>
          <c:val>
            <c:numRef>
              <c:f>Graphics!$AK$211:$AO$211</c:f>
              <c:numCache>
                <c:formatCode>0</c:formatCode>
                <c:ptCount val="5"/>
                <c:pt idx="0">
                  <c:v>564</c:v>
                </c:pt>
                <c:pt idx="1">
                  <c:v>0</c:v>
                </c:pt>
                <c:pt idx="2">
                  <c:v>225</c:v>
                </c:pt>
                <c:pt idx="3">
                  <c:v>45</c:v>
                </c:pt>
                <c:pt idx="4">
                  <c:v>1933</c:v>
                </c:pt>
              </c:numCache>
            </c:numRef>
          </c:val>
          <c:extLst>
            <c:ext xmlns:c16="http://schemas.microsoft.com/office/drawing/2014/chart" uri="{C3380CC4-5D6E-409C-BE32-E72D297353CC}">
              <c16:uniqueId val="{00000002-173A-413A-A980-36D92CCA7976}"/>
            </c:ext>
          </c:extLst>
        </c:ser>
        <c:ser>
          <c:idx val="2"/>
          <c:order val="2"/>
          <c:tx>
            <c:v>2016</c:v>
          </c:tx>
          <c:spPr>
            <a:solidFill>
              <a:srgbClr val="FF0000"/>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Graphics!$AK$209:$AO$209</c:f>
              <c:strCache>
                <c:ptCount val="5"/>
                <c:pt idx="0">
                  <c:v>SAN JUSTO</c:v>
                </c:pt>
                <c:pt idx="1">
                  <c:v>MORON</c:v>
                </c:pt>
                <c:pt idx="2">
                  <c:v>GARIN</c:v>
                </c:pt>
                <c:pt idx="3">
                  <c:v>IMSA</c:v>
                </c:pt>
                <c:pt idx="4">
                  <c:v>PESA</c:v>
                </c:pt>
              </c:strCache>
            </c:strRef>
          </c:cat>
          <c:val>
            <c:numRef>
              <c:f>Graphics!$AK$212:$AO$212</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173A-413A-A980-36D92CCA7976}"/>
            </c:ext>
          </c:extLst>
        </c:ser>
        <c:dLbls>
          <c:dLblPos val="outEnd"/>
          <c:showLegendKey val="0"/>
          <c:showVal val="1"/>
          <c:showCatName val="0"/>
          <c:showSerName val="0"/>
          <c:showPercent val="0"/>
          <c:showBubbleSize val="0"/>
        </c:dLbls>
        <c:gapWidth val="150"/>
        <c:axId val="1408370560"/>
        <c:axId val="1408379808"/>
      </c:barChart>
      <c:catAx>
        <c:axId val="1408370560"/>
        <c:scaling>
          <c:orientation val="minMax"/>
        </c:scaling>
        <c:delete val="0"/>
        <c:axPos val="b"/>
        <c:numFmt formatCode="General" sourceLinked="1"/>
        <c:majorTickMark val="out"/>
        <c:minorTickMark val="none"/>
        <c:tickLblPos val="nextTo"/>
        <c:crossAx val="1408379808"/>
        <c:crosses val="autoZero"/>
        <c:auto val="1"/>
        <c:lblAlgn val="ctr"/>
        <c:lblOffset val="100"/>
        <c:noMultiLvlLbl val="0"/>
      </c:catAx>
      <c:valAx>
        <c:axId val="1408379808"/>
        <c:scaling>
          <c:orientation val="minMax"/>
        </c:scaling>
        <c:delete val="0"/>
        <c:axPos val="l"/>
        <c:majorGridlines/>
        <c:numFmt formatCode="0" sourceLinked="1"/>
        <c:majorTickMark val="out"/>
        <c:minorTickMark val="none"/>
        <c:tickLblPos val="nextTo"/>
        <c:crossAx val="1408370560"/>
        <c:crosses val="autoZero"/>
        <c:crossBetween val="between"/>
      </c:valAx>
    </c:plotArea>
    <c:legend>
      <c:legendPos val="b"/>
      <c:overlay val="0"/>
      <c:txPr>
        <a:bodyPr/>
        <a:lstStyle/>
        <a:p>
          <a:pPr>
            <a:defRPr sz="1200"/>
          </a:pPr>
          <a:endParaRPr lang="es-PE"/>
        </a:p>
      </c:txPr>
    </c:legend>
    <c:plotVisOnly val="1"/>
    <c:dispBlanksAs val="gap"/>
    <c:showDLblsOverMax val="0"/>
  </c:chart>
  <c:spPr>
    <a:ln>
      <a:noFill/>
    </a:ln>
  </c:sp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FRECUENCIA  PERU </a:t>
            </a:r>
            <a:endParaRPr lang="es-PE" sz="1200">
              <a:latin typeface="Arial Nova" panose="020B0504020202020204" pitchFamily="34" charset="0"/>
            </a:endParaRPr>
          </a:p>
        </c:rich>
      </c:tx>
      <c:layout>
        <c:manualLayout>
          <c:xMode val="edge"/>
          <c:yMode val="edge"/>
          <c:x val="0.36444782120822483"/>
          <c:y val="6.8728454770933617E-2"/>
        </c:manualLayout>
      </c:layout>
      <c:overlay val="0"/>
    </c:title>
    <c:autoTitleDeleted val="0"/>
    <c:plotArea>
      <c:layout>
        <c:manualLayout>
          <c:layoutTarget val="inner"/>
          <c:xMode val="edge"/>
          <c:yMode val="edge"/>
          <c:x val="6.3280886079760304E-2"/>
          <c:y val="0.1272163459201178"/>
          <c:w val="0.9033191076568875"/>
          <c:h val="0.6585057868229266"/>
        </c:manualLayout>
      </c:layout>
      <c:lineChart>
        <c:grouping val="standard"/>
        <c:varyColors val="0"/>
        <c:ser>
          <c:idx val="1"/>
          <c:order val="0"/>
          <c:tx>
            <c:v>2023</c:v>
          </c:tx>
          <c:spPr>
            <a:ln>
              <a:solidFill>
                <a:schemeClr val="tx1"/>
              </a:solidFill>
            </a:ln>
          </c:spPr>
          <c:marker>
            <c:symbol val="circle"/>
            <c:size val="5"/>
            <c:spPr>
              <a:solidFill>
                <a:schemeClr val="tx1"/>
              </a:solidFill>
              <a:ln>
                <a:noFill/>
              </a:ln>
            </c:spPr>
          </c:marker>
          <c:dLbls>
            <c:dLbl>
              <c:idx val="0"/>
              <c:layout>
                <c:manualLayout>
                  <c:x val="-4.1824175299704912E-2"/>
                  <c:y val="-5.03386191508922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E2-4FF3-ADE8-9CD9D6A59365}"/>
                </c:ext>
              </c:extLst>
            </c:dLbl>
            <c:dLbl>
              <c:idx val="1"/>
              <c:layout>
                <c:manualLayout>
                  <c:x val="-4.2660230150128653E-2"/>
                  <c:y val="-6.57290583186729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E2-4FF3-ADE8-9CD9D6A59365}"/>
                </c:ext>
              </c:extLst>
            </c:dLbl>
            <c:dLbl>
              <c:idx val="2"/>
              <c:layout>
                <c:manualLayout>
                  <c:x val="-4.0431591957061377E-2"/>
                  <c:y val="-5.96389074518678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E2-4FF3-ADE8-9CD9D6A59365}"/>
                </c:ext>
              </c:extLst>
            </c:dLbl>
            <c:dLbl>
              <c:idx val="3"/>
              <c:layout>
                <c:manualLayout>
                  <c:x val="-5.905250737876247E-2"/>
                  <c:y val="4.6593751384531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E2-4FF3-ADE8-9CD9D6A59365}"/>
                </c:ext>
              </c:extLst>
            </c:dLbl>
            <c:dLbl>
              <c:idx val="4"/>
              <c:layout>
                <c:manualLayout>
                  <c:x val="-2.861349289433052E-2"/>
                  <c:y val="-4.58798367965071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E2-4FF3-ADE8-9CD9D6A59365}"/>
                </c:ext>
              </c:extLst>
            </c:dLbl>
            <c:dLbl>
              <c:idx val="5"/>
              <c:layout>
                <c:manualLayout>
                  <c:x val="-3.9772714299288782E-2"/>
                  <c:y val="4.41871233061504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E2-4FF3-ADE8-9CD9D6A59365}"/>
                </c:ext>
              </c:extLst>
            </c:dLbl>
            <c:dLbl>
              <c:idx val="6"/>
              <c:layout>
                <c:manualLayout>
                  <c:x val="-3.528319278232623E-2"/>
                  <c:y val="-4.60269455832845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E2-4FF3-ADE8-9CD9D6A59365}"/>
                </c:ext>
              </c:extLst>
            </c:dLbl>
            <c:dLbl>
              <c:idx val="7"/>
              <c:layout>
                <c:manualLayout>
                  <c:x val="-3.310286527653334E-2"/>
                  <c:y val="-3.74035984480691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E2-4FF3-ADE8-9CD9D6A59365}"/>
                </c:ext>
              </c:extLst>
            </c:dLbl>
            <c:dLbl>
              <c:idx val="8"/>
              <c:layout>
                <c:manualLayout>
                  <c:x val="-3.310286527653334E-2"/>
                  <c:y val="-5.8961966286107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3E2-4FF3-ADE8-9CD9D6A59365}"/>
                </c:ext>
              </c:extLst>
            </c:dLbl>
            <c:dLbl>
              <c:idx val="9"/>
              <c:layout>
                <c:manualLayout>
                  <c:x val="-3.528319278232623E-2"/>
                  <c:y val="-5.03386191508922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E2-4FF3-ADE8-9CD9D6A59365}"/>
                </c:ext>
              </c:extLst>
            </c:dLbl>
            <c:dLbl>
              <c:idx val="10"/>
              <c:layout>
                <c:manualLayout>
                  <c:x val="-3.7463520288119119E-2"/>
                  <c:y val="-4.1715272015676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3E2-4FF3-ADE8-9CD9D6A59365}"/>
                </c:ext>
              </c:extLst>
            </c:dLbl>
            <c:dLbl>
              <c:idx val="11"/>
              <c:layout>
                <c:manualLayout>
                  <c:x val="-3.7463520288119119E-2"/>
                  <c:y val="-5.03386191508923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3E2-4FF3-ADE8-9CD9D6A59365}"/>
                </c:ext>
              </c:extLst>
            </c:dLbl>
            <c:spPr>
              <a:noFill/>
              <a:ln>
                <a:noFill/>
              </a:ln>
              <a:effectLst/>
            </c:spPr>
            <c:txPr>
              <a:bodyPr/>
              <a:lstStyle/>
              <a:p>
                <a:pPr>
                  <a:defRPr sz="1200" b="1">
                    <a:solidFill>
                      <a:sysClr val="windowText" lastClr="000000"/>
                    </a:solidFil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Graphics!$O$123:$Z$123</c:f>
              <c:numCache>
                <c:formatCode>#,##0.0</c:formatCode>
                <c:ptCount val="12"/>
                <c:pt idx="0">
                  <c:v>5.1284246821625006</c:v>
                </c:pt>
                <c:pt idx="1">
                  <c:v>5.2957201376363443</c:v>
                </c:pt>
                <c:pt idx="2">
                  <c:v>4.3486067634080703</c:v>
                </c:pt>
                <c:pt idx="3">
                  <c:v>3.8984434668932311</c:v>
                </c:pt>
                <c:pt idx="4">
                  <c:v>3.5703136307174219</c:v>
                </c:pt>
                <c:pt idx="5">
                  <c:v>3.3627906037117925</c:v>
                </c:pt>
                <c:pt idx="6">
                  <c:v>3.5681719148906557</c:v>
                </c:pt>
                <c:pt idx="7">
                  <c:v>3.5325025180987653</c:v>
                </c:pt>
                <c:pt idx="8">
                  <c:v>3.5602152834018961</c:v>
                </c:pt>
                <c:pt idx="9">
                  <c:v>3.5494594649747762</c:v>
                </c:pt>
                <c:pt idx="10">
                  <c:v>3.5482567571981738</c:v>
                </c:pt>
                <c:pt idx="11">
                  <c:v>3.5482711284843993</c:v>
                </c:pt>
              </c:numCache>
            </c:numRef>
          </c:val>
          <c:smooth val="0"/>
          <c:extLst>
            <c:ext xmlns:c16="http://schemas.microsoft.com/office/drawing/2014/chart" uri="{C3380CC4-5D6E-409C-BE32-E72D297353CC}">
              <c16:uniqueId val="{0000000C-E3E2-4FF3-ADE8-9CD9D6A59365}"/>
            </c:ext>
          </c:extLst>
        </c:ser>
        <c:ser>
          <c:idx val="2"/>
          <c:order val="1"/>
          <c:tx>
            <c:v>2022</c:v>
          </c:tx>
          <c:spPr>
            <a:ln>
              <a:solidFill>
                <a:srgbClr val="00B050"/>
              </a:solidFill>
            </a:ln>
          </c:spPr>
          <c:marker>
            <c:symbol val="circle"/>
            <c:size val="7"/>
            <c:spPr>
              <a:solidFill>
                <a:srgbClr val="00B050"/>
              </a:solidFill>
              <a:ln>
                <a:solidFill>
                  <a:srgbClr val="00B050"/>
                </a:solidFill>
              </a:ln>
            </c:spPr>
          </c:marker>
          <c:dPt>
            <c:idx val="1"/>
            <c:bubble3D val="0"/>
            <c:extLst>
              <c:ext xmlns:c16="http://schemas.microsoft.com/office/drawing/2014/chart" uri="{C3380CC4-5D6E-409C-BE32-E72D297353CC}">
                <c16:uniqueId val="{0000000D-E3E2-4FF3-ADE8-9CD9D6A59365}"/>
              </c:ext>
            </c:extLst>
          </c:dPt>
          <c:dLbls>
            <c:dLbl>
              <c:idx val="0"/>
              <c:layout>
                <c:manualLayout>
                  <c:x val="-4.8795064719537012E-2"/>
                  <c:y val="-4.6452445300112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31-4B56-8983-A562ED72E9D1}"/>
                </c:ext>
              </c:extLst>
            </c:dLbl>
            <c:dLbl>
              <c:idx val="1"/>
              <c:layout>
                <c:manualLayout>
                  <c:x val="-1.9892723472342333E-2"/>
                  <c:y val="8.962363577534335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3E2-4FF3-ADE8-9CD9D6A59365}"/>
                </c:ext>
              </c:extLst>
            </c:dLbl>
            <c:dLbl>
              <c:idx val="2"/>
              <c:layout>
                <c:manualLayout>
                  <c:x val="-8.4367177023776579E-2"/>
                  <c:y val="4.3700836558871269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31-4B56-8983-A562ED72E9D1}"/>
                </c:ext>
              </c:extLst>
            </c:dLbl>
            <c:dLbl>
              <c:idx val="3"/>
              <c:layout>
                <c:manualLayout>
                  <c:x val="-3.767877962446213E-2"/>
                  <c:y val="-4.21897676941398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31-4B56-8983-A562ED72E9D1}"/>
                </c:ext>
              </c:extLst>
            </c:dLbl>
            <c:dLbl>
              <c:idx val="5"/>
              <c:layout>
                <c:manualLayout>
                  <c:x val="-3.7423017537471508E-2"/>
                  <c:y val="-5.92404781180311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05-44E1-8CC2-801D7C690D2C}"/>
                </c:ext>
              </c:extLst>
            </c:dLbl>
            <c:dLbl>
              <c:idx val="6"/>
              <c:layout>
                <c:manualLayout>
                  <c:x val="-4.4100142426798793E-2"/>
                  <c:y val="4.04497142527576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05-44E1-8CC2-801D7C690D2C}"/>
                </c:ext>
              </c:extLst>
            </c:dLbl>
            <c:dLbl>
              <c:idx val="7"/>
              <c:layout>
                <c:manualLayout>
                  <c:x val="-4.6345529275653732E-2"/>
                  <c:y val="2.76617146268243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05-44E1-8CC2-801D7C690D2C}"/>
                </c:ext>
              </c:extLst>
            </c:dLbl>
            <c:dLbl>
              <c:idx val="8"/>
              <c:layout>
                <c:manualLayout>
                  <c:x val="-3.4184135594615271E-2"/>
                  <c:y val="4.42382108990900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905-44E1-8CC2-801D7C690D2C}"/>
                </c:ext>
              </c:extLst>
            </c:dLbl>
            <c:dLbl>
              <c:idx val="9"/>
              <c:layout>
                <c:manualLayout>
                  <c:x val="-3.9646274556486484E-2"/>
                  <c:y val="-5.07151229060855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05-44E1-8CC2-801D7C690D2C}"/>
                </c:ext>
              </c:extLst>
            </c:dLbl>
            <c:dLbl>
              <c:idx val="10"/>
              <c:layout>
                <c:manualLayout>
                  <c:x val="-4.186953157550162E-2"/>
                  <c:y val="-5.4977800512058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905-44E1-8CC2-801D7C690D2C}"/>
                </c:ext>
              </c:extLst>
            </c:dLbl>
            <c:dLbl>
              <c:idx val="11"/>
              <c:layout>
                <c:manualLayout>
                  <c:x val="-4.186953157550146E-2"/>
                  <c:y val="-4.64524453001126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905-44E1-8CC2-801D7C690D2C}"/>
                </c:ext>
              </c:extLst>
            </c:dLbl>
            <c:spPr>
              <a:noFill/>
              <a:ln>
                <a:noFill/>
              </a:ln>
              <a:effectLst/>
            </c:spPr>
            <c:txPr>
              <a:bodyPr/>
              <a:lstStyle/>
              <a:p>
                <a:pPr>
                  <a:defRPr sz="1000" b="0">
                    <a:solidFill>
                      <a:schemeClr val="tx1"/>
                    </a:solidFil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Graphics!$O$122:$Z$122</c:f>
              <c:numCache>
                <c:formatCode>#,##0.0</c:formatCode>
                <c:ptCount val="12"/>
                <c:pt idx="0">
                  <c:v>2.5856681503023662</c:v>
                </c:pt>
                <c:pt idx="1">
                  <c:v>3.0819520482265501</c:v>
                </c:pt>
                <c:pt idx="2">
                  <c:v>4.5663758483219459</c:v>
                </c:pt>
                <c:pt idx="3">
                  <c:v>4.3225207613252525</c:v>
                </c:pt>
                <c:pt idx="4">
                  <c:v>3.6388363535254187</c:v>
                </c:pt>
                <c:pt idx="5">
                  <c:v>3.553836378222496</c:v>
                </c:pt>
                <c:pt idx="6">
                  <c:v>3.6271988533735557</c:v>
                </c:pt>
                <c:pt idx="7">
                  <c:v>3.4291901060852084</c:v>
                </c:pt>
                <c:pt idx="8">
                  <c:v>3.1930669508128373</c:v>
                </c:pt>
                <c:pt idx="9">
                  <c:v>3.3413961678921202</c:v>
                </c:pt>
                <c:pt idx="10">
                  <c:v>3.5629363272283623</c:v>
                </c:pt>
                <c:pt idx="11">
                  <c:v>3.5529831881946592</c:v>
                </c:pt>
              </c:numCache>
            </c:numRef>
          </c:val>
          <c:smooth val="0"/>
          <c:extLst>
            <c:ext xmlns:c16="http://schemas.microsoft.com/office/drawing/2014/chart" uri="{C3380CC4-5D6E-409C-BE32-E72D297353CC}">
              <c16:uniqueId val="{0000000E-E3E2-4FF3-ADE8-9CD9D6A59365}"/>
            </c:ext>
          </c:extLst>
        </c:ser>
        <c:ser>
          <c:idx val="0"/>
          <c:order val="2"/>
          <c:tx>
            <c:v>OBJ</c:v>
          </c:tx>
          <c:spPr>
            <a:ln>
              <a:solidFill>
                <a:srgbClr val="FF0000"/>
              </a:solidFill>
            </a:ln>
          </c:spPr>
          <c:marker>
            <c:symbol val="none"/>
          </c:marker>
          <c:dLbls>
            <c:delete val="1"/>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Graphics!$B$124:$M$124</c:f>
              <c:numCache>
                <c:formatCode>#,##0.0</c:formatCode>
                <c:ptCount val="12"/>
                <c:pt idx="0">
                  <c:v>3.4</c:v>
                </c:pt>
                <c:pt idx="1">
                  <c:v>3.4</c:v>
                </c:pt>
                <c:pt idx="2">
                  <c:v>3.4</c:v>
                </c:pt>
                <c:pt idx="3">
                  <c:v>3.4</c:v>
                </c:pt>
                <c:pt idx="4">
                  <c:v>3.4</c:v>
                </c:pt>
                <c:pt idx="5">
                  <c:v>3.4</c:v>
                </c:pt>
                <c:pt idx="6">
                  <c:v>3.4</c:v>
                </c:pt>
                <c:pt idx="7">
                  <c:v>3.4</c:v>
                </c:pt>
                <c:pt idx="8">
                  <c:v>3.4</c:v>
                </c:pt>
                <c:pt idx="9">
                  <c:v>3.4</c:v>
                </c:pt>
                <c:pt idx="10">
                  <c:v>3.4</c:v>
                </c:pt>
                <c:pt idx="11">
                  <c:v>3.4</c:v>
                </c:pt>
              </c:numCache>
            </c:numRef>
          </c:val>
          <c:smooth val="0"/>
          <c:extLst>
            <c:ext xmlns:c16="http://schemas.microsoft.com/office/drawing/2014/chart" uri="{C3380CC4-5D6E-409C-BE32-E72D297353CC}">
              <c16:uniqueId val="{0000000F-E3E2-4FF3-ADE8-9CD9D6A59365}"/>
            </c:ext>
          </c:extLst>
        </c:ser>
        <c:dLbls>
          <c:showLegendKey val="0"/>
          <c:showVal val="1"/>
          <c:showCatName val="0"/>
          <c:showSerName val="0"/>
          <c:showPercent val="0"/>
          <c:showBubbleSize val="0"/>
        </c:dLbls>
        <c:marker val="1"/>
        <c:smooth val="0"/>
        <c:axId val="1408371104"/>
        <c:axId val="1408371648"/>
      </c:lineChart>
      <c:catAx>
        <c:axId val="1408371104"/>
        <c:scaling>
          <c:orientation val="minMax"/>
        </c:scaling>
        <c:delete val="0"/>
        <c:axPos val="b"/>
        <c:numFmt formatCode="General" sourceLinked="1"/>
        <c:majorTickMark val="out"/>
        <c:minorTickMark val="none"/>
        <c:tickLblPos val="nextTo"/>
        <c:txPr>
          <a:bodyPr/>
          <a:lstStyle/>
          <a:p>
            <a:pPr>
              <a:defRPr sz="1000"/>
            </a:pPr>
            <a:endParaRPr lang="es-PE"/>
          </a:p>
        </c:txPr>
        <c:crossAx val="1408371648"/>
        <c:crosses val="autoZero"/>
        <c:auto val="1"/>
        <c:lblAlgn val="ctr"/>
        <c:lblOffset val="100"/>
        <c:noMultiLvlLbl val="0"/>
      </c:catAx>
      <c:valAx>
        <c:axId val="1408371648"/>
        <c:scaling>
          <c:orientation val="minMax"/>
          <c:max val="8"/>
          <c:min val="2.5"/>
        </c:scaling>
        <c:delete val="0"/>
        <c:axPos val="l"/>
        <c:majorGridlines/>
        <c:numFmt formatCode="#,##0.0" sourceLinked="1"/>
        <c:majorTickMark val="out"/>
        <c:minorTickMark val="none"/>
        <c:tickLblPos val="nextTo"/>
        <c:crossAx val="1408371104"/>
        <c:crosses val="autoZero"/>
        <c:crossBetween val="between"/>
      </c:valAx>
    </c:plotArea>
    <c:legend>
      <c:legendPos val="b"/>
      <c:overlay val="0"/>
    </c:legend>
    <c:plotVisOnly val="1"/>
    <c:dispBlanksAs val="gap"/>
    <c:showDLblsOverMax val="0"/>
  </c:chart>
  <c:spPr>
    <a:ln>
      <a:solidFill>
        <a:schemeClr val="bg1">
          <a:lumMod val="85000"/>
        </a:schemeClr>
      </a:solidFill>
    </a:ln>
  </c:spPr>
  <c:printSettings>
    <c:headerFooter/>
    <c:pageMargins b="0.750000000000002" l="0.70000000000000062" r="0.70000000000000062" t="0.750000000000002" header="0.30000000000000032" footer="0.30000000000000032"/>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Nova" panose="020B0504020202020204" pitchFamily="34" charset="0"/>
              </a:defRPr>
            </a:pPr>
            <a:r>
              <a:rPr lang="es-PE" sz="1200">
                <a:latin typeface="Arial Nova" panose="020B0504020202020204" pitchFamily="34" charset="0"/>
              </a:rPr>
              <a:t>INDICE</a:t>
            </a:r>
            <a:r>
              <a:rPr lang="es-PE" sz="1200" baseline="0">
                <a:latin typeface="Arial Nova" panose="020B0504020202020204" pitchFamily="34" charset="0"/>
              </a:rPr>
              <a:t> SEVERIDAD PERU</a:t>
            </a:r>
            <a:endParaRPr lang="es-PE" sz="1200">
              <a:latin typeface="Arial Nova" panose="020B0504020202020204" pitchFamily="34" charset="0"/>
            </a:endParaRPr>
          </a:p>
        </c:rich>
      </c:tx>
      <c:layout>
        <c:manualLayout>
          <c:xMode val="edge"/>
          <c:yMode val="edge"/>
          <c:x val="0.36795068850885315"/>
          <c:y val="5.0488248159443055E-2"/>
        </c:manualLayout>
      </c:layout>
      <c:overlay val="0"/>
    </c:title>
    <c:autoTitleDeleted val="0"/>
    <c:plotArea>
      <c:layout>
        <c:manualLayout>
          <c:layoutTarget val="inner"/>
          <c:xMode val="edge"/>
          <c:yMode val="edge"/>
          <c:x val="7.3776192585119235E-2"/>
          <c:y val="0.16471761034811672"/>
          <c:w val="0.89115820901649379"/>
          <c:h val="0.65854916188606716"/>
        </c:manualLayout>
      </c:layout>
      <c:lineChart>
        <c:grouping val="standard"/>
        <c:varyColors val="0"/>
        <c:ser>
          <c:idx val="3"/>
          <c:order val="0"/>
          <c:tx>
            <c:v>2023</c:v>
          </c:tx>
          <c:spPr>
            <a:ln>
              <a:solidFill>
                <a:schemeClr val="tx1"/>
              </a:solidFill>
            </a:ln>
          </c:spPr>
          <c:marker>
            <c:symbol val="circle"/>
            <c:size val="7"/>
            <c:spPr>
              <a:solidFill>
                <a:schemeClr val="tx1"/>
              </a:solidFill>
              <a:ln>
                <a:solidFill>
                  <a:schemeClr val="tx1"/>
                </a:solidFill>
              </a:ln>
            </c:spPr>
          </c:marker>
          <c:dPt>
            <c:idx val="1"/>
            <c:bubble3D val="0"/>
            <c:extLst>
              <c:ext xmlns:c16="http://schemas.microsoft.com/office/drawing/2014/chart" uri="{C3380CC4-5D6E-409C-BE32-E72D297353CC}">
                <c16:uniqueId val="{00000000-86A0-42D7-92F4-21EBFEAC8CDE}"/>
              </c:ext>
            </c:extLst>
          </c:dPt>
          <c:dLbls>
            <c:dLbl>
              <c:idx val="0"/>
              <c:layout>
                <c:manualLayout>
                  <c:x val="-4.3477274555214829E-2"/>
                  <c:y val="2.6991608972472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A0-42D7-92F4-21EBFEAC8CDE}"/>
                </c:ext>
              </c:extLst>
            </c:dLbl>
            <c:dLbl>
              <c:idx val="7"/>
              <c:layout>
                <c:manualLayout>
                  <c:x val="-8.1623319406319682E-3"/>
                  <c:y val="-3.59374490321823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D9-48DC-8CAB-D582D8FDC31E}"/>
                </c:ext>
              </c:extLst>
            </c:dLbl>
            <c:dLbl>
              <c:idx val="10"/>
              <c:layout>
                <c:manualLayout>
                  <c:x val="-4.418471086768419E-2"/>
                  <c:y val="-3.87789210768922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FC-429E-AD20-C6F396148CFF}"/>
                </c:ext>
              </c:extLst>
            </c:dLbl>
            <c:dLbl>
              <c:idx val="11"/>
              <c:layout>
                <c:manualLayout>
                  <c:x val="-4.6228407022526195E-2"/>
                  <c:y val="-6.05751163536395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FC-429E-AD20-C6F396148CFF}"/>
                </c:ext>
              </c:extLst>
            </c:dLbl>
            <c:spPr>
              <a:ln>
                <a:noFill/>
              </a:ln>
            </c:spPr>
            <c:txPr>
              <a:bodyPr/>
              <a:lstStyle/>
              <a:p>
                <a:pPr>
                  <a:defRPr sz="1200" b="1">
                    <a:solidFill>
                      <a:sysClr val="windowText" lastClr="000000"/>
                    </a:solidFil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Graphics!$O$142:$Z$142</c:f>
              <c:numCache>
                <c:formatCode>#,##0</c:formatCode>
                <c:ptCount val="12"/>
                <c:pt idx="0">
                  <c:v>35.432752349486364</c:v>
                </c:pt>
                <c:pt idx="1">
                  <c:v>68.362932685850993</c:v>
                </c:pt>
                <c:pt idx="2">
                  <c:v>67.000756058435456</c:v>
                </c:pt>
                <c:pt idx="3">
                  <c:v>53.72542402812234</c:v>
                </c:pt>
                <c:pt idx="4">
                  <c:v>48.440471422166105</c:v>
                </c:pt>
                <c:pt idx="5">
                  <c:v>48.840530196766508</c:v>
                </c:pt>
                <c:pt idx="6">
                  <c:v>52.493298363295217</c:v>
                </c:pt>
                <c:pt idx="7">
                  <c:v>178.06207608179201</c:v>
                </c:pt>
                <c:pt idx="8">
                  <c:v>166.00167978130631</c:v>
                </c:pt>
                <c:pt idx="9">
                  <c:v>151.81134063034008</c:v>
                </c:pt>
                <c:pt idx="10">
                  <c:v>142.19638954471682</c:v>
                </c:pt>
                <c:pt idx="11">
                  <c:v>135.11979596171051</c:v>
                </c:pt>
              </c:numCache>
            </c:numRef>
          </c:val>
          <c:smooth val="0"/>
          <c:extLst>
            <c:ext xmlns:c16="http://schemas.microsoft.com/office/drawing/2014/chart" uri="{C3380CC4-5D6E-409C-BE32-E72D297353CC}">
              <c16:uniqueId val="{0000000C-86A0-42D7-92F4-21EBFEAC8CDE}"/>
            </c:ext>
          </c:extLst>
        </c:ser>
        <c:ser>
          <c:idx val="1"/>
          <c:order val="1"/>
          <c:tx>
            <c:v>2022</c:v>
          </c:tx>
          <c:spPr>
            <a:ln>
              <a:solidFill>
                <a:srgbClr val="00B050"/>
              </a:solidFill>
            </a:ln>
          </c:spPr>
          <c:marker>
            <c:symbol val="circle"/>
            <c:size val="7"/>
            <c:spPr>
              <a:solidFill>
                <a:srgbClr val="00B050"/>
              </a:solidFill>
              <a:ln>
                <a:solidFill>
                  <a:srgbClr val="00B050"/>
                </a:solidFill>
              </a:ln>
            </c:spPr>
          </c:marker>
          <c:dLbls>
            <c:dLbl>
              <c:idx val="0"/>
              <c:layout>
                <c:manualLayout>
                  <c:x val="2.1246966774170416E-5"/>
                  <c:y val="2.08996057508693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C6-43EB-8AC1-D033548EBC7D}"/>
                </c:ext>
              </c:extLst>
            </c:dLbl>
            <c:dLbl>
              <c:idx val="2"/>
              <c:layout>
                <c:manualLayout>
                  <c:x val="-6.2371015604832311E-2"/>
                  <c:y val="-3.26785990458288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83-435B-90A3-7B19D33B3712}"/>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Graphics!$O$141:$Z$141</c:f>
              <c:numCache>
                <c:formatCode>0</c:formatCode>
                <c:ptCount val="12"/>
                <c:pt idx="0">
                  <c:v>19</c:v>
                </c:pt>
                <c:pt idx="1">
                  <c:v>73</c:v>
                </c:pt>
                <c:pt idx="2">
                  <c:v>180</c:v>
                </c:pt>
                <c:pt idx="3">
                  <c:v>147</c:v>
                </c:pt>
                <c:pt idx="4">
                  <c:v>118</c:v>
                </c:pt>
                <c:pt idx="5">
                  <c:v>102</c:v>
                </c:pt>
                <c:pt idx="6">
                  <c:v>104</c:v>
                </c:pt>
                <c:pt idx="7">
                  <c:v>92</c:v>
                </c:pt>
                <c:pt idx="8">
                  <c:v>93</c:v>
                </c:pt>
                <c:pt idx="9">
                  <c:v>96</c:v>
                </c:pt>
                <c:pt idx="10">
                  <c:v>101</c:v>
                </c:pt>
                <c:pt idx="11">
                  <c:v>102</c:v>
                </c:pt>
              </c:numCache>
            </c:numRef>
          </c:val>
          <c:smooth val="0"/>
          <c:extLst>
            <c:ext xmlns:c16="http://schemas.microsoft.com/office/drawing/2014/chart" uri="{C3380CC4-5D6E-409C-BE32-E72D297353CC}">
              <c16:uniqueId val="{00000013-86A0-42D7-92F4-21EBFEAC8CDE}"/>
            </c:ext>
          </c:extLst>
        </c:ser>
        <c:ser>
          <c:idx val="0"/>
          <c:order val="2"/>
          <c:tx>
            <c:v>OBJ</c:v>
          </c:tx>
          <c:spPr>
            <a:ln>
              <a:solidFill>
                <a:srgbClr val="FF0000"/>
              </a:solidFill>
            </a:ln>
          </c:spPr>
          <c:marker>
            <c:symbol val="none"/>
          </c:marker>
          <c:dLbls>
            <c:delete val="1"/>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Graphics!$B$143:$M$143</c:f>
              <c:numCache>
                <c:formatCode>#,##0</c:formatCode>
                <c:ptCount val="12"/>
                <c:pt idx="0">
                  <c:v>91</c:v>
                </c:pt>
                <c:pt idx="1">
                  <c:v>91</c:v>
                </c:pt>
                <c:pt idx="2">
                  <c:v>91</c:v>
                </c:pt>
                <c:pt idx="3">
                  <c:v>91</c:v>
                </c:pt>
                <c:pt idx="4">
                  <c:v>91</c:v>
                </c:pt>
                <c:pt idx="5">
                  <c:v>91</c:v>
                </c:pt>
                <c:pt idx="6">
                  <c:v>91</c:v>
                </c:pt>
                <c:pt idx="7">
                  <c:v>91</c:v>
                </c:pt>
                <c:pt idx="8">
                  <c:v>91</c:v>
                </c:pt>
                <c:pt idx="9">
                  <c:v>91</c:v>
                </c:pt>
                <c:pt idx="10">
                  <c:v>91</c:v>
                </c:pt>
                <c:pt idx="11">
                  <c:v>91</c:v>
                </c:pt>
              </c:numCache>
            </c:numRef>
          </c:val>
          <c:smooth val="0"/>
          <c:extLst>
            <c:ext xmlns:c16="http://schemas.microsoft.com/office/drawing/2014/chart" uri="{C3380CC4-5D6E-409C-BE32-E72D297353CC}">
              <c16:uniqueId val="{00000014-86A0-42D7-92F4-21EBFEAC8CDE}"/>
            </c:ext>
          </c:extLst>
        </c:ser>
        <c:dLbls>
          <c:showLegendKey val="0"/>
          <c:showVal val="1"/>
          <c:showCatName val="0"/>
          <c:showSerName val="0"/>
          <c:showPercent val="0"/>
          <c:showBubbleSize val="0"/>
        </c:dLbls>
        <c:marker val="1"/>
        <c:smooth val="0"/>
        <c:axId val="1408356416"/>
        <c:axId val="1408356960"/>
      </c:lineChart>
      <c:catAx>
        <c:axId val="1408356416"/>
        <c:scaling>
          <c:orientation val="minMax"/>
        </c:scaling>
        <c:delete val="0"/>
        <c:axPos val="b"/>
        <c:numFmt formatCode="General" sourceLinked="1"/>
        <c:majorTickMark val="none"/>
        <c:minorTickMark val="none"/>
        <c:tickLblPos val="nextTo"/>
        <c:txPr>
          <a:bodyPr/>
          <a:lstStyle/>
          <a:p>
            <a:pPr>
              <a:defRPr sz="900"/>
            </a:pPr>
            <a:endParaRPr lang="es-PE"/>
          </a:p>
        </c:txPr>
        <c:crossAx val="1408356960"/>
        <c:crosses val="autoZero"/>
        <c:auto val="1"/>
        <c:lblAlgn val="ctr"/>
        <c:lblOffset val="100"/>
        <c:noMultiLvlLbl val="0"/>
      </c:catAx>
      <c:valAx>
        <c:axId val="1408356960"/>
        <c:scaling>
          <c:orientation val="minMax"/>
        </c:scaling>
        <c:delete val="0"/>
        <c:axPos val="l"/>
        <c:majorGridlines/>
        <c:numFmt formatCode="#,##0" sourceLinked="1"/>
        <c:majorTickMark val="none"/>
        <c:minorTickMark val="none"/>
        <c:tickLblPos val="nextTo"/>
        <c:crossAx val="1408356416"/>
        <c:crosses val="autoZero"/>
        <c:crossBetween val="between"/>
      </c:valAx>
    </c:plotArea>
    <c:legend>
      <c:legendPos val="b"/>
      <c:overlay val="0"/>
    </c:legend>
    <c:plotVisOnly val="1"/>
    <c:dispBlanksAs val="gap"/>
    <c:showDLblsOverMax val="0"/>
  </c:chart>
  <c:spPr>
    <a:ln>
      <a:solidFill>
        <a:schemeClr val="bg1">
          <a:lumMod val="85000"/>
        </a:schemeClr>
      </a:solidFill>
    </a:ln>
  </c:spPr>
  <c:printSettings>
    <c:headerFooter/>
    <c:pageMargins b="0.750000000000002" l="0.70000000000000062" r="0.70000000000000062" t="0.750000000000002" header="0.30000000000000032" footer="0.30000000000000032"/>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ysClr val="windowText" lastClr="000000"/>
                </a:solidFill>
                <a:latin typeface="+mn-lt"/>
                <a:ea typeface="+mn-ea"/>
                <a:cs typeface="+mn-cs"/>
              </a:defRPr>
            </a:pPr>
            <a:r>
              <a:rPr lang="es-PE" sz="1400"/>
              <a:t>Accidentes </a:t>
            </a:r>
            <a:r>
              <a:rPr lang="es-PE" sz="1400" baseline="0"/>
              <a:t> </a:t>
            </a:r>
            <a:r>
              <a:rPr lang="es-PE" sz="1400" b="1" i="0" u="none" strike="noStrike" kern="1200" baseline="0">
                <a:solidFill>
                  <a:sysClr val="windowText" lastClr="000000"/>
                </a:solidFill>
                <a:latin typeface="+mn-lt"/>
                <a:ea typeface="+mn-ea"/>
                <a:cs typeface="+mn-cs"/>
              </a:rPr>
              <a:t>Incapacitantes acumulado - PERU </a:t>
            </a:r>
            <a:endParaRPr lang="es-PE" sz="1200"/>
          </a:p>
        </c:rich>
      </c:tx>
      <c:layout>
        <c:manualLayout>
          <c:xMode val="edge"/>
          <c:yMode val="edge"/>
          <c:x val="0.25224569542294462"/>
          <c:y val="4.7255549414697152E-2"/>
        </c:manualLayout>
      </c:layout>
      <c:overlay val="0"/>
    </c:title>
    <c:autoTitleDeleted val="0"/>
    <c:plotArea>
      <c:layout>
        <c:manualLayout>
          <c:layoutTarget val="inner"/>
          <c:xMode val="edge"/>
          <c:yMode val="edge"/>
          <c:x val="6.1518510793152036E-2"/>
          <c:y val="0.15906396450638313"/>
          <c:w val="0.90491191912774516"/>
          <c:h val="0.65200101808236743"/>
        </c:manualLayout>
      </c:layout>
      <c:lineChart>
        <c:grouping val="standard"/>
        <c:varyColors val="0"/>
        <c:ser>
          <c:idx val="0"/>
          <c:order val="0"/>
          <c:tx>
            <c:v>2023</c:v>
          </c:tx>
          <c:spPr>
            <a:ln>
              <a:solidFill>
                <a:schemeClr val="tx1"/>
              </a:solidFill>
            </a:ln>
          </c:spPr>
          <c:marker>
            <c:spPr>
              <a:solidFill>
                <a:schemeClr val="tx1"/>
              </a:solidFill>
              <a:ln>
                <a:solidFill>
                  <a:schemeClr val="tx1"/>
                </a:solidFill>
              </a:ln>
            </c:spPr>
          </c:marker>
          <c:dLbls>
            <c:spPr>
              <a:noFill/>
              <a:ln>
                <a:noFill/>
              </a:ln>
              <a:effectLst/>
            </c:spPr>
            <c:txPr>
              <a:bodyPr anchor="b" anchorCtr="0"/>
              <a:lstStyle/>
              <a:p>
                <a:pPr>
                  <a:defRPr sz="1200" b="1">
                    <a:solidFill>
                      <a:schemeClr val="tx1"/>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Graphics!$O$29:$Z$29</c:f>
              <c:numCache>
                <c:formatCode>0</c:formatCode>
                <c:ptCount val="12"/>
                <c:pt idx="0">
                  <c:v>11</c:v>
                </c:pt>
                <c:pt idx="1">
                  <c:v>22</c:v>
                </c:pt>
                <c:pt idx="2">
                  <c:v>27</c:v>
                </c:pt>
                <c:pt idx="3">
                  <c:v>32</c:v>
                </c:pt>
                <c:pt idx="4">
                  <c:v>37</c:v>
                </c:pt>
                <c:pt idx="5">
                  <c:v>42</c:v>
                </c:pt>
                <c:pt idx="6">
                  <c:v>52</c:v>
                </c:pt>
                <c:pt idx="7">
                  <c:v>59</c:v>
                </c:pt>
                <c:pt idx="8">
                  <c:v>67</c:v>
                </c:pt>
                <c:pt idx="9">
                  <c:v>74</c:v>
                </c:pt>
                <c:pt idx="10">
                  <c:v>80</c:v>
                </c:pt>
                <c:pt idx="11">
                  <c:v>87</c:v>
                </c:pt>
              </c:numCache>
            </c:numRef>
          </c:val>
          <c:smooth val="0"/>
          <c:extLst>
            <c:ext xmlns:c16="http://schemas.microsoft.com/office/drawing/2014/chart" uri="{C3380CC4-5D6E-409C-BE32-E72D297353CC}">
              <c16:uniqueId val="{0000000D-E84D-47EC-9B6B-3101C5DCD408}"/>
            </c:ext>
          </c:extLst>
        </c:ser>
        <c:ser>
          <c:idx val="1"/>
          <c:order val="1"/>
          <c:tx>
            <c:v>2022</c:v>
          </c:tx>
          <c:spPr>
            <a:ln>
              <a:solidFill>
                <a:schemeClr val="tx2">
                  <a:lumMod val="60000"/>
                  <a:lumOff val="40000"/>
                </a:schemeClr>
              </a:solidFill>
            </a:ln>
          </c:spPr>
          <c:marker>
            <c:symbol val="circle"/>
            <c:size val="5"/>
            <c:spPr>
              <a:solidFill>
                <a:schemeClr val="tx2">
                  <a:lumMod val="60000"/>
                  <a:lumOff val="40000"/>
                </a:schemeClr>
              </a:solidFill>
              <a:ln>
                <a:solidFill>
                  <a:schemeClr val="tx2">
                    <a:lumMod val="60000"/>
                    <a:lumOff val="40000"/>
                  </a:schemeClr>
                </a:solidFill>
              </a:ln>
            </c:spPr>
          </c:marker>
          <c:dLbls>
            <c:dLbl>
              <c:idx val="2"/>
              <c:layout>
                <c:manualLayout>
                  <c:x val="-2.5870975238482329E-2"/>
                  <c:y val="7.6311308242961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79-405B-A51B-5A1C0D076880}"/>
                </c:ext>
              </c:extLst>
            </c:dLbl>
            <c:dLbl>
              <c:idx val="3"/>
              <c:layout>
                <c:manualLayout>
                  <c:x val="-2.1754670506822487E-2"/>
                  <c:y val="6.4922988354919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179-405B-A51B-5A1C0D076880}"/>
                </c:ext>
              </c:extLst>
            </c:dLbl>
            <c:dLbl>
              <c:idx val="11"/>
              <c:layout>
                <c:manualLayout>
                  <c:x val="-9.4057563118428202E-3"/>
                  <c:y val="-7.203039755710003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62-4C56-B318-0E41B024BAB4}"/>
                </c:ext>
              </c:extLst>
            </c:dLbl>
            <c:numFmt formatCode="#,##0" sourceLinked="0"/>
            <c:spPr>
              <a:noFill/>
              <a:ln>
                <a:noFill/>
              </a:ln>
              <a:effectLst/>
            </c:spPr>
            <c:txPr>
              <a:bodyPr/>
              <a:lstStyle/>
              <a:p>
                <a:pPr>
                  <a:defRPr sz="1000" b="0">
                    <a:solidFill>
                      <a:schemeClr val="tx2">
                        <a:lumMod val="60000"/>
                        <a:lumOff val="40000"/>
                      </a:schemeClr>
                    </a:solidFill>
                  </a:defRPr>
                </a:pPr>
                <a:endParaRPr lang="es-P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Graphics!$O$28:$Z$28</c:f>
              <c:numCache>
                <c:formatCode>0</c:formatCode>
                <c:ptCount val="12"/>
                <c:pt idx="0">
                  <c:v>5</c:v>
                </c:pt>
                <c:pt idx="1">
                  <c:v>12</c:v>
                </c:pt>
                <c:pt idx="2">
                  <c:v>27</c:v>
                </c:pt>
                <c:pt idx="3">
                  <c:v>34</c:v>
                </c:pt>
                <c:pt idx="4">
                  <c:v>36</c:v>
                </c:pt>
                <c:pt idx="5">
                  <c:v>43</c:v>
                </c:pt>
                <c:pt idx="6">
                  <c:v>51</c:v>
                </c:pt>
                <c:pt idx="7">
                  <c:v>56</c:v>
                </c:pt>
                <c:pt idx="8">
                  <c:v>59</c:v>
                </c:pt>
                <c:pt idx="9">
                  <c:v>69</c:v>
                </c:pt>
                <c:pt idx="10">
                  <c:v>81</c:v>
                </c:pt>
                <c:pt idx="11">
                  <c:v>88</c:v>
                </c:pt>
              </c:numCache>
            </c:numRef>
          </c:val>
          <c:smooth val="0"/>
          <c:extLst>
            <c:ext xmlns:c16="http://schemas.microsoft.com/office/drawing/2014/chart" uri="{C3380CC4-5D6E-409C-BE32-E72D297353CC}">
              <c16:uniqueId val="{0000000E-E84D-47EC-9B6B-3101C5DCD408}"/>
            </c:ext>
          </c:extLst>
        </c:ser>
        <c:ser>
          <c:idx val="2"/>
          <c:order val="2"/>
          <c:tx>
            <c:v>OBJ</c:v>
          </c:tx>
          <c:spPr>
            <a:ln>
              <a:solidFill>
                <a:srgbClr val="FF0000"/>
              </a:solidFill>
              <a:prstDash val="dash"/>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93B9-4D1B-8FD0-B688EF5BF3A1}"/>
                </c:ext>
              </c:extLst>
            </c:dLbl>
            <c:dLbl>
              <c:idx val="1"/>
              <c:delete val="1"/>
              <c:extLst>
                <c:ext xmlns:c15="http://schemas.microsoft.com/office/drawing/2012/chart" uri="{CE6537A1-D6FC-4f65-9D91-7224C49458BB}"/>
                <c:ext xmlns:c16="http://schemas.microsoft.com/office/drawing/2014/chart" uri="{C3380CC4-5D6E-409C-BE32-E72D297353CC}">
                  <c16:uniqueId val="{00000003-93B9-4D1B-8FD0-B688EF5BF3A1}"/>
                </c:ext>
              </c:extLst>
            </c:dLbl>
            <c:dLbl>
              <c:idx val="2"/>
              <c:delete val="1"/>
              <c:extLst>
                <c:ext xmlns:c15="http://schemas.microsoft.com/office/drawing/2012/chart" uri="{CE6537A1-D6FC-4f65-9D91-7224C49458BB}"/>
                <c:ext xmlns:c16="http://schemas.microsoft.com/office/drawing/2014/chart" uri="{C3380CC4-5D6E-409C-BE32-E72D297353CC}">
                  <c16:uniqueId val="{00000004-93B9-4D1B-8FD0-B688EF5BF3A1}"/>
                </c:ext>
              </c:extLst>
            </c:dLbl>
            <c:dLbl>
              <c:idx val="3"/>
              <c:delete val="1"/>
              <c:extLst>
                <c:ext xmlns:c15="http://schemas.microsoft.com/office/drawing/2012/chart" uri="{CE6537A1-D6FC-4f65-9D91-7224C49458BB}"/>
                <c:ext xmlns:c16="http://schemas.microsoft.com/office/drawing/2014/chart" uri="{C3380CC4-5D6E-409C-BE32-E72D297353CC}">
                  <c16:uniqueId val="{00000005-93B9-4D1B-8FD0-B688EF5BF3A1}"/>
                </c:ext>
              </c:extLst>
            </c:dLbl>
            <c:dLbl>
              <c:idx val="4"/>
              <c:delete val="1"/>
              <c:extLst>
                <c:ext xmlns:c15="http://schemas.microsoft.com/office/drawing/2012/chart" uri="{CE6537A1-D6FC-4f65-9D91-7224C49458BB}"/>
                <c:ext xmlns:c16="http://schemas.microsoft.com/office/drawing/2014/chart" uri="{C3380CC4-5D6E-409C-BE32-E72D297353CC}">
                  <c16:uniqueId val="{00000006-93B9-4D1B-8FD0-B688EF5BF3A1}"/>
                </c:ext>
              </c:extLst>
            </c:dLbl>
            <c:dLbl>
              <c:idx val="5"/>
              <c:delete val="1"/>
              <c:extLst>
                <c:ext xmlns:c15="http://schemas.microsoft.com/office/drawing/2012/chart" uri="{CE6537A1-D6FC-4f65-9D91-7224C49458BB}"/>
                <c:ext xmlns:c16="http://schemas.microsoft.com/office/drawing/2014/chart" uri="{C3380CC4-5D6E-409C-BE32-E72D297353CC}">
                  <c16:uniqueId val="{00000007-93B9-4D1B-8FD0-B688EF5BF3A1}"/>
                </c:ext>
              </c:extLst>
            </c:dLbl>
            <c:dLbl>
              <c:idx val="6"/>
              <c:delete val="1"/>
              <c:extLst>
                <c:ext xmlns:c15="http://schemas.microsoft.com/office/drawing/2012/chart" uri="{CE6537A1-D6FC-4f65-9D91-7224C49458BB}"/>
                <c:ext xmlns:c16="http://schemas.microsoft.com/office/drawing/2014/chart" uri="{C3380CC4-5D6E-409C-BE32-E72D297353CC}">
                  <c16:uniqueId val="{00000008-93B9-4D1B-8FD0-B688EF5BF3A1}"/>
                </c:ext>
              </c:extLst>
            </c:dLbl>
            <c:dLbl>
              <c:idx val="7"/>
              <c:delete val="1"/>
              <c:extLst>
                <c:ext xmlns:c15="http://schemas.microsoft.com/office/drawing/2012/chart" uri="{CE6537A1-D6FC-4f65-9D91-7224C49458BB}"/>
                <c:ext xmlns:c16="http://schemas.microsoft.com/office/drawing/2014/chart" uri="{C3380CC4-5D6E-409C-BE32-E72D297353CC}">
                  <c16:uniqueId val="{00000009-93B9-4D1B-8FD0-B688EF5BF3A1}"/>
                </c:ext>
              </c:extLst>
            </c:dLbl>
            <c:dLbl>
              <c:idx val="8"/>
              <c:delete val="1"/>
              <c:extLst>
                <c:ext xmlns:c15="http://schemas.microsoft.com/office/drawing/2012/chart" uri="{CE6537A1-D6FC-4f65-9D91-7224C49458BB}"/>
                <c:ext xmlns:c16="http://schemas.microsoft.com/office/drawing/2014/chart" uri="{C3380CC4-5D6E-409C-BE32-E72D297353CC}">
                  <c16:uniqueId val="{0000000A-93B9-4D1B-8FD0-B688EF5BF3A1}"/>
                </c:ext>
              </c:extLst>
            </c:dLbl>
            <c:dLbl>
              <c:idx val="9"/>
              <c:delete val="1"/>
              <c:extLst>
                <c:ext xmlns:c15="http://schemas.microsoft.com/office/drawing/2012/chart" uri="{CE6537A1-D6FC-4f65-9D91-7224C49458BB}"/>
                <c:ext xmlns:c16="http://schemas.microsoft.com/office/drawing/2014/chart" uri="{C3380CC4-5D6E-409C-BE32-E72D297353CC}">
                  <c16:uniqueId val="{00000001-93B9-4D1B-8FD0-B688EF5BF3A1}"/>
                </c:ext>
              </c:extLst>
            </c:dLbl>
            <c:dLbl>
              <c:idx val="10"/>
              <c:delete val="1"/>
              <c:extLst>
                <c:ext xmlns:c15="http://schemas.microsoft.com/office/drawing/2012/chart" uri="{CE6537A1-D6FC-4f65-9D91-7224C49458BB}"/>
                <c:ext xmlns:c16="http://schemas.microsoft.com/office/drawing/2014/chart" uri="{C3380CC4-5D6E-409C-BE32-E72D297353CC}">
                  <c16:uniqueId val="{0000000B-93B9-4D1B-8FD0-B688EF5BF3A1}"/>
                </c:ext>
              </c:extLst>
            </c:dLbl>
            <c:dLbl>
              <c:idx val="11"/>
              <c:layout>
                <c:manualLayout>
                  <c:x val="-2.0581523658299385E-2"/>
                  <c:y val="2.27766465841606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3B9-4D1B-8FD0-B688EF5BF3A1}"/>
                </c:ext>
              </c:extLst>
            </c:dLbl>
            <c:spPr>
              <a:noFill/>
              <a:ln>
                <a:noFill/>
              </a:ln>
              <a:effectLst/>
            </c:spPr>
            <c:txPr>
              <a:bodyPr wrap="square" lIns="38100" tIns="19050" rIns="38100" bIns="19050" anchor="ctr">
                <a:spAutoFit/>
              </a:bodyPr>
              <a:lstStyle/>
              <a:p>
                <a:pPr>
                  <a:defRPr>
                    <a:solidFill>
                      <a:srgbClr val="FF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Graphics!$O$2:$Z$2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Graphics!$O$30:$Z$30</c:f>
              <c:numCache>
                <c:formatCode>0</c:formatCode>
                <c:ptCount val="12"/>
                <c:pt idx="0">
                  <c:v>7</c:v>
                </c:pt>
                <c:pt idx="1">
                  <c:v>14</c:v>
                </c:pt>
                <c:pt idx="2">
                  <c:v>21</c:v>
                </c:pt>
                <c:pt idx="3">
                  <c:v>28</c:v>
                </c:pt>
                <c:pt idx="4">
                  <c:v>35</c:v>
                </c:pt>
                <c:pt idx="5">
                  <c:v>42</c:v>
                </c:pt>
                <c:pt idx="6">
                  <c:v>49</c:v>
                </c:pt>
                <c:pt idx="7">
                  <c:v>56</c:v>
                </c:pt>
                <c:pt idx="8">
                  <c:v>63</c:v>
                </c:pt>
                <c:pt idx="9">
                  <c:v>70</c:v>
                </c:pt>
                <c:pt idx="10">
                  <c:v>77</c:v>
                </c:pt>
                <c:pt idx="11">
                  <c:v>84</c:v>
                </c:pt>
              </c:numCache>
            </c:numRef>
          </c:val>
          <c:smooth val="0"/>
          <c:extLst>
            <c:ext xmlns:c16="http://schemas.microsoft.com/office/drawing/2014/chart" uri="{C3380CC4-5D6E-409C-BE32-E72D297353CC}">
              <c16:uniqueId val="{00000000-93B9-4D1B-8FD0-B688EF5BF3A1}"/>
            </c:ext>
          </c:extLst>
        </c:ser>
        <c:dLbls>
          <c:showLegendKey val="0"/>
          <c:showVal val="0"/>
          <c:showCatName val="0"/>
          <c:showSerName val="0"/>
          <c:showPercent val="0"/>
          <c:showBubbleSize val="0"/>
        </c:dLbls>
        <c:marker val="1"/>
        <c:smooth val="0"/>
        <c:axId val="1408364032"/>
        <c:axId val="1408364576"/>
      </c:lineChart>
      <c:catAx>
        <c:axId val="1408364032"/>
        <c:scaling>
          <c:orientation val="minMax"/>
        </c:scaling>
        <c:delete val="0"/>
        <c:axPos val="b"/>
        <c:numFmt formatCode="General" sourceLinked="1"/>
        <c:majorTickMark val="none"/>
        <c:minorTickMark val="none"/>
        <c:tickLblPos val="nextTo"/>
        <c:crossAx val="1408364576"/>
        <c:crosses val="autoZero"/>
        <c:auto val="1"/>
        <c:lblAlgn val="ctr"/>
        <c:lblOffset val="100"/>
        <c:noMultiLvlLbl val="0"/>
      </c:catAx>
      <c:valAx>
        <c:axId val="1408364576"/>
        <c:scaling>
          <c:orientation val="minMax"/>
          <c:max val="90"/>
        </c:scaling>
        <c:delete val="0"/>
        <c:axPos val="l"/>
        <c:majorGridlines/>
        <c:numFmt formatCode="0" sourceLinked="1"/>
        <c:majorTickMark val="none"/>
        <c:minorTickMark val="none"/>
        <c:tickLblPos val="nextTo"/>
        <c:spPr>
          <a:ln w="9525">
            <a:noFill/>
          </a:ln>
        </c:spPr>
        <c:crossAx val="1408364032"/>
        <c:crosses val="autoZero"/>
        <c:crossBetween val="between"/>
      </c:valAx>
      <c:spPr>
        <a:noFill/>
      </c:spPr>
    </c:plotArea>
    <c:legend>
      <c:legendPos val="b"/>
      <c:overlay val="0"/>
    </c:legend>
    <c:plotVisOnly val="1"/>
    <c:dispBlanksAs val="gap"/>
    <c:showDLblsOverMax val="0"/>
  </c:chart>
  <c:spPr>
    <a:ln>
      <a:solidFill>
        <a:schemeClr val="bg1">
          <a:lumMod val="85000"/>
        </a:schemeClr>
      </a:solidFill>
    </a:ln>
  </c:spPr>
  <c:printSettings>
    <c:headerFooter/>
    <c:pageMargins b="0.75000000000000244" l="0.70000000000000062" r="0.70000000000000062" t="0.75000000000000244" header="0.30000000000000032" footer="0.30000000000000032"/>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a:t>Accidentes Incapacitantes  Perú </a:t>
            </a:r>
            <a:endParaRPr lang="en-US" sz="1000" b="0"/>
          </a:p>
        </c:rich>
      </c:tx>
      <c:layout>
        <c:manualLayout>
          <c:xMode val="edge"/>
          <c:yMode val="edge"/>
          <c:x val="0.28808190346200829"/>
          <c:y val="4.3312494579643569E-2"/>
        </c:manualLayout>
      </c:layout>
      <c:overlay val="1"/>
    </c:title>
    <c:autoTitleDeleted val="0"/>
    <c:plotArea>
      <c:layout>
        <c:manualLayout>
          <c:layoutTarget val="inner"/>
          <c:xMode val="edge"/>
          <c:yMode val="edge"/>
          <c:x val="3.8873330929158685E-2"/>
          <c:y val="0.19646641695021874"/>
          <c:w val="0.94061385157001609"/>
          <c:h val="0.69004785517405798"/>
        </c:manualLayout>
      </c:layout>
      <c:barChart>
        <c:barDir val="col"/>
        <c:grouping val="clustered"/>
        <c:varyColors val="0"/>
        <c:ser>
          <c:idx val="0"/>
          <c:order val="0"/>
          <c:tx>
            <c:v>2023</c:v>
          </c:tx>
          <c:spPr>
            <a:solidFill>
              <a:schemeClr val="bg1">
                <a:lumMod val="50000"/>
              </a:schemeClr>
            </a:solidFill>
            <a:scene3d>
              <a:camera prst="orthographicFront"/>
              <a:lightRig rig="threePt" dir="t"/>
            </a:scene3d>
          </c:spPr>
          <c:invertIfNegative val="0"/>
          <c:dLbls>
            <c:dLbl>
              <c:idx val="0"/>
              <c:layout>
                <c:manualLayout>
                  <c:x val="0"/>
                  <c:y val="1.61498009759566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36-4032-B081-DF592EFB39F7}"/>
                </c:ext>
              </c:extLst>
            </c:dLbl>
            <c:dLbl>
              <c:idx val="4"/>
              <c:layout>
                <c:manualLayout>
                  <c:x val="0"/>
                  <c:y val="1.87615209773007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10-4A54-8048-B13F175C1971}"/>
                </c:ext>
              </c:extLst>
            </c:dLbl>
            <c:spPr>
              <a:noFill/>
              <a:ln>
                <a:noFill/>
              </a:ln>
              <a:effectLst/>
            </c:spPr>
            <c:txPr>
              <a:bodyPr/>
              <a:lstStyle/>
              <a:p>
                <a:pPr>
                  <a:defRPr sz="1200" b="1"/>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Graphics!$B$29:$M$29</c:f>
              <c:numCache>
                <c:formatCode>0</c:formatCode>
                <c:ptCount val="12"/>
                <c:pt idx="0">
                  <c:v>11</c:v>
                </c:pt>
                <c:pt idx="1">
                  <c:v>11</c:v>
                </c:pt>
                <c:pt idx="2">
                  <c:v>5</c:v>
                </c:pt>
                <c:pt idx="3">
                  <c:v>5</c:v>
                </c:pt>
                <c:pt idx="4">
                  <c:v>5</c:v>
                </c:pt>
                <c:pt idx="5">
                  <c:v>5</c:v>
                </c:pt>
                <c:pt idx="6">
                  <c:v>10</c:v>
                </c:pt>
                <c:pt idx="7">
                  <c:v>7</c:v>
                </c:pt>
                <c:pt idx="8">
                  <c:v>8</c:v>
                </c:pt>
                <c:pt idx="9">
                  <c:v>7</c:v>
                </c:pt>
                <c:pt idx="10">
                  <c:v>6</c:v>
                </c:pt>
                <c:pt idx="11">
                  <c:v>7</c:v>
                </c:pt>
              </c:numCache>
            </c:numRef>
          </c:val>
          <c:extLst>
            <c:ext xmlns:c16="http://schemas.microsoft.com/office/drawing/2014/chart" uri="{C3380CC4-5D6E-409C-BE32-E72D297353CC}">
              <c16:uniqueId val="{00000001-3336-4032-B081-DF592EFB39F7}"/>
            </c:ext>
          </c:extLst>
        </c:ser>
        <c:ser>
          <c:idx val="1"/>
          <c:order val="1"/>
          <c:tx>
            <c:v>2022</c:v>
          </c:tx>
          <c:spPr>
            <a:solidFill>
              <a:srgbClr val="0070C0"/>
            </a:solidFill>
            <a:ln>
              <a:noFill/>
            </a:ln>
            <a:scene3d>
              <a:camera prst="orthographicFront"/>
              <a:lightRig rig="threePt" dir="t"/>
            </a:scene3d>
          </c:spPr>
          <c:invertIfNegative val="0"/>
          <c:dLbls>
            <c:dLbl>
              <c:idx val="0"/>
              <c:layout>
                <c:manualLayout>
                  <c:x val="1.8836433459260404E-3"/>
                  <c:y val="1.8685450595962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8B-43D5-8EE0-E9384FAC2439}"/>
                </c:ext>
              </c:extLst>
            </c:dLbl>
            <c:dLbl>
              <c:idx val="8"/>
              <c:layout>
                <c:manualLayout>
                  <c:x val="3.6106774270540098E-3"/>
                  <c:y val="2.339170823146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36-4032-B081-DF592EFB39F7}"/>
                </c:ext>
              </c:extLst>
            </c:dLbl>
            <c:spPr>
              <a:noFill/>
              <a:ln>
                <a:noFill/>
              </a:ln>
              <a:effectLst/>
            </c:spPr>
            <c:txPr>
              <a:bodyPr/>
              <a:lstStyle/>
              <a:p>
                <a:pPr>
                  <a:defRPr sz="1000" b="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Graphics!$B$2:$M$2</c:f>
              <c:strCache>
                <c:ptCount val="12"/>
                <c:pt idx="0">
                  <c:v>Ene </c:v>
                </c:pt>
                <c:pt idx="1">
                  <c:v>Feb</c:v>
                </c:pt>
                <c:pt idx="2">
                  <c:v>Mar</c:v>
                </c:pt>
                <c:pt idx="3">
                  <c:v>Abr</c:v>
                </c:pt>
                <c:pt idx="4">
                  <c:v>May</c:v>
                </c:pt>
                <c:pt idx="5">
                  <c:v>Jun</c:v>
                </c:pt>
                <c:pt idx="6">
                  <c:v>Jul</c:v>
                </c:pt>
                <c:pt idx="7">
                  <c:v>Ago</c:v>
                </c:pt>
                <c:pt idx="8">
                  <c:v>Set</c:v>
                </c:pt>
                <c:pt idx="9">
                  <c:v>Oct</c:v>
                </c:pt>
                <c:pt idx="10">
                  <c:v>Nov</c:v>
                </c:pt>
                <c:pt idx="11">
                  <c:v>Dic</c:v>
                </c:pt>
              </c:strCache>
            </c:strRef>
          </c:cat>
          <c:val>
            <c:numRef>
              <c:f>Graphics!$B$28:$M$28</c:f>
              <c:numCache>
                <c:formatCode>General</c:formatCode>
                <c:ptCount val="12"/>
                <c:pt idx="0">
                  <c:v>5</c:v>
                </c:pt>
                <c:pt idx="1">
                  <c:v>7</c:v>
                </c:pt>
                <c:pt idx="2">
                  <c:v>15</c:v>
                </c:pt>
                <c:pt idx="3">
                  <c:v>7</c:v>
                </c:pt>
                <c:pt idx="4">
                  <c:v>2</c:v>
                </c:pt>
                <c:pt idx="5">
                  <c:v>7</c:v>
                </c:pt>
                <c:pt idx="6">
                  <c:v>8</c:v>
                </c:pt>
                <c:pt idx="7">
                  <c:v>5</c:v>
                </c:pt>
                <c:pt idx="8">
                  <c:v>3</c:v>
                </c:pt>
                <c:pt idx="9">
                  <c:v>10</c:v>
                </c:pt>
                <c:pt idx="10">
                  <c:v>12</c:v>
                </c:pt>
                <c:pt idx="11">
                  <c:v>7</c:v>
                </c:pt>
              </c:numCache>
            </c:numRef>
          </c:val>
          <c:extLst>
            <c:ext xmlns:c16="http://schemas.microsoft.com/office/drawing/2014/chart" uri="{C3380CC4-5D6E-409C-BE32-E72D297353CC}">
              <c16:uniqueId val="{00000003-3336-4032-B081-DF592EFB39F7}"/>
            </c:ext>
          </c:extLst>
        </c:ser>
        <c:dLbls>
          <c:showLegendKey val="0"/>
          <c:showVal val="0"/>
          <c:showCatName val="0"/>
          <c:showSerName val="0"/>
          <c:showPercent val="0"/>
          <c:showBubbleSize val="0"/>
        </c:dLbls>
        <c:gapWidth val="150"/>
        <c:axId val="1408380352"/>
        <c:axId val="1408366208"/>
      </c:barChart>
      <c:catAx>
        <c:axId val="1408380352"/>
        <c:scaling>
          <c:orientation val="minMax"/>
        </c:scaling>
        <c:delete val="0"/>
        <c:axPos val="b"/>
        <c:numFmt formatCode="General" sourceLinked="0"/>
        <c:majorTickMark val="out"/>
        <c:minorTickMark val="none"/>
        <c:tickLblPos val="nextTo"/>
        <c:crossAx val="1408366208"/>
        <c:crosses val="autoZero"/>
        <c:auto val="1"/>
        <c:lblAlgn val="ctr"/>
        <c:lblOffset val="100"/>
        <c:noMultiLvlLbl val="0"/>
      </c:catAx>
      <c:valAx>
        <c:axId val="1408366208"/>
        <c:scaling>
          <c:orientation val="minMax"/>
          <c:max val="20"/>
        </c:scaling>
        <c:delete val="1"/>
        <c:axPos val="l"/>
        <c:majorGridlines>
          <c:spPr>
            <a:ln>
              <a:solidFill>
                <a:schemeClr val="bg1">
                  <a:lumMod val="75000"/>
                  <a:alpha val="91000"/>
                </a:schemeClr>
              </a:solidFill>
            </a:ln>
          </c:spPr>
        </c:majorGridlines>
        <c:numFmt formatCode="0" sourceLinked="1"/>
        <c:majorTickMark val="out"/>
        <c:minorTickMark val="none"/>
        <c:tickLblPos val="nextTo"/>
        <c:crossAx val="1408380352"/>
        <c:crosses val="autoZero"/>
        <c:crossBetween val="between"/>
        <c:majorUnit val="4"/>
      </c:valAx>
    </c:plotArea>
    <c:legend>
      <c:legendPos val="b"/>
      <c:layout>
        <c:manualLayout>
          <c:xMode val="edge"/>
          <c:yMode val="edge"/>
          <c:x val="4.2140494346095528E-2"/>
          <c:y val="5.9347256636408399E-2"/>
          <c:w val="0.19308574061484068"/>
          <c:h val="6.1611008226229773E-2"/>
        </c:manualLayout>
      </c:layout>
      <c:overlay val="0"/>
    </c:legend>
    <c:plotVisOnly val="1"/>
    <c:dispBlanksAs val="gap"/>
    <c:showDLblsOverMax val="0"/>
  </c:chart>
  <c:spPr>
    <a:ln>
      <a:solidFill>
        <a:schemeClr val="bg1">
          <a:lumMod val="85000"/>
        </a:schemeClr>
      </a:solidFill>
    </a:ln>
  </c:sp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a:t>PAISES</a:t>
            </a:r>
            <a:r>
              <a:rPr lang="es-PE" baseline="0"/>
              <a:t> - </a:t>
            </a:r>
            <a:r>
              <a:rPr lang="es-PE"/>
              <a:t>IF - HH</a:t>
            </a:r>
          </a:p>
        </c:rich>
      </c:tx>
      <c:overlay val="0"/>
    </c:title>
    <c:autoTitleDeleted val="0"/>
    <c:plotArea>
      <c:layout/>
      <c:barChart>
        <c:barDir val="col"/>
        <c:grouping val="clustered"/>
        <c:varyColors val="0"/>
        <c:ser>
          <c:idx val="0"/>
          <c:order val="0"/>
          <c:tx>
            <c:v>Ind.Frecuencia</c:v>
          </c:tx>
          <c:invertIfNegative val="0"/>
          <c:dPt>
            <c:idx val="16"/>
            <c:invertIfNegative val="0"/>
            <c:bubble3D val="0"/>
            <c:spPr>
              <a:solidFill>
                <a:srgbClr val="0070C0"/>
              </a:solidFill>
            </c:spPr>
            <c:extLst>
              <c:ext xmlns:c16="http://schemas.microsoft.com/office/drawing/2014/chart" uri="{C3380CC4-5D6E-409C-BE32-E72D297353CC}">
                <c16:uniqueId val="{00000001-305D-4036-AA48-1A6191AA3DF2}"/>
              </c:ext>
            </c:extLst>
          </c:dPt>
          <c:dPt>
            <c:idx val="17"/>
            <c:invertIfNegative val="0"/>
            <c:bubble3D val="0"/>
            <c:spPr>
              <a:solidFill>
                <a:srgbClr val="0070C0"/>
              </a:solidFill>
            </c:spPr>
            <c:extLst>
              <c:ext xmlns:c16="http://schemas.microsoft.com/office/drawing/2014/chart" uri="{C3380CC4-5D6E-409C-BE32-E72D297353CC}">
                <c16:uniqueId val="{00000003-305D-4036-AA48-1A6191AA3DF2}"/>
              </c:ext>
            </c:extLst>
          </c:dPt>
          <c:dPt>
            <c:idx val="20"/>
            <c:invertIfNegative val="0"/>
            <c:bubble3D val="0"/>
            <c:spPr>
              <a:solidFill>
                <a:srgbClr val="00B050"/>
              </a:solidFill>
            </c:spPr>
            <c:extLst>
              <c:ext xmlns:c16="http://schemas.microsoft.com/office/drawing/2014/chart" uri="{C3380CC4-5D6E-409C-BE32-E72D297353CC}">
                <c16:uniqueId val="{00000005-57E4-464F-82E5-EBE142B31960}"/>
              </c:ext>
            </c:extLst>
          </c:dPt>
          <c:dPt>
            <c:idx val="21"/>
            <c:invertIfNegative val="0"/>
            <c:bubble3D val="0"/>
            <c:spPr>
              <a:solidFill>
                <a:srgbClr val="FF0000"/>
              </a:solidFill>
            </c:spPr>
            <c:extLst>
              <c:ext xmlns:c16="http://schemas.microsoft.com/office/drawing/2014/chart" uri="{C3380CC4-5D6E-409C-BE32-E72D297353CC}">
                <c16:uniqueId val="{00000006-57E4-464F-82E5-EBE142B31960}"/>
              </c:ext>
            </c:extLst>
          </c:dPt>
          <c:dLbls>
            <c:dLbl>
              <c:idx val="20"/>
              <c:layout>
                <c:manualLayout>
                  <c:x val="-1.9138639769829754E-16"/>
                  <c:y val="9.74935236313449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E4-464F-82E5-EBE142B31960}"/>
                </c:ext>
              </c:extLst>
            </c:dLbl>
            <c:spPr>
              <a:noFill/>
              <a:ln>
                <a:noFill/>
              </a:ln>
              <a:effectLst/>
            </c:spPr>
            <c:txPr>
              <a:bodyPr/>
              <a:lstStyle/>
              <a:p>
                <a:pPr>
                  <a:defRPr sz="140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Graphics!$AK$4:$AK$26</c:f>
              <c:strCach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pt idx="22">
                  <c:v>OBJ</c:v>
                </c:pt>
              </c:strCache>
            </c:strRef>
          </c:cat>
          <c:val>
            <c:numRef>
              <c:f>Graphics!$AS$4:$AS$26</c:f>
              <c:numCache>
                <c:formatCode>#,##0</c:formatCode>
                <c:ptCount val="23"/>
                <c:pt idx="11" formatCode="#,##0.0">
                  <c:v>23.143345481416628</c:v>
                </c:pt>
                <c:pt idx="12" formatCode="#,##0.0">
                  <c:v>12.366923074205072</c:v>
                </c:pt>
                <c:pt idx="13" formatCode="#,##0.0">
                  <c:v>8.3458125787636064</c:v>
                </c:pt>
                <c:pt idx="14" formatCode="#,##0.0">
                  <c:v>5.9169219274393585</c:v>
                </c:pt>
                <c:pt idx="15" formatCode="#,##0.0">
                  <c:v>5.9</c:v>
                </c:pt>
                <c:pt idx="16" formatCode="#,##0.0">
                  <c:v>4.2</c:v>
                </c:pt>
                <c:pt idx="17" formatCode="#,##0.0">
                  <c:v>3</c:v>
                </c:pt>
                <c:pt idx="18" formatCode="#,##0.0">
                  <c:v>2.8</c:v>
                </c:pt>
                <c:pt idx="19" formatCode="#,##0.0">
                  <c:v>2.6</c:v>
                </c:pt>
                <c:pt idx="20" formatCode="#,##0.0">
                  <c:v>2.5111534777986058</c:v>
                </c:pt>
                <c:pt idx="21" formatCode="0.0">
                  <c:v>2.4765903259347399</c:v>
                </c:pt>
                <c:pt idx="22" formatCode="0.0">
                  <c:v>2.1474588403722263</c:v>
                </c:pt>
              </c:numCache>
            </c:numRef>
          </c:val>
          <c:extLst>
            <c:ext xmlns:c16="http://schemas.microsoft.com/office/drawing/2014/chart" uri="{C3380CC4-5D6E-409C-BE32-E72D297353CC}">
              <c16:uniqueId val="{00000004-305D-4036-AA48-1A6191AA3DF2}"/>
            </c:ext>
          </c:extLst>
        </c:ser>
        <c:dLbls>
          <c:showLegendKey val="0"/>
          <c:showVal val="0"/>
          <c:showCatName val="0"/>
          <c:showSerName val="0"/>
          <c:showPercent val="0"/>
          <c:showBubbleSize val="0"/>
        </c:dLbls>
        <c:gapWidth val="75"/>
        <c:overlap val="-25"/>
        <c:axId val="1408357504"/>
        <c:axId val="1408368928"/>
      </c:barChart>
      <c:lineChart>
        <c:grouping val="standard"/>
        <c:varyColors val="0"/>
        <c:ser>
          <c:idx val="1"/>
          <c:order val="1"/>
          <c:tx>
            <c:v>HH</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5D-4036-AA48-1A6191AA3DF2}"/>
                </c:ext>
              </c:extLst>
            </c:dLbl>
            <c:dLbl>
              <c:idx val="13"/>
              <c:layout>
                <c:manualLayout>
                  <c:x val="-7.0183044790629997E-3"/>
                  <c:y val="-5.780188490500561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5D-4036-AA48-1A6191AA3DF2}"/>
                </c:ext>
              </c:extLst>
            </c:dLbl>
            <c:numFmt formatCode="#,##0" sourceLinked="0"/>
            <c:spPr>
              <a:noFill/>
              <a:ln>
                <a:noFill/>
              </a:ln>
              <a:effectLst/>
            </c:spPr>
            <c:txPr>
              <a:bodyPr/>
              <a:lstStyle/>
              <a:p>
                <a:pPr>
                  <a:defRPr sz="140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[9]Sheet2!$C$3:$C$15</c:f>
              <c:numCache>
                <c:formatCode>General</c:formatCode>
                <c:ptCount val="13"/>
              </c:numCache>
            </c:numRef>
          </c:cat>
          <c:val>
            <c:numRef>
              <c:f>Graphics!$AR$4:$AR$23</c:f>
              <c:numCache>
                <c:formatCode>#,##0</c:formatCode>
                <c:ptCount val="20"/>
                <c:pt idx="11">
                  <c:v>6135673</c:v>
                </c:pt>
                <c:pt idx="12">
                  <c:v>4528208</c:v>
                </c:pt>
                <c:pt idx="13">
                  <c:v>4433361</c:v>
                </c:pt>
                <c:pt idx="14">
                  <c:v>4901197</c:v>
                </c:pt>
                <c:pt idx="15">
                  <c:v>4704666</c:v>
                </c:pt>
                <c:pt idx="16">
                  <c:v>7488539</c:v>
                </c:pt>
                <c:pt idx="17">
                  <c:v>8259562</c:v>
                </c:pt>
                <c:pt idx="18">
                  <c:v>9055683</c:v>
                </c:pt>
                <c:pt idx="19">
                  <c:v>8630668</c:v>
                </c:pt>
              </c:numCache>
            </c:numRef>
          </c:val>
          <c:smooth val="0"/>
          <c:extLst>
            <c:ext xmlns:c16="http://schemas.microsoft.com/office/drawing/2014/chart" uri="{C3380CC4-5D6E-409C-BE32-E72D297353CC}">
              <c16:uniqueId val="{00000007-305D-4036-AA48-1A6191AA3DF2}"/>
            </c:ext>
          </c:extLst>
        </c:ser>
        <c:dLbls>
          <c:showLegendKey val="0"/>
          <c:showVal val="0"/>
          <c:showCatName val="0"/>
          <c:showSerName val="0"/>
          <c:showPercent val="0"/>
          <c:showBubbleSize val="0"/>
        </c:dLbls>
        <c:marker val="1"/>
        <c:smooth val="0"/>
        <c:axId val="1408367840"/>
        <c:axId val="1408365120"/>
      </c:lineChart>
      <c:catAx>
        <c:axId val="1408357504"/>
        <c:scaling>
          <c:orientation val="minMax"/>
        </c:scaling>
        <c:delete val="0"/>
        <c:axPos val="b"/>
        <c:numFmt formatCode="General" sourceLinked="1"/>
        <c:majorTickMark val="none"/>
        <c:minorTickMark val="none"/>
        <c:tickLblPos val="nextTo"/>
        <c:crossAx val="1408368928"/>
        <c:crosses val="autoZero"/>
        <c:auto val="1"/>
        <c:lblAlgn val="ctr"/>
        <c:lblOffset val="100"/>
        <c:noMultiLvlLbl val="0"/>
      </c:catAx>
      <c:valAx>
        <c:axId val="1408368928"/>
        <c:scaling>
          <c:orientation val="minMax"/>
        </c:scaling>
        <c:delete val="0"/>
        <c:axPos val="l"/>
        <c:majorGridlines/>
        <c:numFmt formatCode="#,##0.0" sourceLinked="0"/>
        <c:majorTickMark val="none"/>
        <c:minorTickMark val="none"/>
        <c:tickLblPos val="nextTo"/>
        <c:spPr>
          <a:noFill/>
          <a:ln w="9525">
            <a:noFill/>
          </a:ln>
        </c:spPr>
        <c:crossAx val="1408357504"/>
        <c:crosses val="autoZero"/>
        <c:crossBetween val="between"/>
      </c:valAx>
      <c:valAx>
        <c:axId val="1408365120"/>
        <c:scaling>
          <c:orientation val="minMax"/>
        </c:scaling>
        <c:delete val="0"/>
        <c:axPos val="r"/>
        <c:numFmt formatCode="#,##0" sourceLinked="0"/>
        <c:majorTickMark val="out"/>
        <c:minorTickMark val="none"/>
        <c:tickLblPos val="nextTo"/>
        <c:crossAx val="1408367840"/>
        <c:crosses val="max"/>
        <c:crossBetween val="between"/>
        <c:dispUnits>
          <c:builtInUnit val="millions"/>
          <c:dispUnitsLbl/>
        </c:dispUnits>
      </c:valAx>
      <c:catAx>
        <c:axId val="1408367840"/>
        <c:scaling>
          <c:orientation val="minMax"/>
        </c:scaling>
        <c:delete val="1"/>
        <c:axPos val="b"/>
        <c:numFmt formatCode="General" sourceLinked="1"/>
        <c:majorTickMark val="out"/>
        <c:minorTickMark val="none"/>
        <c:tickLblPos val="nextTo"/>
        <c:crossAx val="1408365120"/>
        <c:crosses val="autoZero"/>
        <c:auto val="1"/>
        <c:lblAlgn val="ctr"/>
        <c:lblOffset val="100"/>
        <c:noMultiLvlLbl val="0"/>
      </c:catAx>
    </c:plotArea>
    <c:legend>
      <c:legendPos val="b"/>
      <c:overlay val="0"/>
    </c:legend>
    <c:plotVisOnly val="1"/>
    <c:dispBlanksAs val="gap"/>
    <c:showDLblsOverMax val="0"/>
  </c:chart>
  <c:spPr>
    <a:ln>
      <a:solidFill>
        <a:schemeClr val="bg1">
          <a:lumMod val="75000"/>
        </a:schemeClr>
      </a:solidFill>
    </a:ln>
  </c:sp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a:t>PAISES - IS - HH</a:t>
            </a:r>
          </a:p>
        </c:rich>
      </c:tx>
      <c:overlay val="0"/>
    </c:title>
    <c:autoTitleDeleted val="0"/>
    <c:plotArea>
      <c:layout>
        <c:manualLayout>
          <c:layoutTarget val="inner"/>
          <c:xMode val="edge"/>
          <c:yMode val="edge"/>
          <c:x val="5.519536355668607E-2"/>
          <c:y val="0.11495906398881676"/>
          <c:w val="0.88844311728029379"/>
          <c:h val="0.73027679426068226"/>
        </c:manualLayout>
      </c:layout>
      <c:barChart>
        <c:barDir val="col"/>
        <c:grouping val="clustered"/>
        <c:varyColors val="0"/>
        <c:ser>
          <c:idx val="0"/>
          <c:order val="0"/>
          <c:tx>
            <c:v>IS</c:v>
          </c:tx>
          <c:spPr>
            <a:solidFill>
              <a:srgbClr val="0070C0"/>
            </a:solidFill>
            <a:ln>
              <a:solidFill>
                <a:schemeClr val="accent1"/>
              </a:solidFill>
            </a:ln>
          </c:spPr>
          <c:invertIfNegative val="0"/>
          <c:dPt>
            <c:idx val="16"/>
            <c:invertIfNegative val="0"/>
            <c:bubble3D val="0"/>
            <c:extLst>
              <c:ext xmlns:c16="http://schemas.microsoft.com/office/drawing/2014/chart" uri="{C3380CC4-5D6E-409C-BE32-E72D297353CC}">
                <c16:uniqueId val="{00000000-8A08-45BE-8D5A-54C9EF804955}"/>
              </c:ext>
            </c:extLst>
          </c:dPt>
          <c:dPt>
            <c:idx val="17"/>
            <c:invertIfNegative val="0"/>
            <c:bubble3D val="0"/>
            <c:extLst>
              <c:ext xmlns:c16="http://schemas.microsoft.com/office/drawing/2014/chart" uri="{C3380CC4-5D6E-409C-BE32-E72D297353CC}">
                <c16:uniqueId val="{00000002-8A08-45BE-8D5A-54C9EF804955}"/>
              </c:ext>
            </c:extLst>
          </c:dPt>
          <c:dPt>
            <c:idx val="20"/>
            <c:invertIfNegative val="0"/>
            <c:bubble3D val="0"/>
            <c:spPr>
              <a:solidFill>
                <a:srgbClr val="00B050"/>
              </a:solidFill>
              <a:ln>
                <a:solidFill>
                  <a:schemeClr val="accent1"/>
                </a:solidFill>
              </a:ln>
            </c:spPr>
            <c:extLst>
              <c:ext xmlns:c16="http://schemas.microsoft.com/office/drawing/2014/chart" uri="{C3380CC4-5D6E-409C-BE32-E72D297353CC}">
                <c16:uniqueId val="{00000004-4B03-4F8A-84AE-CD0D8C86D9AA}"/>
              </c:ext>
            </c:extLst>
          </c:dPt>
          <c:dPt>
            <c:idx val="21"/>
            <c:invertIfNegative val="0"/>
            <c:bubble3D val="0"/>
            <c:spPr>
              <a:solidFill>
                <a:srgbClr val="FF0000"/>
              </a:solidFill>
              <a:ln>
                <a:solidFill>
                  <a:schemeClr val="accent1"/>
                </a:solidFill>
              </a:ln>
            </c:spPr>
            <c:extLst>
              <c:ext xmlns:c16="http://schemas.microsoft.com/office/drawing/2014/chart" uri="{C3380CC4-5D6E-409C-BE32-E72D297353CC}">
                <c16:uniqueId val="{00000005-4B03-4F8A-84AE-CD0D8C86D9AA}"/>
              </c:ext>
            </c:extLst>
          </c:dPt>
          <c:dLbls>
            <c:dLbl>
              <c:idx val="11"/>
              <c:spPr>
                <a:solidFill>
                  <a:schemeClr val="tx2">
                    <a:lumMod val="60000"/>
                    <a:lumOff val="40000"/>
                  </a:schemeClr>
                </a:solidFill>
                <a:ln>
                  <a:noFill/>
                </a:ln>
                <a:effectLst/>
              </c:spPr>
              <c:txPr>
                <a:bodyPr/>
                <a:lstStyle/>
                <a:p>
                  <a:pPr>
                    <a:defRPr sz="1400" b="1">
                      <a:solidFill>
                        <a:schemeClr val="bg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A-8A08-45BE-8D5A-54C9EF804955}"/>
                </c:ext>
              </c:extLst>
            </c:dLbl>
            <c:dLbl>
              <c:idx val="17"/>
              <c:layout>
                <c:manualLayout>
                  <c:x val="4.709076103755639E-8"/>
                  <c:y val="5.0750303577688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08-45BE-8D5A-54C9EF804955}"/>
                </c:ext>
              </c:extLst>
            </c:dLbl>
            <c:dLbl>
              <c:idx val="19"/>
              <c:layout>
                <c:manualLayout>
                  <c:x val="1.1961995118760073E-3"/>
                  <c:y val="4.27339632634545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08-45BE-8D5A-54C9EF804955}"/>
                </c:ext>
              </c:extLst>
            </c:dLbl>
            <c:dLbl>
              <c:idx val="20"/>
              <c:layout>
                <c:manualLayout>
                  <c:x val="-1.1961053303539322E-3"/>
                  <c:y val="5.0542270972633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03-4F8A-84AE-CD0D8C86D9AA}"/>
                </c:ext>
              </c:extLst>
            </c:dLbl>
            <c:dLbl>
              <c:idx val="21"/>
              <c:layout>
                <c:manualLayout>
                  <c:x val="1.1961053303539322E-3"/>
                  <c:y val="8.789367295426218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3.6110419923385213E-2"/>
                      <c:h val="0.12020772866798141"/>
                    </c:manualLayout>
                  </c15:layout>
                </c:ext>
                <c:ext xmlns:c16="http://schemas.microsoft.com/office/drawing/2014/chart" uri="{C3380CC4-5D6E-409C-BE32-E72D297353CC}">
                  <c16:uniqueId val="{00000005-4B03-4F8A-84AE-CD0D8C86D9AA}"/>
                </c:ext>
              </c:extLst>
            </c:dLbl>
            <c:spPr>
              <a:noFill/>
              <a:ln>
                <a:noFill/>
              </a:ln>
              <a:effectLst/>
            </c:spPr>
            <c:txPr>
              <a:bodyPr/>
              <a:lstStyle/>
              <a:p>
                <a:pPr>
                  <a:defRPr sz="140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Graphics!$AK$4:$AK$26</c:f>
              <c:strCach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pt idx="22">
                  <c:v>OBJ</c:v>
                </c:pt>
              </c:strCache>
            </c:strRef>
          </c:cat>
          <c:val>
            <c:numRef>
              <c:f>Graphics!$AT$4:$AT$26</c:f>
              <c:numCache>
                <c:formatCode>#,##0</c:formatCode>
                <c:ptCount val="23"/>
                <c:pt idx="11">
                  <c:v>1506.1102506603595</c:v>
                </c:pt>
                <c:pt idx="12">
                  <c:v>379.62037079568785</c:v>
                </c:pt>
                <c:pt idx="13">
                  <c:v>206.16412694567396</c:v>
                </c:pt>
                <c:pt idx="14">
                  <c:v>434.17965039968806</c:v>
                </c:pt>
                <c:pt idx="15">
                  <c:v>203.84018759248798</c:v>
                </c:pt>
                <c:pt idx="16">
                  <c:v>147.69236028549761</c:v>
                </c:pt>
                <c:pt idx="17">
                  <c:v>57.266959192267095</c:v>
                </c:pt>
                <c:pt idx="18">
                  <c:v>562.51969067380116</c:v>
                </c:pt>
                <c:pt idx="19">
                  <c:v>40.437194432690497</c:v>
                </c:pt>
                <c:pt idx="20">
                  <c:v>128.06882736772891</c:v>
                </c:pt>
                <c:pt idx="21">
                  <c:v>57.099165847939837</c:v>
                </c:pt>
                <c:pt idx="22" formatCode="0">
                  <c:v>97</c:v>
                </c:pt>
              </c:numCache>
            </c:numRef>
          </c:val>
          <c:extLst>
            <c:ext xmlns:c16="http://schemas.microsoft.com/office/drawing/2014/chart" uri="{C3380CC4-5D6E-409C-BE32-E72D297353CC}">
              <c16:uniqueId val="{00000003-8A08-45BE-8D5A-54C9EF804955}"/>
            </c:ext>
          </c:extLst>
        </c:ser>
        <c:dLbls>
          <c:showLegendKey val="0"/>
          <c:showVal val="0"/>
          <c:showCatName val="0"/>
          <c:showSerName val="0"/>
          <c:showPercent val="0"/>
          <c:showBubbleSize val="0"/>
        </c:dLbls>
        <c:gapWidth val="75"/>
        <c:overlap val="-25"/>
        <c:axId val="1408369472"/>
        <c:axId val="1408376000"/>
      </c:barChart>
      <c:lineChart>
        <c:grouping val="standard"/>
        <c:varyColors val="0"/>
        <c:ser>
          <c:idx val="1"/>
          <c:order val="1"/>
          <c:tx>
            <c:v>HH</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08-45BE-8D5A-54C9EF804955}"/>
                </c:ext>
              </c:extLst>
            </c:dLbl>
            <c:dLbl>
              <c:idx val="13"/>
              <c:layout>
                <c:manualLayout>
                  <c:x val="-1.1166112024158974E-2"/>
                  <c:y val="-3.2632867876038973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08-45BE-8D5A-54C9EF804955}"/>
                </c:ext>
              </c:extLst>
            </c:dLbl>
            <c:dLbl>
              <c:idx val="15"/>
              <c:layout>
                <c:manualLayout>
                  <c:x val="-2.3008588100942209E-2"/>
                  <c:y val="-1.5956745129659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08-45BE-8D5A-54C9EF804955}"/>
                </c:ext>
              </c:extLst>
            </c:dLbl>
            <c:dLbl>
              <c:idx val="16"/>
              <c:layout>
                <c:manualLayout>
                  <c:x val="-1.6054052433476868E-2"/>
                  <c:y val="-2.7425941464990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08-45BE-8D5A-54C9EF804955}"/>
                </c:ext>
              </c:extLst>
            </c:dLbl>
            <c:numFmt formatCode="#,##0" sourceLinked="0"/>
            <c:spPr>
              <a:noFill/>
              <a:ln>
                <a:noFill/>
              </a:ln>
              <a:effectLst/>
            </c:spPr>
            <c:txPr>
              <a:bodyPr/>
              <a:lstStyle/>
              <a:p>
                <a:pPr algn="ctr" rtl="0">
                  <a:defRPr lang="es-PE" sz="1400" b="1" i="0" u="none" strike="noStrike" kern="1200" baseline="0">
                    <a:solidFill>
                      <a:srgbClr val="FF0000"/>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Graphics!$AK$4:$AK$23</c:f>
              <c:numCache>
                <c:formatCode>General</c:formatCode>
                <c:ptCount val="20"/>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numCache>
            </c:numRef>
          </c:cat>
          <c:val>
            <c:numRef>
              <c:f>Graphics!$AR$4:$AR$23</c:f>
              <c:numCache>
                <c:formatCode>#,##0</c:formatCode>
                <c:ptCount val="20"/>
                <c:pt idx="11">
                  <c:v>6135673</c:v>
                </c:pt>
                <c:pt idx="12">
                  <c:v>4528208</c:v>
                </c:pt>
                <c:pt idx="13">
                  <c:v>4433361</c:v>
                </c:pt>
                <c:pt idx="14">
                  <c:v>4901197</c:v>
                </c:pt>
                <c:pt idx="15">
                  <c:v>4704666</c:v>
                </c:pt>
                <c:pt idx="16">
                  <c:v>7488539</c:v>
                </c:pt>
                <c:pt idx="17">
                  <c:v>8259562</c:v>
                </c:pt>
                <c:pt idx="18">
                  <c:v>9055683</c:v>
                </c:pt>
                <c:pt idx="19">
                  <c:v>8630668</c:v>
                </c:pt>
              </c:numCache>
            </c:numRef>
          </c:val>
          <c:smooth val="0"/>
          <c:extLst>
            <c:ext xmlns:c16="http://schemas.microsoft.com/office/drawing/2014/chart" uri="{C3380CC4-5D6E-409C-BE32-E72D297353CC}">
              <c16:uniqueId val="{00000008-8A08-45BE-8D5A-54C9EF804955}"/>
            </c:ext>
          </c:extLst>
        </c:ser>
        <c:dLbls>
          <c:showLegendKey val="0"/>
          <c:showVal val="0"/>
          <c:showCatName val="0"/>
          <c:showSerName val="0"/>
          <c:showPercent val="0"/>
          <c:showBubbleSize val="0"/>
        </c:dLbls>
        <c:marker val="1"/>
        <c:smooth val="0"/>
        <c:axId val="1408372192"/>
        <c:axId val="1408366752"/>
      </c:lineChart>
      <c:catAx>
        <c:axId val="1408369472"/>
        <c:scaling>
          <c:orientation val="minMax"/>
        </c:scaling>
        <c:delete val="0"/>
        <c:axPos val="b"/>
        <c:numFmt formatCode="General" sourceLinked="1"/>
        <c:majorTickMark val="none"/>
        <c:minorTickMark val="none"/>
        <c:tickLblPos val="nextTo"/>
        <c:crossAx val="1408376000"/>
        <c:crosses val="autoZero"/>
        <c:auto val="1"/>
        <c:lblAlgn val="ctr"/>
        <c:lblOffset val="100"/>
        <c:noMultiLvlLbl val="0"/>
      </c:catAx>
      <c:valAx>
        <c:axId val="1408376000"/>
        <c:scaling>
          <c:orientation val="minMax"/>
        </c:scaling>
        <c:delete val="0"/>
        <c:axPos val="l"/>
        <c:majorGridlines/>
        <c:numFmt formatCode="#,##0.0" sourceLinked="0"/>
        <c:majorTickMark val="none"/>
        <c:minorTickMark val="none"/>
        <c:tickLblPos val="nextTo"/>
        <c:spPr>
          <a:noFill/>
          <a:ln w="9525">
            <a:noFill/>
          </a:ln>
        </c:spPr>
        <c:crossAx val="1408369472"/>
        <c:crosses val="autoZero"/>
        <c:crossBetween val="between"/>
      </c:valAx>
      <c:valAx>
        <c:axId val="1408366752"/>
        <c:scaling>
          <c:orientation val="minMax"/>
        </c:scaling>
        <c:delete val="0"/>
        <c:axPos val="r"/>
        <c:numFmt formatCode="#,##0" sourceLinked="0"/>
        <c:majorTickMark val="out"/>
        <c:minorTickMark val="none"/>
        <c:tickLblPos val="nextTo"/>
        <c:crossAx val="1408372192"/>
        <c:crosses val="max"/>
        <c:crossBetween val="between"/>
        <c:dispUnits>
          <c:builtInUnit val="millions"/>
          <c:dispUnitsLbl/>
        </c:dispUnits>
      </c:valAx>
      <c:catAx>
        <c:axId val="1408372192"/>
        <c:scaling>
          <c:orientation val="minMax"/>
        </c:scaling>
        <c:delete val="1"/>
        <c:axPos val="b"/>
        <c:numFmt formatCode="General" sourceLinked="1"/>
        <c:majorTickMark val="out"/>
        <c:minorTickMark val="none"/>
        <c:tickLblPos val="nextTo"/>
        <c:crossAx val="1408366752"/>
        <c:crosses val="autoZero"/>
        <c:auto val="1"/>
        <c:lblAlgn val="ctr"/>
        <c:lblOffset val="100"/>
        <c:noMultiLvlLbl val="0"/>
      </c:catAx>
    </c:plotArea>
    <c:legend>
      <c:legendPos val="b"/>
      <c:overlay val="0"/>
    </c:legend>
    <c:plotVisOnly val="1"/>
    <c:dispBlanksAs val="gap"/>
    <c:showDLblsOverMax val="0"/>
  </c:chart>
  <c:spPr>
    <a:ln>
      <a:solidFill>
        <a:schemeClr val="bg1">
          <a:lumMod val="75000"/>
        </a:schemeClr>
      </a:solidFill>
    </a:ln>
  </c:sp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baseline="0"/>
              <a:t>PERÚ + PAISES - </a:t>
            </a:r>
            <a:r>
              <a:rPr lang="es-PE"/>
              <a:t>IF - HH</a:t>
            </a:r>
          </a:p>
        </c:rich>
      </c:tx>
      <c:overlay val="0"/>
    </c:title>
    <c:autoTitleDeleted val="0"/>
    <c:plotArea>
      <c:layout/>
      <c:barChart>
        <c:barDir val="col"/>
        <c:grouping val="clustered"/>
        <c:varyColors val="0"/>
        <c:ser>
          <c:idx val="0"/>
          <c:order val="0"/>
          <c:tx>
            <c:v>Ind.Frecuencia</c:v>
          </c:tx>
          <c:invertIfNegative val="0"/>
          <c:dPt>
            <c:idx val="16"/>
            <c:invertIfNegative val="0"/>
            <c:bubble3D val="0"/>
            <c:spPr>
              <a:solidFill>
                <a:srgbClr val="0070C0"/>
              </a:solidFill>
            </c:spPr>
            <c:extLst>
              <c:ext xmlns:c16="http://schemas.microsoft.com/office/drawing/2014/chart" uri="{C3380CC4-5D6E-409C-BE32-E72D297353CC}">
                <c16:uniqueId val="{00000001-E9EE-4BF1-9944-7D68567CB60F}"/>
              </c:ext>
            </c:extLst>
          </c:dPt>
          <c:dPt>
            <c:idx val="17"/>
            <c:invertIfNegative val="0"/>
            <c:bubble3D val="0"/>
            <c:spPr>
              <a:solidFill>
                <a:srgbClr val="0070C0"/>
              </a:solidFill>
            </c:spPr>
            <c:extLst>
              <c:ext xmlns:c16="http://schemas.microsoft.com/office/drawing/2014/chart" uri="{C3380CC4-5D6E-409C-BE32-E72D297353CC}">
                <c16:uniqueId val="{00000003-E9EE-4BF1-9944-7D68567CB60F}"/>
              </c:ext>
            </c:extLst>
          </c:dPt>
          <c:dPt>
            <c:idx val="20"/>
            <c:invertIfNegative val="0"/>
            <c:bubble3D val="0"/>
            <c:spPr>
              <a:solidFill>
                <a:srgbClr val="00B050"/>
              </a:solidFill>
            </c:spPr>
            <c:extLst>
              <c:ext xmlns:c16="http://schemas.microsoft.com/office/drawing/2014/chart" uri="{C3380CC4-5D6E-409C-BE32-E72D297353CC}">
                <c16:uniqueId val="{00000006-1614-4A8D-90E6-89CAB607458C}"/>
              </c:ext>
            </c:extLst>
          </c:dPt>
          <c:dPt>
            <c:idx val="21"/>
            <c:invertIfNegative val="0"/>
            <c:bubble3D val="0"/>
            <c:spPr>
              <a:solidFill>
                <a:srgbClr val="FF0000"/>
              </a:solidFill>
            </c:spPr>
            <c:extLst>
              <c:ext xmlns:c16="http://schemas.microsoft.com/office/drawing/2014/chart" uri="{C3380CC4-5D6E-409C-BE32-E72D297353CC}">
                <c16:uniqueId val="{00000005-1614-4A8D-90E6-89CAB607458C}"/>
              </c:ext>
            </c:extLst>
          </c:dPt>
          <c:dLbls>
            <c:spPr>
              <a:noFill/>
              <a:ln>
                <a:noFill/>
              </a:ln>
              <a:effectLst/>
            </c:spPr>
            <c:txPr>
              <a:bodyPr/>
              <a:lstStyle/>
              <a:p>
                <a:pPr>
                  <a:defRPr sz="1400" b="0">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Graphics!$AK$4:$AK$26</c:f>
              <c:strCach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pt idx="22">
                  <c:v>OBJ</c:v>
                </c:pt>
              </c:strCache>
            </c:strRef>
          </c:cat>
          <c:val>
            <c:numRef>
              <c:f>Graphics!$AV$4:$AV$26</c:f>
              <c:numCache>
                <c:formatCode>0.0</c:formatCode>
                <c:ptCount val="23"/>
                <c:pt idx="0">
                  <c:v>5.0999999999999996</c:v>
                </c:pt>
                <c:pt idx="1">
                  <c:v>3.2</c:v>
                </c:pt>
                <c:pt idx="2">
                  <c:v>3.1</c:v>
                </c:pt>
                <c:pt idx="3">
                  <c:v>3.5</c:v>
                </c:pt>
                <c:pt idx="4">
                  <c:v>3.4</c:v>
                </c:pt>
                <c:pt idx="5">
                  <c:v>8.4</c:v>
                </c:pt>
                <c:pt idx="6">
                  <c:v>5.0999999999999996</c:v>
                </c:pt>
                <c:pt idx="7">
                  <c:v>4</c:v>
                </c:pt>
                <c:pt idx="8">
                  <c:v>4.2</c:v>
                </c:pt>
                <c:pt idx="9">
                  <c:v>4.5999999999999996</c:v>
                </c:pt>
                <c:pt idx="10">
                  <c:v>3.9</c:v>
                </c:pt>
                <c:pt idx="11" formatCode="#,##0.0">
                  <c:v>10.339783390976901</c:v>
                </c:pt>
                <c:pt idx="12" formatCode="#,##0.0">
                  <c:v>7.2282480680641683</c:v>
                </c:pt>
                <c:pt idx="13" formatCode="#,##0.0">
                  <c:v>4.6320251275467994</c:v>
                </c:pt>
                <c:pt idx="14" formatCode="#,##0.0">
                  <c:v>4.9506779768887652</c:v>
                </c:pt>
                <c:pt idx="15" formatCode="#,##0.0">
                  <c:v>4.7</c:v>
                </c:pt>
                <c:pt idx="16" formatCode="#,##0.0">
                  <c:v>4.4000000000000004</c:v>
                </c:pt>
                <c:pt idx="17" formatCode="#,##0.0">
                  <c:v>7.3</c:v>
                </c:pt>
                <c:pt idx="18" formatCode="#,##0.0">
                  <c:v>5.5999737041827355</c:v>
                </c:pt>
                <c:pt idx="19" formatCode="#,##0.0">
                  <c:v>4.7908913790444352</c:v>
                </c:pt>
                <c:pt idx="20" formatCode="#,##0.0">
                  <c:v>3.3615609727581162</c:v>
                </c:pt>
                <c:pt idx="21">
                  <c:v>3.3029437046904491</c:v>
                </c:pt>
                <c:pt idx="22" formatCode="General">
                  <c:v>4.9000000000000004</c:v>
                </c:pt>
              </c:numCache>
            </c:numRef>
          </c:val>
          <c:extLst>
            <c:ext xmlns:c16="http://schemas.microsoft.com/office/drawing/2014/chart" uri="{C3380CC4-5D6E-409C-BE32-E72D297353CC}">
              <c16:uniqueId val="{00000004-E9EE-4BF1-9944-7D68567CB60F}"/>
            </c:ext>
          </c:extLst>
        </c:ser>
        <c:dLbls>
          <c:showLegendKey val="0"/>
          <c:showVal val="0"/>
          <c:showCatName val="0"/>
          <c:showSerName val="0"/>
          <c:showPercent val="0"/>
          <c:showBubbleSize val="0"/>
        </c:dLbls>
        <c:gapWidth val="75"/>
        <c:overlap val="-25"/>
        <c:axId val="1408357504"/>
        <c:axId val="1408368928"/>
      </c:barChart>
      <c:lineChart>
        <c:grouping val="standard"/>
        <c:varyColors val="0"/>
        <c:ser>
          <c:idx val="1"/>
          <c:order val="1"/>
          <c:tx>
            <c:v>HH</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EE-4BF1-9944-7D68567CB60F}"/>
                </c:ext>
              </c:extLst>
            </c:dLbl>
            <c:dLbl>
              <c:idx val="13"/>
              <c:layout>
                <c:manualLayout>
                  <c:x val="-7.0183044790629997E-3"/>
                  <c:y val="-5.780188490500561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9EE-4BF1-9944-7D68567CB60F}"/>
                </c:ext>
              </c:extLst>
            </c:dLbl>
            <c:numFmt formatCode="#,##0" sourceLinked="0"/>
            <c:spPr>
              <a:noFill/>
              <a:ln>
                <a:noFill/>
              </a:ln>
              <a:effectLst/>
            </c:spPr>
            <c:txPr>
              <a:bodyPr/>
              <a:lstStyle/>
              <a:p>
                <a:pPr>
                  <a:defRPr sz="140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[9]Sheet2!$C$3:$C$15</c:f>
              <c:numCache>
                <c:formatCode>General</c:formatCode>
                <c:ptCount val="13"/>
              </c:numCache>
            </c:numRef>
          </c:cat>
          <c:val>
            <c:numRef>
              <c:f>Graphics!$AU$4:$AU$23</c:f>
              <c:numCache>
                <c:formatCode>#,##0</c:formatCode>
                <c:ptCount val="20"/>
                <c:pt idx="0">
                  <c:v>6972470</c:v>
                </c:pt>
                <c:pt idx="1">
                  <c:v>8045968</c:v>
                </c:pt>
                <c:pt idx="2">
                  <c:v>9019392</c:v>
                </c:pt>
                <c:pt idx="3">
                  <c:v>9639404</c:v>
                </c:pt>
                <c:pt idx="4">
                  <c:v>10346031</c:v>
                </c:pt>
                <c:pt idx="5">
                  <c:v>11785020</c:v>
                </c:pt>
                <c:pt idx="6">
                  <c:v>13580881.5</c:v>
                </c:pt>
                <c:pt idx="7">
                  <c:v>12835402.5</c:v>
                </c:pt>
                <c:pt idx="8">
                  <c:v>14026666</c:v>
                </c:pt>
                <c:pt idx="9">
                  <c:v>12017547.719999999</c:v>
                </c:pt>
                <c:pt idx="10">
                  <c:v>12838534</c:v>
                </c:pt>
                <c:pt idx="11">
                  <c:v>24275170.040702909</c:v>
                </c:pt>
                <c:pt idx="12">
                  <c:v>21443647</c:v>
                </c:pt>
                <c:pt idx="13">
                  <c:v>20077611.29077778</c:v>
                </c:pt>
                <c:pt idx="14">
                  <c:v>20603238.682896826</c:v>
                </c:pt>
                <c:pt idx="15">
                  <c:v>20911020</c:v>
                </c:pt>
                <c:pt idx="16">
                  <c:v>20662778</c:v>
                </c:pt>
                <c:pt idx="17">
                  <c:v>31686494</c:v>
                </c:pt>
                <c:pt idx="18">
                  <c:v>33750158.480000004</c:v>
                </c:pt>
                <c:pt idx="19">
                  <c:v>35901461</c:v>
                </c:pt>
              </c:numCache>
            </c:numRef>
          </c:val>
          <c:smooth val="0"/>
          <c:extLst>
            <c:ext xmlns:c16="http://schemas.microsoft.com/office/drawing/2014/chart" uri="{C3380CC4-5D6E-409C-BE32-E72D297353CC}">
              <c16:uniqueId val="{00000007-E9EE-4BF1-9944-7D68567CB60F}"/>
            </c:ext>
          </c:extLst>
        </c:ser>
        <c:dLbls>
          <c:showLegendKey val="0"/>
          <c:showVal val="0"/>
          <c:showCatName val="0"/>
          <c:showSerName val="0"/>
          <c:showPercent val="0"/>
          <c:showBubbleSize val="0"/>
        </c:dLbls>
        <c:marker val="1"/>
        <c:smooth val="0"/>
        <c:axId val="1408367840"/>
        <c:axId val="1408365120"/>
      </c:lineChart>
      <c:catAx>
        <c:axId val="1408357504"/>
        <c:scaling>
          <c:orientation val="minMax"/>
        </c:scaling>
        <c:delete val="0"/>
        <c:axPos val="b"/>
        <c:numFmt formatCode="General" sourceLinked="1"/>
        <c:majorTickMark val="none"/>
        <c:minorTickMark val="none"/>
        <c:tickLblPos val="nextTo"/>
        <c:crossAx val="1408368928"/>
        <c:crosses val="autoZero"/>
        <c:auto val="1"/>
        <c:lblAlgn val="ctr"/>
        <c:lblOffset val="100"/>
        <c:noMultiLvlLbl val="0"/>
      </c:catAx>
      <c:valAx>
        <c:axId val="1408368928"/>
        <c:scaling>
          <c:orientation val="minMax"/>
          <c:max val="25"/>
        </c:scaling>
        <c:delete val="0"/>
        <c:axPos val="l"/>
        <c:majorGridlines/>
        <c:numFmt formatCode="#,##0.0" sourceLinked="0"/>
        <c:majorTickMark val="none"/>
        <c:minorTickMark val="none"/>
        <c:tickLblPos val="nextTo"/>
        <c:spPr>
          <a:noFill/>
          <a:ln w="9525">
            <a:noFill/>
          </a:ln>
        </c:spPr>
        <c:crossAx val="1408357504"/>
        <c:crosses val="autoZero"/>
        <c:crossBetween val="between"/>
      </c:valAx>
      <c:valAx>
        <c:axId val="1408365120"/>
        <c:scaling>
          <c:orientation val="minMax"/>
        </c:scaling>
        <c:delete val="0"/>
        <c:axPos val="r"/>
        <c:numFmt formatCode="#,##0" sourceLinked="0"/>
        <c:majorTickMark val="out"/>
        <c:minorTickMark val="none"/>
        <c:tickLblPos val="nextTo"/>
        <c:crossAx val="1408367840"/>
        <c:crosses val="max"/>
        <c:crossBetween val="between"/>
        <c:dispUnits>
          <c:builtInUnit val="millions"/>
          <c:dispUnitsLbl/>
        </c:dispUnits>
      </c:valAx>
      <c:catAx>
        <c:axId val="1408367840"/>
        <c:scaling>
          <c:orientation val="minMax"/>
        </c:scaling>
        <c:delete val="1"/>
        <c:axPos val="b"/>
        <c:numFmt formatCode="General" sourceLinked="1"/>
        <c:majorTickMark val="out"/>
        <c:minorTickMark val="none"/>
        <c:tickLblPos val="nextTo"/>
        <c:crossAx val="1408365120"/>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a:t>PERÚ + PAISES - IS - HH</a:t>
            </a:r>
          </a:p>
        </c:rich>
      </c:tx>
      <c:overlay val="0"/>
    </c:title>
    <c:autoTitleDeleted val="0"/>
    <c:plotArea>
      <c:layout/>
      <c:barChart>
        <c:barDir val="col"/>
        <c:grouping val="clustered"/>
        <c:varyColors val="0"/>
        <c:ser>
          <c:idx val="0"/>
          <c:order val="0"/>
          <c:tx>
            <c:v>IS</c:v>
          </c:tx>
          <c:spPr>
            <a:solidFill>
              <a:srgbClr val="0070C0"/>
            </a:solidFill>
            <a:ln>
              <a:solidFill>
                <a:schemeClr val="accent1"/>
              </a:solidFill>
            </a:ln>
          </c:spPr>
          <c:invertIfNegative val="0"/>
          <c:dPt>
            <c:idx val="16"/>
            <c:invertIfNegative val="0"/>
            <c:bubble3D val="0"/>
            <c:extLst>
              <c:ext xmlns:c16="http://schemas.microsoft.com/office/drawing/2014/chart" uri="{C3380CC4-5D6E-409C-BE32-E72D297353CC}">
                <c16:uniqueId val="{00000000-B1CE-41B0-B25D-CBF71D58E6FF}"/>
              </c:ext>
            </c:extLst>
          </c:dPt>
          <c:dPt>
            <c:idx val="17"/>
            <c:invertIfNegative val="0"/>
            <c:bubble3D val="0"/>
            <c:extLst>
              <c:ext xmlns:c16="http://schemas.microsoft.com/office/drawing/2014/chart" uri="{C3380CC4-5D6E-409C-BE32-E72D297353CC}">
                <c16:uniqueId val="{00000002-B1CE-41B0-B25D-CBF71D58E6FF}"/>
              </c:ext>
            </c:extLst>
          </c:dPt>
          <c:dPt>
            <c:idx val="20"/>
            <c:invertIfNegative val="0"/>
            <c:bubble3D val="0"/>
            <c:spPr>
              <a:solidFill>
                <a:srgbClr val="00B050"/>
              </a:solidFill>
              <a:ln>
                <a:solidFill>
                  <a:schemeClr val="accent1"/>
                </a:solidFill>
              </a:ln>
            </c:spPr>
            <c:extLst>
              <c:ext xmlns:c16="http://schemas.microsoft.com/office/drawing/2014/chart" uri="{C3380CC4-5D6E-409C-BE32-E72D297353CC}">
                <c16:uniqueId val="{00000005-93D6-4EB3-B2E7-CB9B357211AD}"/>
              </c:ext>
            </c:extLst>
          </c:dPt>
          <c:dPt>
            <c:idx val="21"/>
            <c:invertIfNegative val="0"/>
            <c:bubble3D val="0"/>
            <c:spPr>
              <a:solidFill>
                <a:srgbClr val="FF0000"/>
              </a:solidFill>
              <a:ln>
                <a:solidFill>
                  <a:schemeClr val="accent1"/>
                </a:solidFill>
              </a:ln>
            </c:spPr>
            <c:extLst>
              <c:ext xmlns:c16="http://schemas.microsoft.com/office/drawing/2014/chart" uri="{C3380CC4-5D6E-409C-BE32-E72D297353CC}">
                <c16:uniqueId val="{00000004-93D6-4EB3-B2E7-CB9B357211AD}"/>
              </c:ext>
            </c:extLst>
          </c:dPt>
          <c:dLbls>
            <c:dLbl>
              <c:idx val="20"/>
              <c:layout>
                <c:manualLayout>
                  <c:x val="0"/>
                  <c:y val="4.98778821450196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D6-4EB3-B2E7-CB9B357211AD}"/>
                </c:ext>
              </c:extLst>
            </c:dLbl>
            <c:spPr>
              <a:noFill/>
              <a:ln>
                <a:noFill/>
              </a:ln>
              <a:effectLst/>
            </c:spPr>
            <c:txPr>
              <a:bodyPr wrap="square" lIns="38100" tIns="19050" rIns="38100" bIns="19050" anchor="ctr">
                <a:spAutoFit/>
              </a:bodyPr>
              <a:lstStyle/>
              <a:p>
                <a:pPr>
                  <a:defRPr sz="1200">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Graphics!$AK$4:$AK$26</c:f>
              <c:strCach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pt idx="22">
                  <c:v>OBJ</c:v>
                </c:pt>
              </c:strCache>
            </c:strRef>
          </c:cat>
          <c:val>
            <c:numRef>
              <c:f>Graphics!$AW$4:$AW$26</c:f>
              <c:numCache>
                <c:formatCode>0</c:formatCode>
                <c:ptCount val="23"/>
                <c:pt idx="0">
                  <c:v>159.77121450504629</c:v>
                </c:pt>
                <c:pt idx="1">
                  <c:v>103.77868766070161</c:v>
                </c:pt>
                <c:pt idx="2">
                  <c:v>115.30710717529519</c:v>
                </c:pt>
                <c:pt idx="3">
                  <c:v>137.35289028242826</c:v>
                </c:pt>
                <c:pt idx="4">
                  <c:v>70.171836910212235</c:v>
                </c:pt>
                <c:pt idx="5">
                  <c:v>97.666359497056433</c:v>
                </c:pt>
                <c:pt idx="6">
                  <c:v>64.207908742889771</c:v>
                </c:pt>
                <c:pt idx="7">
                  <c:v>645.48034235778732</c:v>
                </c:pt>
                <c:pt idx="8">
                  <c:v>79.206277528815477</c:v>
                </c:pt>
                <c:pt idx="9">
                  <c:v>182.31672975624349</c:v>
                </c:pt>
                <c:pt idx="10">
                  <c:v>101.49133849705893</c:v>
                </c:pt>
                <c:pt idx="11">
                  <c:v>456.4746603801396</c:v>
                </c:pt>
                <c:pt idx="12">
                  <c:v>186.67533559007009</c:v>
                </c:pt>
                <c:pt idx="13">
                  <c:v>155.14793841191698</c:v>
                </c:pt>
                <c:pt idx="14">
                  <c:v>459.68501097170088</c:v>
                </c:pt>
                <c:pt idx="15">
                  <c:v>129.07070052058674</c:v>
                </c:pt>
                <c:pt idx="16">
                  <c:v>378</c:v>
                </c:pt>
                <c:pt idx="17">
                  <c:v>546.4157694442307</c:v>
                </c:pt>
                <c:pt idx="18">
                  <c:v>341.89469086013008</c:v>
                </c:pt>
                <c:pt idx="19">
                  <c:v>247.84506680661269</c:v>
                </c:pt>
                <c:pt idx="20">
                  <c:v>106.87786504563304</c:v>
                </c:pt>
                <c:pt idx="21" formatCode="#,##0">
                  <c:v>117.27022981986661</c:v>
                </c:pt>
                <c:pt idx="22" formatCode="General">
                  <c:v>117</c:v>
                </c:pt>
              </c:numCache>
            </c:numRef>
          </c:val>
          <c:extLst>
            <c:ext xmlns:c16="http://schemas.microsoft.com/office/drawing/2014/chart" uri="{C3380CC4-5D6E-409C-BE32-E72D297353CC}">
              <c16:uniqueId val="{00000003-B1CE-41B0-B25D-CBF71D58E6FF}"/>
            </c:ext>
          </c:extLst>
        </c:ser>
        <c:dLbls>
          <c:showLegendKey val="0"/>
          <c:showVal val="0"/>
          <c:showCatName val="0"/>
          <c:showSerName val="0"/>
          <c:showPercent val="0"/>
          <c:showBubbleSize val="0"/>
        </c:dLbls>
        <c:gapWidth val="75"/>
        <c:overlap val="-25"/>
        <c:axId val="1408369472"/>
        <c:axId val="1408376000"/>
      </c:barChart>
      <c:lineChart>
        <c:grouping val="standard"/>
        <c:varyColors val="0"/>
        <c:ser>
          <c:idx val="1"/>
          <c:order val="1"/>
          <c:tx>
            <c:v>HH</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1CE-41B0-B25D-CBF71D58E6FF}"/>
                </c:ext>
              </c:extLst>
            </c:dLbl>
            <c:dLbl>
              <c:idx val="13"/>
              <c:layout>
                <c:manualLayout>
                  <c:x val="-1.1166112024158974E-2"/>
                  <c:y val="-3.2632867876038973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1CE-41B0-B25D-CBF71D58E6FF}"/>
                </c:ext>
              </c:extLst>
            </c:dLbl>
            <c:dLbl>
              <c:idx val="15"/>
              <c:layout>
                <c:manualLayout>
                  <c:x val="-2.3008588100942209E-2"/>
                  <c:y val="-1.5956745129659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1CE-41B0-B25D-CBF71D58E6FF}"/>
                </c:ext>
              </c:extLst>
            </c:dLbl>
            <c:dLbl>
              <c:idx val="16"/>
              <c:layout>
                <c:manualLayout>
                  <c:x val="-1.6054052433476868E-2"/>
                  <c:y val="-2.7425941464990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1CE-41B0-B25D-CBF71D58E6FF}"/>
                </c:ext>
              </c:extLst>
            </c:dLbl>
            <c:numFmt formatCode="#,##0" sourceLinked="0"/>
            <c:spPr>
              <a:noFill/>
              <a:ln>
                <a:noFill/>
              </a:ln>
              <a:effectLst/>
            </c:spPr>
            <c:txPr>
              <a:bodyPr/>
              <a:lstStyle/>
              <a:p>
                <a:pPr algn="ctr" rtl="0">
                  <a:defRPr lang="es-PE" sz="1400" b="1" i="0" u="none" strike="noStrike" kern="1200" baseline="0">
                    <a:solidFill>
                      <a:srgbClr val="FF0000"/>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Graphics!$AK$4:$AK$23</c:f>
              <c:numCache>
                <c:formatCode>General</c:formatCode>
                <c:ptCount val="20"/>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numCache>
            </c:numRef>
          </c:cat>
          <c:val>
            <c:numRef>
              <c:f>Graphics!$AU$4:$AU$23</c:f>
              <c:numCache>
                <c:formatCode>#,##0</c:formatCode>
                <c:ptCount val="20"/>
                <c:pt idx="0">
                  <c:v>6972470</c:v>
                </c:pt>
                <c:pt idx="1">
                  <c:v>8045968</c:v>
                </c:pt>
                <c:pt idx="2">
                  <c:v>9019392</c:v>
                </c:pt>
                <c:pt idx="3">
                  <c:v>9639404</c:v>
                </c:pt>
                <c:pt idx="4">
                  <c:v>10346031</c:v>
                </c:pt>
                <c:pt idx="5">
                  <c:v>11785020</c:v>
                </c:pt>
                <c:pt idx="6">
                  <c:v>13580881.5</c:v>
                </c:pt>
                <c:pt idx="7">
                  <c:v>12835402.5</c:v>
                </c:pt>
                <c:pt idx="8">
                  <c:v>14026666</c:v>
                </c:pt>
                <c:pt idx="9">
                  <c:v>12017547.719999999</c:v>
                </c:pt>
                <c:pt idx="10">
                  <c:v>12838534</c:v>
                </c:pt>
                <c:pt idx="11">
                  <c:v>24275170.040702909</c:v>
                </c:pt>
                <c:pt idx="12">
                  <c:v>21443647</c:v>
                </c:pt>
                <c:pt idx="13">
                  <c:v>20077611.29077778</c:v>
                </c:pt>
                <c:pt idx="14">
                  <c:v>20603238.682896826</c:v>
                </c:pt>
                <c:pt idx="15">
                  <c:v>20911020</c:v>
                </c:pt>
                <c:pt idx="16">
                  <c:v>20662778</c:v>
                </c:pt>
                <c:pt idx="17">
                  <c:v>31686494</c:v>
                </c:pt>
                <c:pt idx="18">
                  <c:v>33750158.480000004</c:v>
                </c:pt>
                <c:pt idx="19">
                  <c:v>35901461</c:v>
                </c:pt>
              </c:numCache>
            </c:numRef>
          </c:val>
          <c:smooth val="0"/>
          <c:extLst>
            <c:ext xmlns:c16="http://schemas.microsoft.com/office/drawing/2014/chart" uri="{C3380CC4-5D6E-409C-BE32-E72D297353CC}">
              <c16:uniqueId val="{00000008-B1CE-41B0-B25D-CBF71D58E6FF}"/>
            </c:ext>
          </c:extLst>
        </c:ser>
        <c:dLbls>
          <c:showLegendKey val="0"/>
          <c:showVal val="0"/>
          <c:showCatName val="0"/>
          <c:showSerName val="0"/>
          <c:showPercent val="0"/>
          <c:showBubbleSize val="0"/>
        </c:dLbls>
        <c:marker val="1"/>
        <c:smooth val="0"/>
        <c:axId val="1408372192"/>
        <c:axId val="1408366752"/>
      </c:lineChart>
      <c:catAx>
        <c:axId val="1408369472"/>
        <c:scaling>
          <c:orientation val="minMax"/>
        </c:scaling>
        <c:delete val="0"/>
        <c:axPos val="b"/>
        <c:numFmt formatCode="General" sourceLinked="1"/>
        <c:majorTickMark val="none"/>
        <c:minorTickMark val="none"/>
        <c:tickLblPos val="nextTo"/>
        <c:crossAx val="1408376000"/>
        <c:crosses val="autoZero"/>
        <c:auto val="1"/>
        <c:lblAlgn val="ctr"/>
        <c:lblOffset val="100"/>
        <c:noMultiLvlLbl val="0"/>
      </c:catAx>
      <c:valAx>
        <c:axId val="1408376000"/>
        <c:scaling>
          <c:orientation val="minMax"/>
          <c:max val="1600"/>
        </c:scaling>
        <c:delete val="0"/>
        <c:axPos val="l"/>
        <c:majorGridlines/>
        <c:numFmt formatCode="#,##0.0" sourceLinked="0"/>
        <c:majorTickMark val="none"/>
        <c:minorTickMark val="none"/>
        <c:tickLblPos val="nextTo"/>
        <c:spPr>
          <a:noFill/>
          <a:ln w="9525">
            <a:noFill/>
          </a:ln>
        </c:spPr>
        <c:crossAx val="1408369472"/>
        <c:crosses val="autoZero"/>
        <c:crossBetween val="between"/>
      </c:valAx>
      <c:valAx>
        <c:axId val="1408366752"/>
        <c:scaling>
          <c:orientation val="minMax"/>
        </c:scaling>
        <c:delete val="0"/>
        <c:axPos val="r"/>
        <c:numFmt formatCode="#,##0" sourceLinked="0"/>
        <c:majorTickMark val="out"/>
        <c:minorTickMark val="none"/>
        <c:tickLblPos val="nextTo"/>
        <c:crossAx val="1408372192"/>
        <c:crosses val="max"/>
        <c:crossBetween val="between"/>
        <c:dispUnits>
          <c:builtInUnit val="millions"/>
          <c:dispUnitsLbl/>
        </c:dispUnits>
      </c:valAx>
      <c:catAx>
        <c:axId val="1408372192"/>
        <c:scaling>
          <c:orientation val="minMax"/>
        </c:scaling>
        <c:delete val="1"/>
        <c:axPos val="b"/>
        <c:numFmt formatCode="General" sourceLinked="1"/>
        <c:majorTickMark val="out"/>
        <c:minorTickMark val="none"/>
        <c:tickLblPos val="nextTo"/>
        <c:crossAx val="1408366752"/>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ACCIDENTES</a:t>
            </a:r>
            <a:r>
              <a:rPr lang="en-US" b="1" baseline="0"/>
              <a:t> GRAVES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0259224550130203E-2"/>
          <c:y val="0.1276946876149333"/>
          <c:w val="0.94415803411108989"/>
          <c:h val="0.75693912097764882"/>
        </c:manualLayout>
      </c:layout>
      <c:barChart>
        <c:barDir val="col"/>
        <c:grouping val="clustered"/>
        <c:varyColors val="0"/>
        <c:ser>
          <c:idx val="0"/>
          <c:order val="0"/>
          <c:tx>
            <c:v>FATALES</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Graphics!$AK$4:$AK$25</c:f>
              <c:strCache>
                <c:ptCount val="22"/>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strCache>
            </c:strRef>
          </c:cat>
          <c:val>
            <c:numRef>
              <c:f>Graphics!$BA$4:$BA$25</c:f>
              <c:numCache>
                <c:formatCode>0</c:formatCode>
                <c:ptCount val="22"/>
                <c:pt idx="0">
                  <c:v>0</c:v>
                </c:pt>
                <c:pt idx="1">
                  <c:v>0</c:v>
                </c:pt>
                <c:pt idx="2">
                  <c:v>0</c:v>
                </c:pt>
                <c:pt idx="3">
                  <c:v>0</c:v>
                </c:pt>
                <c:pt idx="4">
                  <c:v>0</c:v>
                </c:pt>
                <c:pt idx="5">
                  <c:v>0</c:v>
                </c:pt>
                <c:pt idx="6">
                  <c:v>0</c:v>
                </c:pt>
                <c:pt idx="7">
                  <c:v>1</c:v>
                </c:pt>
                <c:pt idx="8">
                  <c:v>0</c:v>
                </c:pt>
                <c:pt idx="9">
                  <c:v>1</c:v>
                </c:pt>
                <c:pt idx="10">
                  <c:v>0</c:v>
                </c:pt>
                <c:pt idx="11">
                  <c:v>1</c:v>
                </c:pt>
                <c:pt idx="12">
                  <c:v>0</c:v>
                </c:pt>
                <c:pt idx="13">
                  <c:v>0</c:v>
                </c:pt>
                <c:pt idx="14">
                  <c:v>1</c:v>
                </c:pt>
                <c:pt idx="15">
                  <c:v>0</c:v>
                </c:pt>
                <c:pt idx="16">
                  <c:v>1</c:v>
                </c:pt>
                <c:pt idx="17">
                  <c:v>2</c:v>
                </c:pt>
                <c:pt idx="18">
                  <c:v>2</c:v>
                </c:pt>
                <c:pt idx="19">
                  <c:v>1</c:v>
                </c:pt>
                <c:pt idx="20">
                  <c:v>6</c:v>
                </c:pt>
              </c:numCache>
            </c:numRef>
          </c:val>
          <c:extLst>
            <c:ext xmlns:c16="http://schemas.microsoft.com/office/drawing/2014/chart" uri="{C3380CC4-5D6E-409C-BE32-E72D297353CC}">
              <c16:uniqueId val="{00000000-045E-4A8D-87F6-841094A8B363}"/>
            </c:ext>
          </c:extLst>
        </c:ser>
        <c:dLbls>
          <c:showLegendKey val="0"/>
          <c:showVal val="0"/>
          <c:showCatName val="0"/>
          <c:showSerName val="0"/>
          <c:showPercent val="0"/>
          <c:showBubbleSize val="0"/>
        </c:dLbls>
        <c:gapWidth val="219"/>
        <c:overlap val="-27"/>
        <c:axId val="1296069264"/>
        <c:axId val="1296070512"/>
      </c:barChart>
      <c:catAx>
        <c:axId val="129606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96070512"/>
        <c:crosses val="autoZero"/>
        <c:auto val="1"/>
        <c:lblAlgn val="ctr"/>
        <c:lblOffset val="100"/>
        <c:noMultiLvlLbl val="0"/>
      </c:catAx>
      <c:valAx>
        <c:axId val="1296070512"/>
        <c:scaling>
          <c:orientation val="minMax"/>
          <c:max val="8"/>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96069264"/>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userShapes r:id="rId3"/>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baseline="0"/>
              <a:t>ITDC - </a:t>
            </a:r>
            <a:r>
              <a:rPr lang="es-PE"/>
              <a:t>IF - HH</a:t>
            </a:r>
          </a:p>
        </c:rich>
      </c:tx>
      <c:overlay val="0"/>
    </c:title>
    <c:autoTitleDeleted val="0"/>
    <c:plotArea>
      <c:layout/>
      <c:barChart>
        <c:barDir val="col"/>
        <c:grouping val="clustered"/>
        <c:varyColors val="0"/>
        <c:ser>
          <c:idx val="0"/>
          <c:order val="0"/>
          <c:tx>
            <c:v>Ind.Frecuencia</c:v>
          </c:tx>
          <c:invertIfNegative val="0"/>
          <c:dPt>
            <c:idx val="16"/>
            <c:invertIfNegative val="0"/>
            <c:bubble3D val="0"/>
            <c:spPr>
              <a:solidFill>
                <a:srgbClr val="0070C0"/>
              </a:solidFill>
            </c:spPr>
            <c:extLst>
              <c:ext xmlns:c16="http://schemas.microsoft.com/office/drawing/2014/chart" uri="{C3380CC4-5D6E-409C-BE32-E72D297353CC}">
                <c16:uniqueId val="{00000001-DB4B-4BE5-98D7-5E6445F8E0C2}"/>
              </c:ext>
            </c:extLst>
          </c:dPt>
          <c:dPt>
            <c:idx val="17"/>
            <c:invertIfNegative val="0"/>
            <c:bubble3D val="0"/>
            <c:spPr>
              <a:solidFill>
                <a:srgbClr val="0070C0"/>
              </a:solidFill>
            </c:spPr>
            <c:extLst>
              <c:ext xmlns:c16="http://schemas.microsoft.com/office/drawing/2014/chart" uri="{C3380CC4-5D6E-409C-BE32-E72D297353CC}">
                <c16:uniqueId val="{00000003-DB4B-4BE5-98D7-5E6445F8E0C2}"/>
              </c:ext>
            </c:extLst>
          </c:dPt>
          <c:dPt>
            <c:idx val="20"/>
            <c:invertIfNegative val="0"/>
            <c:bubble3D val="0"/>
            <c:spPr>
              <a:solidFill>
                <a:srgbClr val="00B050"/>
              </a:solidFill>
            </c:spPr>
            <c:extLst>
              <c:ext xmlns:c16="http://schemas.microsoft.com/office/drawing/2014/chart" uri="{C3380CC4-5D6E-409C-BE32-E72D297353CC}">
                <c16:uniqueId val="{00000005-341E-431D-8EF2-817BB7A65602}"/>
              </c:ext>
            </c:extLst>
          </c:dPt>
          <c:dPt>
            <c:idx val="21"/>
            <c:invertIfNegative val="0"/>
            <c:bubble3D val="0"/>
            <c:spPr>
              <a:solidFill>
                <a:srgbClr val="FF0000"/>
              </a:solidFill>
            </c:spPr>
            <c:extLst>
              <c:ext xmlns:c16="http://schemas.microsoft.com/office/drawing/2014/chart" uri="{C3380CC4-5D6E-409C-BE32-E72D297353CC}">
                <c16:uniqueId val="{00000006-341E-431D-8EF2-817BB7A65602}"/>
              </c:ext>
            </c:extLst>
          </c:dPt>
          <c:dLbls>
            <c:spPr>
              <a:noFill/>
              <a:ln>
                <a:noFill/>
              </a:ln>
              <a:effectLst/>
            </c:spPr>
            <c:txPr>
              <a:bodyPr/>
              <a:lstStyle/>
              <a:p>
                <a:pPr>
                  <a:defRPr sz="140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Graphics!$AK$4:$AK$26</c:f>
              <c:strCach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pt idx="22">
                  <c:v>OBJ</c:v>
                </c:pt>
              </c:strCache>
            </c:strRef>
          </c:cat>
          <c:val>
            <c:numRef>
              <c:f>Graphics!$AY$4:$AY$26</c:f>
              <c:numCache>
                <c:formatCode>0</c:formatCode>
                <c:ptCount val="23"/>
                <c:pt idx="16" formatCode="0.0">
                  <c:v>32.156808128531431</c:v>
                </c:pt>
                <c:pt idx="17" formatCode="0.0">
                  <c:v>25.525733890172493</c:v>
                </c:pt>
                <c:pt idx="18" formatCode="0.0">
                  <c:v>17.037750613576339</c:v>
                </c:pt>
                <c:pt idx="19" formatCode="0.0">
                  <c:v>11.165602188105431</c:v>
                </c:pt>
                <c:pt idx="20" formatCode="0.0">
                  <c:v>5.9649752351495273</c:v>
                </c:pt>
                <c:pt idx="21" formatCode="0.0">
                  <c:v>3.0240387959273667</c:v>
                </c:pt>
                <c:pt idx="22" formatCode="General">
                  <c:v>0</c:v>
                </c:pt>
              </c:numCache>
            </c:numRef>
          </c:val>
          <c:extLst>
            <c:ext xmlns:c16="http://schemas.microsoft.com/office/drawing/2014/chart" uri="{C3380CC4-5D6E-409C-BE32-E72D297353CC}">
              <c16:uniqueId val="{00000004-DB4B-4BE5-98D7-5E6445F8E0C2}"/>
            </c:ext>
          </c:extLst>
        </c:ser>
        <c:dLbls>
          <c:showLegendKey val="0"/>
          <c:showVal val="0"/>
          <c:showCatName val="0"/>
          <c:showSerName val="0"/>
          <c:showPercent val="0"/>
          <c:showBubbleSize val="0"/>
        </c:dLbls>
        <c:gapWidth val="75"/>
        <c:overlap val="-25"/>
        <c:axId val="1408357504"/>
        <c:axId val="1408368928"/>
      </c:barChart>
      <c:lineChart>
        <c:grouping val="standard"/>
        <c:varyColors val="0"/>
        <c:ser>
          <c:idx val="1"/>
          <c:order val="1"/>
          <c:tx>
            <c:v>HH</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4B-4BE5-98D7-5E6445F8E0C2}"/>
                </c:ext>
              </c:extLst>
            </c:dLbl>
            <c:dLbl>
              <c:idx val="13"/>
              <c:layout>
                <c:manualLayout>
                  <c:x val="-7.0183044790629997E-3"/>
                  <c:y val="-5.780188490500561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B4B-4BE5-98D7-5E6445F8E0C2}"/>
                </c:ext>
              </c:extLst>
            </c:dLbl>
            <c:numFmt formatCode="#,##0" sourceLinked="0"/>
            <c:spPr>
              <a:noFill/>
              <a:ln>
                <a:noFill/>
              </a:ln>
              <a:effectLst/>
            </c:spPr>
            <c:txPr>
              <a:bodyPr/>
              <a:lstStyle/>
              <a:p>
                <a:pPr>
                  <a:defRPr sz="140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[9]Sheet2!$C$3:$C$15</c:f>
              <c:numCache>
                <c:formatCode>General</c:formatCode>
                <c:ptCount val="13"/>
              </c:numCache>
            </c:numRef>
          </c:cat>
          <c:val>
            <c:numRef>
              <c:f>Graphics!$AX$4:$AX$23</c:f>
              <c:numCache>
                <c:formatCode>0</c:formatCode>
                <c:ptCount val="20"/>
                <c:pt idx="16" formatCode="#,##0">
                  <c:v>4509154</c:v>
                </c:pt>
                <c:pt idx="17" formatCode="#,##0">
                  <c:v>4936195</c:v>
                </c:pt>
                <c:pt idx="18" formatCode="#,##0">
                  <c:v>5751933</c:v>
                </c:pt>
                <c:pt idx="19" formatCode="#,##0">
                  <c:v>6806619</c:v>
                </c:pt>
              </c:numCache>
            </c:numRef>
          </c:val>
          <c:smooth val="0"/>
          <c:extLst>
            <c:ext xmlns:c16="http://schemas.microsoft.com/office/drawing/2014/chart" uri="{C3380CC4-5D6E-409C-BE32-E72D297353CC}">
              <c16:uniqueId val="{00000007-DB4B-4BE5-98D7-5E6445F8E0C2}"/>
            </c:ext>
          </c:extLst>
        </c:ser>
        <c:dLbls>
          <c:showLegendKey val="0"/>
          <c:showVal val="0"/>
          <c:showCatName val="0"/>
          <c:showSerName val="0"/>
          <c:showPercent val="0"/>
          <c:showBubbleSize val="0"/>
        </c:dLbls>
        <c:marker val="1"/>
        <c:smooth val="0"/>
        <c:axId val="1408367840"/>
        <c:axId val="1408365120"/>
      </c:lineChart>
      <c:catAx>
        <c:axId val="1408357504"/>
        <c:scaling>
          <c:orientation val="minMax"/>
        </c:scaling>
        <c:delete val="0"/>
        <c:axPos val="b"/>
        <c:numFmt formatCode="General" sourceLinked="1"/>
        <c:majorTickMark val="none"/>
        <c:minorTickMark val="none"/>
        <c:tickLblPos val="nextTo"/>
        <c:crossAx val="1408368928"/>
        <c:crosses val="autoZero"/>
        <c:auto val="1"/>
        <c:lblAlgn val="ctr"/>
        <c:lblOffset val="100"/>
        <c:noMultiLvlLbl val="0"/>
      </c:catAx>
      <c:valAx>
        <c:axId val="1408368928"/>
        <c:scaling>
          <c:orientation val="minMax"/>
          <c:max val="30"/>
        </c:scaling>
        <c:delete val="0"/>
        <c:axPos val="l"/>
        <c:majorGridlines/>
        <c:numFmt formatCode="#,##0.0" sourceLinked="0"/>
        <c:majorTickMark val="none"/>
        <c:minorTickMark val="none"/>
        <c:tickLblPos val="nextTo"/>
        <c:spPr>
          <a:noFill/>
          <a:ln w="9525">
            <a:noFill/>
          </a:ln>
        </c:spPr>
        <c:crossAx val="1408357504"/>
        <c:crosses val="autoZero"/>
        <c:crossBetween val="between"/>
      </c:valAx>
      <c:valAx>
        <c:axId val="1408365120"/>
        <c:scaling>
          <c:orientation val="minMax"/>
        </c:scaling>
        <c:delete val="0"/>
        <c:axPos val="r"/>
        <c:numFmt formatCode="#,##0" sourceLinked="0"/>
        <c:majorTickMark val="out"/>
        <c:minorTickMark val="none"/>
        <c:tickLblPos val="nextTo"/>
        <c:crossAx val="1408367840"/>
        <c:crosses val="max"/>
        <c:crossBetween val="between"/>
        <c:dispUnits>
          <c:builtInUnit val="millions"/>
          <c:dispUnitsLbl/>
        </c:dispUnits>
      </c:valAx>
      <c:catAx>
        <c:axId val="1408367840"/>
        <c:scaling>
          <c:orientation val="minMax"/>
        </c:scaling>
        <c:delete val="1"/>
        <c:axPos val="b"/>
        <c:numFmt formatCode="General" sourceLinked="1"/>
        <c:majorTickMark val="out"/>
        <c:minorTickMark val="none"/>
        <c:tickLblPos val="nextTo"/>
        <c:crossAx val="1408365120"/>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a:t>ITDC - IS - HH</a:t>
            </a:r>
          </a:p>
        </c:rich>
      </c:tx>
      <c:overlay val="0"/>
    </c:title>
    <c:autoTitleDeleted val="0"/>
    <c:plotArea>
      <c:layout>
        <c:manualLayout>
          <c:layoutTarget val="inner"/>
          <c:xMode val="edge"/>
          <c:yMode val="edge"/>
          <c:x val="5.6391468887040004E-2"/>
          <c:y val="0.10974284664587984"/>
          <c:w val="0.8945073713051882"/>
          <c:h val="0.76210886327739868"/>
        </c:manualLayout>
      </c:layout>
      <c:barChart>
        <c:barDir val="col"/>
        <c:grouping val="clustered"/>
        <c:varyColors val="0"/>
        <c:ser>
          <c:idx val="0"/>
          <c:order val="0"/>
          <c:tx>
            <c:v>IS</c:v>
          </c:tx>
          <c:spPr>
            <a:solidFill>
              <a:srgbClr val="0070C0"/>
            </a:solidFill>
            <a:ln>
              <a:solidFill>
                <a:schemeClr val="accent1"/>
              </a:solidFill>
            </a:ln>
          </c:spPr>
          <c:invertIfNegative val="0"/>
          <c:dPt>
            <c:idx val="16"/>
            <c:invertIfNegative val="0"/>
            <c:bubble3D val="0"/>
            <c:extLst>
              <c:ext xmlns:c16="http://schemas.microsoft.com/office/drawing/2014/chart" uri="{C3380CC4-5D6E-409C-BE32-E72D297353CC}">
                <c16:uniqueId val="{00000000-82D4-47DE-8583-7B7A7A42C4EC}"/>
              </c:ext>
            </c:extLst>
          </c:dPt>
          <c:dPt>
            <c:idx val="17"/>
            <c:invertIfNegative val="0"/>
            <c:bubble3D val="0"/>
            <c:extLst>
              <c:ext xmlns:c16="http://schemas.microsoft.com/office/drawing/2014/chart" uri="{C3380CC4-5D6E-409C-BE32-E72D297353CC}">
                <c16:uniqueId val="{00000002-82D4-47DE-8583-7B7A7A42C4EC}"/>
              </c:ext>
            </c:extLst>
          </c:dPt>
          <c:dPt>
            <c:idx val="20"/>
            <c:invertIfNegative val="0"/>
            <c:bubble3D val="0"/>
            <c:spPr>
              <a:solidFill>
                <a:srgbClr val="00B050"/>
              </a:solidFill>
              <a:ln>
                <a:solidFill>
                  <a:schemeClr val="accent1"/>
                </a:solidFill>
              </a:ln>
            </c:spPr>
            <c:extLst>
              <c:ext xmlns:c16="http://schemas.microsoft.com/office/drawing/2014/chart" uri="{C3380CC4-5D6E-409C-BE32-E72D297353CC}">
                <c16:uniqueId val="{00000004-258F-4716-BCB2-0A74FA008D51}"/>
              </c:ext>
            </c:extLst>
          </c:dPt>
          <c:dPt>
            <c:idx val="21"/>
            <c:invertIfNegative val="0"/>
            <c:bubble3D val="0"/>
            <c:spPr>
              <a:solidFill>
                <a:srgbClr val="FF0000"/>
              </a:solidFill>
              <a:ln>
                <a:solidFill>
                  <a:schemeClr val="accent1"/>
                </a:solidFill>
              </a:ln>
            </c:spPr>
            <c:extLst>
              <c:ext xmlns:c16="http://schemas.microsoft.com/office/drawing/2014/chart" uri="{C3380CC4-5D6E-409C-BE32-E72D297353CC}">
                <c16:uniqueId val="{00000005-258F-4716-BCB2-0A74FA008D51}"/>
              </c:ext>
            </c:extLst>
          </c:dPt>
          <c:dLbls>
            <c:dLbl>
              <c:idx val="11"/>
              <c:spPr>
                <a:solidFill>
                  <a:schemeClr val="tx2">
                    <a:lumMod val="60000"/>
                    <a:lumOff val="40000"/>
                  </a:schemeClr>
                </a:solidFill>
                <a:ln>
                  <a:noFill/>
                </a:ln>
                <a:effectLst/>
              </c:spPr>
              <c:txPr>
                <a:bodyPr/>
                <a:lstStyle/>
                <a:p>
                  <a:pPr>
                    <a:defRPr sz="1400" b="1">
                      <a:solidFill>
                        <a:schemeClr val="bg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3-82D4-47DE-8583-7B7A7A42C4EC}"/>
                </c:ext>
              </c:extLst>
            </c:dLbl>
            <c:dLbl>
              <c:idx val="17"/>
              <c:layout>
                <c:manualLayout>
                  <c:x val="9.418152207511278E-8"/>
                  <c:y val="-1.4452413209023117E-2"/>
                </c:manualLayout>
              </c:layout>
              <c:spPr>
                <a:noFill/>
                <a:ln>
                  <a:noFill/>
                </a:ln>
                <a:effectLst/>
              </c:spPr>
              <c:txPr>
                <a:bodyPr/>
                <a:lstStyle/>
                <a:p>
                  <a:pPr>
                    <a:defRPr sz="1400" b="1">
                      <a:solidFill>
                        <a:sysClr val="windowText" lastClr="000000"/>
                      </a:solidFill>
                    </a:defRPr>
                  </a:pPr>
                  <a:endParaRPr lang="es-PE"/>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D4-47DE-8583-7B7A7A42C4EC}"/>
                </c:ext>
              </c:extLst>
            </c:dLbl>
            <c:dLbl>
              <c:idx val="19"/>
              <c:layout>
                <c:manualLayout>
                  <c:x val="9.418152207511278E-8"/>
                  <c:y val="6.09907239637337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2D4-47DE-8583-7B7A7A42C4EC}"/>
                </c:ext>
              </c:extLst>
            </c:dLbl>
            <c:dLbl>
              <c:idx val="20"/>
              <c:layout>
                <c:manualLayout>
                  <c:x val="0"/>
                  <c:y val="5.72210828004679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8F-4716-BCB2-0A74FA008D51}"/>
                </c:ext>
              </c:extLst>
            </c:dLbl>
            <c:dLbl>
              <c:idx val="21"/>
              <c:layout>
                <c:manualLayout>
                  <c:x val="0"/>
                  <c:y val="6.40530953423903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8F-4716-BCB2-0A74FA008D51}"/>
                </c:ext>
              </c:extLst>
            </c:dLbl>
            <c:spPr>
              <a:noFill/>
              <a:ln>
                <a:noFill/>
              </a:ln>
              <a:effectLst/>
            </c:spPr>
            <c:txPr>
              <a:bodyPr/>
              <a:lstStyle/>
              <a:p>
                <a:pPr>
                  <a:defRPr sz="140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Graphics!$AK$4:$AK$26</c:f>
              <c:strCach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pt idx="22">
                  <c:v>OBJ</c:v>
                </c:pt>
              </c:strCache>
            </c:strRef>
          </c:cat>
          <c:val>
            <c:numRef>
              <c:f>Graphics!$AZ$4:$AZ$26</c:f>
              <c:numCache>
                <c:formatCode>0</c:formatCode>
                <c:ptCount val="23"/>
                <c:pt idx="16">
                  <c:v>602.33028191097492</c:v>
                </c:pt>
                <c:pt idx="17">
                  <c:v>1742.8403861678885</c:v>
                </c:pt>
                <c:pt idx="18">
                  <c:v>420.55427279837926</c:v>
                </c:pt>
                <c:pt idx="19">
                  <c:v>207.88588284433138</c:v>
                </c:pt>
                <c:pt idx="20">
                  <c:v>240.01176669851648</c:v>
                </c:pt>
                <c:pt idx="21" formatCode="#,##0">
                  <c:v>223.95675553367971</c:v>
                </c:pt>
                <c:pt idx="22">
                  <c:v>0</c:v>
                </c:pt>
              </c:numCache>
            </c:numRef>
          </c:val>
          <c:extLst>
            <c:ext xmlns:c16="http://schemas.microsoft.com/office/drawing/2014/chart" uri="{C3380CC4-5D6E-409C-BE32-E72D297353CC}">
              <c16:uniqueId val="{00000005-82D4-47DE-8583-7B7A7A42C4EC}"/>
            </c:ext>
          </c:extLst>
        </c:ser>
        <c:dLbls>
          <c:showLegendKey val="0"/>
          <c:showVal val="0"/>
          <c:showCatName val="0"/>
          <c:showSerName val="0"/>
          <c:showPercent val="0"/>
          <c:showBubbleSize val="0"/>
        </c:dLbls>
        <c:gapWidth val="75"/>
        <c:overlap val="-25"/>
        <c:axId val="1408369472"/>
        <c:axId val="1408376000"/>
      </c:barChart>
      <c:lineChart>
        <c:grouping val="standard"/>
        <c:varyColors val="0"/>
        <c:ser>
          <c:idx val="1"/>
          <c:order val="1"/>
          <c:tx>
            <c:v>HH</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2D4-47DE-8583-7B7A7A42C4EC}"/>
                </c:ext>
              </c:extLst>
            </c:dLbl>
            <c:dLbl>
              <c:idx val="13"/>
              <c:layout>
                <c:manualLayout>
                  <c:x val="-1.1166112024158974E-2"/>
                  <c:y val="-3.2632867876038973E-2"/>
                </c:manualLayout>
              </c:layout>
              <c:numFmt formatCode="#,##0" sourceLinked="0"/>
              <c:spPr/>
              <c:txPr>
                <a:bodyPr/>
                <a:lstStyle/>
                <a:p>
                  <a:pPr algn="ctr" rtl="0">
                    <a:defRPr lang="en-US" sz="14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2D4-47DE-8583-7B7A7A42C4EC}"/>
                </c:ext>
              </c:extLst>
            </c:dLbl>
            <c:dLbl>
              <c:idx val="15"/>
              <c:layout>
                <c:manualLayout>
                  <c:x val="-2.3008588100942209E-2"/>
                  <c:y val="-1.5956745129659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2D4-47DE-8583-7B7A7A42C4EC}"/>
                </c:ext>
              </c:extLst>
            </c:dLbl>
            <c:dLbl>
              <c:idx val="16"/>
              <c:layout>
                <c:manualLayout>
                  <c:x val="-1.6054052433476868E-2"/>
                  <c:y val="-2.74259414649908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2D4-47DE-8583-7B7A7A42C4EC}"/>
                </c:ext>
              </c:extLst>
            </c:dLbl>
            <c:numFmt formatCode="#,##0" sourceLinked="0"/>
            <c:spPr>
              <a:noFill/>
              <a:ln>
                <a:noFill/>
              </a:ln>
              <a:effectLst/>
            </c:spPr>
            <c:txPr>
              <a:bodyPr/>
              <a:lstStyle/>
              <a:p>
                <a:pPr algn="ctr" rtl="0">
                  <a:defRPr lang="es-PE" sz="1400" b="1" i="0" u="none" strike="noStrike" kern="1200" baseline="0">
                    <a:solidFill>
                      <a:srgbClr val="FF0000"/>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Graphics!$AK$4:$AK$23</c:f>
              <c:numCache>
                <c:formatCode>General</c:formatCode>
                <c:ptCount val="20"/>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numCache>
            </c:numRef>
          </c:cat>
          <c:val>
            <c:numRef>
              <c:f>Graphics!$AX$4:$AX$23</c:f>
              <c:numCache>
                <c:formatCode>0</c:formatCode>
                <c:ptCount val="20"/>
                <c:pt idx="16" formatCode="#,##0">
                  <c:v>4509154</c:v>
                </c:pt>
                <c:pt idx="17" formatCode="#,##0">
                  <c:v>4936195</c:v>
                </c:pt>
                <c:pt idx="18" formatCode="#,##0">
                  <c:v>5751933</c:v>
                </c:pt>
                <c:pt idx="19" formatCode="#,##0">
                  <c:v>6806619</c:v>
                </c:pt>
              </c:numCache>
            </c:numRef>
          </c:val>
          <c:smooth val="0"/>
          <c:extLst>
            <c:ext xmlns:c16="http://schemas.microsoft.com/office/drawing/2014/chart" uri="{C3380CC4-5D6E-409C-BE32-E72D297353CC}">
              <c16:uniqueId val="{0000000A-82D4-47DE-8583-7B7A7A42C4EC}"/>
            </c:ext>
          </c:extLst>
        </c:ser>
        <c:dLbls>
          <c:showLegendKey val="0"/>
          <c:showVal val="0"/>
          <c:showCatName val="0"/>
          <c:showSerName val="0"/>
          <c:showPercent val="0"/>
          <c:showBubbleSize val="0"/>
        </c:dLbls>
        <c:marker val="1"/>
        <c:smooth val="0"/>
        <c:axId val="1408372192"/>
        <c:axId val="1408366752"/>
      </c:lineChart>
      <c:catAx>
        <c:axId val="1408369472"/>
        <c:scaling>
          <c:orientation val="minMax"/>
        </c:scaling>
        <c:delete val="0"/>
        <c:axPos val="b"/>
        <c:numFmt formatCode="General" sourceLinked="1"/>
        <c:majorTickMark val="none"/>
        <c:minorTickMark val="none"/>
        <c:tickLblPos val="nextTo"/>
        <c:crossAx val="1408376000"/>
        <c:crosses val="autoZero"/>
        <c:auto val="1"/>
        <c:lblAlgn val="ctr"/>
        <c:lblOffset val="100"/>
        <c:noMultiLvlLbl val="0"/>
      </c:catAx>
      <c:valAx>
        <c:axId val="1408376000"/>
        <c:scaling>
          <c:orientation val="minMax"/>
          <c:max val="1600"/>
        </c:scaling>
        <c:delete val="0"/>
        <c:axPos val="l"/>
        <c:majorGridlines/>
        <c:numFmt formatCode="#,##0.0" sourceLinked="0"/>
        <c:majorTickMark val="none"/>
        <c:minorTickMark val="none"/>
        <c:tickLblPos val="nextTo"/>
        <c:spPr>
          <a:noFill/>
          <a:ln w="9525">
            <a:noFill/>
          </a:ln>
        </c:spPr>
        <c:crossAx val="1408369472"/>
        <c:crosses val="autoZero"/>
        <c:crossBetween val="between"/>
      </c:valAx>
      <c:valAx>
        <c:axId val="1408366752"/>
        <c:scaling>
          <c:orientation val="minMax"/>
        </c:scaling>
        <c:delete val="0"/>
        <c:axPos val="r"/>
        <c:numFmt formatCode="#,##0" sourceLinked="0"/>
        <c:majorTickMark val="out"/>
        <c:minorTickMark val="none"/>
        <c:tickLblPos val="nextTo"/>
        <c:crossAx val="1408372192"/>
        <c:crosses val="max"/>
        <c:crossBetween val="between"/>
        <c:dispUnits>
          <c:builtInUnit val="millions"/>
          <c:dispUnitsLbl/>
        </c:dispUnits>
      </c:valAx>
      <c:catAx>
        <c:axId val="1408372192"/>
        <c:scaling>
          <c:orientation val="minMax"/>
        </c:scaling>
        <c:delete val="1"/>
        <c:axPos val="b"/>
        <c:numFmt formatCode="General" sourceLinked="1"/>
        <c:majorTickMark val="out"/>
        <c:minorTickMark val="none"/>
        <c:tickLblPos val="nextTo"/>
        <c:crossAx val="1408366752"/>
        <c:crosses val="autoZero"/>
        <c:auto val="1"/>
        <c:lblAlgn val="ctr"/>
        <c:lblOffset val="100"/>
        <c:noMultiLvlLbl val="0"/>
      </c:catAx>
    </c:plotArea>
    <c:legend>
      <c:legendPos val="b"/>
      <c:overlay val="0"/>
    </c:legend>
    <c:plotVisOnly val="1"/>
    <c:dispBlanksAs val="gap"/>
    <c:showDLblsOverMax val="0"/>
  </c:chart>
  <c:spPr>
    <a:ln>
      <a:solidFill>
        <a:schemeClr val="bg1">
          <a:lumMod val="75000"/>
        </a:schemeClr>
      </a:solidFill>
    </a:ln>
  </c:sp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a:t>Indice</a:t>
            </a:r>
            <a:r>
              <a:rPr lang="es-PE" baseline="0"/>
              <a:t> </a:t>
            </a:r>
            <a:r>
              <a:rPr lang="es-PE"/>
              <a:t>Frecuencia vs</a:t>
            </a:r>
            <a:r>
              <a:rPr lang="es-PE" baseline="0"/>
              <a:t> Cantidad Accidentes Graves PERU + PAISES</a:t>
            </a:r>
            <a:endParaRPr lang="es-PE"/>
          </a:p>
        </c:rich>
      </c:tx>
      <c:layout>
        <c:manualLayout>
          <c:xMode val="edge"/>
          <c:yMode val="edge"/>
          <c:x val="0.17772081033493126"/>
          <c:y val="3.076227202284949E-2"/>
        </c:manualLayout>
      </c:layout>
      <c:overlay val="0"/>
    </c:title>
    <c:autoTitleDeleted val="0"/>
    <c:plotArea>
      <c:layout>
        <c:manualLayout>
          <c:layoutTarget val="inner"/>
          <c:xMode val="edge"/>
          <c:yMode val="edge"/>
          <c:x val="4.8564865478604495E-2"/>
          <c:y val="0.14789780606405589"/>
          <c:w val="0.90652962528913228"/>
          <c:h val="0.68186463360724736"/>
        </c:manualLayout>
      </c:layout>
      <c:lineChart>
        <c:grouping val="standard"/>
        <c:varyColors val="0"/>
        <c:ser>
          <c:idx val="1"/>
          <c:order val="0"/>
          <c:tx>
            <c:v>IF</c:v>
          </c:tx>
          <c:spPr>
            <a:ln>
              <a:solidFill>
                <a:srgbClr val="FF0000"/>
              </a:solidFill>
            </a:ln>
          </c:spPr>
          <c:marker>
            <c:symbol val="none"/>
          </c:marker>
          <c:dLbls>
            <c:spPr>
              <a:noFill/>
              <a:ln>
                <a:noFill/>
              </a:ln>
              <a:effectLst/>
            </c:spPr>
            <c:txPr>
              <a:bodyPr wrap="square" lIns="38100" tIns="19050" rIns="38100" bIns="19050" anchor="ctr">
                <a:spAutoFit/>
              </a:bodyPr>
              <a:lstStyle/>
              <a:p>
                <a:pPr>
                  <a:defRPr sz="130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Graphics!$AK$4:$AK$25</c:f>
              <c:strCache>
                <c:ptCount val="22"/>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strCache>
            </c:strRef>
          </c:cat>
          <c:val>
            <c:numRef>
              <c:f>Graphics!$AV$4:$AV$25</c:f>
              <c:numCache>
                <c:formatCode>0.0</c:formatCode>
                <c:ptCount val="22"/>
                <c:pt idx="0">
                  <c:v>5.0999999999999996</c:v>
                </c:pt>
                <c:pt idx="1">
                  <c:v>3.2</c:v>
                </c:pt>
                <c:pt idx="2">
                  <c:v>3.1</c:v>
                </c:pt>
                <c:pt idx="3">
                  <c:v>3.5</c:v>
                </c:pt>
                <c:pt idx="4">
                  <c:v>3.4</c:v>
                </c:pt>
                <c:pt idx="5">
                  <c:v>8.4</c:v>
                </c:pt>
                <c:pt idx="6">
                  <c:v>5.0999999999999996</c:v>
                </c:pt>
                <c:pt idx="7">
                  <c:v>4</c:v>
                </c:pt>
                <c:pt idx="8">
                  <c:v>4.2</c:v>
                </c:pt>
                <c:pt idx="9">
                  <c:v>4.5999999999999996</c:v>
                </c:pt>
                <c:pt idx="10">
                  <c:v>3.9</c:v>
                </c:pt>
                <c:pt idx="11" formatCode="#,##0.0">
                  <c:v>10.339783390976901</c:v>
                </c:pt>
                <c:pt idx="12" formatCode="#,##0.0">
                  <c:v>7.2282480680641683</c:v>
                </c:pt>
                <c:pt idx="13" formatCode="#,##0.0">
                  <c:v>4.6320251275467994</c:v>
                </c:pt>
                <c:pt idx="14" formatCode="#,##0.0">
                  <c:v>4.9506779768887652</c:v>
                </c:pt>
                <c:pt idx="15" formatCode="#,##0.0">
                  <c:v>4.7</c:v>
                </c:pt>
                <c:pt idx="16" formatCode="#,##0.0">
                  <c:v>4.4000000000000004</c:v>
                </c:pt>
                <c:pt idx="17" formatCode="#,##0.0">
                  <c:v>7.3</c:v>
                </c:pt>
                <c:pt idx="18" formatCode="#,##0.0">
                  <c:v>5.5999737041827355</c:v>
                </c:pt>
                <c:pt idx="19" formatCode="#,##0.0">
                  <c:v>4.7908913790444352</c:v>
                </c:pt>
                <c:pt idx="20" formatCode="#,##0.0">
                  <c:v>3.3615609727581162</c:v>
                </c:pt>
                <c:pt idx="21">
                  <c:v>3.3029437046904491</c:v>
                </c:pt>
              </c:numCache>
            </c:numRef>
          </c:val>
          <c:smooth val="0"/>
          <c:extLst>
            <c:ext xmlns:c16="http://schemas.microsoft.com/office/drawing/2014/chart" uri="{C3380CC4-5D6E-409C-BE32-E72D297353CC}">
              <c16:uniqueId val="{00000051-E056-43AC-AEBA-15E64B119999}"/>
            </c:ext>
          </c:extLst>
        </c:ser>
        <c:dLbls>
          <c:showLegendKey val="0"/>
          <c:showVal val="0"/>
          <c:showCatName val="0"/>
          <c:showSerName val="0"/>
          <c:showPercent val="0"/>
          <c:showBubbleSize val="0"/>
        </c:dLbls>
        <c:marker val="1"/>
        <c:smooth val="0"/>
        <c:axId val="1408357504"/>
        <c:axId val="1408368928"/>
      </c:lineChart>
      <c:lineChart>
        <c:grouping val="standard"/>
        <c:varyColors val="0"/>
        <c:ser>
          <c:idx val="0"/>
          <c:order val="1"/>
          <c:tx>
            <c:v>Cant.Accid.Graves</c:v>
          </c:tx>
          <c:marker>
            <c:symbol val="none"/>
          </c:marker>
          <c:dLbls>
            <c:dLbl>
              <c:idx val="20"/>
              <c:layout>
                <c:manualLayout>
                  <c:x val="-1.1296783365975286E-2"/>
                  <c:y val="3.10349256417982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10-4873-BDCD-EDD33E83ED9A}"/>
                </c:ext>
              </c:extLst>
            </c:dLbl>
            <c:spPr>
              <a:noFill/>
              <a:ln>
                <a:noFill/>
              </a:ln>
              <a:effectLst/>
            </c:spPr>
            <c:txPr>
              <a:bodyPr wrap="square" lIns="38100" tIns="19050" rIns="38100" bIns="19050" anchor="ctr">
                <a:spAutoFit/>
              </a:bodyPr>
              <a:lstStyle/>
              <a:p>
                <a:pPr>
                  <a:defRPr sz="1300"/>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Graphics!$AK$4:$AK$25</c:f>
              <c:strCache>
                <c:ptCount val="22"/>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strCache>
            </c:strRef>
          </c:cat>
          <c:val>
            <c:numRef>
              <c:f>Graphics!$BA$4:$BA$25</c:f>
              <c:numCache>
                <c:formatCode>0</c:formatCode>
                <c:ptCount val="22"/>
                <c:pt idx="0">
                  <c:v>0</c:v>
                </c:pt>
                <c:pt idx="1">
                  <c:v>0</c:v>
                </c:pt>
                <c:pt idx="2">
                  <c:v>0</c:v>
                </c:pt>
                <c:pt idx="3">
                  <c:v>0</c:v>
                </c:pt>
                <c:pt idx="4">
                  <c:v>0</c:v>
                </c:pt>
                <c:pt idx="5">
                  <c:v>0</c:v>
                </c:pt>
                <c:pt idx="6">
                  <c:v>0</c:v>
                </c:pt>
                <c:pt idx="7">
                  <c:v>1</c:v>
                </c:pt>
                <c:pt idx="8">
                  <c:v>0</c:v>
                </c:pt>
                <c:pt idx="9">
                  <c:v>1</c:v>
                </c:pt>
                <c:pt idx="10">
                  <c:v>0</c:v>
                </c:pt>
                <c:pt idx="11">
                  <c:v>1</c:v>
                </c:pt>
                <c:pt idx="12">
                  <c:v>0</c:v>
                </c:pt>
                <c:pt idx="13">
                  <c:v>0</c:v>
                </c:pt>
                <c:pt idx="14">
                  <c:v>1</c:v>
                </c:pt>
                <c:pt idx="15">
                  <c:v>0</c:v>
                </c:pt>
                <c:pt idx="16">
                  <c:v>1</c:v>
                </c:pt>
                <c:pt idx="17">
                  <c:v>2</c:v>
                </c:pt>
                <c:pt idx="18">
                  <c:v>2</c:v>
                </c:pt>
                <c:pt idx="19">
                  <c:v>1</c:v>
                </c:pt>
                <c:pt idx="20">
                  <c:v>6</c:v>
                </c:pt>
              </c:numCache>
            </c:numRef>
          </c:val>
          <c:smooth val="0"/>
          <c:extLst>
            <c:ext xmlns:c16="http://schemas.microsoft.com/office/drawing/2014/chart" uri="{C3380CC4-5D6E-409C-BE32-E72D297353CC}">
              <c16:uniqueId val="{00000050-E056-43AC-AEBA-15E64B119999}"/>
            </c:ext>
          </c:extLst>
        </c:ser>
        <c:dLbls>
          <c:showLegendKey val="0"/>
          <c:showVal val="0"/>
          <c:showCatName val="0"/>
          <c:showSerName val="0"/>
          <c:showPercent val="0"/>
          <c:showBubbleSize val="0"/>
        </c:dLbls>
        <c:marker val="1"/>
        <c:smooth val="0"/>
        <c:axId val="671349840"/>
        <c:axId val="671346096"/>
      </c:lineChart>
      <c:catAx>
        <c:axId val="1408357504"/>
        <c:scaling>
          <c:orientation val="minMax"/>
        </c:scaling>
        <c:delete val="0"/>
        <c:axPos val="b"/>
        <c:numFmt formatCode="General" sourceLinked="1"/>
        <c:majorTickMark val="none"/>
        <c:minorTickMark val="none"/>
        <c:tickLblPos val="nextTo"/>
        <c:crossAx val="1408368928"/>
        <c:crosses val="autoZero"/>
        <c:auto val="1"/>
        <c:lblAlgn val="ctr"/>
        <c:lblOffset val="100"/>
        <c:noMultiLvlLbl val="0"/>
      </c:catAx>
      <c:valAx>
        <c:axId val="1408368928"/>
        <c:scaling>
          <c:orientation val="minMax"/>
        </c:scaling>
        <c:delete val="0"/>
        <c:axPos val="l"/>
        <c:majorGridlines/>
        <c:numFmt formatCode="#,##0.0" sourceLinked="0"/>
        <c:majorTickMark val="none"/>
        <c:minorTickMark val="none"/>
        <c:tickLblPos val="nextTo"/>
        <c:spPr>
          <a:noFill/>
          <a:ln w="9525">
            <a:noFill/>
          </a:ln>
        </c:spPr>
        <c:crossAx val="1408357504"/>
        <c:crosses val="autoZero"/>
        <c:crossBetween val="between"/>
        <c:majorUnit val="1"/>
      </c:valAx>
      <c:valAx>
        <c:axId val="671346096"/>
        <c:scaling>
          <c:orientation val="minMax"/>
          <c:max val="10"/>
        </c:scaling>
        <c:delete val="0"/>
        <c:axPos val="r"/>
        <c:numFmt formatCode="0" sourceLinked="1"/>
        <c:majorTickMark val="out"/>
        <c:minorTickMark val="none"/>
        <c:tickLblPos val="nextTo"/>
        <c:crossAx val="671349840"/>
        <c:crosses val="max"/>
        <c:crossBetween val="between"/>
      </c:valAx>
      <c:catAx>
        <c:axId val="671349840"/>
        <c:scaling>
          <c:orientation val="minMax"/>
        </c:scaling>
        <c:delete val="1"/>
        <c:axPos val="b"/>
        <c:numFmt formatCode="General" sourceLinked="1"/>
        <c:majorTickMark val="out"/>
        <c:minorTickMark val="none"/>
        <c:tickLblPos val="nextTo"/>
        <c:crossAx val="671346096"/>
        <c:crosses val="autoZero"/>
        <c:auto val="1"/>
        <c:lblAlgn val="ctr"/>
        <c:lblOffset val="100"/>
        <c:noMultiLvlLbl val="0"/>
      </c:catAx>
    </c:plotArea>
    <c:legend>
      <c:legendPos val="b"/>
      <c:overlay val="0"/>
    </c:legend>
    <c:plotVisOnly val="1"/>
    <c:dispBlanksAs val="gap"/>
    <c:showDLblsOverMax val="0"/>
  </c:chart>
  <c:spPr>
    <a:ln>
      <a:solidFill>
        <a:schemeClr val="bg1">
          <a:lumMod val="75000"/>
        </a:schemeClr>
      </a:solidFill>
    </a:ln>
  </c:spPr>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a:t>Indice</a:t>
            </a:r>
            <a:r>
              <a:rPr lang="es-PE" baseline="0"/>
              <a:t> </a:t>
            </a:r>
            <a:r>
              <a:rPr lang="es-PE"/>
              <a:t>Frecuencia / Indice</a:t>
            </a:r>
            <a:r>
              <a:rPr lang="es-PE" baseline="0"/>
              <a:t> Severidad - PERU</a:t>
            </a:r>
            <a:endParaRPr lang="es-PE"/>
          </a:p>
        </c:rich>
      </c:tx>
      <c:overlay val="0"/>
    </c:title>
    <c:autoTitleDeleted val="0"/>
    <c:plotArea>
      <c:layout>
        <c:manualLayout>
          <c:layoutTarget val="inner"/>
          <c:xMode val="edge"/>
          <c:yMode val="edge"/>
          <c:x val="8.64984497831294E-2"/>
          <c:y val="0.11827731733311979"/>
          <c:w val="0.87584217799479425"/>
          <c:h val="0.75987644258359976"/>
        </c:manualLayout>
      </c:layout>
      <c:lineChart>
        <c:grouping val="standard"/>
        <c:varyColors val="0"/>
        <c:ser>
          <c:idx val="1"/>
          <c:order val="0"/>
          <c:tx>
            <c:v>IF</c:v>
          </c:tx>
          <c:spPr>
            <a:ln>
              <a:solidFill>
                <a:srgbClr val="FF0000"/>
              </a:solidFill>
            </a:ln>
          </c:spPr>
          <c:marker>
            <c:symbol val="none"/>
          </c:marker>
          <c:dLbls>
            <c:dLbl>
              <c:idx val="16"/>
              <c:layout>
                <c:manualLayout>
                  <c:x val="-1.7126216295478069E-2"/>
                  <c:y val="1.1796630269612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83-4D9F-9A0E-87A186653813}"/>
                </c:ext>
              </c:extLst>
            </c:dLbl>
            <c:dLbl>
              <c:idx val="17"/>
              <c:layout>
                <c:manualLayout>
                  <c:x val="-4.0831696771418038E-3"/>
                  <c:y val="-3.05776244868854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83-4D9F-9A0E-87A186653813}"/>
                </c:ext>
              </c:extLst>
            </c:dLbl>
            <c:dLbl>
              <c:idx val="21"/>
              <c:spPr>
                <a:noFill/>
                <a:ln>
                  <a:noFill/>
                </a:ln>
                <a:effectLst/>
              </c:spPr>
              <c:txPr>
                <a:bodyPr wrap="square" lIns="38100" tIns="19050" rIns="38100" bIns="19050" anchor="ctr">
                  <a:spAutoFit/>
                </a:bodyPr>
                <a:lstStyle/>
                <a:p>
                  <a:pPr>
                    <a:defRPr sz="1600" b="1">
                      <a:solidFill>
                        <a:srgbClr val="FF0000"/>
                      </a:solidFil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0-E383-4D9F-9A0E-87A186653813}"/>
                </c:ext>
              </c:extLst>
            </c:dLbl>
            <c:spPr>
              <a:noFill/>
              <a:ln>
                <a:noFill/>
              </a:ln>
              <a:effectLst/>
            </c:spPr>
            <c:txPr>
              <a:bodyPr wrap="square" lIns="38100" tIns="19050" rIns="38100" bIns="19050" anchor="ctr">
                <a:spAutoFit/>
              </a:bodyPr>
              <a:lstStyle/>
              <a:p>
                <a:pPr>
                  <a:defRPr>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Graphics!$AK$4:$AK$25</c:f>
              <c:strCache>
                <c:ptCount val="22"/>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strCache>
            </c:strRef>
          </c:cat>
          <c:val>
            <c:numRef>
              <c:f>Graphics!$AM$4:$AM$25</c:f>
              <c:numCache>
                <c:formatCode>0.0</c:formatCode>
                <c:ptCount val="22"/>
                <c:pt idx="0">
                  <c:v>5.0999999999999996</c:v>
                </c:pt>
                <c:pt idx="1">
                  <c:v>3.2</c:v>
                </c:pt>
                <c:pt idx="2">
                  <c:v>3.1</c:v>
                </c:pt>
                <c:pt idx="3">
                  <c:v>3.5</c:v>
                </c:pt>
                <c:pt idx="4">
                  <c:v>3.4</c:v>
                </c:pt>
                <c:pt idx="5">
                  <c:v>8.4</c:v>
                </c:pt>
                <c:pt idx="6">
                  <c:v>5.0999999999999996</c:v>
                </c:pt>
                <c:pt idx="7">
                  <c:v>4</c:v>
                </c:pt>
                <c:pt idx="8">
                  <c:v>4.2</c:v>
                </c:pt>
                <c:pt idx="9">
                  <c:v>4.5999999999999996</c:v>
                </c:pt>
                <c:pt idx="10">
                  <c:v>3.9</c:v>
                </c:pt>
                <c:pt idx="11">
                  <c:v>6</c:v>
                </c:pt>
                <c:pt idx="12">
                  <c:v>5.8</c:v>
                </c:pt>
                <c:pt idx="13">
                  <c:v>3.5</c:v>
                </c:pt>
                <c:pt idx="14">
                  <c:v>4.5999999999999996</c:v>
                </c:pt>
                <c:pt idx="15">
                  <c:v>4.4000000000000004</c:v>
                </c:pt>
                <c:pt idx="16">
                  <c:v>4.2</c:v>
                </c:pt>
                <c:pt idx="17">
                  <c:v>8.9</c:v>
                </c:pt>
                <c:pt idx="18">
                  <c:v>6.6006666200305943</c:v>
                </c:pt>
                <c:pt idx="19">
                  <c:v>5.4637208386276113</c:v>
                </c:pt>
                <c:pt idx="20">
                  <c:v>3.5529831881946592</c:v>
                </c:pt>
                <c:pt idx="21">
                  <c:v>3.5478682869288742</c:v>
                </c:pt>
              </c:numCache>
            </c:numRef>
          </c:val>
          <c:smooth val="0"/>
          <c:extLst>
            <c:ext xmlns:c16="http://schemas.microsoft.com/office/drawing/2014/chart" uri="{C3380CC4-5D6E-409C-BE32-E72D297353CC}">
              <c16:uniqueId val="{00000000-560A-4E48-95EF-A31FA9967423}"/>
            </c:ext>
          </c:extLst>
        </c:ser>
        <c:dLbls>
          <c:showLegendKey val="0"/>
          <c:showVal val="0"/>
          <c:showCatName val="0"/>
          <c:showSerName val="0"/>
          <c:showPercent val="0"/>
          <c:showBubbleSize val="0"/>
        </c:dLbls>
        <c:marker val="1"/>
        <c:smooth val="0"/>
        <c:axId val="1408357504"/>
        <c:axId val="1408368928"/>
      </c:lineChart>
      <c:lineChart>
        <c:grouping val="standard"/>
        <c:varyColors val="0"/>
        <c:ser>
          <c:idx val="0"/>
          <c:order val="1"/>
          <c:tx>
            <c:v>IS</c:v>
          </c:tx>
          <c:marker>
            <c:symbol val="none"/>
          </c:marker>
          <c:dLbls>
            <c:dLbl>
              <c:idx val="15"/>
              <c:layout>
                <c:manualLayout>
                  <c:x val="-2.3339864366008656E-2"/>
                  <c:y val="2.1267953439599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D9-4C12-AC74-EE545A0088E6}"/>
                </c:ext>
              </c:extLst>
            </c:dLbl>
            <c:dLbl>
              <c:idx val="18"/>
              <c:layout>
                <c:manualLayout>
                  <c:x val="-3.2035228778232831E-2"/>
                  <c:y val="1.8184515362441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D9-4C12-AC74-EE545A0088E6}"/>
                </c:ext>
              </c:extLst>
            </c:dLbl>
            <c:dLbl>
              <c:idx val="19"/>
              <c:layout>
                <c:manualLayout>
                  <c:x val="-3.2035228778232831E-2"/>
                  <c:y val="-2.49836177177751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D9-4C12-AC74-EE545A0088E6}"/>
                </c:ext>
              </c:extLst>
            </c:dLbl>
            <c:dLbl>
              <c:idx val="20"/>
              <c:layout>
                <c:manualLayout>
                  <c:x val="-3.4158289866020743E-2"/>
                  <c:y val="-3.1611310050867015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3D9-4C12-AC74-EE545A0088E6}"/>
                </c:ext>
              </c:extLst>
            </c:dLbl>
            <c:dLbl>
              <c:idx val="21"/>
              <c:spPr>
                <a:noFill/>
                <a:ln>
                  <a:noFill/>
                </a:ln>
                <a:effectLst/>
              </c:spPr>
              <c:txPr>
                <a:bodyPr wrap="square" lIns="38100" tIns="19050" rIns="38100" bIns="19050" anchor="ctr">
                  <a:spAutoFit/>
                </a:bodyPr>
                <a:lstStyle/>
                <a:p>
                  <a:pPr>
                    <a:defRPr sz="1600" b="1">
                      <a:solidFill>
                        <a:sysClr val="windowText" lastClr="000000"/>
                      </a:solidFil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1-E383-4D9F-9A0E-87A186653813}"/>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Graphics!$AK$15:$AK$25</c:f>
              <c:strCache>
                <c:ptCount val="11"/>
                <c:pt idx="0">
                  <c:v>2013</c:v>
                </c:pt>
                <c:pt idx="1">
                  <c:v>2014</c:v>
                </c:pt>
                <c:pt idx="2">
                  <c:v>2015</c:v>
                </c:pt>
                <c:pt idx="3">
                  <c:v>2016</c:v>
                </c:pt>
                <c:pt idx="4">
                  <c:v>2017</c:v>
                </c:pt>
                <c:pt idx="5">
                  <c:v>2018</c:v>
                </c:pt>
                <c:pt idx="6">
                  <c:v>2019</c:v>
                </c:pt>
                <c:pt idx="7">
                  <c:v>2020</c:v>
                </c:pt>
                <c:pt idx="8">
                  <c:v>2021</c:v>
                </c:pt>
                <c:pt idx="9">
                  <c:v>2022</c:v>
                </c:pt>
                <c:pt idx="10">
                  <c:v>a Jun 2023</c:v>
                </c:pt>
              </c:strCache>
            </c:strRef>
          </c:cat>
          <c:val>
            <c:numRef>
              <c:f>Graphics!$AN$4:$AN$25</c:f>
              <c:numCache>
                <c:formatCode>0</c:formatCode>
                <c:ptCount val="22"/>
                <c:pt idx="0">
                  <c:v>159.77121450504629</c:v>
                </c:pt>
                <c:pt idx="1">
                  <c:v>103.77868766070161</c:v>
                </c:pt>
                <c:pt idx="2">
                  <c:v>115.30710717529519</c:v>
                </c:pt>
                <c:pt idx="3">
                  <c:v>137.35289028242826</c:v>
                </c:pt>
                <c:pt idx="4">
                  <c:v>70.171836910212235</c:v>
                </c:pt>
                <c:pt idx="5">
                  <c:v>97.666359497056433</c:v>
                </c:pt>
                <c:pt idx="6">
                  <c:v>64.207908742889771</c:v>
                </c:pt>
                <c:pt idx="7">
                  <c:v>645.48034235778732</c:v>
                </c:pt>
                <c:pt idx="8">
                  <c:v>79.206277528815477</c:v>
                </c:pt>
                <c:pt idx="9">
                  <c:v>182.31672975624349</c:v>
                </c:pt>
                <c:pt idx="10">
                  <c:v>101.49133849705893</c:v>
                </c:pt>
                <c:pt idx="11">
                  <c:v>101.43610905369952</c:v>
                </c:pt>
                <c:pt idx="12">
                  <c:v>135.02457725158655</c:v>
                </c:pt>
                <c:pt idx="13">
                  <c:v>140.69066648067377</c:v>
                </c:pt>
                <c:pt idx="14">
                  <c:v>467.64619202343818</c:v>
                </c:pt>
                <c:pt idx="15">
                  <c:v>107.36529635228257</c:v>
                </c:pt>
                <c:pt idx="16">
                  <c:v>446</c:v>
                </c:pt>
                <c:pt idx="17">
                  <c:v>718.87347434141179</c:v>
                </c:pt>
                <c:pt idx="18">
                  <c:v>260.9895482582649</c:v>
                </c:pt>
                <c:pt idx="19">
                  <c:v>313.48556677468088</c:v>
                </c:pt>
                <c:pt idx="20">
                  <c:v>102.10789185163969</c:v>
                </c:pt>
                <c:pt idx="21" formatCode="#,##0">
                  <c:v>135.10445557006162</c:v>
                </c:pt>
              </c:numCache>
            </c:numRef>
          </c:val>
          <c:smooth val="0"/>
          <c:extLst>
            <c:ext xmlns:c16="http://schemas.microsoft.com/office/drawing/2014/chart" uri="{C3380CC4-5D6E-409C-BE32-E72D297353CC}">
              <c16:uniqueId val="{00000001-560A-4E48-95EF-A31FA9967423}"/>
            </c:ext>
          </c:extLst>
        </c:ser>
        <c:dLbls>
          <c:showLegendKey val="0"/>
          <c:showVal val="0"/>
          <c:showCatName val="0"/>
          <c:showSerName val="0"/>
          <c:showPercent val="0"/>
          <c:showBubbleSize val="0"/>
        </c:dLbls>
        <c:marker val="1"/>
        <c:smooth val="0"/>
        <c:axId val="671349840"/>
        <c:axId val="671346096"/>
      </c:lineChart>
      <c:catAx>
        <c:axId val="1408357504"/>
        <c:scaling>
          <c:orientation val="minMax"/>
        </c:scaling>
        <c:delete val="0"/>
        <c:axPos val="b"/>
        <c:numFmt formatCode="General" sourceLinked="1"/>
        <c:majorTickMark val="none"/>
        <c:minorTickMark val="none"/>
        <c:tickLblPos val="nextTo"/>
        <c:crossAx val="1408368928"/>
        <c:crosses val="autoZero"/>
        <c:auto val="1"/>
        <c:lblAlgn val="ctr"/>
        <c:lblOffset val="100"/>
        <c:noMultiLvlLbl val="0"/>
      </c:catAx>
      <c:valAx>
        <c:axId val="1408368928"/>
        <c:scaling>
          <c:orientation val="minMax"/>
          <c:max val="11"/>
          <c:min val="0"/>
        </c:scaling>
        <c:delete val="0"/>
        <c:axPos val="l"/>
        <c:majorGridlines/>
        <c:title>
          <c:overlay val="0"/>
        </c:title>
        <c:numFmt formatCode="#,##0.0" sourceLinked="0"/>
        <c:majorTickMark val="none"/>
        <c:minorTickMark val="none"/>
        <c:tickLblPos val="nextTo"/>
        <c:spPr>
          <a:noFill/>
        </c:spPr>
        <c:crossAx val="1408357504"/>
        <c:crosses val="autoZero"/>
        <c:crossBetween val="between"/>
      </c:valAx>
      <c:valAx>
        <c:axId val="671346096"/>
        <c:scaling>
          <c:orientation val="minMax"/>
        </c:scaling>
        <c:delete val="0"/>
        <c:axPos val="r"/>
        <c:numFmt formatCode="0" sourceLinked="1"/>
        <c:majorTickMark val="out"/>
        <c:minorTickMark val="none"/>
        <c:tickLblPos val="nextTo"/>
        <c:crossAx val="671349840"/>
        <c:crosses val="max"/>
        <c:crossBetween val="between"/>
      </c:valAx>
      <c:catAx>
        <c:axId val="671349840"/>
        <c:scaling>
          <c:orientation val="minMax"/>
        </c:scaling>
        <c:delete val="1"/>
        <c:axPos val="b"/>
        <c:numFmt formatCode="General" sourceLinked="1"/>
        <c:majorTickMark val="out"/>
        <c:minorTickMark val="none"/>
        <c:tickLblPos val="nextTo"/>
        <c:crossAx val="671346096"/>
        <c:crosses val="autoZero"/>
        <c:auto val="1"/>
        <c:lblAlgn val="ctr"/>
        <c:lblOffset val="100"/>
        <c:noMultiLvlLbl val="0"/>
      </c:catAx>
    </c:plotArea>
    <c:plotVisOnly val="1"/>
    <c:dispBlanksAs val="gap"/>
    <c:showDLblsOverMax val="0"/>
  </c:chart>
  <c:spPr>
    <a:ln>
      <a:solidFill>
        <a:schemeClr val="bg1">
          <a:lumMod val="75000"/>
        </a:schemeClr>
      </a:solidFill>
    </a:ln>
  </c:spPr>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a:t>Indice</a:t>
            </a:r>
            <a:r>
              <a:rPr lang="es-PE" baseline="0"/>
              <a:t> </a:t>
            </a:r>
            <a:r>
              <a:rPr lang="es-PE"/>
              <a:t>Frecuencia / Indice</a:t>
            </a:r>
            <a:r>
              <a:rPr lang="es-PE" baseline="0"/>
              <a:t> Severidad - PAISES</a:t>
            </a:r>
            <a:endParaRPr lang="es-PE"/>
          </a:p>
        </c:rich>
      </c:tx>
      <c:overlay val="0"/>
    </c:title>
    <c:autoTitleDeleted val="0"/>
    <c:plotArea>
      <c:layout>
        <c:manualLayout>
          <c:layoutTarget val="inner"/>
          <c:xMode val="edge"/>
          <c:yMode val="edge"/>
          <c:x val="7.6353857968867858E-2"/>
          <c:y val="0.13725579417482925"/>
          <c:w val="0.86521934113786036"/>
          <c:h val="0.7636791969345107"/>
        </c:manualLayout>
      </c:layout>
      <c:lineChart>
        <c:grouping val="standard"/>
        <c:varyColors val="0"/>
        <c:ser>
          <c:idx val="1"/>
          <c:order val="0"/>
          <c:tx>
            <c:v>IF</c:v>
          </c:tx>
          <c:spPr>
            <a:ln>
              <a:solidFill>
                <a:srgbClr val="FF0000"/>
              </a:solidFill>
            </a:ln>
          </c:spPr>
          <c:marker>
            <c:symbol val="none"/>
          </c:marker>
          <c:dLbls>
            <c:dLbl>
              <c:idx val="11"/>
              <c:layout>
                <c:manualLayout>
                  <c:x val="-5.1422239820889185E-2"/>
                  <c:y val="-3.053855516044117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D9C-479F-BEBD-3BFFA79636E7}"/>
                </c:ext>
              </c:extLst>
            </c:dLbl>
            <c:dLbl>
              <c:idx val="12"/>
              <c:layout>
                <c:manualLayout>
                  <c:x val="-1.6640782171992483E-2"/>
                  <c:y val="-1.51993813479793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9C-479F-BEBD-3BFFA79636E7}"/>
                </c:ext>
              </c:extLst>
            </c:dLbl>
            <c:dLbl>
              <c:idx val="14"/>
              <c:layout>
                <c:manualLayout>
                  <c:x val="-2.3111525465892378E-2"/>
                  <c:y val="3.24614052004204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9C-479F-BEBD-3BFFA79636E7}"/>
                </c:ext>
              </c:extLst>
            </c:dLbl>
            <c:dLbl>
              <c:idx val="21"/>
              <c:spPr>
                <a:noFill/>
                <a:ln>
                  <a:noFill/>
                </a:ln>
                <a:effectLst/>
              </c:spPr>
              <c:txPr>
                <a:bodyPr wrap="square" lIns="38100" tIns="19050" rIns="38100" bIns="19050" anchor="ctr">
                  <a:spAutoFit/>
                </a:bodyPr>
                <a:lstStyle/>
                <a:p>
                  <a:pPr>
                    <a:defRPr sz="1400" b="1">
                      <a:solidFill>
                        <a:srgbClr val="FF0000"/>
                      </a:solidFil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4-0D9C-479F-BEBD-3BFFA79636E7}"/>
                </c:ext>
              </c:extLst>
            </c:dLbl>
            <c:spPr>
              <a:noFill/>
              <a:ln>
                <a:noFill/>
              </a:ln>
              <a:effectLst/>
            </c:spPr>
            <c:txPr>
              <a:bodyPr wrap="square" lIns="38100" tIns="19050" rIns="38100" bIns="19050" anchor="ctr">
                <a:spAutoFit/>
              </a:bodyPr>
              <a:lstStyle/>
              <a:p>
                <a:pPr>
                  <a:defRPr>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Graphics!$AK$4:$AK$25</c:f>
              <c:strCache>
                <c:ptCount val="22"/>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strCache>
            </c:strRef>
          </c:cat>
          <c:val>
            <c:numRef>
              <c:f>Graphics!$AS$4:$AS$25</c:f>
              <c:numCache>
                <c:formatCode>#,##0</c:formatCode>
                <c:ptCount val="22"/>
                <c:pt idx="11" formatCode="#,##0.0">
                  <c:v>23.143345481416628</c:v>
                </c:pt>
                <c:pt idx="12" formatCode="#,##0.0">
                  <c:v>12.366923074205072</c:v>
                </c:pt>
                <c:pt idx="13" formatCode="#,##0.0">
                  <c:v>8.3458125787636064</c:v>
                </c:pt>
                <c:pt idx="14" formatCode="#,##0.0">
                  <c:v>5.9169219274393585</c:v>
                </c:pt>
                <c:pt idx="15" formatCode="#,##0.0">
                  <c:v>5.9</c:v>
                </c:pt>
                <c:pt idx="16" formatCode="#,##0.0">
                  <c:v>4.2</c:v>
                </c:pt>
                <c:pt idx="17" formatCode="#,##0.0">
                  <c:v>3</c:v>
                </c:pt>
                <c:pt idx="18" formatCode="#,##0.0">
                  <c:v>2.8</c:v>
                </c:pt>
                <c:pt idx="19" formatCode="#,##0.0">
                  <c:v>2.6</c:v>
                </c:pt>
                <c:pt idx="20" formatCode="#,##0.0">
                  <c:v>2.5111534777986058</c:v>
                </c:pt>
                <c:pt idx="21" formatCode="0.0">
                  <c:v>2.4765903259347399</c:v>
                </c:pt>
              </c:numCache>
            </c:numRef>
          </c:val>
          <c:smooth val="0"/>
          <c:extLst>
            <c:ext xmlns:c16="http://schemas.microsoft.com/office/drawing/2014/chart" uri="{C3380CC4-5D6E-409C-BE32-E72D297353CC}">
              <c16:uniqueId val="{00000000-4ADC-49F6-BA0C-984374E619FF}"/>
            </c:ext>
          </c:extLst>
        </c:ser>
        <c:dLbls>
          <c:showLegendKey val="0"/>
          <c:showVal val="0"/>
          <c:showCatName val="0"/>
          <c:showSerName val="0"/>
          <c:showPercent val="0"/>
          <c:showBubbleSize val="0"/>
        </c:dLbls>
        <c:marker val="1"/>
        <c:smooth val="0"/>
        <c:axId val="1408357504"/>
        <c:axId val="1408368928"/>
      </c:lineChart>
      <c:lineChart>
        <c:grouping val="standard"/>
        <c:varyColors val="0"/>
        <c:ser>
          <c:idx val="0"/>
          <c:order val="1"/>
          <c:tx>
            <c:v>IS</c:v>
          </c:tx>
          <c:marker>
            <c:symbol val="none"/>
          </c:marker>
          <c:dLbls>
            <c:dLbl>
              <c:idx val="11"/>
              <c:layout>
                <c:manualLayout>
                  <c:x val="-1.1159050995687692E-3"/>
                  <c:y val="1.51993813479793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9C-479F-BEBD-3BFFA79636E7}"/>
                </c:ext>
              </c:extLst>
            </c:dLbl>
            <c:dLbl>
              <c:idx val="14"/>
              <c:layout>
                <c:manualLayout>
                  <c:x val="-1.7542954757859313E-2"/>
                  <c:y val="-2.352500772259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D9C-479F-BEBD-3BFFA79636E7}"/>
                </c:ext>
              </c:extLst>
            </c:dLbl>
            <c:dLbl>
              <c:idx val="18"/>
              <c:layout>
                <c:manualLayout>
                  <c:x val="-2.0441409561933931E-2"/>
                  <c:y val="-2.94826060411455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9C-479F-BEBD-3BFFA79636E7}"/>
                </c:ext>
              </c:extLst>
            </c:dLbl>
            <c:dLbl>
              <c:idx val="21"/>
              <c:layout>
                <c:manualLayout>
                  <c:x val="-1.6767561041572392E-2"/>
                  <c:y val="-2.3525007722595567E-2"/>
                </c:manualLayout>
              </c:layout>
              <c:spPr>
                <a:noFill/>
                <a:ln>
                  <a:noFill/>
                </a:ln>
                <a:effectLst/>
              </c:spPr>
              <c:txPr>
                <a:bodyPr wrap="square" lIns="38100" tIns="19050" rIns="38100" bIns="19050" anchor="ctr">
                  <a:spAutoFit/>
                </a:bodyPr>
                <a:lstStyle/>
                <a:p>
                  <a:pPr>
                    <a:defRPr sz="1400" b="1"/>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9C-479F-BEBD-3BFFA79636E7}"/>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Graphics!$AK$4:$AK$25</c:f>
              <c:strCache>
                <c:ptCount val="22"/>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strCache>
            </c:strRef>
          </c:cat>
          <c:val>
            <c:numRef>
              <c:f>Graphics!$AT$4:$AT$25</c:f>
              <c:numCache>
                <c:formatCode>#,##0</c:formatCode>
                <c:ptCount val="22"/>
                <c:pt idx="11">
                  <c:v>1506.1102506603595</c:v>
                </c:pt>
                <c:pt idx="12">
                  <c:v>379.62037079568785</c:v>
                </c:pt>
                <c:pt idx="13">
                  <c:v>206.16412694567396</c:v>
                </c:pt>
                <c:pt idx="14">
                  <c:v>434.17965039968806</c:v>
                </c:pt>
                <c:pt idx="15">
                  <c:v>203.84018759248798</c:v>
                </c:pt>
                <c:pt idx="16">
                  <c:v>147.69236028549761</c:v>
                </c:pt>
                <c:pt idx="17">
                  <c:v>57.266959192267095</c:v>
                </c:pt>
                <c:pt idx="18">
                  <c:v>562.51969067380116</c:v>
                </c:pt>
                <c:pt idx="19">
                  <c:v>40.437194432690497</c:v>
                </c:pt>
                <c:pt idx="20">
                  <c:v>128.06882736772891</c:v>
                </c:pt>
                <c:pt idx="21">
                  <c:v>57.099165847939837</c:v>
                </c:pt>
              </c:numCache>
            </c:numRef>
          </c:val>
          <c:smooth val="0"/>
          <c:extLst>
            <c:ext xmlns:c16="http://schemas.microsoft.com/office/drawing/2014/chart" uri="{C3380CC4-5D6E-409C-BE32-E72D297353CC}">
              <c16:uniqueId val="{00000005-4ADC-49F6-BA0C-984374E619FF}"/>
            </c:ext>
          </c:extLst>
        </c:ser>
        <c:dLbls>
          <c:showLegendKey val="0"/>
          <c:showVal val="0"/>
          <c:showCatName val="0"/>
          <c:showSerName val="0"/>
          <c:showPercent val="0"/>
          <c:showBubbleSize val="0"/>
        </c:dLbls>
        <c:marker val="1"/>
        <c:smooth val="0"/>
        <c:axId val="671349840"/>
        <c:axId val="671346096"/>
      </c:lineChart>
      <c:catAx>
        <c:axId val="1408357504"/>
        <c:scaling>
          <c:orientation val="minMax"/>
        </c:scaling>
        <c:delete val="0"/>
        <c:axPos val="b"/>
        <c:numFmt formatCode="General" sourceLinked="1"/>
        <c:majorTickMark val="none"/>
        <c:minorTickMark val="none"/>
        <c:tickLblPos val="nextTo"/>
        <c:crossAx val="1408368928"/>
        <c:crosses val="autoZero"/>
        <c:auto val="1"/>
        <c:lblAlgn val="ctr"/>
        <c:lblOffset val="100"/>
        <c:noMultiLvlLbl val="0"/>
      </c:catAx>
      <c:valAx>
        <c:axId val="1408368928"/>
        <c:scaling>
          <c:orientation val="minMax"/>
          <c:max val="25"/>
          <c:min val="0"/>
        </c:scaling>
        <c:delete val="0"/>
        <c:axPos val="l"/>
        <c:majorGridlines/>
        <c:title>
          <c:overlay val="0"/>
        </c:title>
        <c:numFmt formatCode="#,##0.0" sourceLinked="0"/>
        <c:majorTickMark val="none"/>
        <c:minorTickMark val="none"/>
        <c:tickLblPos val="nextTo"/>
        <c:spPr>
          <a:noFill/>
        </c:spPr>
        <c:crossAx val="1408357504"/>
        <c:crosses val="autoZero"/>
        <c:crossBetween val="between"/>
      </c:valAx>
      <c:valAx>
        <c:axId val="671346096"/>
        <c:scaling>
          <c:orientation val="minMax"/>
          <c:max val="1520"/>
          <c:min val="0"/>
        </c:scaling>
        <c:delete val="0"/>
        <c:axPos val="r"/>
        <c:numFmt formatCode="#,##0" sourceLinked="1"/>
        <c:majorTickMark val="out"/>
        <c:minorTickMark val="none"/>
        <c:tickLblPos val="nextTo"/>
        <c:crossAx val="671349840"/>
        <c:crosses val="max"/>
        <c:crossBetween val="between"/>
      </c:valAx>
      <c:catAx>
        <c:axId val="671349840"/>
        <c:scaling>
          <c:orientation val="minMax"/>
        </c:scaling>
        <c:delete val="1"/>
        <c:axPos val="b"/>
        <c:numFmt formatCode="General" sourceLinked="1"/>
        <c:majorTickMark val="out"/>
        <c:minorTickMark val="none"/>
        <c:tickLblPos val="nextTo"/>
        <c:crossAx val="671346096"/>
        <c:crosses val="autoZero"/>
        <c:auto val="1"/>
        <c:lblAlgn val="ctr"/>
        <c:lblOffset val="100"/>
        <c:noMultiLvlLbl val="0"/>
      </c:catAx>
    </c:plotArea>
    <c:plotVisOnly val="1"/>
    <c:dispBlanksAs val="gap"/>
    <c:showDLblsOverMax val="0"/>
  </c:chart>
  <c:spPr>
    <a:ln>
      <a:solidFill>
        <a:schemeClr val="bg1">
          <a:lumMod val="75000"/>
        </a:schemeClr>
      </a:solidFill>
    </a:ln>
  </c:spPr>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365872862817498E-2"/>
          <c:y val="6.4752199620324372E-2"/>
          <c:w val="0.88328892459338904"/>
          <c:h val="0.80556325066239276"/>
        </c:manualLayout>
      </c:layout>
      <c:lineChart>
        <c:grouping val="standard"/>
        <c:varyColors val="0"/>
        <c:ser>
          <c:idx val="1"/>
          <c:order val="0"/>
          <c:tx>
            <c:v>Indice Frecuencia</c:v>
          </c:tx>
          <c:spPr>
            <a:ln w="28575" cap="rnd">
              <a:solidFill>
                <a:srgbClr val="FF0000"/>
              </a:solidFill>
              <a:round/>
            </a:ln>
            <a:effectLst/>
          </c:spPr>
          <c:marker>
            <c:symbol val="none"/>
          </c:marker>
          <c:dLbls>
            <c:dLbl>
              <c:idx val="6"/>
              <c:layout>
                <c:manualLayout>
                  <c:x val="-1.5698784360668249E-2"/>
                  <c:y val="-1.57333034863001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D33-4ECA-A5FD-FA3B3ECC0B12}"/>
                </c:ext>
              </c:extLst>
            </c:dLbl>
            <c:dLbl>
              <c:idx val="10"/>
              <c:layout>
                <c:manualLayout>
                  <c:x val="-3.3089513185116652E-2"/>
                  <c:y val="-4.34842461807249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D33-4ECA-A5FD-FA3B3ECC0B12}"/>
                </c:ext>
              </c:extLst>
            </c:dLbl>
            <c:dLbl>
              <c:idx val="16"/>
              <c:layout>
                <c:manualLayout>
                  <c:x val="-3.2513473820905164E-2"/>
                  <c:y val="-3.42776262028282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D1-4A84-BE27-5A8FB1B8E52D}"/>
                </c:ext>
              </c:extLst>
            </c:dLbl>
            <c:dLbl>
              <c:idx val="17"/>
              <c:layout>
                <c:manualLayout>
                  <c:x val="-2.7673054298100477E-2"/>
                  <c:y val="-2.44219179283613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08-4529-A192-94AB826A857F}"/>
                </c:ext>
              </c:extLst>
            </c:dLbl>
            <c:dLbl>
              <c:idx val="18"/>
              <c:layout>
                <c:manualLayout>
                  <c:x val="-2.0919654604606368E-2"/>
                  <c:y val="-4.3357823650649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D1-4A84-BE27-5A8FB1B8E52D}"/>
                </c:ext>
              </c:extLst>
            </c:dLbl>
            <c:dLbl>
              <c:idx val="20"/>
              <c:layout>
                <c:manualLayout>
                  <c:x val="-2.3231115254658923E-2"/>
                  <c:y val="-4.6099518964028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D33-4ECA-A5FD-FA3B3ECC0B12}"/>
                </c:ext>
              </c:extLst>
            </c:dLbl>
            <c:dLbl>
              <c:idx val="21"/>
              <c:layout>
                <c:manualLayout>
                  <c:x val="-1.7311078373533229E-2"/>
                  <c:y val="-5.4443290949545559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D1-4A84-BE27-5A8FB1B8E52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Graphics!$AK$4:$AK$25</c:f>
              <c:strCache>
                <c:ptCount val="22"/>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strCache>
            </c:strRef>
          </c:cat>
          <c:val>
            <c:numRef>
              <c:f>Graphics!$AV$4:$AV$25</c:f>
              <c:numCache>
                <c:formatCode>0.0</c:formatCode>
                <c:ptCount val="22"/>
                <c:pt idx="0">
                  <c:v>5.0999999999999996</c:v>
                </c:pt>
                <c:pt idx="1">
                  <c:v>3.2</c:v>
                </c:pt>
                <c:pt idx="2">
                  <c:v>3.1</c:v>
                </c:pt>
                <c:pt idx="3">
                  <c:v>3.5</c:v>
                </c:pt>
                <c:pt idx="4">
                  <c:v>3.4</c:v>
                </c:pt>
                <c:pt idx="5">
                  <c:v>8.4</c:v>
                </c:pt>
                <c:pt idx="6">
                  <c:v>5.0999999999999996</c:v>
                </c:pt>
                <c:pt idx="7">
                  <c:v>4</c:v>
                </c:pt>
                <c:pt idx="8">
                  <c:v>4.2</c:v>
                </c:pt>
                <c:pt idx="9">
                  <c:v>4.5999999999999996</c:v>
                </c:pt>
                <c:pt idx="10">
                  <c:v>3.9</c:v>
                </c:pt>
                <c:pt idx="11" formatCode="#,##0.0">
                  <c:v>10.339783390976901</c:v>
                </c:pt>
                <c:pt idx="12" formatCode="#,##0.0">
                  <c:v>7.2282480680641683</c:v>
                </c:pt>
                <c:pt idx="13" formatCode="#,##0.0">
                  <c:v>4.6320251275467994</c:v>
                </c:pt>
                <c:pt idx="14" formatCode="#,##0.0">
                  <c:v>4.9506779768887652</c:v>
                </c:pt>
                <c:pt idx="15" formatCode="#,##0.0">
                  <c:v>4.7</c:v>
                </c:pt>
                <c:pt idx="16" formatCode="#,##0.0">
                  <c:v>4.4000000000000004</c:v>
                </c:pt>
                <c:pt idx="17" formatCode="#,##0.0">
                  <c:v>7.3</c:v>
                </c:pt>
                <c:pt idx="18" formatCode="#,##0.0">
                  <c:v>5.5999737041827355</c:v>
                </c:pt>
                <c:pt idx="19" formatCode="#,##0.0">
                  <c:v>4.7908913790444352</c:v>
                </c:pt>
                <c:pt idx="20" formatCode="#,##0.0">
                  <c:v>3.3615609727581162</c:v>
                </c:pt>
                <c:pt idx="21">
                  <c:v>3.3029437046904491</c:v>
                </c:pt>
              </c:numCache>
            </c:numRef>
          </c:val>
          <c:smooth val="0"/>
          <c:extLst>
            <c:ext xmlns:c16="http://schemas.microsoft.com/office/drawing/2014/chart" uri="{C3380CC4-5D6E-409C-BE32-E72D297353CC}">
              <c16:uniqueId val="{00000000-5D33-4ECA-A5FD-FA3B3ECC0B12}"/>
            </c:ext>
          </c:extLst>
        </c:ser>
        <c:dLbls>
          <c:showLegendKey val="0"/>
          <c:showVal val="0"/>
          <c:showCatName val="0"/>
          <c:showSerName val="0"/>
          <c:showPercent val="0"/>
          <c:showBubbleSize val="0"/>
        </c:dLbls>
        <c:marker val="1"/>
        <c:smooth val="0"/>
        <c:axId val="1408357504"/>
        <c:axId val="1408368928"/>
      </c:lineChart>
      <c:lineChart>
        <c:grouping val="standard"/>
        <c:varyColors val="0"/>
        <c:ser>
          <c:idx val="0"/>
          <c:order val="1"/>
          <c:tx>
            <c:v>Indice Severidad</c:v>
          </c:tx>
          <c:spPr>
            <a:ln w="28575" cap="rnd">
              <a:solidFill>
                <a:schemeClr val="accent1"/>
              </a:solidFill>
              <a:round/>
            </a:ln>
            <a:effectLst/>
          </c:spPr>
          <c:marker>
            <c:symbol val="none"/>
          </c:marker>
          <c:dLbls>
            <c:dLbl>
              <c:idx val="6"/>
              <c:layout>
                <c:manualLayout>
                  <c:x val="-2.4013698051759153E-2"/>
                  <c:y val="2.12679534395994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D33-4ECA-A5FD-FA3B3ECC0B12}"/>
                </c:ext>
              </c:extLst>
            </c:dLbl>
            <c:dLbl>
              <c:idx val="8"/>
              <c:layout>
                <c:manualLayout>
                  <c:x val="-2.4013698051759153E-2"/>
                  <c:y val="2.43513915167577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D33-4ECA-A5FD-FA3B3ECC0B12}"/>
                </c:ext>
              </c:extLst>
            </c:dLbl>
            <c:dLbl>
              <c:idx val="10"/>
              <c:layout>
                <c:manualLayout>
                  <c:x val="-2.9136773974158214E-2"/>
                  <c:y val="2.7434829593916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D33-4ECA-A5FD-FA3B3ECC0B12}"/>
                </c:ext>
              </c:extLst>
            </c:dLbl>
            <c:dLbl>
              <c:idx val="12"/>
              <c:layout>
                <c:manualLayout>
                  <c:x val="-4.2179820592494477E-2"/>
                  <c:y val="5.850763053807936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D33-4ECA-A5FD-FA3B3ECC0B12}"/>
                </c:ext>
              </c:extLst>
            </c:dLbl>
            <c:dLbl>
              <c:idx val="13"/>
              <c:layout>
                <c:manualLayout>
                  <c:x val="-2.3339864366008656E-2"/>
                  <c:y val="1.51010772852827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D33-4ECA-A5FD-FA3B3ECC0B12}"/>
                </c:ext>
              </c:extLst>
            </c:dLbl>
            <c:dLbl>
              <c:idx val="15"/>
              <c:layout>
                <c:manualLayout>
                  <c:x val="-2.3339864366008656E-2"/>
                  <c:y val="2.1267953439599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33-4ECA-A5FD-FA3B3ECC0B12}"/>
                </c:ext>
              </c:extLst>
            </c:dLbl>
            <c:dLbl>
              <c:idx val="18"/>
              <c:layout>
                <c:manualLayout>
                  <c:x val="-3.2035228778232831E-2"/>
                  <c:y val="1.8184515362441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33-4ECA-A5FD-FA3B3ECC0B12}"/>
                </c:ext>
              </c:extLst>
            </c:dLbl>
            <c:dLbl>
              <c:idx val="19"/>
              <c:layout>
                <c:manualLayout>
                  <c:x val="-3.2035228778232831E-2"/>
                  <c:y val="-2.49836177177751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33-4ECA-A5FD-FA3B3ECC0B12}"/>
                </c:ext>
              </c:extLst>
            </c:dLbl>
            <c:dLbl>
              <c:idx val="20"/>
              <c:layout>
                <c:manualLayout>
                  <c:x val="-3.2709066196493011E-2"/>
                  <c:y val="3.66851438253909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D33-4ECA-A5FD-FA3B3ECC0B12}"/>
                </c:ext>
              </c:extLst>
            </c:dLbl>
            <c:dLbl>
              <c:idx val="21"/>
              <c:layout>
                <c:manualLayout>
                  <c:x val="-1.2434371109480572E-2"/>
                  <c:y val="1.41500935188839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1">
                          <a:lumMod val="75000"/>
                        </a:schemeClr>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D1-4A84-BE27-5A8FB1B8E52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Graphics!$AK$4:$AK$25</c:f>
              <c:strCache>
                <c:ptCount val="22"/>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strCache>
            </c:strRef>
          </c:cat>
          <c:val>
            <c:numRef>
              <c:f>Graphics!$AW$4:$AW$25</c:f>
              <c:numCache>
                <c:formatCode>0</c:formatCode>
                <c:ptCount val="22"/>
                <c:pt idx="0">
                  <c:v>159.77121450504629</c:v>
                </c:pt>
                <c:pt idx="1">
                  <c:v>103.77868766070161</c:v>
                </c:pt>
                <c:pt idx="2">
                  <c:v>115.30710717529519</c:v>
                </c:pt>
                <c:pt idx="3">
                  <c:v>137.35289028242826</c:v>
                </c:pt>
                <c:pt idx="4">
                  <c:v>70.171836910212235</c:v>
                </c:pt>
                <c:pt idx="5">
                  <c:v>97.666359497056433</c:v>
                </c:pt>
                <c:pt idx="6">
                  <c:v>64.207908742889771</c:v>
                </c:pt>
                <c:pt idx="7">
                  <c:v>645.48034235778732</c:v>
                </c:pt>
                <c:pt idx="8">
                  <c:v>79.206277528815477</c:v>
                </c:pt>
                <c:pt idx="9">
                  <c:v>182.31672975624349</c:v>
                </c:pt>
                <c:pt idx="10">
                  <c:v>101.49133849705893</c:v>
                </c:pt>
                <c:pt idx="11">
                  <c:v>456.4746603801396</c:v>
                </c:pt>
                <c:pt idx="12">
                  <c:v>186.67533559007009</c:v>
                </c:pt>
                <c:pt idx="13">
                  <c:v>155.14793841191698</c:v>
                </c:pt>
                <c:pt idx="14">
                  <c:v>459.68501097170088</c:v>
                </c:pt>
                <c:pt idx="15">
                  <c:v>129.07070052058674</c:v>
                </c:pt>
                <c:pt idx="16">
                  <c:v>378</c:v>
                </c:pt>
                <c:pt idx="17">
                  <c:v>546.4157694442307</c:v>
                </c:pt>
                <c:pt idx="18">
                  <c:v>341.89469086013008</c:v>
                </c:pt>
                <c:pt idx="19">
                  <c:v>247.84506680661269</c:v>
                </c:pt>
                <c:pt idx="20">
                  <c:v>106.87786504563304</c:v>
                </c:pt>
                <c:pt idx="21" formatCode="#,##0">
                  <c:v>117.27022981986661</c:v>
                </c:pt>
              </c:numCache>
            </c:numRef>
          </c:val>
          <c:smooth val="0"/>
          <c:extLst>
            <c:ext xmlns:c16="http://schemas.microsoft.com/office/drawing/2014/chart" uri="{C3380CC4-5D6E-409C-BE32-E72D297353CC}">
              <c16:uniqueId val="{00000005-5D33-4ECA-A5FD-FA3B3ECC0B12}"/>
            </c:ext>
          </c:extLst>
        </c:ser>
        <c:dLbls>
          <c:showLegendKey val="0"/>
          <c:showVal val="0"/>
          <c:showCatName val="0"/>
          <c:showSerName val="0"/>
          <c:showPercent val="0"/>
          <c:showBubbleSize val="0"/>
        </c:dLbls>
        <c:marker val="1"/>
        <c:smooth val="0"/>
        <c:axId val="671349840"/>
        <c:axId val="671346096"/>
      </c:lineChart>
      <c:catAx>
        <c:axId val="140835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408368928"/>
        <c:crosses val="autoZero"/>
        <c:auto val="1"/>
        <c:lblAlgn val="ctr"/>
        <c:lblOffset val="100"/>
        <c:noMultiLvlLbl val="0"/>
      </c:catAx>
      <c:valAx>
        <c:axId val="1408368928"/>
        <c:scaling>
          <c:orientation val="minMax"/>
          <c:max val="1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iNDICE fRECUENCIA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408357504"/>
        <c:crosses val="autoZero"/>
        <c:crossBetween val="between"/>
      </c:valAx>
      <c:valAx>
        <c:axId val="67134609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671349840"/>
        <c:crosses val="max"/>
        <c:crossBetween val="between"/>
      </c:valAx>
      <c:catAx>
        <c:axId val="671349840"/>
        <c:scaling>
          <c:orientation val="minMax"/>
        </c:scaling>
        <c:delete val="1"/>
        <c:axPos val="b"/>
        <c:numFmt formatCode="General" sourceLinked="1"/>
        <c:majorTickMark val="none"/>
        <c:minorTickMark val="none"/>
        <c:tickLblPos val="nextTo"/>
        <c:crossAx val="6713460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bg1">
          <a:lumMod val="65000"/>
        </a:schemeClr>
      </a:solidFill>
      <a:round/>
    </a:ln>
    <a:effectLst/>
  </c:spPr>
  <c:txPr>
    <a:bodyPr/>
    <a:lstStyle/>
    <a:p>
      <a:pPr>
        <a:defRPr/>
      </a:pPr>
      <a:endParaRPr lang="es-PE"/>
    </a:p>
  </c:txPr>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normalizeH="0" baseline="0">
                <a:solidFill>
                  <a:schemeClr val="dk1">
                    <a:lumMod val="50000"/>
                    <a:lumOff val="50000"/>
                  </a:schemeClr>
                </a:solidFill>
                <a:latin typeface="Arial Nova" panose="020B0504020202020204" pitchFamily="34" charset="0"/>
                <a:ea typeface="+mj-ea"/>
                <a:cs typeface="+mj-cs"/>
              </a:defRPr>
            </a:pPr>
            <a:r>
              <a:rPr lang="es-PE" sz="1400" b="0">
                <a:latin typeface="Arial Nova" panose="020B0504020202020204" pitchFamily="34" charset="0"/>
              </a:rPr>
              <a:t>Accidentes Incapacitantes Marzo 2023</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dk1">
                  <a:lumMod val="50000"/>
                  <a:lumOff val="50000"/>
                </a:schemeClr>
              </a:solidFill>
              <a:latin typeface="Arial Nova" panose="020B0504020202020204" pitchFamily="34" charset="0"/>
              <a:ea typeface="+mj-ea"/>
              <a:cs typeface="+mj-cs"/>
            </a:defRPr>
          </a:pPr>
          <a:endParaRPr lang="es-PE"/>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Graphics!$AX$78:$AX$85</c:f>
              <c:strCache>
                <c:ptCount val="8"/>
                <c:pt idx="0">
                  <c:v>Copsa</c:v>
                </c:pt>
                <c:pt idx="1">
                  <c:v>Galletera</c:v>
                </c:pt>
                <c:pt idx="2">
                  <c:v>Mol.Faucett</c:v>
                </c:pt>
                <c:pt idx="3">
                  <c:v>Sidsur</c:v>
                </c:pt>
                <c:pt idx="4">
                  <c:v>Vitapro</c:v>
                </c:pt>
                <c:pt idx="5">
                  <c:v>ITDC</c:v>
                </c:pt>
                <c:pt idx="6">
                  <c:v>Chile</c:v>
                </c:pt>
                <c:pt idx="7">
                  <c:v>Bolivia</c:v>
                </c:pt>
              </c:strCache>
            </c:strRef>
          </c:cat>
          <c:val>
            <c:numRef>
              <c:f>Graphics!$AY$78:$AY$85</c:f>
              <c:numCache>
                <c:formatCode>General</c:formatCode>
                <c:ptCount val="8"/>
                <c:pt idx="0">
                  <c:v>1</c:v>
                </c:pt>
                <c:pt idx="1">
                  <c:v>1</c:v>
                </c:pt>
                <c:pt idx="2">
                  <c:v>1</c:v>
                </c:pt>
                <c:pt idx="3">
                  <c:v>1</c:v>
                </c:pt>
                <c:pt idx="4">
                  <c:v>1</c:v>
                </c:pt>
                <c:pt idx="5">
                  <c:v>1</c:v>
                </c:pt>
                <c:pt idx="6">
                  <c:v>2</c:v>
                </c:pt>
                <c:pt idx="7">
                  <c:v>1</c:v>
                </c:pt>
              </c:numCache>
            </c:numRef>
          </c:val>
          <c:extLst>
            <c:ext xmlns:c16="http://schemas.microsoft.com/office/drawing/2014/chart" uri="{C3380CC4-5D6E-409C-BE32-E72D297353CC}">
              <c16:uniqueId val="{00000000-D658-4FA1-8F9F-978C623E36C3}"/>
            </c:ext>
          </c:extLst>
        </c:ser>
        <c:dLbls>
          <c:showLegendKey val="0"/>
          <c:showVal val="0"/>
          <c:showCatName val="0"/>
          <c:showSerName val="0"/>
          <c:showPercent val="0"/>
          <c:showBubbleSize val="0"/>
        </c:dLbls>
        <c:gapWidth val="267"/>
        <c:overlap val="-43"/>
        <c:axId val="2001024336"/>
        <c:axId val="1144820880"/>
      </c:barChart>
      <c:catAx>
        <c:axId val="20010243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PE"/>
          </a:p>
        </c:txPr>
        <c:crossAx val="1144820880"/>
        <c:crosses val="autoZero"/>
        <c:auto val="1"/>
        <c:lblAlgn val="ctr"/>
        <c:lblOffset val="100"/>
        <c:noMultiLvlLbl val="0"/>
      </c:catAx>
      <c:valAx>
        <c:axId val="1144820880"/>
        <c:scaling>
          <c:orientation val="minMax"/>
          <c:max val="4"/>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PE"/>
          </a:p>
        </c:txPr>
        <c:crossAx val="2001024336"/>
        <c:crosses val="autoZero"/>
        <c:crossBetween val="between"/>
        <c:majorUnit val="1"/>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r>
              <a:rPr lang="es-PE" sz="1400"/>
              <a:t>Accidentes por Caidas</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endParaRPr lang="es-PE"/>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Graphics!$AB$162:$AB$181</c:f>
              <c:numCache>
                <c:formatCode>mmm\-yy</c:formatCode>
                <c:ptCount val="2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numCache>
            </c:numRef>
          </c:cat>
          <c:val>
            <c:numRef>
              <c:f>Graphics!$AC$162:$AC$181</c:f>
              <c:numCache>
                <c:formatCode>General</c:formatCode>
                <c:ptCount val="20"/>
                <c:pt idx="0">
                  <c:v>0</c:v>
                </c:pt>
                <c:pt idx="1">
                  <c:v>0</c:v>
                </c:pt>
                <c:pt idx="2">
                  <c:v>0</c:v>
                </c:pt>
                <c:pt idx="3">
                  <c:v>2</c:v>
                </c:pt>
                <c:pt idx="4">
                  <c:v>0</c:v>
                </c:pt>
                <c:pt idx="5">
                  <c:v>1</c:v>
                </c:pt>
                <c:pt idx="6">
                  <c:v>3</c:v>
                </c:pt>
                <c:pt idx="7">
                  <c:v>0</c:v>
                </c:pt>
                <c:pt idx="8">
                  <c:v>0</c:v>
                </c:pt>
                <c:pt idx="9">
                  <c:v>1</c:v>
                </c:pt>
                <c:pt idx="10">
                  <c:v>3</c:v>
                </c:pt>
                <c:pt idx="11">
                  <c:v>1</c:v>
                </c:pt>
                <c:pt idx="12">
                  <c:v>3</c:v>
                </c:pt>
                <c:pt idx="13">
                  <c:v>6</c:v>
                </c:pt>
                <c:pt idx="14">
                  <c:v>0</c:v>
                </c:pt>
                <c:pt idx="15">
                  <c:v>1</c:v>
                </c:pt>
                <c:pt idx="16">
                  <c:v>2</c:v>
                </c:pt>
                <c:pt idx="17">
                  <c:v>0</c:v>
                </c:pt>
                <c:pt idx="18">
                  <c:v>0</c:v>
                </c:pt>
                <c:pt idx="19">
                  <c:v>1</c:v>
                </c:pt>
              </c:numCache>
            </c:numRef>
          </c:val>
          <c:extLst>
            <c:ext xmlns:c16="http://schemas.microsoft.com/office/drawing/2014/chart" uri="{C3380CC4-5D6E-409C-BE32-E72D297353CC}">
              <c16:uniqueId val="{00000000-BEF7-4923-BE52-12DCDBF5F066}"/>
            </c:ext>
          </c:extLst>
        </c:ser>
        <c:dLbls>
          <c:dLblPos val="inEnd"/>
          <c:showLegendKey val="0"/>
          <c:showVal val="1"/>
          <c:showCatName val="0"/>
          <c:showSerName val="0"/>
          <c:showPercent val="0"/>
          <c:showBubbleSize val="0"/>
        </c:dLbls>
        <c:gapWidth val="199"/>
        <c:axId val="2005882624"/>
        <c:axId val="101873280"/>
      </c:barChart>
      <c:dateAx>
        <c:axId val="20058826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PE"/>
          </a:p>
        </c:txPr>
        <c:crossAx val="101873280"/>
        <c:crosses val="autoZero"/>
        <c:auto val="1"/>
        <c:lblOffset val="100"/>
        <c:baseTimeUnit val="months"/>
      </c:dateAx>
      <c:valAx>
        <c:axId val="1018732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005882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r>
              <a:rPr lang="es-PE" sz="1400"/>
              <a:t>Accidentes por Contratados</a:t>
            </a:r>
          </a:p>
        </c:rich>
      </c:tx>
      <c:overlay val="0"/>
      <c:spPr>
        <a:noFill/>
        <a:ln>
          <a:noFill/>
        </a:ln>
        <a:effectLst/>
      </c:spPr>
      <c:txPr>
        <a:bodyPr rot="0" spcFirstLastPara="1" vertOverflow="ellipsis" vert="horz" wrap="square" anchor="ctr" anchorCtr="1"/>
        <a:lstStyle/>
        <a:p>
          <a:pPr>
            <a:defRPr sz="1400" b="0" i="0" u="none" strike="noStrike" kern="1200" cap="none" spc="0" normalizeH="0" baseline="0">
              <a:solidFill>
                <a:schemeClr val="tx1">
                  <a:lumMod val="65000"/>
                  <a:lumOff val="35000"/>
                </a:schemeClr>
              </a:solidFill>
              <a:latin typeface="+mj-lt"/>
              <a:ea typeface="+mj-ea"/>
              <a:cs typeface="+mj-cs"/>
            </a:defRPr>
          </a:pPr>
          <a:endParaRPr lang="es-PE"/>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Graphics!$AB$162:$AB$181</c:f>
              <c:numCache>
                <c:formatCode>mmm\-yy</c:formatCode>
                <c:ptCount val="20"/>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numCache>
            </c:numRef>
          </c:cat>
          <c:val>
            <c:numRef>
              <c:f>Graphics!$AD$162:$AD$181</c:f>
              <c:numCache>
                <c:formatCode>General</c:formatCode>
                <c:ptCount val="20"/>
                <c:pt idx="0">
                  <c:v>2</c:v>
                </c:pt>
                <c:pt idx="1">
                  <c:v>1</c:v>
                </c:pt>
                <c:pt idx="2">
                  <c:v>2</c:v>
                </c:pt>
                <c:pt idx="3">
                  <c:v>2</c:v>
                </c:pt>
                <c:pt idx="4">
                  <c:v>1</c:v>
                </c:pt>
                <c:pt idx="5">
                  <c:v>2</c:v>
                </c:pt>
                <c:pt idx="6">
                  <c:v>0</c:v>
                </c:pt>
                <c:pt idx="7">
                  <c:v>0</c:v>
                </c:pt>
                <c:pt idx="8">
                  <c:v>0</c:v>
                </c:pt>
                <c:pt idx="9">
                  <c:v>1</c:v>
                </c:pt>
                <c:pt idx="10">
                  <c:v>1</c:v>
                </c:pt>
                <c:pt idx="11">
                  <c:v>0</c:v>
                </c:pt>
                <c:pt idx="12">
                  <c:v>4</c:v>
                </c:pt>
                <c:pt idx="13">
                  <c:v>4</c:v>
                </c:pt>
                <c:pt idx="14">
                  <c:v>2</c:v>
                </c:pt>
                <c:pt idx="15">
                  <c:v>1</c:v>
                </c:pt>
                <c:pt idx="16">
                  <c:v>1</c:v>
                </c:pt>
                <c:pt idx="17">
                  <c:v>1</c:v>
                </c:pt>
                <c:pt idx="18">
                  <c:v>1</c:v>
                </c:pt>
                <c:pt idx="19">
                  <c:v>0</c:v>
                </c:pt>
              </c:numCache>
            </c:numRef>
          </c:val>
          <c:extLst>
            <c:ext xmlns:c16="http://schemas.microsoft.com/office/drawing/2014/chart" uri="{C3380CC4-5D6E-409C-BE32-E72D297353CC}">
              <c16:uniqueId val="{00000000-DBD4-4263-BD08-E53269B31457}"/>
            </c:ext>
          </c:extLst>
        </c:ser>
        <c:dLbls>
          <c:dLblPos val="inEnd"/>
          <c:showLegendKey val="0"/>
          <c:showVal val="1"/>
          <c:showCatName val="0"/>
          <c:showSerName val="0"/>
          <c:showPercent val="0"/>
          <c:showBubbleSize val="0"/>
        </c:dLbls>
        <c:gapWidth val="199"/>
        <c:axId val="2005882624"/>
        <c:axId val="101873280"/>
      </c:barChart>
      <c:dateAx>
        <c:axId val="20058826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PE"/>
          </a:p>
        </c:txPr>
        <c:crossAx val="101873280"/>
        <c:crosses val="autoZero"/>
        <c:auto val="1"/>
        <c:lblOffset val="100"/>
        <c:baseTimeUnit val="months"/>
      </c:dateAx>
      <c:valAx>
        <c:axId val="1018732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005882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365872862817498E-2"/>
          <c:y val="6.4752199620324372E-2"/>
          <c:w val="0.88328892459338904"/>
          <c:h val="0.80556325066239276"/>
        </c:manualLayout>
      </c:layout>
      <c:lineChart>
        <c:grouping val="standard"/>
        <c:varyColors val="0"/>
        <c:ser>
          <c:idx val="1"/>
          <c:order val="0"/>
          <c:tx>
            <c:v>Indice Frecuencia</c:v>
          </c:tx>
          <c:spPr>
            <a:ln w="28575" cap="rnd">
              <a:solidFill>
                <a:srgbClr val="FF0000"/>
              </a:solidFill>
              <a:round/>
            </a:ln>
            <a:effectLst/>
          </c:spPr>
          <c:marker>
            <c:symbol val="none"/>
          </c:marker>
          <c:dLbls>
            <c:dLbl>
              <c:idx val="6"/>
              <c:layout>
                <c:manualLayout>
                  <c:x val="-3.1640285783079189E-2"/>
                  <c:y val="2.66409656563575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BA-4897-8425-55867D351B7F}"/>
                </c:ext>
              </c:extLst>
            </c:dLbl>
            <c:dLbl>
              <c:idx val="10"/>
              <c:layout>
                <c:manualLayout>
                  <c:x val="-3.3089513185116652E-2"/>
                  <c:y val="-4.34842461807249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BA-4897-8425-55867D351B7F}"/>
                </c:ext>
              </c:extLst>
            </c:dLbl>
            <c:dLbl>
              <c:idx val="17"/>
              <c:layout>
                <c:manualLayout>
                  <c:x val="-2.1876144689951027E-2"/>
                  <c:y val="-3.3502115376182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BA-4897-8425-55867D351B7F}"/>
                </c:ext>
              </c:extLst>
            </c:dLbl>
            <c:dLbl>
              <c:idx val="20"/>
              <c:layout>
                <c:manualLayout>
                  <c:x val="-1.888343520338083E-2"/>
                  <c:y val="-4.004609132949352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BA-4897-8425-55867D351B7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F0000"/>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Graphics!$AK$4:$AK$25</c:f>
              <c:strCache>
                <c:ptCount val="22"/>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strCache>
            </c:strRef>
          </c:cat>
          <c:val>
            <c:numRef>
              <c:f>Graphics!$AI$4:$AI$24</c:f>
              <c:numCache>
                <c:formatCode>0.0</c:formatCode>
                <c:ptCount val="21"/>
                <c:pt idx="0">
                  <c:v>5.1631631258363244</c:v>
                </c:pt>
                <c:pt idx="1">
                  <c:v>3.0751039318278872</c:v>
                </c:pt>
                <c:pt idx="2">
                  <c:v>2.955179501740187</c:v>
                </c:pt>
                <c:pt idx="3">
                  <c:v>3.3199778004151077</c:v>
                </c:pt>
                <c:pt idx="4">
                  <c:v>2.6757705987767406</c:v>
                </c:pt>
                <c:pt idx="5">
                  <c:v>4.2241916941785878</c:v>
                </c:pt>
                <c:pt idx="6">
                  <c:v>2.7762321215608927</c:v>
                </c:pt>
                <c:pt idx="7">
                  <c:v>3.0441894541159469</c:v>
                </c:pt>
                <c:pt idx="8">
                  <c:v>3.3748685047683442</c:v>
                </c:pt>
                <c:pt idx="9">
                  <c:v>4.3410590208105422</c:v>
                </c:pt>
                <c:pt idx="10">
                  <c:v>4.1403994234874046</c:v>
                </c:pt>
                <c:pt idx="11">
                  <c:v>5.0360473662661667</c:v>
                </c:pt>
                <c:pt idx="12">
                  <c:v>3.7319301276053536</c:v>
                </c:pt>
                <c:pt idx="13">
                  <c:v>3.0183225317714535</c:v>
                </c:pt>
                <c:pt idx="14">
                  <c:v>3.7063068750353589</c:v>
                </c:pt>
                <c:pt idx="15">
                  <c:v>3.8266790511006468</c:v>
                </c:pt>
                <c:pt idx="16">
                  <c:v>4.2118028459521284</c:v>
                </c:pt>
                <c:pt idx="17">
                  <c:v>4.2453238084812952</c:v>
                </c:pt>
                <c:pt idx="18">
                  <c:v>3.1736504052262093</c:v>
                </c:pt>
                <c:pt idx="19">
                  <c:v>3.4441959792681986</c:v>
                </c:pt>
                <c:pt idx="20">
                  <c:v>2.6711961673677389</c:v>
                </c:pt>
              </c:numCache>
            </c:numRef>
          </c:val>
          <c:smooth val="0"/>
          <c:extLst>
            <c:ext xmlns:c16="http://schemas.microsoft.com/office/drawing/2014/chart" uri="{C3380CC4-5D6E-409C-BE32-E72D297353CC}">
              <c16:uniqueId val="{00000004-36BA-4897-8425-55867D351B7F}"/>
            </c:ext>
          </c:extLst>
        </c:ser>
        <c:dLbls>
          <c:showLegendKey val="0"/>
          <c:showVal val="0"/>
          <c:showCatName val="0"/>
          <c:showSerName val="0"/>
          <c:showPercent val="0"/>
          <c:showBubbleSize val="0"/>
        </c:dLbls>
        <c:marker val="1"/>
        <c:smooth val="0"/>
        <c:axId val="1408357504"/>
        <c:axId val="1408368928"/>
      </c:lineChart>
      <c:lineChart>
        <c:grouping val="standard"/>
        <c:varyColors val="0"/>
        <c:ser>
          <c:idx val="0"/>
          <c:order val="1"/>
          <c:tx>
            <c:v>Indice Severidad</c:v>
          </c:tx>
          <c:spPr>
            <a:ln w="28575" cap="rnd">
              <a:solidFill>
                <a:schemeClr val="accent1"/>
              </a:solidFill>
              <a:round/>
            </a:ln>
            <a:effectLst/>
          </c:spPr>
          <c:marker>
            <c:symbol val="none"/>
          </c:marker>
          <c:dLbls>
            <c:dLbl>
              <c:idx val="6"/>
              <c:layout>
                <c:manualLayout>
                  <c:x val="-2.4013698051759153E-2"/>
                  <c:y val="2.12679534395994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BA-4897-8425-55867D351B7F}"/>
                </c:ext>
              </c:extLst>
            </c:dLbl>
            <c:dLbl>
              <c:idx val="8"/>
              <c:layout>
                <c:manualLayout>
                  <c:x val="-2.4013698051759153E-2"/>
                  <c:y val="2.43513915167577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6BA-4897-8425-55867D351B7F}"/>
                </c:ext>
              </c:extLst>
            </c:dLbl>
            <c:dLbl>
              <c:idx val="10"/>
              <c:layout>
                <c:manualLayout>
                  <c:x val="-2.9136773974158214E-2"/>
                  <c:y val="2.7434829593916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BA-4897-8425-55867D351B7F}"/>
                </c:ext>
              </c:extLst>
            </c:dLbl>
            <c:dLbl>
              <c:idx val="12"/>
              <c:layout>
                <c:manualLayout>
                  <c:x val="-4.2179820592494477E-2"/>
                  <c:y val="5.850763053807936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6BA-4897-8425-55867D351B7F}"/>
                </c:ext>
              </c:extLst>
            </c:dLbl>
            <c:dLbl>
              <c:idx val="13"/>
              <c:layout>
                <c:manualLayout>
                  <c:x val="-2.3339864366008656E-2"/>
                  <c:y val="1.51010772852827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6BA-4897-8425-55867D351B7F}"/>
                </c:ext>
              </c:extLst>
            </c:dLbl>
            <c:dLbl>
              <c:idx val="15"/>
              <c:layout>
                <c:manualLayout>
                  <c:x val="-2.3339864366008656E-2"/>
                  <c:y val="2.1267953439599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6BA-4897-8425-55867D351B7F}"/>
                </c:ext>
              </c:extLst>
            </c:dLbl>
            <c:dLbl>
              <c:idx val="18"/>
              <c:layout>
                <c:manualLayout>
                  <c:x val="-3.2035228778232831E-2"/>
                  <c:y val="1.8184515362441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6BA-4897-8425-55867D351B7F}"/>
                </c:ext>
              </c:extLst>
            </c:dLbl>
            <c:dLbl>
              <c:idx val="19"/>
              <c:layout>
                <c:manualLayout>
                  <c:x val="-3.2035228778232831E-2"/>
                  <c:y val="-2.49836177177751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6BA-4897-8425-55867D351B7F}"/>
                </c:ext>
              </c:extLst>
            </c:dLbl>
            <c:dLbl>
              <c:idx val="20"/>
              <c:layout>
                <c:manualLayout>
                  <c:x val="-6.6229692273108536E-3"/>
                  <c:y val="-2.6623329577325151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1">
                          <a:lumMod val="75000"/>
                        </a:schemeClr>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6BA-4897-8425-55867D351B7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Graphics!$AK$4:$AK$25</c:f>
              <c:strCache>
                <c:ptCount val="22"/>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a Jun 2023</c:v>
                </c:pt>
              </c:strCache>
            </c:strRef>
          </c:cat>
          <c:val>
            <c:numRef>
              <c:f>Graphics!$AJ$4:$AJ$24</c:f>
              <c:numCache>
                <c:formatCode>0</c:formatCode>
                <c:ptCount val="21"/>
                <c:pt idx="0">
                  <c:v>159.77121450504629</c:v>
                </c:pt>
                <c:pt idx="1">
                  <c:v>109.5004400072626</c:v>
                </c:pt>
                <c:pt idx="2">
                  <c:v>118.20718006960747</c:v>
                </c:pt>
                <c:pt idx="3">
                  <c:v>138.77507205735151</c:v>
                </c:pt>
                <c:pt idx="4">
                  <c:v>67.40883623841404</c:v>
                </c:pt>
                <c:pt idx="5">
                  <c:v>96.796903290007208</c:v>
                </c:pt>
                <c:pt idx="6">
                  <c:v>55.366000595700093</c:v>
                </c:pt>
                <c:pt idx="7">
                  <c:v>696.02009435634329</c:v>
                </c:pt>
                <c:pt idx="8">
                  <c:v>66.040040513762364</c:v>
                </c:pt>
                <c:pt idx="9">
                  <c:v>148.95258765156171</c:v>
                </c:pt>
                <c:pt idx="10">
                  <c:v>94.299709318611093</c:v>
                </c:pt>
                <c:pt idx="11">
                  <c:v>87.218501488232874</c:v>
                </c:pt>
                <c:pt idx="12">
                  <c:v>125.74319674849876</c:v>
                </c:pt>
                <c:pt idx="13">
                  <c:v>110.12798426733681</c:v>
                </c:pt>
                <c:pt idx="14">
                  <c:v>502.08629517766229</c:v>
                </c:pt>
                <c:pt idx="15">
                  <c:v>102.57000515401145</c:v>
                </c:pt>
                <c:pt idx="16">
                  <c:v>531.49996264795902</c:v>
                </c:pt>
                <c:pt idx="17">
                  <c:v>498.98882918149371</c:v>
                </c:pt>
                <c:pt idx="18">
                  <c:v>213.85521192139686</c:v>
                </c:pt>
                <c:pt idx="19">
                  <c:v>385.12886515718662</c:v>
                </c:pt>
                <c:pt idx="20">
                  <c:v>50.434727636252788</c:v>
                </c:pt>
              </c:numCache>
            </c:numRef>
          </c:val>
          <c:smooth val="0"/>
          <c:extLst>
            <c:ext xmlns:c16="http://schemas.microsoft.com/office/drawing/2014/chart" uri="{C3380CC4-5D6E-409C-BE32-E72D297353CC}">
              <c16:uniqueId val="{0000000E-36BA-4897-8425-55867D351B7F}"/>
            </c:ext>
          </c:extLst>
        </c:ser>
        <c:dLbls>
          <c:showLegendKey val="0"/>
          <c:showVal val="0"/>
          <c:showCatName val="0"/>
          <c:showSerName val="0"/>
          <c:showPercent val="0"/>
          <c:showBubbleSize val="0"/>
        </c:dLbls>
        <c:marker val="1"/>
        <c:smooth val="0"/>
        <c:axId val="671349840"/>
        <c:axId val="671346096"/>
      </c:lineChart>
      <c:catAx>
        <c:axId val="140835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408368928"/>
        <c:crosses val="autoZero"/>
        <c:auto val="1"/>
        <c:lblAlgn val="ctr"/>
        <c:lblOffset val="100"/>
        <c:noMultiLvlLbl val="0"/>
      </c:catAx>
      <c:valAx>
        <c:axId val="1408368928"/>
        <c:scaling>
          <c:orientation val="minMax"/>
          <c:max val="1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iNDICE fRECUENCIA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408357504"/>
        <c:crosses val="autoZero"/>
        <c:crossBetween val="between"/>
      </c:valAx>
      <c:valAx>
        <c:axId val="67134609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671349840"/>
        <c:crosses val="max"/>
        <c:crossBetween val="between"/>
      </c:valAx>
      <c:catAx>
        <c:axId val="671349840"/>
        <c:scaling>
          <c:orientation val="minMax"/>
        </c:scaling>
        <c:delete val="1"/>
        <c:axPos val="b"/>
        <c:numFmt formatCode="General" sourceLinked="1"/>
        <c:majorTickMark val="none"/>
        <c:minorTickMark val="none"/>
        <c:tickLblPos val="nextTo"/>
        <c:crossAx val="6713460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bg1">
          <a:lumMod val="65000"/>
        </a:schemeClr>
      </a:solidFill>
      <a:round/>
    </a:ln>
    <a:effectLst/>
  </c:spPr>
  <c:txPr>
    <a:bodyPr/>
    <a:lstStyle/>
    <a:p>
      <a:pPr>
        <a:defRPr/>
      </a:pPr>
      <a:endParaRPr lang="es-PE"/>
    </a:p>
  </c:txPr>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a:t>Indice</a:t>
            </a:r>
            <a:r>
              <a:rPr lang="es-PE" baseline="0"/>
              <a:t> </a:t>
            </a:r>
            <a:r>
              <a:rPr lang="es-PE"/>
              <a:t>Frecuencia / Indice</a:t>
            </a:r>
            <a:r>
              <a:rPr lang="es-PE" baseline="0"/>
              <a:t> Severidad - ITDC</a:t>
            </a:r>
            <a:endParaRPr lang="es-PE"/>
          </a:p>
        </c:rich>
      </c:tx>
      <c:overlay val="0"/>
    </c:title>
    <c:autoTitleDeleted val="0"/>
    <c:plotArea>
      <c:layout>
        <c:manualLayout>
          <c:layoutTarget val="inner"/>
          <c:xMode val="edge"/>
          <c:yMode val="edge"/>
          <c:x val="8.64984497831294E-2"/>
          <c:y val="0.11827731733311979"/>
          <c:w val="0.87584217799479425"/>
          <c:h val="0.75987644258359976"/>
        </c:manualLayout>
      </c:layout>
      <c:lineChart>
        <c:grouping val="standard"/>
        <c:varyColors val="0"/>
        <c:ser>
          <c:idx val="1"/>
          <c:order val="0"/>
          <c:tx>
            <c:v>IF</c:v>
          </c:tx>
          <c:spPr>
            <a:ln>
              <a:solidFill>
                <a:srgbClr val="FF0000"/>
              </a:solidFill>
            </a:ln>
          </c:spPr>
          <c:marker>
            <c:symbol val="none"/>
          </c:marker>
          <c:dLbls>
            <c:dLbl>
              <c:idx val="5"/>
              <c:spPr>
                <a:noFill/>
                <a:ln>
                  <a:noFill/>
                </a:ln>
                <a:effectLst/>
              </c:spPr>
              <c:txPr>
                <a:bodyPr wrap="square" lIns="38100" tIns="19050" rIns="38100" bIns="19050" anchor="ctr">
                  <a:spAutoFit/>
                </a:bodyPr>
                <a:lstStyle/>
                <a:p>
                  <a:pPr>
                    <a:defRPr sz="1400" b="1">
                      <a:solidFill>
                        <a:srgbClr val="FF0000"/>
                      </a:solidFil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A-E4BF-42DC-B915-72F0A43B2494}"/>
                </c:ext>
              </c:extLst>
            </c:dLbl>
            <c:dLbl>
              <c:idx val="16"/>
              <c:layout>
                <c:manualLayout>
                  <c:x val="-1.7126216295478069E-2"/>
                  <c:y val="1.17966302696127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BF-42DC-B915-72F0A43B2494}"/>
                </c:ext>
              </c:extLst>
            </c:dLbl>
            <c:dLbl>
              <c:idx val="17"/>
              <c:layout>
                <c:manualLayout>
                  <c:x val="-4.0831696771418038E-3"/>
                  <c:y val="-3.05776244868854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BF-42DC-B915-72F0A43B2494}"/>
                </c:ext>
              </c:extLst>
            </c:dLbl>
            <c:dLbl>
              <c:idx val="21"/>
              <c:spPr>
                <a:noFill/>
                <a:ln>
                  <a:noFill/>
                </a:ln>
                <a:effectLst/>
              </c:spPr>
              <c:txPr>
                <a:bodyPr wrap="square" lIns="38100" tIns="19050" rIns="38100" bIns="19050" anchor="ctr">
                  <a:spAutoFit/>
                </a:bodyPr>
                <a:lstStyle/>
                <a:p>
                  <a:pPr>
                    <a:defRPr sz="1200" b="1">
                      <a:solidFill>
                        <a:srgbClr val="FF0000"/>
                      </a:solidFil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2-E4BF-42DC-B915-72F0A43B2494}"/>
                </c:ext>
              </c:extLst>
            </c:dLbl>
            <c:spPr>
              <a:noFill/>
              <a:ln>
                <a:noFill/>
              </a:ln>
              <a:effectLst/>
            </c:spPr>
            <c:txPr>
              <a:bodyPr wrap="square" lIns="38100" tIns="19050" rIns="38100" bIns="19050" anchor="ctr">
                <a:spAutoFit/>
              </a:bodyPr>
              <a:lstStyle/>
              <a:p>
                <a:pPr>
                  <a:defRPr sz="120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Graphics!$AK$20:$AK$25</c:f>
              <c:strCache>
                <c:ptCount val="6"/>
                <c:pt idx="0">
                  <c:v>2018</c:v>
                </c:pt>
                <c:pt idx="1">
                  <c:v>2019</c:v>
                </c:pt>
                <c:pt idx="2">
                  <c:v>2020</c:v>
                </c:pt>
                <c:pt idx="3">
                  <c:v>2021</c:v>
                </c:pt>
                <c:pt idx="4">
                  <c:v>2022</c:v>
                </c:pt>
                <c:pt idx="5">
                  <c:v>a Jun 2023</c:v>
                </c:pt>
              </c:strCache>
            </c:strRef>
          </c:cat>
          <c:val>
            <c:numRef>
              <c:f>Graphics!$AY$20:$AY$25</c:f>
              <c:numCache>
                <c:formatCode>0.0</c:formatCode>
                <c:ptCount val="6"/>
                <c:pt idx="0">
                  <c:v>32.156808128531431</c:v>
                </c:pt>
                <c:pt idx="1">
                  <c:v>25.525733890172493</c:v>
                </c:pt>
                <c:pt idx="2">
                  <c:v>17.037750613576339</c:v>
                </c:pt>
                <c:pt idx="3">
                  <c:v>11.165602188105431</c:v>
                </c:pt>
                <c:pt idx="4">
                  <c:v>5.9649752351495273</c:v>
                </c:pt>
                <c:pt idx="5">
                  <c:v>3.0240387959273667</c:v>
                </c:pt>
              </c:numCache>
            </c:numRef>
          </c:val>
          <c:smooth val="0"/>
          <c:extLst>
            <c:ext xmlns:c16="http://schemas.microsoft.com/office/drawing/2014/chart" uri="{C3380CC4-5D6E-409C-BE32-E72D297353CC}">
              <c16:uniqueId val="{00000003-E4BF-42DC-B915-72F0A43B2494}"/>
            </c:ext>
          </c:extLst>
        </c:ser>
        <c:dLbls>
          <c:showLegendKey val="0"/>
          <c:showVal val="0"/>
          <c:showCatName val="0"/>
          <c:showSerName val="0"/>
          <c:showPercent val="0"/>
          <c:showBubbleSize val="0"/>
        </c:dLbls>
        <c:marker val="1"/>
        <c:smooth val="0"/>
        <c:axId val="1408357504"/>
        <c:axId val="1408368928"/>
      </c:lineChart>
      <c:lineChart>
        <c:grouping val="standard"/>
        <c:varyColors val="0"/>
        <c:ser>
          <c:idx val="0"/>
          <c:order val="1"/>
          <c:tx>
            <c:v>IS</c:v>
          </c:tx>
          <c:marker>
            <c:symbol val="none"/>
          </c:marker>
          <c:dLbls>
            <c:dLbl>
              <c:idx val="5"/>
              <c:layout>
                <c:manualLayout>
                  <c:x val="-5.188234099293758E-3"/>
                  <c:y val="-2.5197428755007217E-2"/>
                </c:manualLayout>
              </c:layout>
              <c:spPr>
                <a:noFill/>
                <a:ln>
                  <a:noFill/>
                </a:ln>
                <a:effectLst/>
              </c:spPr>
              <c:txPr>
                <a:bodyPr wrap="square" lIns="38100" tIns="19050" rIns="38100" bIns="19050" anchor="ctr">
                  <a:spAutoFit/>
                </a:bodyPr>
                <a:lstStyle/>
                <a:p>
                  <a:pPr>
                    <a:defRPr sz="1400" b="1"/>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4BF-42DC-B915-72F0A43B2494}"/>
                </c:ext>
              </c:extLst>
            </c:dLbl>
            <c:dLbl>
              <c:idx val="15"/>
              <c:layout>
                <c:manualLayout>
                  <c:x val="-2.3339864366008656E-2"/>
                  <c:y val="2.1267953439599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BF-42DC-B915-72F0A43B2494}"/>
                </c:ext>
              </c:extLst>
            </c:dLbl>
            <c:dLbl>
              <c:idx val="18"/>
              <c:layout>
                <c:manualLayout>
                  <c:x val="-3.2035228778232831E-2"/>
                  <c:y val="1.8184515362441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BF-42DC-B915-72F0A43B2494}"/>
                </c:ext>
              </c:extLst>
            </c:dLbl>
            <c:dLbl>
              <c:idx val="19"/>
              <c:layout>
                <c:manualLayout>
                  <c:x val="-3.2035228778232831E-2"/>
                  <c:y val="-2.49836177177751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4BF-42DC-B915-72F0A43B2494}"/>
                </c:ext>
              </c:extLst>
            </c:dLbl>
            <c:dLbl>
              <c:idx val="20"/>
              <c:layout>
                <c:manualLayout>
                  <c:x val="-3.4158289866020743E-2"/>
                  <c:y val="-3.1611310050867015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4BF-42DC-B915-72F0A43B2494}"/>
                </c:ext>
              </c:extLst>
            </c:dLbl>
            <c:dLbl>
              <c:idx val="21"/>
              <c:spPr>
                <a:noFill/>
                <a:ln>
                  <a:noFill/>
                </a:ln>
                <a:effectLst/>
              </c:spPr>
              <c:txPr>
                <a:bodyPr wrap="square" lIns="38100" tIns="19050" rIns="38100" bIns="19050" anchor="ctr">
                  <a:spAutoFit/>
                </a:bodyPr>
                <a:lstStyle/>
                <a:p>
                  <a:pPr>
                    <a:defRPr sz="1200" b="1">
                      <a:solidFill>
                        <a:sysClr val="windowText" lastClr="000000"/>
                      </a:solidFill>
                    </a:defRPr>
                  </a:pPr>
                  <a:endParaRPr lang="es-PE"/>
                </a:p>
              </c:txPr>
              <c:dLblPos val="t"/>
              <c:showLegendKey val="0"/>
              <c:showVal val="1"/>
              <c:showCatName val="0"/>
              <c:showSerName val="0"/>
              <c:showPercent val="0"/>
              <c:showBubbleSize val="0"/>
              <c:extLst>
                <c:ext xmlns:c16="http://schemas.microsoft.com/office/drawing/2014/chart" uri="{C3380CC4-5D6E-409C-BE32-E72D297353CC}">
                  <c16:uniqueId val="{00000008-E4BF-42DC-B915-72F0A43B2494}"/>
                </c:ext>
              </c:extLst>
            </c:dLbl>
            <c:spPr>
              <a:noFill/>
              <a:ln>
                <a:noFill/>
              </a:ln>
              <a:effectLst/>
            </c:spPr>
            <c:txPr>
              <a:bodyPr wrap="square" lIns="38100" tIns="19050" rIns="38100" bIns="19050" anchor="ctr">
                <a:spAutoFit/>
              </a:bodyPr>
              <a:lstStyle/>
              <a:p>
                <a:pPr>
                  <a:defRPr sz="1200"/>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Graphics!$AK$20:$AK$25</c:f>
              <c:strCache>
                <c:ptCount val="6"/>
                <c:pt idx="0">
                  <c:v>2018</c:v>
                </c:pt>
                <c:pt idx="1">
                  <c:v>2019</c:v>
                </c:pt>
                <c:pt idx="2">
                  <c:v>2020</c:v>
                </c:pt>
                <c:pt idx="3">
                  <c:v>2021</c:v>
                </c:pt>
                <c:pt idx="4">
                  <c:v>2022</c:v>
                </c:pt>
                <c:pt idx="5">
                  <c:v>a Jun 2023</c:v>
                </c:pt>
              </c:strCache>
            </c:strRef>
          </c:cat>
          <c:val>
            <c:numRef>
              <c:f>Graphics!$AZ$20:$AZ$25</c:f>
              <c:numCache>
                <c:formatCode>0</c:formatCode>
                <c:ptCount val="6"/>
                <c:pt idx="0">
                  <c:v>602.33028191097492</c:v>
                </c:pt>
                <c:pt idx="1">
                  <c:v>1742.8403861678885</c:v>
                </c:pt>
                <c:pt idx="2">
                  <c:v>420.55427279837926</c:v>
                </c:pt>
                <c:pt idx="3">
                  <c:v>207.88588284433138</c:v>
                </c:pt>
                <c:pt idx="4">
                  <c:v>240.01176669851648</c:v>
                </c:pt>
                <c:pt idx="5" formatCode="#,##0">
                  <c:v>223.95675553367971</c:v>
                </c:pt>
              </c:numCache>
            </c:numRef>
          </c:val>
          <c:smooth val="0"/>
          <c:extLst>
            <c:ext xmlns:c16="http://schemas.microsoft.com/office/drawing/2014/chart" uri="{C3380CC4-5D6E-409C-BE32-E72D297353CC}">
              <c16:uniqueId val="{00000009-E4BF-42DC-B915-72F0A43B2494}"/>
            </c:ext>
          </c:extLst>
        </c:ser>
        <c:dLbls>
          <c:showLegendKey val="0"/>
          <c:showVal val="0"/>
          <c:showCatName val="0"/>
          <c:showSerName val="0"/>
          <c:showPercent val="0"/>
          <c:showBubbleSize val="0"/>
        </c:dLbls>
        <c:marker val="1"/>
        <c:smooth val="0"/>
        <c:axId val="671349840"/>
        <c:axId val="671346096"/>
      </c:lineChart>
      <c:catAx>
        <c:axId val="1408357504"/>
        <c:scaling>
          <c:orientation val="minMax"/>
        </c:scaling>
        <c:delete val="0"/>
        <c:axPos val="b"/>
        <c:numFmt formatCode="General" sourceLinked="1"/>
        <c:majorTickMark val="none"/>
        <c:minorTickMark val="none"/>
        <c:tickLblPos val="nextTo"/>
        <c:crossAx val="1408368928"/>
        <c:crosses val="autoZero"/>
        <c:auto val="1"/>
        <c:lblAlgn val="ctr"/>
        <c:lblOffset val="100"/>
        <c:noMultiLvlLbl val="0"/>
      </c:catAx>
      <c:valAx>
        <c:axId val="1408368928"/>
        <c:scaling>
          <c:orientation val="minMax"/>
          <c:max val="35"/>
          <c:min val="0"/>
        </c:scaling>
        <c:delete val="0"/>
        <c:axPos val="l"/>
        <c:majorGridlines/>
        <c:title>
          <c:overlay val="0"/>
        </c:title>
        <c:numFmt formatCode="#,##0.0" sourceLinked="0"/>
        <c:majorTickMark val="none"/>
        <c:minorTickMark val="none"/>
        <c:tickLblPos val="nextTo"/>
        <c:spPr>
          <a:noFill/>
        </c:spPr>
        <c:crossAx val="1408357504"/>
        <c:crosses val="autoZero"/>
        <c:crossBetween val="between"/>
      </c:valAx>
      <c:valAx>
        <c:axId val="671346096"/>
        <c:scaling>
          <c:orientation val="minMax"/>
        </c:scaling>
        <c:delete val="0"/>
        <c:axPos val="r"/>
        <c:numFmt formatCode="0" sourceLinked="1"/>
        <c:majorTickMark val="out"/>
        <c:minorTickMark val="none"/>
        <c:tickLblPos val="nextTo"/>
        <c:crossAx val="671349840"/>
        <c:crosses val="max"/>
        <c:crossBetween val="between"/>
      </c:valAx>
      <c:catAx>
        <c:axId val="671349840"/>
        <c:scaling>
          <c:orientation val="minMax"/>
        </c:scaling>
        <c:delete val="1"/>
        <c:axPos val="b"/>
        <c:numFmt formatCode="General" sourceLinked="1"/>
        <c:majorTickMark val="out"/>
        <c:minorTickMark val="none"/>
        <c:tickLblPos val="nextTo"/>
        <c:crossAx val="671346096"/>
        <c:crosses val="autoZero"/>
        <c:auto val="1"/>
        <c:lblAlgn val="ctr"/>
        <c:lblOffset val="100"/>
        <c:noMultiLvlLbl val="0"/>
      </c:catAx>
    </c:plotArea>
    <c:plotVisOnly val="1"/>
    <c:dispBlanksAs val="gap"/>
    <c:showDLblsOverMax val="0"/>
  </c:chart>
  <c:spPr>
    <a:ln>
      <a:solidFill>
        <a:schemeClr val="bg1">
          <a:lumMod val="75000"/>
        </a:schemeClr>
      </a:solidFill>
    </a:ln>
  </c:spPr>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s-PE" sz="1600"/>
              <a:t>INDICE FRECUENCIA</a:t>
            </a:r>
          </a:p>
        </c:rich>
      </c:tx>
      <c:overlay val="0"/>
    </c:title>
    <c:autoTitleDeleted val="0"/>
    <c:plotArea>
      <c:layout>
        <c:manualLayout>
          <c:layoutTarget val="inner"/>
          <c:xMode val="edge"/>
          <c:yMode val="edge"/>
          <c:x val="0.17061374403326662"/>
          <c:y val="0.10171030468947963"/>
          <c:w val="0.79305574905957033"/>
          <c:h val="0.82197301284157998"/>
        </c:manualLayout>
      </c:layout>
      <c:barChart>
        <c:barDir val="bar"/>
        <c:grouping val="clustered"/>
        <c:varyColors val="0"/>
        <c:ser>
          <c:idx val="0"/>
          <c:order val="0"/>
          <c:spPr>
            <a:solidFill>
              <a:srgbClr val="FF0000"/>
            </a:solidFill>
          </c:spPr>
          <c:invertIfNegative val="0"/>
          <c:dPt>
            <c:idx val="0"/>
            <c:invertIfNegative val="0"/>
            <c:bubble3D val="0"/>
            <c:extLst>
              <c:ext xmlns:c16="http://schemas.microsoft.com/office/drawing/2014/chart" uri="{C3380CC4-5D6E-409C-BE32-E72D297353CC}">
                <c16:uniqueId val="{00000000-ECC8-4DA5-B7BA-53D0D5F67012}"/>
              </c:ext>
            </c:extLst>
          </c:dPt>
          <c:dPt>
            <c:idx val="1"/>
            <c:invertIfNegative val="0"/>
            <c:bubble3D val="0"/>
            <c:spPr>
              <a:solidFill>
                <a:srgbClr val="FF0000"/>
              </a:solidFill>
              <a:ln>
                <a:noFill/>
              </a:ln>
            </c:spPr>
            <c:extLst>
              <c:ext xmlns:c16="http://schemas.microsoft.com/office/drawing/2014/chart" uri="{C3380CC4-5D6E-409C-BE32-E72D297353CC}">
                <c16:uniqueId val="{00000001-ECC8-4DA5-B7BA-53D0D5F67012}"/>
              </c:ext>
            </c:extLst>
          </c:dPt>
          <c:dPt>
            <c:idx val="2"/>
            <c:invertIfNegative val="0"/>
            <c:bubble3D val="0"/>
            <c:extLst>
              <c:ext xmlns:c16="http://schemas.microsoft.com/office/drawing/2014/chart" uri="{C3380CC4-5D6E-409C-BE32-E72D297353CC}">
                <c16:uniqueId val="{00000002-ECC8-4DA5-B7BA-53D0D5F67012}"/>
              </c:ext>
            </c:extLst>
          </c:dPt>
          <c:dPt>
            <c:idx val="3"/>
            <c:invertIfNegative val="0"/>
            <c:bubble3D val="0"/>
            <c:extLst>
              <c:ext xmlns:c16="http://schemas.microsoft.com/office/drawing/2014/chart" uri="{C3380CC4-5D6E-409C-BE32-E72D297353CC}">
                <c16:uniqueId val="{00000003-ECC8-4DA5-B7BA-53D0D5F67012}"/>
              </c:ext>
            </c:extLst>
          </c:dPt>
          <c:dPt>
            <c:idx val="4"/>
            <c:invertIfNegative val="0"/>
            <c:bubble3D val="0"/>
            <c:extLst>
              <c:ext xmlns:c16="http://schemas.microsoft.com/office/drawing/2014/chart" uri="{C3380CC4-5D6E-409C-BE32-E72D297353CC}">
                <c16:uniqueId val="{00000005-ECC8-4DA5-B7BA-53D0D5F67012}"/>
              </c:ext>
            </c:extLst>
          </c:dPt>
          <c:dPt>
            <c:idx val="5"/>
            <c:invertIfNegative val="0"/>
            <c:bubble3D val="0"/>
            <c:extLst>
              <c:ext xmlns:c16="http://schemas.microsoft.com/office/drawing/2014/chart" uri="{C3380CC4-5D6E-409C-BE32-E72D297353CC}">
                <c16:uniqueId val="{00000006-ECC8-4DA5-B7BA-53D0D5F67012}"/>
              </c:ext>
            </c:extLst>
          </c:dPt>
          <c:dPt>
            <c:idx val="6"/>
            <c:invertIfNegative val="0"/>
            <c:bubble3D val="0"/>
            <c:extLst>
              <c:ext xmlns:c16="http://schemas.microsoft.com/office/drawing/2014/chart" uri="{C3380CC4-5D6E-409C-BE32-E72D297353CC}">
                <c16:uniqueId val="{00000008-ECC8-4DA5-B7BA-53D0D5F67012}"/>
              </c:ext>
            </c:extLst>
          </c:dPt>
          <c:dPt>
            <c:idx val="7"/>
            <c:invertIfNegative val="0"/>
            <c:bubble3D val="0"/>
            <c:extLst>
              <c:ext xmlns:c16="http://schemas.microsoft.com/office/drawing/2014/chart" uri="{C3380CC4-5D6E-409C-BE32-E72D297353CC}">
                <c16:uniqueId val="{00000009-ECC8-4DA5-B7BA-53D0D5F67012}"/>
              </c:ext>
            </c:extLst>
          </c:dPt>
          <c:dPt>
            <c:idx val="8"/>
            <c:invertIfNegative val="0"/>
            <c:bubble3D val="0"/>
            <c:extLst>
              <c:ext xmlns:c16="http://schemas.microsoft.com/office/drawing/2014/chart" uri="{C3380CC4-5D6E-409C-BE32-E72D297353CC}">
                <c16:uniqueId val="{0000000A-ECC8-4DA5-B7BA-53D0D5F67012}"/>
              </c:ext>
            </c:extLst>
          </c:dPt>
          <c:dPt>
            <c:idx val="9"/>
            <c:invertIfNegative val="0"/>
            <c:bubble3D val="0"/>
            <c:extLst>
              <c:ext xmlns:c16="http://schemas.microsoft.com/office/drawing/2014/chart" uri="{C3380CC4-5D6E-409C-BE32-E72D297353CC}">
                <c16:uniqueId val="{0000000C-ECC8-4DA5-B7BA-53D0D5F67012}"/>
              </c:ext>
            </c:extLst>
          </c:dPt>
          <c:dPt>
            <c:idx val="10"/>
            <c:invertIfNegative val="0"/>
            <c:bubble3D val="0"/>
            <c:spPr>
              <a:solidFill>
                <a:srgbClr val="FFFF00"/>
              </a:solidFill>
            </c:spPr>
            <c:extLst>
              <c:ext xmlns:c16="http://schemas.microsoft.com/office/drawing/2014/chart" uri="{C3380CC4-5D6E-409C-BE32-E72D297353CC}">
                <c16:uniqueId val="{0000000E-ECC8-4DA5-B7BA-53D0D5F67012}"/>
              </c:ext>
            </c:extLst>
          </c:dPt>
          <c:dPt>
            <c:idx val="11"/>
            <c:invertIfNegative val="0"/>
            <c:bubble3D val="0"/>
            <c:spPr>
              <a:solidFill>
                <a:srgbClr val="FFFF00"/>
              </a:solidFill>
            </c:spPr>
            <c:extLst>
              <c:ext xmlns:c16="http://schemas.microsoft.com/office/drawing/2014/chart" uri="{C3380CC4-5D6E-409C-BE32-E72D297353CC}">
                <c16:uniqueId val="{0000000F-ECC8-4DA5-B7BA-53D0D5F67012}"/>
              </c:ext>
            </c:extLst>
          </c:dPt>
          <c:dPt>
            <c:idx val="12"/>
            <c:invertIfNegative val="0"/>
            <c:bubble3D val="0"/>
            <c:extLst>
              <c:ext xmlns:c16="http://schemas.microsoft.com/office/drawing/2014/chart" uri="{C3380CC4-5D6E-409C-BE32-E72D297353CC}">
                <c16:uniqueId val="{00000011-ECC8-4DA5-B7BA-53D0D5F67012}"/>
              </c:ext>
            </c:extLst>
          </c:dPt>
          <c:dPt>
            <c:idx val="13"/>
            <c:invertIfNegative val="0"/>
            <c:bubble3D val="0"/>
            <c:spPr>
              <a:solidFill>
                <a:srgbClr val="FFFF00"/>
              </a:solidFill>
            </c:spPr>
            <c:extLst>
              <c:ext xmlns:c16="http://schemas.microsoft.com/office/drawing/2014/chart" uri="{C3380CC4-5D6E-409C-BE32-E72D297353CC}">
                <c16:uniqueId val="{00000013-ECC8-4DA5-B7BA-53D0D5F67012}"/>
              </c:ext>
            </c:extLst>
          </c:dPt>
          <c:dPt>
            <c:idx val="14"/>
            <c:invertIfNegative val="0"/>
            <c:bubble3D val="0"/>
            <c:spPr>
              <a:solidFill>
                <a:srgbClr val="00B050"/>
              </a:solidFill>
            </c:spPr>
            <c:extLst>
              <c:ext xmlns:c16="http://schemas.microsoft.com/office/drawing/2014/chart" uri="{C3380CC4-5D6E-409C-BE32-E72D297353CC}">
                <c16:uniqueId val="{00000014-ECC8-4DA5-B7BA-53D0D5F67012}"/>
              </c:ext>
            </c:extLst>
          </c:dPt>
          <c:dPt>
            <c:idx val="15"/>
            <c:invertIfNegative val="0"/>
            <c:bubble3D val="0"/>
            <c:extLst>
              <c:ext xmlns:c16="http://schemas.microsoft.com/office/drawing/2014/chart" uri="{C3380CC4-5D6E-409C-BE32-E72D297353CC}">
                <c16:uniqueId val="{0000001F-B7E3-4927-9608-9BAFB850AC56}"/>
              </c:ext>
            </c:extLst>
          </c:dPt>
          <c:dPt>
            <c:idx val="16"/>
            <c:invertIfNegative val="0"/>
            <c:bubble3D val="0"/>
            <c:spPr>
              <a:solidFill>
                <a:srgbClr val="FFFF00"/>
              </a:solidFill>
            </c:spPr>
            <c:extLst>
              <c:ext xmlns:c16="http://schemas.microsoft.com/office/drawing/2014/chart" uri="{C3380CC4-5D6E-409C-BE32-E72D297353CC}">
                <c16:uniqueId val="{00000016-ECC8-4DA5-B7BA-53D0D5F67012}"/>
              </c:ext>
            </c:extLst>
          </c:dPt>
          <c:dPt>
            <c:idx val="17"/>
            <c:invertIfNegative val="0"/>
            <c:bubble3D val="0"/>
            <c:extLst>
              <c:ext xmlns:c16="http://schemas.microsoft.com/office/drawing/2014/chart" uri="{C3380CC4-5D6E-409C-BE32-E72D297353CC}">
                <c16:uniqueId val="{00000018-ECC8-4DA5-B7BA-53D0D5F67012}"/>
              </c:ext>
            </c:extLst>
          </c:dPt>
          <c:dPt>
            <c:idx val="18"/>
            <c:invertIfNegative val="0"/>
            <c:bubble3D val="0"/>
            <c:extLst>
              <c:ext xmlns:c16="http://schemas.microsoft.com/office/drawing/2014/chart" uri="{C3380CC4-5D6E-409C-BE32-E72D297353CC}">
                <c16:uniqueId val="{0000001A-ECC8-4DA5-B7BA-53D0D5F67012}"/>
              </c:ext>
            </c:extLst>
          </c:dPt>
          <c:dPt>
            <c:idx val="19"/>
            <c:invertIfNegative val="0"/>
            <c:bubble3D val="0"/>
            <c:extLst>
              <c:ext xmlns:c16="http://schemas.microsoft.com/office/drawing/2014/chart" uri="{C3380CC4-5D6E-409C-BE32-E72D297353CC}">
                <c16:uniqueId val="{0000001B-ECC8-4DA5-B7BA-53D0D5F67012}"/>
              </c:ext>
            </c:extLst>
          </c:dPt>
          <c:dPt>
            <c:idx val="20"/>
            <c:invertIfNegative val="0"/>
            <c:bubble3D val="0"/>
            <c:spPr>
              <a:solidFill>
                <a:srgbClr val="00B050"/>
              </a:solidFill>
            </c:spPr>
            <c:extLst>
              <c:ext xmlns:c16="http://schemas.microsoft.com/office/drawing/2014/chart" uri="{C3380CC4-5D6E-409C-BE32-E72D297353CC}">
                <c16:uniqueId val="{0000001E-5580-4E38-ABD6-18A6BB671CF8}"/>
              </c:ext>
            </c:extLst>
          </c:dPt>
          <c:dPt>
            <c:idx val="21"/>
            <c:invertIfNegative val="0"/>
            <c:bubble3D val="0"/>
            <c:spPr>
              <a:solidFill>
                <a:srgbClr val="FFFF00"/>
              </a:solidFill>
            </c:spPr>
            <c:extLst>
              <c:ext xmlns:c16="http://schemas.microsoft.com/office/drawing/2014/chart" uri="{C3380CC4-5D6E-409C-BE32-E72D297353CC}">
                <c16:uniqueId val="{0000001D-5580-4E38-ABD6-18A6BB671CF8}"/>
              </c:ext>
            </c:extLst>
          </c:dPt>
          <c:dPt>
            <c:idx val="22"/>
            <c:invertIfNegative val="0"/>
            <c:bubble3D val="0"/>
            <c:spPr>
              <a:solidFill>
                <a:srgbClr val="FFFF00"/>
              </a:solidFill>
            </c:spPr>
            <c:extLst>
              <c:ext xmlns:c16="http://schemas.microsoft.com/office/drawing/2014/chart" uri="{C3380CC4-5D6E-409C-BE32-E72D297353CC}">
                <c16:uniqueId val="{0000001C-E60A-48CF-B344-DA56388AED53}"/>
              </c:ext>
            </c:extLst>
          </c:dPt>
          <c:dPt>
            <c:idx val="23"/>
            <c:invertIfNegative val="0"/>
            <c:bubble3D val="0"/>
            <c:spPr>
              <a:solidFill>
                <a:srgbClr val="FFFF00"/>
              </a:solidFill>
            </c:spPr>
            <c:extLst>
              <c:ext xmlns:c16="http://schemas.microsoft.com/office/drawing/2014/chart" uri="{C3380CC4-5D6E-409C-BE32-E72D297353CC}">
                <c16:uniqueId val="{0000001E-B96D-4FF6-B0ED-73ED3089E041}"/>
              </c:ext>
            </c:extLst>
          </c:dPt>
          <c:dPt>
            <c:idx val="24"/>
            <c:invertIfNegative val="0"/>
            <c:bubble3D val="0"/>
            <c:spPr>
              <a:solidFill>
                <a:srgbClr val="FFFF00"/>
              </a:solidFill>
            </c:spPr>
            <c:extLst>
              <c:ext xmlns:c16="http://schemas.microsoft.com/office/drawing/2014/chart" uri="{C3380CC4-5D6E-409C-BE32-E72D297353CC}">
                <c16:uniqueId val="{00000024-D388-4C97-A8BF-10A7C38143AB}"/>
              </c:ext>
            </c:extLst>
          </c:dPt>
          <c:dPt>
            <c:idx val="25"/>
            <c:invertIfNegative val="0"/>
            <c:bubble3D val="0"/>
            <c:extLst>
              <c:ext xmlns:c16="http://schemas.microsoft.com/office/drawing/2014/chart" uri="{C3380CC4-5D6E-409C-BE32-E72D297353CC}">
                <c16:uniqueId val="{00000020-8882-4F60-8C41-AF7284B937F6}"/>
              </c:ext>
            </c:extLst>
          </c:dPt>
          <c:dPt>
            <c:idx val="26"/>
            <c:invertIfNegative val="0"/>
            <c:bubble3D val="0"/>
            <c:extLst>
              <c:ext xmlns:c16="http://schemas.microsoft.com/office/drawing/2014/chart" uri="{C3380CC4-5D6E-409C-BE32-E72D297353CC}">
                <c16:uniqueId val="{00000025-D388-4C97-A8BF-10A7C38143AB}"/>
              </c:ext>
            </c:extLst>
          </c:dPt>
          <c:dPt>
            <c:idx val="27"/>
            <c:invertIfNegative val="0"/>
            <c:bubble3D val="0"/>
            <c:spPr>
              <a:solidFill>
                <a:srgbClr val="FFFF00"/>
              </a:solidFill>
            </c:spPr>
            <c:extLst>
              <c:ext xmlns:c16="http://schemas.microsoft.com/office/drawing/2014/chart" uri="{C3380CC4-5D6E-409C-BE32-E72D297353CC}">
                <c16:uniqueId val="{0000001D-B96D-4FF6-B0ED-73ED3089E041}"/>
              </c:ext>
            </c:extLst>
          </c:dPt>
          <c:dLbls>
            <c:spPr>
              <a:noFill/>
              <a:ln>
                <a:noFill/>
              </a:ln>
              <a:effectLst/>
            </c:spPr>
            <c:txPr>
              <a:bodyPr/>
              <a:lstStyle/>
              <a:p>
                <a:pPr>
                  <a:defRPr sz="1050">
                    <a:latin typeface="Arial Nova" panose="020B0504020202020204" pitchFamily="34" charset="0"/>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INDICADORES!$BM$76:$BM$103</c:f>
              <c:strCache>
                <c:ptCount val="28"/>
                <c:pt idx="0">
                  <c:v>Mol.Sta.Rosa</c:v>
                </c:pt>
                <c:pt idx="1">
                  <c:v>Mol.Faucett</c:v>
                </c:pt>
                <c:pt idx="2">
                  <c:v>MOL. CALLAO</c:v>
                </c:pt>
                <c:pt idx="3">
                  <c:v>Galletería&amp; Inst</c:v>
                </c:pt>
                <c:pt idx="4">
                  <c:v>Fideería Lima</c:v>
                </c:pt>
                <c:pt idx="5">
                  <c:v>Copsa</c:v>
                </c:pt>
                <c:pt idx="6">
                  <c:v>Sidsur</c:v>
                </c:pt>
                <c:pt idx="7">
                  <c:v>Vitapro</c:v>
                </c:pt>
                <c:pt idx="8">
                  <c:v>Detergente</c:v>
                </c:pt>
                <c:pt idx="9">
                  <c:v>Jabonería</c:v>
                </c:pt>
                <c:pt idx="10">
                  <c:v>Distribución Lima</c:v>
                </c:pt>
                <c:pt idx="11">
                  <c:v>Distribución Prov</c:v>
                </c:pt>
                <c:pt idx="12">
                  <c:v>Administración</c:v>
                </c:pt>
                <c:pt idx="13">
                  <c:v>RRLL</c:v>
                </c:pt>
                <c:pt idx="14">
                  <c:v>Proyectos</c:v>
                </c:pt>
                <c:pt idx="15">
                  <c:v>Mol.Paita</c:v>
                </c:pt>
                <c:pt idx="16">
                  <c:v>TEAL</c:v>
                </c:pt>
                <c:pt idx="17">
                  <c:v>Global</c:v>
                </c:pt>
                <c:pt idx="18">
                  <c:v>Masterbread</c:v>
                </c:pt>
                <c:pt idx="19">
                  <c:v>TOTAL SIN ITDC</c:v>
                </c:pt>
                <c:pt idx="20">
                  <c:v>ITDC</c:v>
                </c:pt>
                <c:pt idx="21">
                  <c:v>PERU</c:v>
                </c:pt>
                <c:pt idx="22">
                  <c:v>Ecuador</c:v>
                </c:pt>
                <c:pt idx="23">
                  <c:v>Chile</c:v>
                </c:pt>
                <c:pt idx="24">
                  <c:v>Honduras</c:v>
                </c:pt>
                <c:pt idx="25">
                  <c:v>Bolivia</c:v>
                </c:pt>
                <c:pt idx="26">
                  <c:v>TOTAL PAISES EXT</c:v>
                </c:pt>
                <c:pt idx="27">
                  <c:v>TOTAL</c:v>
                </c:pt>
              </c:strCache>
            </c:strRef>
          </c:cat>
          <c:val>
            <c:numRef>
              <c:f>INDICADORES!$BN$76:$BN$103</c:f>
              <c:numCache>
                <c:formatCode>#,##0.0</c:formatCode>
                <c:ptCount val="28"/>
                <c:pt idx="0">
                  <c:v>0</c:v>
                </c:pt>
                <c:pt idx="1">
                  <c:v>9.6751799252091182</c:v>
                </c:pt>
                <c:pt idx="2">
                  <c:v>20.261179497196729</c:v>
                </c:pt>
                <c:pt idx="3">
                  <c:v>11.19122126419942</c:v>
                </c:pt>
                <c:pt idx="4">
                  <c:v>0</c:v>
                </c:pt>
                <c:pt idx="5">
                  <c:v>3.6236356655017756</c:v>
                </c:pt>
                <c:pt idx="6">
                  <c:v>5.6252323396744801</c:v>
                </c:pt>
                <c:pt idx="7">
                  <c:v>4.8236668389787658</c:v>
                </c:pt>
                <c:pt idx="8">
                  <c:v>10.665734149679146</c:v>
                </c:pt>
                <c:pt idx="9">
                  <c:v>0</c:v>
                </c:pt>
                <c:pt idx="10">
                  <c:v>2.3021156229629289</c:v>
                </c:pt>
                <c:pt idx="11">
                  <c:v>0.84052192511527934</c:v>
                </c:pt>
                <c:pt idx="12">
                  <c:v>1.5184170228281977</c:v>
                </c:pt>
                <c:pt idx="13">
                  <c:v>4.8297372719518803</c:v>
                </c:pt>
                <c:pt idx="14">
                  <c:v>3.5338407481027785</c:v>
                </c:pt>
                <c:pt idx="15">
                  <c:v>0</c:v>
                </c:pt>
                <c:pt idx="16">
                  <c:v>2.1079863545194906</c:v>
                </c:pt>
                <c:pt idx="17">
                  <c:v>0</c:v>
                </c:pt>
                <c:pt idx="18">
                  <c:v>0</c:v>
                </c:pt>
                <c:pt idx="19">
                  <c:v>3.703675064513702</c:v>
                </c:pt>
                <c:pt idx="20">
                  <c:v>3.0240387959273667</c:v>
                </c:pt>
                <c:pt idx="21">
                  <c:v>3.5478682869288742</c:v>
                </c:pt>
                <c:pt idx="22">
                  <c:v>1.6653312558124764</c:v>
                </c:pt>
                <c:pt idx="23">
                  <c:v>3.1624553303184593</c:v>
                </c:pt>
                <c:pt idx="24">
                  <c:v>5.8189874199601919</c:v>
                </c:pt>
                <c:pt idx="25">
                  <c:v>2.5183276923239917</c:v>
                </c:pt>
                <c:pt idx="26">
                  <c:v>2.4765903259347399</c:v>
                </c:pt>
                <c:pt idx="27">
                  <c:v>3.3029437046904491</c:v>
                </c:pt>
              </c:numCache>
            </c:numRef>
          </c:val>
          <c:extLst>
            <c:ext xmlns:c16="http://schemas.microsoft.com/office/drawing/2014/chart" uri="{C3380CC4-5D6E-409C-BE32-E72D297353CC}">
              <c16:uniqueId val="{0000001C-ECC8-4DA5-B7BA-53D0D5F67012}"/>
            </c:ext>
          </c:extLst>
        </c:ser>
        <c:dLbls>
          <c:showLegendKey val="0"/>
          <c:showVal val="0"/>
          <c:showCatName val="0"/>
          <c:showSerName val="0"/>
          <c:showPercent val="0"/>
          <c:showBubbleSize val="0"/>
        </c:dLbls>
        <c:gapWidth val="150"/>
        <c:axId val="1087410704"/>
        <c:axId val="1087411248"/>
      </c:barChart>
      <c:catAx>
        <c:axId val="1087410704"/>
        <c:scaling>
          <c:orientation val="minMax"/>
        </c:scaling>
        <c:delete val="0"/>
        <c:axPos val="l"/>
        <c:numFmt formatCode="General" sourceLinked="1"/>
        <c:majorTickMark val="out"/>
        <c:minorTickMark val="none"/>
        <c:tickLblPos val="nextTo"/>
        <c:txPr>
          <a:bodyPr/>
          <a:lstStyle/>
          <a:p>
            <a:pPr>
              <a:defRPr sz="900">
                <a:latin typeface="Arial" panose="020B0604020202020204" pitchFamily="34" charset="0"/>
                <a:cs typeface="Arial" panose="020B0604020202020204" pitchFamily="34" charset="0"/>
              </a:defRPr>
            </a:pPr>
            <a:endParaRPr lang="es-PE"/>
          </a:p>
        </c:txPr>
        <c:crossAx val="1087411248"/>
        <c:crosses val="autoZero"/>
        <c:auto val="1"/>
        <c:lblAlgn val="ctr"/>
        <c:lblOffset val="100"/>
        <c:noMultiLvlLbl val="0"/>
      </c:catAx>
      <c:valAx>
        <c:axId val="1087411248"/>
        <c:scaling>
          <c:orientation val="minMax"/>
        </c:scaling>
        <c:delete val="0"/>
        <c:axPos val="b"/>
        <c:majorGridlines/>
        <c:numFmt formatCode="#,##0.0" sourceLinked="1"/>
        <c:majorTickMark val="out"/>
        <c:minorTickMark val="none"/>
        <c:tickLblPos val="nextTo"/>
        <c:crossAx val="1087410704"/>
        <c:crosses val="autoZero"/>
        <c:crossBetween val="between"/>
      </c:valAx>
    </c:plotArea>
    <c:plotVisOnly val="1"/>
    <c:dispBlanksAs val="gap"/>
    <c:showDLblsOverMax val="0"/>
  </c:chart>
  <c:spPr>
    <a:ln>
      <a:solidFill>
        <a:schemeClr val="bg1">
          <a:lumMod val="85000"/>
        </a:schemeClr>
      </a:solidFill>
    </a:ln>
  </c:spPr>
  <c:printSettings>
    <c:headerFooter/>
    <c:pageMargins b="0.75000000000000011" l="0.70000000000000007" r="0.70000000000000007" t="0.75000000000000011" header="0.30000000000000004" footer="0.30000000000000004"/>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E"/>
              <a:t>INDICE</a:t>
            </a:r>
            <a:r>
              <a:rPr lang="es-PE" baseline="0"/>
              <a:t> SEVERIDAD</a:t>
            </a:r>
            <a:endParaRPr lang="es-PE"/>
          </a:p>
        </c:rich>
      </c:tx>
      <c:overlay val="0"/>
    </c:title>
    <c:autoTitleDeleted val="0"/>
    <c:plotArea>
      <c:layout>
        <c:manualLayout>
          <c:layoutTarget val="inner"/>
          <c:xMode val="edge"/>
          <c:yMode val="edge"/>
          <c:x val="0.14896717257431025"/>
          <c:y val="9.4239648149143387E-2"/>
          <c:w val="0.82095172278852946"/>
          <c:h val="0.82359296322524"/>
        </c:manualLayout>
      </c:layout>
      <c:barChart>
        <c:barDir val="bar"/>
        <c:grouping val="clustered"/>
        <c:varyColors val="0"/>
        <c:ser>
          <c:idx val="0"/>
          <c:order val="0"/>
          <c:spPr>
            <a:solidFill>
              <a:srgbClr val="FF0000"/>
            </a:solidFill>
          </c:spPr>
          <c:invertIfNegative val="0"/>
          <c:dPt>
            <c:idx val="0"/>
            <c:invertIfNegative val="0"/>
            <c:bubble3D val="0"/>
            <c:extLst>
              <c:ext xmlns:c16="http://schemas.microsoft.com/office/drawing/2014/chart" uri="{C3380CC4-5D6E-409C-BE32-E72D297353CC}">
                <c16:uniqueId val="{00000000-67BB-49D1-9E4B-FC1A42C37D43}"/>
              </c:ext>
            </c:extLst>
          </c:dPt>
          <c:dPt>
            <c:idx val="1"/>
            <c:invertIfNegative val="0"/>
            <c:bubble3D val="0"/>
            <c:extLst>
              <c:ext xmlns:c16="http://schemas.microsoft.com/office/drawing/2014/chart" uri="{C3380CC4-5D6E-409C-BE32-E72D297353CC}">
                <c16:uniqueId val="{00000001-67BB-49D1-9E4B-FC1A42C37D43}"/>
              </c:ext>
            </c:extLst>
          </c:dPt>
          <c:dPt>
            <c:idx val="2"/>
            <c:invertIfNegative val="0"/>
            <c:bubble3D val="0"/>
            <c:extLst>
              <c:ext xmlns:c16="http://schemas.microsoft.com/office/drawing/2014/chart" uri="{C3380CC4-5D6E-409C-BE32-E72D297353CC}">
                <c16:uniqueId val="{00000002-67BB-49D1-9E4B-FC1A42C37D43}"/>
              </c:ext>
            </c:extLst>
          </c:dPt>
          <c:dPt>
            <c:idx val="3"/>
            <c:invertIfNegative val="0"/>
            <c:bubble3D val="0"/>
            <c:spPr>
              <a:solidFill>
                <a:srgbClr val="00B050"/>
              </a:solidFill>
            </c:spPr>
            <c:extLst>
              <c:ext xmlns:c16="http://schemas.microsoft.com/office/drawing/2014/chart" uri="{C3380CC4-5D6E-409C-BE32-E72D297353CC}">
                <c16:uniqueId val="{00000003-67BB-49D1-9E4B-FC1A42C37D43}"/>
              </c:ext>
            </c:extLst>
          </c:dPt>
          <c:dPt>
            <c:idx val="4"/>
            <c:invertIfNegative val="0"/>
            <c:bubble3D val="0"/>
            <c:extLst>
              <c:ext xmlns:c16="http://schemas.microsoft.com/office/drawing/2014/chart" uri="{C3380CC4-5D6E-409C-BE32-E72D297353CC}">
                <c16:uniqueId val="{00000004-67BB-49D1-9E4B-FC1A42C37D43}"/>
              </c:ext>
            </c:extLst>
          </c:dPt>
          <c:dPt>
            <c:idx val="5"/>
            <c:invertIfNegative val="0"/>
            <c:bubble3D val="0"/>
            <c:spPr>
              <a:solidFill>
                <a:srgbClr val="FFFF00"/>
              </a:solidFill>
            </c:spPr>
            <c:extLst>
              <c:ext xmlns:c16="http://schemas.microsoft.com/office/drawing/2014/chart" uri="{C3380CC4-5D6E-409C-BE32-E72D297353CC}">
                <c16:uniqueId val="{00000005-67BB-49D1-9E4B-FC1A42C37D43}"/>
              </c:ext>
            </c:extLst>
          </c:dPt>
          <c:dPt>
            <c:idx val="6"/>
            <c:invertIfNegative val="0"/>
            <c:bubble3D val="0"/>
            <c:extLst>
              <c:ext xmlns:c16="http://schemas.microsoft.com/office/drawing/2014/chart" uri="{C3380CC4-5D6E-409C-BE32-E72D297353CC}">
                <c16:uniqueId val="{00000007-67BB-49D1-9E4B-FC1A42C37D43}"/>
              </c:ext>
            </c:extLst>
          </c:dPt>
          <c:dPt>
            <c:idx val="7"/>
            <c:invertIfNegative val="0"/>
            <c:bubble3D val="0"/>
            <c:extLst>
              <c:ext xmlns:c16="http://schemas.microsoft.com/office/drawing/2014/chart" uri="{C3380CC4-5D6E-409C-BE32-E72D297353CC}">
                <c16:uniqueId val="{00000009-67BB-49D1-9E4B-FC1A42C37D43}"/>
              </c:ext>
            </c:extLst>
          </c:dPt>
          <c:dPt>
            <c:idx val="8"/>
            <c:invertIfNegative val="0"/>
            <c:bubble3D val="0"/>
            <c:extLst>
              <c:ext xmlns:c16="http://schemas.microsoft.com/office/drawing/2014/chart" uri="{C3380CC4-5D6E-409C-BE32-E72D297353CC}">
                <c16:uniqueId val="{0000000B-67BB-49D1-9E4B-FC1A42C37D43}"/>
              </c:ext>
            </c:extLst>
          </c:dPt>
          <c:dPt>
            <c:idx val="9"/>
            <c:invertIfNegative val="0"/>
            <c:bubble3D val="0"/>
            <c:extLst>
              <c:ext xmlns:c16="http://schemas.microsoft.com/office/drawing/2014/chart" uri="{C3380CC4-5D6E-409C-BE32-E72D297353CC}">
                <c16:uniqueId val="{0000000C-67BB-49D1-9E4B-FC1A42C37D43}"/>
              </c:ext>
            </c:extLst>
          </c:dPt>
          <c:dPt>
            <c:idx val="10"/>
            <c:invertIfNegative val="0"/>
            <c:bubble3D val="0"/>
            <c:spPr>
              <a:solidFill>
                <a:srgbClr val="00B050"/>
              </a:solidFill>
            </c:spPr>
            <c:extLst>
              <c:ext xmlns:c16="http://schemas.microsoft.com/office/drawing/2014/chart" uri="{C3380CC4-5D6E-409C-BE32-E72D297353CC}">
                <c16:uniqueId val="{0000000E-67BB-49D1-9E4B-FC1A42C37D43}"/>
              </c:ext>
            </c:extLst>
          </c:dPt>
          <c:dPt>
            <c:idx val="11"/>
            <c:invertIfNegative val="0"/>
            <c:bubble3D val="0"/>
            <c:spPr>
              <a:solidFill>
                <a:srgbClr val="FFFF00"/>
              </a:solidFill>
            </c:spPr>
            <c:extLst>
              <c:ext xmlns:c16="http://schemas.microsoft.com/office/drawing/2014/chart" uri="{C3380CC4-5D6E-409C-BE32-E72D297353CC}">
                <c16:uniqueId val="{0000000F-67BB-49D1-9E4B-FC1A42C37D43}"/>
              </c:ext>
            </c:extLst>
          </c:dPt>
          <c:dPt>
            <c:idx val="12"/>
            <c:invertIfNegative val="0"/>
            <c:bubble3D val="0"/>
            <c:spPr>
              <a:solidFill>
                <a:srgbClr val="FFFF00"/>
              </a:solidFill>
            </c:spPr>
            <c:extLst>
              <c:ext xmlns:c16="http://schemas.microsoft.com/office/drawing/2014/chart" uri="{C3380CC4-5D6E-409C-BE32-E72D297353CC}">
                <c16:uniqueId val="{00000011-67BB-49D1-9E4B-FC1A42C37D43}"/>
              </c:ext>
            </c:extLst>
          </c:dPt>
          <c:dPt>
            <c:idx val="13"/>
            <c:invertIfNegative val="0"/>
            <c:bubble3D val="0"/>
            <c:spPr>
              <a:solidFill>
                <a:srgbClr val="FFFF00"/>
              </a:solidFill>
            </c:spPr>
            <c:extLst>
              <c:ext xmlns:c16="http://schemas.microsoft.com/office/drawing/2014/chart" uri="{C3380CC4-5D6E-409C-BE32-E72D297353CC}">
                <c16:uniqueId val="{00000013-67BB-49D1-9E4B-FC1A42C37D43}"/>
              </c:ext>
            </c:extLst>
          </c:dPt>
          <c:dPt>
            <c:idx val="14"/>
            <c:invertIfNegative val="0"/>
            <c:bubble3D val="0"/>
            <c:spPr>
              <a:solidFill>
                <a:srgbClr val="00B050"/>
              </a:solidFill>
            </c:spPr>
            <c:extLst>
              <c:ext xmlns:c16="http://schemas.microsoft.com/office/drawing/2014/chart" uri="{C3380CC4-5D6E-409C-BE32-E72D297353CC}">
                <c16:uniqueId val="{00000014-67BB-49D1-9E4B-FC1A42C37D43}"/>
              </c:ext>
            </c:extLst>
          </c:dPt>
          <c:dPt>
            <c:idx val="15"/>
            <c:invertIfNegative val="0"/>
            <c:bubble3D val="0"/>
            <c:extLst>
              <c:ext xmlns:c16="http://schemas.microsoft.com/office/drawing/2014/chart" uri="{C3380CC4-5D6E-409C-BE32-E72D297353CC}">
                <c16:uniqueId val="{00000021-8D0B-4B4E-964B-F05ACF935E37}"/>
              </c:ext>
            </c:extLst>
          </c:dPt>
          <c:dPt>
            <c:idx val="16"/>
            <c:invertIfNegative val="0"/>
            <c:bubble3D val="0"/>
            <c:spPr>
              <a:solidFill>
                <a:srgbClr val="FFFF00"/>
              </a:solidFill>
            </c:spPr>
            <c:extLst>
              <c:ext xmlns:c16="http://schemas.microsoft.com/office/drawing/2014/chart" uri="{C3380CC4-5D6E-409C-BE32-E72D297353CC}">
                <c16:uniqueId val="{00000015-67BB-49D1-9E4B-FC1A42C37D43}"/>
              </c:ext>
            </c:extLst>
          </c:dPt>
          <c:dPt>
            <c:idx val="17"/>
            <c:invertIfNegative val="0"/>
            <c:bubble3D val="0"/>
            <c:extLst>
              <c:ext xmlns:c16="http://schemas.microsoft.com/office/drawing/2014/chart" uri="{C3380CC4-5D6E-409C-BE32-E72D297353CC}">
                <c16:uniqueId val="{00000017-67BB-49D1-9E4B-FC1A42C37D43}"/>
              </c:ext>
            </c:extLst>
          </c:dPt>
          <c:dPt>
            <c:idx val="18"/>
            <c:invertIfNegative val="0"/>
            <c:bubble3D val="0"/>
            <c:extLst>
              <c:ext xmlns:c16="http://schemas.microsoft.com/office/drawing/2014/chart" uri="{C3380CC4-5D6E-409C-BE32-E72D297353CC}">
                <c16:uniqueId val="{00000018-67BB-49D1-9E4B-FC1A42C37D43}"/>
              </c:ext>
            </c:extLst>
          </c:dPt>
          <c:dPt>
            <c:idx val="19"/>
            <c:invertIfNegative val="0"/>
            <c:bubble3D val="0"/>
            <c:extLst>
              <c:ext xmlns:c16="http://schemas.microsoft.com/office/drawing/2014/chart" uri="{C3380CC4-5D6E-409C-BE32-E72D297353CC}">
                <c16:uniqueId val="{0000001A-67BB-49D1-9E4B-FC1A42C37D43}"/>
              </c:ext>
            </c:extLst>
          </c:dPt>
          <c:dPt>
            <c:idx val="20"/>
            <c:invertIfNegative val="0"/>
            <c:bubble3D val="0"/>
            <c:spPr>
              <a:solidFill>
                <a:srgbClr val="FF0000"/>
              </a:solidFill>
              <a:ln>
                <a:solidFill>
                  <a:srgbClr val="FF0000"/>
                </a:solidFill>
              </a:ln>
            </c:spPr>
            <c:extLst>
              <c:ext xmlns:c16="http://schemas.microsoft.com/office/drawing/2014/chart" uri="{C3380CC4-5D6E-409C-BE32-E72D297353CC}">
                <c16:uniqueId val="{0000001E-94FB-43F7-804C-AD36582BE9AB}"/>
              </c:ext>
            </c:extLst>
          </c:dPt>
          <c:dPt>
            <c:idx val="21"/>
            <c:invertIfNegative val="0"/>
            <c:bubble3D val="0"/>
            <c:extLst>
              <c:ext xmlns:c16="http://schemas.microsoft.com/office/drawing/2014/chart" uri="{C3380CC4-5D6E-409C-BE32-E72D297353CC}">
                <c16:uniqueId val="{0000001C-F280-41DD-AE4C-55C8F821687F}"/>
              </c:ext>
            </c:extLst>
          </c:dPt>
          <c:dPt>
            <c:idx val="22"/>
            <c:invertIfNegative val="0"/>
            <c:bubble3D val="0"/>
            <c:spPr>
              <a:solidFill>
                <a:srgbClr val="FFFF00"/>
              </a:solidFill>
            </c:spPr>
            <c:extLst>
              <c:ext xmlns:c16="http://schemas.microsoft.com/office/drawing/2014/chart" uri="{C3380CC4-5D6E-409C-BE32-E72D297353CC}">
                <c16:uniqueId val="{00000028-B847-4031-A724-751D9FD2FBD5}"/>
              </c:ext>
            </c:extLst>
          </c:dPt>
          <c:dPt>
            <c:idx val="23"/>
            <c:invertIfNegative val="0"/>
            <c:bubble3D val="0"/>
            <c:spPr>
              <a:solidFill>
                <a:srgbClr val="FFFF00"/>
              </a:solidFill>
            </c:spPr>
            <c:extLst>
              <c:ext xmlns:c16="http://schemas.microsoft.com/office/drawing/2014/chart" uri="{C3380CC4-5D6E-409C-BE32-E72D297353CC}">
                <c16:uniqueId val="{00000029-B847-4031-A724-751D9FD2FBD5}"/>
              </c:ext>
            </c:extLst>
          </c:dPt>
          <c:dPt>
            <c:idx val="24"/>
            <c:invertIfNegative val="0"/>
            <c:bubble3D val="0"/>
            <c:extLst>
              <c:ext xmlns:c16="http://schemas.microsoft.com/office/drawing/2014/chart" uri="{C3380CC4-5D6E-409C-BE32-E72D297353CC}">
                <c16:uniqueId val="{00000030-8129-4C07-ABF8-0C45E09F0891}"/>
              </c:ext>
            </c:extLst>
          </c:dPt>
          <c:dPt>
            <c:idx val="25"/>
            <c:invertIfNegative val="0"/>
            <c:bubble3D val="0"/>
            <c:spPr>
              <a:solidFill>
                <a:srgbClr val="FFFF00"/>
              </a:solidFill>
            </c:spPr>
            <c:extLst>
              <c:ext xmlns:c16="http://schemas.microsoft.com/office/drawing/2014/chart" uri="{C3380CC4-5D6E-409C-BE32-E72D297353CC}">
                <c16:uniqueId val="{00000021-81BD-44BF-9AC5-5DE71BC03524}"/>
              </c:ext>
            </c:extLst>
          </c:dPt>
          <c:dPt>
            <c:idx val="26"/>
            <c:invertIfNegative val="0"/>
            <c:bubble3D val="0"/>
            <c:spPr>
              <a:solidFill>
                <a:srgbClr val="00B050"/>
              </a:solidFill>
            </c:spPr>
            <c:extLst>
              <c:ext xmlns:c16="http://schemas.microsoft.com/office/drawing/2014/chart" uri="{C3380CC4-5D6E-409C-BE32-E72D297353CC}">
                <c16:uniqueId val="{0000002A-B847-4031-A724-751D9FD2FBD5}"/>
              </c:ext>
            </c:extLst>
          </c:dPt>
          <c:dPt>
            <c:idx val="27"/>
            <c:invertIfNegative val="0"/>
            <c:bubble3D val="0"/>
            <c:extLst>
              <c:ext xmlns:c16="http://schemas.microsoft.com/office/drawing/2014/chart" uri="{C3380CC4-5D6E-409C-BE32-E72D297353CC}">
                <c16:uniqueId val="{0000002B-B847-4031-A724-751D9FD2FBD5}"/>
              </c:ext>
            </c:extLst>
          </c:dPt>
          <c:dLbls>
            <c:dLbl>
              <c:idx val="9"/>
              <c:spPr>
                <a:noFill/>
                <a:ln>
                  <a:noFill/>
                </a:ln>
                <a:effectLst/>
              </c:spPr>
              <c:txPr>
                <a:bodyPr anchorCtr="0"/>
                <a:lstStyle/>
                <a:p>
                  <a:pPr algn="ctr">
                    <a:defRPr lang="en-US" sz="1050" b="0" i="0" u="none" strike="noStrike" kern="1200" baseline="0">
                      <a:solidFill>
                        <a:schemeClr val="tx1"/>
                      </a:solidFill>
                      <a:latin typeface="Arial Nova" panose="020B0504020202020204" pitchFamily="34" charset="0"/>
                      <a:ea typeface="+mn-ea"/>
                      <a:cs typeface="+mn-cs"/>
                    </a:defRPr>
                  </a:pPr>
                  <a:endParaRPr lang="es-PE"/>
                </a:p>
              </c:txPr>
              <c:showLegendKey val="0"/>
              <c:showVal val="1"/>
              <c:showCatName val="0"/>
              <c:showSerName val="0"/>
              <c:showPercent val="0"/>
              <c:showBubbleSize val="0"/>
              <c:extLst>
                <c:ext xmlns:c16="http://schemas.microsoft.com/office/drawing/2014/chart" uri="{C3380CC4-5D6E-409C-BE32-E72D297353CC}">
                  <c16:uniqueId val="{0000000C-67BB-49D1-9E4B-FC1A42C37D43}"/>
                </c:ext>
              </c:extLst>
            </c:dLbl>
            <c:spPr>
              <a:noFill/>
              <a:ln>
                <a:noFill/>
              </a:ln>
              <a:effectLst/>
            </c:spPr>
            <c:txPr>
              <a:bodyPr/>
              <a:lstStyle/>
              <a:p>
                <a:pPr>
                  <a:defRPr sz="1050">
                    <a:latin typeface="Arial Nova" panose="020B0504020202020204" pitchFamily="34" charset="0"/>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INDICADORES!$BM$76:$BM$103</c:f>
              <c:strCache>
                <c:ptCount val="28"/>
                <c:pt idx="0">
                  <c:v>Mol.Sta.Rosa</c:v>
                </c:pt>
                <c:pt idx="1">
                  <c:v>Mol.Faucett</c:v>
                </c:pt>
                <c:pt idx="2">
                  <c:v>MOL. CALLAO</c:v>
                </c:pt>
                <c:pt idx="3">
                  <c:v>Galletería&amp; Inst</c:v>
                </c:pt>
                <c:pt idx="4">
                  <c:v>Fideería Lima</c:v>
                </c:pt>
                <c:pt idx="5">
                  <c:v>Copsa</c:v>
                </c:pt>
                <c:pt idx="6">
                  <c:v>Sidsur</c:v>
                </c:pt>
                <c:pt idx="7">
                  <c:v>Vitapro</c:v>
                </c:pt>
                <c:pt idx="8">
                  <c:v>Detergente</c:v>
                </c:pt>
                <c:pt idx="9">
                  <c:v>Jabonería</c:v>
                </c:pt>
                <c:pt idx="10">
                  <c:v>Distribución Lima</c:v>
                </c:pt>
                <c:pt idx="11">
                  <c:v>Distribución Prov</c:v>
                </c:pt>
                <c:pt idx="12">
                  <c:v>Administración</c:v>
                </c:pt>
                <c:pt idx="13">
                  <c:v>RRLL</c:v>
                </c:pt>
                <c:pt idx="14">
                  <c:v>Proyectos</c:v>
                </c:pt>
                <c:pt idx="15">
                  <c:v>Mol.Paita</c:v>
                </c:pt>
                <c:pt idx="16">
                  <c:v>TEAL</c:v>
                </c:pt>
                <c:pt idx="17">
                  <c:v>Global</c:v>
                </c:pt>
                <c:pt idx="18">
                  <c:v>Masterbread</c:v>
                </c:pt>
                <c:pt idx="19">
                  <c:v>TOTAL SIN ITDC</c:v>
                </c:pt>
                <c:pt idx="20">
                  <c:v>ITDC</c:v>
                </c:pt>
                <c:pt idx="21">
                  <c:v>PERU</c:v>
                </c:pt>
                <c:pt idx="22">
                  <c:v>Ecuador</c:v>
                </c:pt>
                <c:pt idx="23">
                  <c:v>Chile</c:v>
                </c:pt>
                <c:pt idx="24">
                  <c:v>Honduras</c:v>
                </c:pt>
                <c:pt idx="25">
                  <c:v>Bolivia</c:v>
                </c:pt>
                <c:pt idx="26">
                  <c:v>TOTAL PAISES EXT</c:v>
                </c:pt>
                <c:pt idx="27">
                  <c:v>TOTAL</c:v>
                </c:pt>
              </c:strCache>
            </c:strRef>
          </c:cat>
          <c:val>
            <c:numRef>
              <c:f>INDICADORES!$BP$76:$BP$103</c:f>
              <c:numCache>
                <c:formatCode>0</c:formatCode>
                <c:ptCount val="28"/>
                <c:pt idx="0">
                  <c:v>0</c:v>
                </c:pt>
                <c:pt idx="1">
                  <c:v>2875.9472327684107</c:v>
                </c:pt>
                <c:pt idx="2">
                  <c:v>327.86272277281978</c:v>
                </c:pt>
                <c:pt idx="3">
                  <c:v>64.095176331323955</c:v>
                </c:pt>
                <c:pt idx="4">
                  <c:v>0</c:v>
                </c:pt>
                <c:pt idx="5">
                  <c:v>31.253857614952814</c:v>
                </c:pt>
                <c:pt idx="6">
                  <c:v>198.28943997352542</c:v>
                </c:pt>
                <c:pt idx="7">
                  <c:v>76.374724950497125</c:v>
                </c:pt>
                <c:pt idx="8">
                  <c:v>142.2097886623886</c:v>
                </c:pt>
                <c:pt idx="9" formatCode="#,##0">
                  <c:v>0</c:v>
                </c:pt>
                <c:pt idx="10">
                  <c:v>14.388222643518306</c:v>
                </c:pt>
                <c:pt idx="11">
                  <c:v>4.2026096255763967</c:v>
                </c:pt>
                <c:pt idx="12">
                  <c:v>14.316503358094437</c:v>
                </c:pt>
                <c:pt idx="13">
                  <c:v>48.297372719518805</c:v>
                </c:pt>
                <c:pt idx="14">
                  <c:v>143.12055029816253</c:v>
                </c:pt>
                <c:pt idx="15">
                  <c:v>0</c:v>
                </c:pt>
                <c:pt idx="16">
                  <c:v>20.025870367935159</c:v>
                </c:pt>
                <c:pt idx="17" formatCode="#,##0">
                  <c:v>0</c:v>
                </c:pt>
                <c:pt idx="18" formatCode="#,##0">
                  <c:v>0</c:v>
                </c:pt>
                <c:pt idx="19">
                  <c:v>108.67640832158776</c:v>
                </c:pt>
                <c:pt idx="20">
                  <c:v>223.95675553367971</c:v>
                </c:pt>
                <c:pt idx="21">
                  <c:v>135.10445557006162</c:v>
                </c:pt>
                <c:pt idx="22" formatCode="#,##0">
                  <c:v>28.310631348812098</c:v>
                </c:pt>
                <c:pt idx="23" formatCode="#,##0">
                  <c:v>32.67870507995741</c:v>
                </c:pt>
                <c:pt idx="24" formatCode="#,##0">
                  <c:v>238.57848421836789</c:v>
                </c:pt>
                <c:pt idx="25" formatCode="#,##0">
                  <c:v>65.476520000423776</c:v>
                </c:pt>
                <c:pt idx="26" formatCode="#,##0">
                  <c:v>57.099165847939837</c:v>
                </c:pt>
                <c:pt idx="27" formatCode="#,##0">
                  <c:v>117.27022981986661</c:v>
                </c:pt>
              </c:numCache>
            </c:numRef>
          </c:val>
          <c:extLst>
            <c:ext xmlns:c16="http://schemas.microsoft.com/office/drawing/2014/chart" uri="{C3380CC4-5D6E-409C-BE32-E72D297353CC}">
              <c16:uniqueId val="{0000001B-67BB-49D1-9E4B-FC1A42C37D43}"/>
            </c:ext>
          </c:extLst>
        </c:ser>
        <c:dLbls>
          <c:showLegendKey val="0"/>
          <c:showVal val="0"/>
          <c:showCatName val="0"/>
          <c:showSerName val="0"/>
          <c:showPercent val="0"/>
          <c:showBubbleSize val="0"/>
        </c:dLbls>
        <c:gapWidth val="150"/>
        <c:axId val="927467920"/>
        <c:axId val="927470096"/>
      </c:barChart>
      <c:catAx>
        <c:axId val="927467920"/>
        <c:scaling>
          <c:orientation val="minMax"/>
        </c:scaling>
        <c:delete val="0"/>
        <c:axPos val="l"/>
        <c:numFmt formatCode="General" sourceLinked="1"/>
        <c:majorTickMark val="out"/>
        <c:minorTickMark val="none"/>
        <c:tickLblPos val="nextTo"/>
        <c:txPr>
          <a:bodyPr/>
          <a:lstStyle/>
          <a:p>
            <a:pPr>
              <a:defRPr sz="900"/>
            </a:pPr>
            <a:endParaRPr lang="es-PE"/>
          </a:p>
        </c:txPr>
        <c:crossAx val="927470096"/>
        <c:crosses val="autoZero"/>
        <c:auto val="1"/>
        <c:lblAlgn val="ctr"/>
        <c:lblOffset val="100"/>
        <c:noMultiLvlLbl val="0"/>
      </c:catAx>
      <c:valAx>
        <c:axId val="927470096"/>
        <c:scaling>
          <c:orientation val="minMax"/>
          <c:max val="700"/>
        </c:scaling>
        <c:delete val="0"/>
        <c:axPos val="b"/>
        <c:majorGridlines/>
        <c:numFmt formatCode="0" sourceLinked="1"/>
        <c:majorTickMark val="out"/>
        <c:minorTickMark val="none"/>
        <c:tickLblPos val="nextTo"/>
        <c:crossAx val="927467920"/>
        <c:crosses val="autoZero"/>
        <c:crossBetween val="between"/>
      </c:valAx>
      <c:spPr>
        <a:ln>
          <a:solidFill>
            <a:schemeClr val="bg1">
              <a:lumMod val="85000"/>
            </a:schemeClr>
          </a:solidFill>
        </a:ln>
      </c:spPr>
    </c:plotArea>
    <c:plotVisOnly val="1"/>
    <c:dispBlanksAs val="gap"/>
    <c:showDLblsOverMax val="0"/>
  </c:chart>
  <c:spPr>
    <a:ln>
      <a:solidFill>
        <a:schemeClr val="bg1">
          <a:lumMod val="85000"/>
        </a:schemeClr>
      </a:solidFill>
    </a:ln>
  </c:spPr>
  <c:printSettings>
    <c:headerFooter/>
    <c:pageMargins b="0.75000000000000011" l="0.70000000000000007" r="0.70000000000000007" t="0.75000000000000011" header="0.30000000000000004" footer="0.30000000000000004"/>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a:pPr>
            <a:r>
              <a:rPr lang="es-PE" sz="1200" b="0"/>
              <a:t>Cantidad Accidentes</a:t>
            </a:r>
            <a:r>
              <a:rPr lang="es-PE" sz="1200" b="0" baseline="0"/>
              <a:t> Incapacitantes 2017</a:t>
            </a:r>
            <a:endParaRPr lang="es-PE" sz="1200" b="0"/>
          </a:p>
        </c:rich>
      </c:tx>
      <c:overlay val="0"/>
    </c:title>
    <c:autoTitleDeleted val="0"/>
    <c:view3D>
      <c:rotX val="15"/>
      <c:rotY val="20"/>
      <c:rAngAx val="1"/>
    </c:view3D>
    <c:floor>
      <c:thickness val="0"/>
    </c:floor>
    <c:sideWall>
      <c:thickness val="0"/>
      <c:spPr>
        <a:ln>
          <a:noFill/>
        </a:ln>
      </c:spPr>
    </c:sideWall>
    <c:backWall>
      <c:thickness val="0"/>
      <c:spPr>
        <a:ln>
          <a:noFill/>
        </a:ln>
      </c:spPr>
    </c:backWall>
    <c:plotArea>
      <c:layout/>
      <c:bar3DChart>
        <c:barDir val="col"/>
        <c:grouping val="cluster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INDICADORES!$BS$53:$BS$76</c:f>
              <c:strCache>
                <c:ptCount val="17"/>
                <c:pt idx="4">
                  <c:v>DETERGENTES</c:v>
                </c:pt>
                <c:pt idx="5">
                  <c:v>TEAL</c:v>
                </c:pt>
                <c:pt idx="6">
                  <c:v>JABONERIA</c:v>
                </c:pt>
                <c:pt idx="7">
                  <c:v>PROYECTOS</c:v>
                </c:pt>
                <c:pt idx="8">
                  <c:v>MOLINO SANTA ROSA </c:v>
                </c:pt>
                <c:pt idx="9">
                  <c:v>MOLINO FAUCETT</c:v>
                </c:pt>
                <c:pt idx="10">
                  <c:v>SIDSUR</c:v>
                </c:pt>
                <c:pt idx="11">
                  <c:v>FIDEERIA LIMA</c:v>
                </c:pt>
                <c:pt idx="12">
                  <c:v>MASTERBREAD</c:v>
                </c:pt>
                <c:pt idx="13">
                  <c:v>VITAPRO</c:v>
                </c:pt>
                <c:pt idx="14">
                  <c:v>OTROS</c:v>
                </c:pt>
                <c:pt idx="15">
                  <c:v>GLOBAL</c:v>
                </c:pt>
                <c:pt idx="16">
                  <c:v>RRLL</c:v>
                </c:pt>
              </c:strCache>
            </c:strRef>
          </c:cat>
          <c:val>
            <c:numRef>
              <c:f>INDICADORES!$BT$53:$BT$76</c:f>
              <c:numCache>
                <c:formatCode>General</c:formatCode>
                <c:ptCount val="17"/>
                <c:pt idx="4">
                  <c:v>2</c:v>
                </c:pt>
                <c:pt idx="5">
                  <c:v>2</c:v>
                </c:pt>
                <c:pt idx="6">
                  <c:v>1</c:v>
                </c:pt>
                <c:pt idx="7">
                  <c:v>1</c:v>
                </c:pt>
                <c:pt idx="8">
                  <c:v>1</c:v>
                </c:pt>
                <c:pt idx="9">
                  <c:v>1</c:v>
                </c:pt>
                <c:pt idx="10">
                  <c:v>1</c:v>
                </c:pt>
                <c:pt idx="11">
                  <c:v>1</c:v>
                </c:pt>
                <c:pt idx="12">
                  <c:v>1</c:v>
                </c:pt>
                <c:pt idx="13">
                  <c:v>1</c:v>
                </c:pt>
                <c:pt idx="14">
                  <c:v>1</c:v>
                </c:pt>
                <c:pt idx="15">
                  <c:v>0</c:v>
                </c:pt>
                <c:pt idx="16">
                  <c:v>0</c:v>
                </c:pt>
              </c:numCache>
            </c:numRef>
          </c:val>
          <c:extLst>
            <c:ext xmlns:c16="http://schemas.microsoft.com/office/drawing/2014/chart" uri="{C3380CC4-5D6E-409C-BE32-E72D297353CC}">
              <c16:uniqueId val="{00000000-612C-4CEE-BAC6-3C24F88C5583}"/>
            </c:ext>
          </c:extLst>
        </c:ser>
        <c:dLbls>
          <c:showLegendKey val="0"/>
          <c:showVal val="1"/>
          <c:showCatName val="0"/>
          <c:showSerName val="0"/>
          <c:showPercent val="0"/>
          <c:showBubbleSize val="0"/>
        </c:dLbls>
        <c:gapWidth val="150"/>
        <c:shape val="box"/>
        <c:axId val="927465200"/>
        <c:axId val="927465744"/>
        <c:axId val="0"/>
      </c:bar3DChart>
      <c:catAx>
        <c:axId val="927465200"/>
        <c:scaling>
          <c:orientation val="minMax"/>
        </c:scaling>
        <c:delete val="0"/>
        <c:axPos val="b"/>
        <c:numFmt formatCode="General" sourceLinked="0"/>
        <c:majorTickMark val="none"/>
        <c:minorTickMark val="none"/>
        <c:tickLblPos val="nextTo"/>
        <c:txPr>
          <a:bodyPr/>
          <a:lstStyle/>
          <a:p>
            <a:pPr>
              <a:defRPr sz="800"/>
            </a:pPr>
            <a:endParaRPr lang="es-PE"/>
          </a:p>
        </c:txPr>
        <c:crossAx val="927465744"/>
        <c:crosses val="autoZero"/>
        <c:auto val="1"/>
        <c:lblAlgn val="ctr"/>
        <c:lblOffset val="100"/>
        <c:noMultiLvlLbl val="0"/>
      </c:catAx>
      <c:valAx>
        <c:axId val="927465744"/>
        <c:scaling>
          <c:orientation val="minMax"/>
        </c:scaling>
        <c:delete val="1"/>
        <c:axPos val="l"/>
        <c:numFmt formatCode="General" sourceLinked="1"/>
        <c:majorTickMark val="none"/>
        <c:minorTickMark val="none"/>
        <c:tickLblPos val="nextTo"/>
        <c:crossAx val="927465200"/>
        <c:crosses val="autoZero"/>
        <c:crossBetween val="between"/>
      </c:valAx>
      <c:spPr>
        <a:ln>
          <a:noFill/>
        </a:ln>
      </c:spPr>
    </c:plotArea>
    <c:plotVisOnly val="1"/>
    <c:dispBlanksAs val="gap"/>
    <c:showDLblsOverMax val="0"/>
  </c:chart>
  <c:spPr>
    <a:ln>
      <a:noFill/>
    </a:ln>
  </c:spPr>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a:t>Accidentes Incapacitantes Perú a</a:t>
            </a:r>
            <a:r>
              <a:rPr lang="en-US" baseline="0"/>
              <a:t> AGO</a:t>
            </a:r>
            <a:r>
              <a:rPr lang="en-US"/>
              <a:t> 2018</a:t>
            </a:r>
            <a:r>
              <a:rPr lang="en-US" baseline="0"/>
              <a:t> - AGO </a:t>
            </a:r>
            <a:r>
              <a:rPr lang="en-US"/>
              <a:t>2019</a:t>
            </a:r>
          </a:p>
        </c:rich>
      </c:tx>
      <c:layout>
        <c:manualLayout>
          <c:xMode val="edge"/>
          <c:yMode val="edge"/>
          <c:x val="0.21680051145487414"/>
          <c:y val="3.6675435335830502E-2"/>
        </c:manualLayout>
      </c:layout>
      <c:overlay val="1"/>
    </c:title>
    <c:autoTitleDeleted val="0"/>
    <c:plotArea>
      <c:layout>
        <c:manualLayout>
          <c:layoutTarget val="inner"/>
          <c:xMode val="edge"/>
          <c:yMode val="edge"/>
          <c:x val="3.8873303061140327E-2"/>
          <c:y val="0.12572079845718659"/>
          <c:w val="0.94061385157001609"/>
          <c:h val="0.56354824801327108"/>
        </c:manualLayout>
      </c:layout>
      <c:barChart>
        <c:barDir val="col"/>
        <c:grouping val="clustered"/>
        <c:varyColors val="0"/>
        <c:ser>
          <c:idx val="1"/>
          <c:order val="0"/>
          <c:tx>
            <c:v>2018</c:v>
          </c:tx>
          <c:spPr>
            <a:solidFill>
              <a:srgbClr val="0070C0"/>
            </a:solidFill>
            <a:ln>
              <a:noFill/>
            </a:ln>
          </c:spPr>
          <c:invertIfNegative val="0"/>
          <c:dLbls>
            <c:spPr>
              <a:noFill/>
              <a:ln>
                <a:noFill/>
              </a:ln>
              <a:effectLst/>
            </c:spPr>
            <c:txPr>
              <a:bodyPr/>
              <a:lstStyle/>
              <a:p>
                <a:pPr>
                  <a:defRPr sz="1400" b="1"/>
                </a:pPr>
                <a:endParaRPr lang="es-P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INDICADORES!$AT$71:$AT$90</c:f>
              <c:strCache>
                <c:ptCount val="20"/>
                <c:pt idx="0">
                  <c:v>GALLETERIA&amp;INSTANT.</c:v>
                </c:pt>
                <c:pt idx="1">
                  <c:v>ADMINISTRACION</c:v>
                </c:pt>
                <c:pt idx="2">
                  <c:v>TEAL </c:v>
                </c:pt>
                <c:pt idx="3">
                  <c:v>GLOBAL ALIMENTOS</c:v>
                </c:pt>
                <c:pt idx="4">
                  <c:v>COPSA</c:v>
                </c:pt>
                <c:pt idx="5">
                  <c:v>VITAPRO TRUJILLO</c:v>
                </c:pt>
                <c:pt idx="6">
                  <c:v>MOL. FAUCETT </c:v>
                </c:pt>
                <c:pt idx="7">
                  <c:v>MASTERBREAD</c:v>
                </c:pt>
                <c:pt idx="8">
                  <c:v>DISTRBUCION LIMA</c:v>
                </c:pt>
                <c:pt idx="9">
                  <c:v>MOL.STA ROSA</c:v>
                </c:pt>
                <c:pt idx="10">
                  <c:v>FIDEERIA LIMA</c:v>
                </c:pt>
                <c:pt idx="11">
                  <c:v>DETERGENTES</c:v>
                </c:pt>
                <c:pt idx="12">
                  <c:v>RELACION LABORAL</c:v>
                </c:pt>
                <c:pt idx="13">
                  <c:v>DESARROLLO TECN.</c:v>
                </c:pt>
                <c:pt idx="14">
                  <c:v>MOL. CALLAO</c:v>
                </c:pt>
                <c:pt idx="15">
                  <c:v>SIDSUR </c:v>
                </c:pt>
                <c:pt idx="16">
                  <c:v>DISTRBUCION PROV</c:v>
                </c:pt>
                <c:pt idx="17">
                  <c:v>JABONERIA</c:v>
                </c:pt>
                <c:pt idx="18">
                  <c:v>MOLINO PAITA</c:v>
                </c:pt>
                <c:pt idx="19">
                  <c:v>Otros</c:v>
                </c:pt>
              </c:strCache>
            </c:strRef>
          </c:cat>
          <c:val>
            <c:numRef>
              <c:f>INDICADORES!#REF!</c:f>
              <c:numCache>
                <c:formatCode>General</c:formatCode>
                <c:ptCount val="1"/>
                <c:pt idx="0">
                  <c:v>1</c:v>
                </c:pt>
              </c:numCache>
            </c:numRef>
          </c:val>
          <c:extLst>
            <c:ext xmlns:c16="http://schemas.microsoft.com/office/drawing/2014/chart" uri="{C3380CC4-5D6E-409C-BE32-E72D297353CC}">
              <c16:uniqueId val="{00000001-37D4-4CC6-84C6-749794A6D324}"/>
            </c:ext>
          </c:extLst>
        </c:ser>
        <c:ser>
          <c:idx val="0"/>
          <c:order val="1"/>
          <c:tx>
            <c:v>2019</c:v>
          </c:tx>
          <c:spPr>
            <a:solidFill>
              <a:srgbClr val="FF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INDICADORES!$AT$71:$AT$90</c:f>
              <c:strCache>
                <c:ptCount val="20"/>
                <c:pt idx="0">
                  <c:v>GALLETERIA&amp;INSTANT.</c:v>
                </c:pt>
                <c:pt idx="1">
                  <c:v>ADMINISTRACION</c:v>
                </c:pt>
                <c:pt idx="2">
                  <c:v>TEAL </c:v>
                </c:pt>
                <c:pt idx="3">
                  <c:v>GLOBAL ALIMENTOS</c:v>
                </c:pt>
                <c:pt idx="4">
                  <c:v>COPSA</c:v>
                </c:pt>
                <c:pt idx="5">
                  <c:v>VITAPRO TRUJILLO</c:v>
                </c:pt>
                <c:pt idx="6">
                  <c:v>MOL. FAUCETT </c:v>
                </c:pt>
                <c:pt idx="7">
                  <c:v>MASTERBREAD</c:v>
                </c:pt>
                <c:pt idx="8">
                  <c:v>DISTRBUCION LIMA</c:v>
                </c:pt>
                <c:pt idx="9">
                  <c:v>MOL.STA ROSA</c:v>
                </c:pt>
                <c:pt idx="10">
                  <c:v>FIDEERIA LIMA</c:v>
                </c:pt>
                <c:pt idx="11">
                  <c:v>DETERGENTES</c:v>
                </c:pt>
                <c:pt idx="12">
                  <c:v>RELACION LABORAL</c:v>
                </c:pt>
                <c:pt idx="13">
                  <c:v>DESARROLLO TECN.</c:v>
                </c:pt>
                <c:pt idx="14">
                  <c:v>MOL. CALLAO</c:v>
                </c:pt>
                <c:pt idx="15">
                  <c:v>SIDSUR </c:v>
                </c:pt>
                <c:pt idx="16">
                  <c:v>DISTRBUCION PROV</c:v>
                </c:pt>
                <c:pt idx="17">
                  <c:v>JABONERIA</c:v>
                </c:pt>
                <c:pt idx="18">
                  <c:v>MOLINO PAITA</c:v>
                </c:pt>
                <c:pt idx="19">
                  <c:v>Otros</c:v>
                </c:pt>
              </c:strCache>
            </c:strRef>
          </c:cat>
          <c:val>
            <c:numRef>
              <c:f>INDICADORES!#REF!</c:f>
              <c:numCache>
                <c:formatCode>General</c:formatCode>
                <c:ptCount val="1"/>
                <c:pt idx="0">
                  <c:v>1</c:v>
                </c:pt>
              </c:numCache>
            </c:numRef>
          </c:val>
          <c:extLst>
            <c:ext xmlns:c16="http://schemas.microsoft.com/office/drawing/2014/chart" uri="{C3380CC4-5D6E-409C-BE32-E72D297353CC}">
              <c16:uniqueId val="{00000001-BF12-49B3-A260-6C8C65A00993}"/>
            </c:ext>
          </c:extLst>
        </c:ser>
        <c:dLbls>
          <c:showLegendKey val="0"/>
          <c:showVal val="0"/>
          <c:showCatName val="0"/>
          <c:showSerName val="0"/>
          <c:showPercent val="0"/>
          <c:showBubbleSize val="0"/>
        </c:dLbls>
        <c:gapWidth val="150"/>
        <c:axId val="1128693376"/>
        <c:axId val="1128693920"/>
      </c:barChart>
      <c:catAx>
        <c:axId val="1128693376"/>
        <c:scaling>
          <c:orientation val="minMax"/>
        </c:scaling>
        <c:delete val="0"/>
        <c:axPos val="b"/>
        <c:numFmt formatCode="General" sourceLinked="0"/>
        <c:majorTickMark val="out"/>
        <c:minorTickMark val="none"/>
        <c:tickLblPos val="nextTo"/>
        <c:txPr>
          <a:bodyPr rot="-5400000" vert="horz"/>
          <a:lstStyle/>
          <a:p>
            <a:pPr>
              <a:defRPr sz="800"/>
            </a:pPr>
            <a:endParaRPr lang="es-PE"/>
          </a:p>
        </c:txPr>
        <c:crossAx val="1128693920"/>
        <c:crosses val="autoZero"/>
        <c:auto val="1"/>
        <c:lblAlgn val="ctr"/>
        <c:lblOffset val="100"/>
        <c:noMultiLvlLbl val="0"/>
      </c:catAx>
      <c:valAx>
        <c:axId val="1128693920"/>
        <c:scaling>
          <c:orientation val="minMax"/>
        </c:scaling>
        <c:delete val="0"/>
        <c:axPos val="l"/>
        <c:majorGridlines/>
        <c:numFmt formatCode="General" sourceLinked="1"/>
        <c:majorTickMark val="out"/>
        <c:minorTickMark val="none"/>
        <c:tickLblPos val="nextTo"/>
        <c:crossAx val="1128693376"/>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Parte cuerpo</a:t>
            </a:r>
            <a:r>
              <a:rPr lang="es-PE" sz="1050" b="0" baseline="0"/>
              <a:t> afectado: MANOS</a:t>
            </a:r>
            <a:endParaRPr lang="es-PE" sz="1050" b="0"/>
          </a:p>
        </c:rich>
      </c:tx>
      <c:overlay val="0"/>
    </c:title>
    <c:autoTitleDeleted val="0"/>
    <c:plotArea>
      <c:layout/>
      <c:barChart>
        <c:barDir val="col"/>
        <c:grouping val="clustered"/>
        <c:varyColors val="0"/>
        <c:ser>
          <c:idx val="0"/>
          <c:order val="0"/>
          <c:tx>
            <c:v>Dias</c:v>
          </c:tx>
          <c:invertIfNegative val="0"/>
          <c:dLbls>
            <c:dLbl>
              <c:idx val="0"/>
              <c:layout>
                <c:manualLayout>
                  <c:x val="0"/>
                  <c:y val="0.124448422684597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571-43AA-A33D-65D17C6B5331}"/>
                </c:ext>
              </c:extLst>
            </c:dLbl>
            <c:dLbl>
              <c:idx val="6"/>
              <c:layout>
                <c:manualLayout>
                  <c:x val="-1.1568465752997549E-16"/>
                  <c:y val="0.11266267186477115"/>
                </c:manualLayout>
              </c:layout>
              <c:spPr/>
              <c:txPr>
                <a:bodyPr/>
                <a:lstStyle/>
                <a:p>
                  <a:pPr>
                    <a:defRPr sz="1050" b="1">
                      <a:solidFill>
                        <a:schemeClr val="bg1"/>
                      </a:solidFill>
                    </a:defRPr>
                  </a:pPr>
                  <a:endParaRPr lang="es-PE"/>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71-43AA-A33D-65D17C6B5331}"/>
                </c:ext>
              </c:extLst>
            </c:dLbl>
            <c:dLbl>
              <c:idx val="7"/>
              <c:layout>
                <c:manualLayout>
                  <c:x val="-1.1808776938276051E-16"/>
                  <c:y val="0.1068092618378413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09-4854-9265-217DAE97F79C}"/>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 2012-2016'!$B$1:$J$1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'Graficos 2012-2016'!$B$5:$J$5</c:f>
              <c:numCache>
                <c:formatCode>General</c:formatCode>
                <c:ptCount val="9"/>
                <c:pt idx="0">
                  <c:v>408</c:v>
                </c:pt>
                <c:pt idx="1">
                  <c:v>695</c:v>
                </c:pt>
                <c:pt idx="2">
                  <c:v>1334</c:v>
                </c:pt>
                <c:pt idx="3">
                  <c:v>1328</c:v>
                </c:pt>
                <c:pt idx="4">
                  <c:v>1293</c:v>
                </c:pt>
                <c:pt idx="5">
                  <c:v>786</c:v>
                </c:pt>
                <c:pt idx="6">
                  <c:v>769</c:v>
                </c:pt>
                <c:pt idx="7">
                  <c:v>687</c:v>
                </c:pt>
                <c:pt idx="8">
                  <c:v>357</c:v>
                </c:pt>
              </c:numCache>
            </c:numRef>
          </c:val>
          <c:extLst>
            <c:ext xmlns:c16="http://schemas.microsoft.com/office/drawing/2014/chart" uri="{C3380CC4-5D6E-409C-BE32-E72D297353CC}">
              <c16:uniqueId val="{00000002-1571-43AA-A33D-65D17C6B5331}"/>
            </c:ext>
          </c:extLst>
        </c:ser>
        <c:dLbls>
          <c:showLegendKey val="0"/>
          <c:showVal val="0"/>
          <c:showCatName val="0"/>
          <c:showSerName val="0"/>
          <c:showPercent val="0"/>
          <c:showBubbleSize val="0"/>
        </c:dLbls>
        <c:gapWidth val="75"/>
        <c:overlap val="-25"/>
        <c:axId val="1408349344"/>
        <c:axId val="1408372736"/>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71-43AA-A33D-65D17C6B5331}"/>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571-43AA-A33D-65D17C6B5331}"/>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 2012-2016'!$B$1:$J$1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'Graficos 2012-2016'!$B$4:$J$4</c:f>
              <c:numCache>
                <c:formatCode>General</c:formatCode>
                <c:ptCount val="9"/>
                <c:pt idx="0">
                  <c:v>21</c:v>
                </c:pt>
                <c:pt idx="1">
                  <c:v>30</c:v>
                </c:pt>
                <c:pt idx="2">
                  <c:v>30</c:v>
                </c:pt>
                <c:pt idx="3">
                  <c:v>24</c:v>
                </c:pt>
                <c:pt idx="4">
                  <c:v>37</c:v>
                </c:pt>
                <c:pt idx="5">
                  <c:v>36</c:v>
                </c:pt>
                <c:pt idx="6">
                  <c:v>34</c:v>
                </c:pt>
                <c:pt idx="7">
                  <c:v>41</c:v>
                </c:pt>
                <c:pt idx="8">
                  <c:v>27</c:v>
                </c:pt>
              </c:numCache>
            </c:numRef>
          </c:val>
          <c:smooth val="0"/>
          <c:extLst>
            <c:ext xmlns:c16="http://schemas.microsoft.com/office/drawing/2014/chart" uri="{C3380CC4-5D6E-409C-BE32-E72D297353CC}">
              <c16:uniqueId val="{00000005-1571-43AA-A33D-65D17C6B5331}"/>
            </c:ext>
          </c:extLst>
        </c:ser>
        <c:dLbls>
          <c:showLegendKey val="0"/>
          <c:showVal val="0"/>
          <c:showCatName val="0"/>
          <c:showSerName val="0"/>
          <c:showPercent val="0"/>
          <c:showBubbleSize val="0"/>
        </c:dLbls>
        <c:marker val="1"/>
        <c:smooth val="0"/>
        <c:axId val="1408360224"/>
        <c:axId val="1408350976"/>
      </c:lineChart>
      <c:catAx>
        <c:axId val="1408349344"/>
        <c:scaling>
          <c:orientation val="minMax"/>
        </c:scaling>
        <c:delete val="0"/>
        <c:axPos val="b"/>
        <c:numFmt formatCode="General" sourceLinked="1"/>
        <c:majorTickMark val="none"/>
        <c:minorTickMark val="none"/>
        <c:tickLblPos val="nextTo"/>
        <c:crossAx val="1408372736"/>
        <c:crosses val="autoZero"/>
        <c:auto val="1"/>
        <c:lblAlgn val="ctr"/>
        <c:lblOffset val="100"/>
        <c:noMultiLvlLbl val="0"/>
      </c:catAx>
      <c:valAx>
        <c:axId val="1408372736"/>
        <c:scaling>
          <c:orientation val="minMax"/>
        </c:scaling>
        <c:delete val="0"/>
        <c:axPos val="l"/>
        <c:majorGridlines/>
        <c:numFmt formatCode="#,##0" sourceLinked="0"/>
        <c:majorTickMark val="none"/>
        <c:minorTickMark val="none"/>
        <c:tickLblPos val="nextTo"/>
        <c:spPr>
          <a:noFill/>
          <a:ln w="9525">
            <a:noFill/>
          </a:ln>
        </c:spPr>
        <c:crossAx val="1408349344"/>
        <c:crosses val="autoZero"/>
        <c:crossBetween val="between"/>
      </c:valAx>
      <c:valAx>
        <c:axId val="1408350976"/>
        <c:scaling>
          <c:orientation val="minMax"/>
        </c:scaling>
        <c:delete val="0"/>
        <c:axPos val="r"/>
        <c:numFmt formatCode="#,##0" sourceLinked="0"/>
        <c:majorTickMark val="out"/>
        <c:minorTickMark val="none"/>
        <c:tickLblPos val="nextTo"/>
        <c:crossAx val="1408360224"/>
        <c:crosses val="max"/>
        <c:crossBetween val="between"/>
      </c:valAx>
      <c:catAx>
        <c:axId val="1408360224"/>
        <c:scaling>
          <c:orientation val="minMax"/>
        </c:scaling>
        <c:delete val="1"/>
        <c:axPos val="b"/>
        <c:numFmt formatCode="General" sourceLinked="1"/>
        <c:majorTickMark val="out"/>
        <c:minorTickMark val="none"/>
        <c:tickLblPos val="nextTo"/>
        <c:crossAx val="1408350976"/>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Fra</a:t>
            </a:r>
            <a:r>
              <a:rPr lang="es-PE" sz="1050" b="0" baseline="0"/>
              <a:t>cturas</a:t>
            </a:r>
            <a:endParaRPr lang="es-PE" sz="1050" b="0"/>
          </a:p>
        </c:rich>
      </c:tx>
      <c:overlay val="0"/>
    </c:title>
    <c:autoTitleDeleted val="0"/>
    <c:plotArea>
      <c:layout/>
      <c:barChart>
        <c:barDir val="col"/>
        <c:grouping val="clustered"/>
        <c:varyColors val="0"/>
        <c:ser>
          <c:idx val="0"/>
          <c:order val="0"/>
          <c:tx>
            <c:v>Dias</c:v>
          </c:tx>
          <c:invertIfNegative val="0"/>
          <c:dLbls>
            <c:dLbl>
              <c:idx val="0"/>
              <c:layout>
                <c:manualLayout>
                  <c:x val="0"/>
                  <c:y val="0.124448422684597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12F-4E4E-886A-6AD259DB60E0}"/>
                </c:ext>
              </c:extLst>
            </c:dLbl>
            <c:dLbl>
              <c:idx val="4"/>
              <c:layout>
                <c:manualLayout>
                  <c:x val="-3.2284108287508541E-3"/>
                  <c:y val="9.74287706709976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2F-4E4E-886A-6AD259DB60E0}"/>
                </c:ext>
              </c:extLst>
            </c:dLbl>
            <c:dLbl>
              <c:idx val="6"/>
              <c:spPr/>
              <c:txPr>
                <a:bodyPr/>
                <a:lstStyle/>
                <a:p>
                  <a:pPr>
                    <a:defRPr sz="1050" b="1">
                      <a:solidFill>
                        <a:schemeClr val="bg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0-8AEB-4551-B3DE-D3980A93FAB8}"/>
                </c:ext>
              </c:extLst>
            </c:dLbl>
            <c:dLbl>
              <c:idx val="8"/>
              <c:layout>
                <c:manualLayout>
                  <c:x val="-1.1367618057968667E-16"/>
                  <c:y val="7.96905774005787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16A-4AB5-9DE5-841C2FA0C3EF}"/>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 2012-2016'!$B$1:$I$1</c:f>
              <c:numCache>
                <c:formatCode>General</c:formatCode>
                <c:ptCount val="8"/>
                <c:pt idx="0">
                  <c:v>2012</c:v>
                </c:pt>
                <c:pt idx="1">
                  <c:v>2013</c:v>
                </c:pt>
                <c:pt idx="2">
                  <c:v>2014</c:v>
                </c:pt>
                <c:pt idx="3">
                  <c:v>2015</c:v>
                </c:pt>
                <c:pt idx="4">
                  <c:v>2016</c:v>
                </c:pt>
                <c:pt idx="5">
                  <c:v>2017</c:v>
                </c:pt>
                <c:pt idx="6">
                  <c:v>2018</c:v>
                </c:pt>
                <c:pt idx="7">
                  <c:v>2019</c:v>
                </c:pt>
              </c:numCache>
            </c:numRef>
          </c:cat>
          <c:val>
            <c:numRef>
              <c:f>'Graficos 2012-2016'!$B$11:$J$11</c:f>
              <c:numCache>
                <c:formatCode>General</c:formatCode>
                <c:ptCount val="9"/>
                <c:pt idx="0">
                  <c:v>225</c:v>
                </c:pt>
                <c:pt idx="1">
                  <c:v>180</c:v>
                </c:pt>
                <c:pt idx="2">
                  <c:v>512</c:v>
                </c:pt>
                <c:pt idx="3">
                  <c:v>482</c:v>
                </c:pt>
                <c:pt idx="4">
                  <c:v>322</c:v>
                </c:pt>
                <c:pt idx="5">
                  <c:v>825</c:v>
                </c:pt>
                <c:pt idx="6">
                  <c:v>520</c:v>
                </c:pt>
                <c:pt idx="7">
                  <c:v>892</c:v>
                </c:pt>
                <c:pt idx="8">
                  <c:v>108</c:v>
                </c:pt>
              </c:numCache>
            </c:numRef>
          </c:val>
          <c:extLst>
            <c:ext xmlns:c16="http://schemas.microsoft.com/office/drawing/2014/chart" uri="{C3380CC4-5D6E-409C-BE32-E72D297353CC}">
              <c16:uniqueId val="{00000003-212F-4E4E-886A-6AD259DB60E0}"/>
            </c:ext>
          </c:extLst>
        </c:ser>
        <c:dLbls>
          <c:showLegendKey val="0"/>
          <c:showVal val="0"/>
          <c:showCatName val="0"/>
          <c:showSerName val="0"/>
          <c:showPercent val="0"/>
          <c:showBubbleSize val="0"/>
        </c:dLbls>
        <c:gapWidth val="75"/>
        <c:overlap val="-25"/>
        <c:axId val="1408349888"/>
        <c:axId val="1408361312"/>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2F-4E4E-886A-6AD259DB60E0}"/>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2F-4E4E-886A-6AD259DB60E0}"/>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 2012-2016'!$B$1:$J$1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'Graficos 2012-2016'!$B$10:$J$10</c:f>
              <c:numCache>
                <c:formatCode>General</c:formatCode>
                <c:ptCount val="9"/>
                <c:pt idx="0">
                  <c:v>3</c:v>
                </c:pt>
                <c:pt idx="1">
                  <c:v>2</c:v>
                </c:pt>
                <c:pt idx="2">
                  <c:v>6</c:v>
                </c:pt>
                <c:pt idx="3">
                  <c:v>6</c:v>
                </c:pt>
                <c:pt idx="4">
                  <c:v>6</c:v>
                </c:pt>
                <c:pt idx="5">
                  <c:v>11</c:v>
                </c:pt>
                <c:pt idx="6">
                  <c:v>8</c:v>
                </c:pt>
                <c:pt idx="7">
                  <c:v>14</c:v>
                </c:pt>
                <c:pt idx="8">
                  <c:v>5</c:v>
                </c:pt>
              </c:numCache>
            </c:numRef>
          </c:val>
          <c:smooth val="0"/>
          <c:extLst>
            <c:ext xmlns:c16="http://schemas.microsoft.com/office/drawing/2014/chart" uri="{C3380CC4-5D6E-409C-BE32-E72D297353CC}">
              <c16:uniqueId val="{00000006-212F-4E4E-886A-6AD259DB60E0}"/>
            </c:ext>
          </c:extLst>
        </c:ser>
        <c:dLbls>
          <c:showLegendKey val="0"/>
          <c:showVal val="0"/>
          <c:showCatName val="0"/>
          <c:showSerName val="0"/>
          <c:showPercent val="0"/>
          <c:showBubbleSize val="0"/>
        </c:dLbls>
        <c:marker val="1"/>
        <c:smooth val="0"/>
        <c:axId val="1408352608"/>
        <c:axId val="1408352064"/>
      </c:lineChart>
      <c:catAx>
        <c:axId val="1408349888"/>
        <c:scaling>
          <c:orientation val="minMax"/>
        </c:scaling>
        <c:delete val="0"/>
        <c:axPos val="b"/>
        <c:numFmt formatCode="General" sourceLinked="1"/>
        <c:majorTickMark val="none"/>
        <c:minorTickMark val="none"/>
        <c:tickLblPos val="nextTo"/>
        <c:crossAx val="1408361312"/>
        <c:crosses val="autoZero"/>
        <c:auto val="1"/>
        <c:lblAlgn val="ctr"/>
        <c:lblOffset val="100"/>
        <c:noMultiLvlLbl val="0"/>
      </c:catAx>
      <c:valAx>
        <c:axId val="1408361312"/>
        <c:scaling>
          <c:orientation val="minMax"/>
        </c:scaling>
        <c:delete val="0"/>
        <c:axPos val="l"/>
        <c:majorGridlines/>
        <c:numFmt formatCode="#,##0" sourceLinked="0"/>
        <c:majorTickMark val="none"/>
        <c:minorTickMark val="none"/>
        <c:tickLblPos val="nextTo"/>
        <c:spPr>
          <a:noFill/>
          <a:ln w="9525">
            <a:noFill/>
          </a:ln>
        </c:spPr>
        <c:crossAx val="1408349888"/>
        <c:crosses val="autoZero"/>
        <c:crossBetween val="between"/>
      </c:valAx>
      <c:valAx>
        <c:axId val="1408352064"/>
        <c:scaling>
          <c:orientation val="minMax"/>
        </c:scaling>
        <c:delete val="0"/>
        <c:axPos val="r"/>
        <c:numFmt formatCode="#,##0" sourceLinked="0"/>
        <c:majorTickMark val="out"/>
        <c:minorTickMark val="none"/>
        <c:tickLblPos val="nextTo"/>
        <c:crossAx val="1408352608"/>
        <c:crosses val="max"/>
        <c:crossBetween val="between"/>
      </c:valAx>
      <c:catAx>
        <c:axId val="1408352608"/>
        <c:scaling>
          <c:orientation val="minMax"/>
        </c:scaling>
        <c:delete val="1"/>
        <c:axPos val="b"/>
        <c:numFmt formatCode="General" sourceLinked="1"/>
        <c:majorTickMark val="out"/>
        <c:minorTickMark val="none"/>
        <c:tickLblPos val="nextTo"/>
        <c:crossAx val="1408352064"/>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baseline="0"/>
              <a:t>Amputaciones falange/brazo</a:t>
            </a:r>
            <a:endParaRPr lang="es-PE" sz="1050" b="0"/>
          </a:p>
        </c:rich>
      </c:tx>
      <c:overlay val="0"/>
    </c:title>
    <c:autoTitleDeleted val="0"/>
    <c:plotArea>
      <c:layout/>
      <c:barChart>
        <c:barDir val="col"/>
        <c:grouping val="clustered"/>
        <c:varyColors val="0"/>
        <c:ser>
          <c:idx val="0"/>
          <c:order val="0"/>
          <c:tx>
            <c:v>Dias</c:v>
          </c:tx>
          <c:invertIfNegative val="0"/>
          <c:dLbls>
            <c:dLbl>
              <c:idx val="0"/>
              <c:layout>
                <c:manualLayout>
                  <c:x val="0"/>
                  <c:y val="0.124448422684597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9EC-436F-B3BA-2F5C4EB1BF87}"/>
                </c:ext>
              </c:extLst>
            </c:dLbl>
            <c:dLbl>
              <c:idx val="4"/>
              <c:layout>
                <c:manualLayout>
                  <c:x val="-3.2284108287508541E-3"/>
                  <c:y val="9.74287706709976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EC-436F-B3BA-2F5C4EB1BF87}"/>
                </c:ext>
              </c:extLst>
            </c:dLbl>
            <c:dLbl>
              <c:idx val="7"/>
              <c:spPr>
                <a:noFill/>
                <a:ln>
                  <a:noFill/>
                </a:ln>
                <a:effectLst/>
              </c:spPr>
              <c:txPr>
                <a:bodyPr/>
                <a:lstStyle/>
                <a:p>
                  <a:pPr>
                    <a:defRPr sz="1050" b="1">
                      <a:solidFill>
                        <a:sysClr val="windowText" lastClr="000000"/>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0-B8CC-40EC-99EF-221BD119D616}"/>
                </c:ext>
              </c:extLst>
            </c:dLbl>
            <c:dLbl>
              <c:idx val="8"/>
              <c:spPr>
                <a:noFill/>
                <a:ln>
                  <a:noFill/>
                </a:ln>
                <a:effectLst/>
              </c:spPr>
              <c:txPr>
                <a:bodyPr/>
                <a:lstStyle/>
                <a:p>
                  <a:pPr>
                    <a:defRPr sz="1050" b="1">
                      <a:solidFill>
                        <a:sysClr val="windowText" lastClr="000000"/>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1-B8CC-40EC-99EF-221BD119D616}"/>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Activ'!$C$1:$J$1</c:f>
              <c:numCache>
                <c:formatCode>General</c:formatCode>
                <c:ptCount val="8"/>
                <c:pt idx="0">
                  <c:v>2012</c:v>
                </c:pt>
                <c:pt idx="1">
                  <c:v>2013</c:v>
                </c:pt>
                <c:pt idx="2">
                  <c:v>2014</c:v>
                </c:pt>
                <c:pt idx="3">
                  <c:v>2015</c:v>
                </c:pt>
                <c:pt idx="4">
                  <c:v>2016</c:v>
                </c:pt>
                <c:pt idx="5">
                  <c:v>2017</c:v>
                </c:pt>
                <c:pt idx="6">
                  <c:v>2018</c:v>
                </c:pt>
                <c:pt idx="7">
                  <c:v>2019</c:v>
                </c:pt>
              </c:numCache>
            </c:numRef>
          </c:cat>
          <c:val>
            <c:numRef>
              <c:f>'Graficos 2012-2016'!$B$13:$J$13</c:f>
              <c:numCache>
                <c:formatCode>General</c:formatCode>
                <c:ptCount val="9"/>
                <c:pt idx="0">
                  <c:v>60</c:v>
                </c:pt>
                <c:pt idx="1">
                  <c:v>0</c:v>
                </c:pt>
                <c:pt idx="2">
                  <c:v>705</c:v>
                </c:pt>
                <c:pt idx="3">
                  <c:v>373</c:v>
                </c:pt>
                <c:pt idx="4">
                  <c:v>628</c:v>
                </c:pt>
                <c:pt idx="5">
                  <c:v>0</c:v>
                </c:pt>
                <c:pt idx="6">
                  <c:v>0</c:v>
                </c:pt>
                <c:pt idx="7">
                  <c:v>30</c:v>
                </c:pt>
                <c:pt idx="8">
                  <c:v>137</c:v>
                </c:pt>
              </c:numCache>
            </c:numRef>
          </c:val>
          <c:extLst>
            <c:ext xmlns:c16="http://schemas.microsoft.com/office/drawing/2014/chart" uri="{C3380CC4-5D6E-409C-BE32-E72D297353CC}">
              <c16:uniqueId val="{00000002-99EC-436F-B3BA-2F5C4EB1BF87}"/>
            </c:ext>
          </c:extLst>
        </c:ser>
        <c:dLbls>
          <c:showLegendKey val="0"/>
          <c:showVal val="0"/>
          <c:showCatName val="0"/>
          <c:showSerName val="0"/>
          <c:showPercent val="0"/>
          <c:showBubbleSize val="0"/>
        </c:dLbls>
        <c:gapWidth val="75"/>
        <c:overlap val="-25"/>
        <c:axId val="1408361856"/>
        <c:axId val="1408362400"/>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EC-436F-B3BA-2F5C4EB1BF87}"/>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EC-436F-B3BA-2F5C4EB1BF87}"/>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'Graficos 2012-2016'!$B$1:$J$1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'Graficos 2012-2016'!$B$12:$J$12</c:f>
              <c:numCache>
                <c:formatCode>General</c:formatCode>
                <c:ptCount val="9"/>
                <c:pt idx="0">
                  <c:v>1</c:v>
                </c:pt>
                <c:pt idx="1">
                  <c:v>0</c:v>
                </c:pt>
                <c:pt idx="2">
                  <c:v>3</c:v>
                </c:pt>
                <c:pt idx="3">
                  <c:v>3</c:v>
                </c:pt>
                <c:pt idx="4">
                  <c:v>7</c:v>
                </c:pt>
                <c:pt idx="5">
                  <c:v>0</c:v>
                </c:pt>
                <c:pt idx="6">
                  <c:v>0</c:v>
                </c:pt>
                <c:pt idx="7">
                  <c:v>1</c:v>
                </c:pt>
                <c:pt idx="8">
                  <c:v>2</c:v>
                </c:pt>
              </c:numCache>
            </c:numRef>
          </c:val>
          <c:smooth val="0"/>
          <c:extLst>
            <c:ext xmlns:c16="http://schemas.microsoft.com/office/drawing/2014/chart" uri="{C3380CC4-5D6E-409C-BE32-E72D297353CC}">
              <c16:uniqueId val="{00000005-99EC-436F-B3BA-2F5C4EB1BF87}"/>
            </c:ext>
          </c:extLst>
        </c:ser>
        <c:dLbls>
          <c:showLegendKey val="0"/>
          <c:showVal val="0"/>
          <c:showCatName val="0"/>
          <c:showSerName val="0"/>
          <c:showPercent val="0"/>
          <c:showBubbleSize val="0"/>
        </c:dLbls>
        <c:marker val="1"/>
        <c:smooth val="0"/>
        <c:axId val="1234916864"/>
        <c:axId val="1408362944"/>
      </c:lineChart>
      <c:catAx>
        <c:axId val="1408361856"/>
        <c:scaling>
          <c:orientation val="minMax"/>
        </c:scaling>
        <c:delete val="0"/>
        <c:axPos val="b"/>
        <c:numFmt formatCode="General" sourceLinked="1"/>
        <c:majorTickMark val="none"/>
        <c:minorTickMark val="none"/>
        <c:tickLblPos val="nextTo"/>
        <c:crossAx val="1408362400"/>
        <c:crosses val="autoZero"/>
        <c:auto val="1"/>
        <c:lblAlgn val="ctr"/>
        <c:lblOffset val="100"/>
        <c:noMultiLvlLbl val="0"/>
      </c:catAx>
      <c:valAx>
        <c:axId val="1408362400"/>
        <c:scaling>
          <c:orientation val="minMax"/>
        </c:scaling>
        <c:delete val="0"/>
        <c:axPos val="l"/>
        <c:majorGridlines/>
        <c:numFmt formatCode="#,##0" sourceLinked="0"/>
        <c:majorTickMark val="none"/>
        <c:minorTickMark val="none"/>
        <c:tickLblPos val="nextTo"/>
        <c:spPr>
          <a:noFill/>
          <a:ln w="9525">
            <a:noFill/>
          </a:ln>
        </c:spPr>
        <c:crossAx val="1408361856"/>
        <c:crosses val="autoZero"/>
        <c:crossBetween val="between"/>
      </c:valAx>
      <c:valAx>
        <c:axId val="1408362944"/>
        <c:scaling>
          <c:orientation val="minMax"/>
        </c:scaling>
        <c:delete val="0"/>
        <c:axPos val="r"/>
        <c:numFmt formatCode="#,##0" sourceLinked="0"/>
        <c:majorTickMark val="out"/>
        <c:minorTickMark val="none"/>
        <c:tickLblPos val="nextTo"/>
        <c:crossAx val="1234916864"/>
        <c:crosses val="max"/>
        <c:crossBetween val="between"/>
      </c:valAx>
      <c:catAx>
        <c:axId val="1234916864"/>
        <c:scaling>
          <c:orientation val="minMax"/>
        </c:scaling>
        <c:delete val="1"/>
        <c:axPos val="b"/>
        <c:numFmt formatCode="General" sourceLinked="1"/>
        <c:majorTickMark val="out"/>
        <c:minorTickMark val="none"/>
        <c:tickLblPos val="nextTo"/>
        <c:crossAx val="1408362944"/>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Accidentes durante mantenimiento de equipos</a:t>
            </a:r>
          </a:p>
        </c:rich>
      </c:tx>
      <c:overlay val="0"/>
    </c:title>
    <c:autoTitleDeleted val="0"/>
    <c:plotArea>
      <c:layout/>
      <c:barChart>
        <c:barDir val="col"/>
        <c:grouping val="clustered"/>
        <c:varyColors val="0"/>
        <c:ser>
          <c:idx val="0"/>
          <c:order val="0"/>
          <c:tx>
            <c:v>Dias</c:v>
          </c:tx>
          <c:invertIfNegative val="0"/>
          <c:dLbls>
            <c:dLbl>
              <c:idx val="6"/>
              <c:layout>
                <c:manualLayout>
                  <c:x val="-1.1401197783712273E-16"/>
                  <c:y val="8.29012376141416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C69-47A6-B05A-F6124DC9E50B}"/>
                </c:ext>
              </c:extLst>
            </c:dLbl>
            <c:dLbl>
              <c:idx val="7"/>
              <c:spPr>
                <a:noFill/>
                <a:ln>
                  <a:noFill/>
                </a:ln>
                <a:effectLst/>
              </c:spPr>
              <c:txPr>
                <a:bodyPr/>
                <a:lstStyle/>
                <a:p>
                  <a:pPr>
                    <a:defRPr sz="1050" b="1">
                      <a:solidFill>
                        <a:schemeClr val="tx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0-49B7-4199-B50B-5E0E12C5D579}"/>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Activ'!$C$3:$K$3</c:f>
              <c:numCache>
                <c:formatCode>General</c:formatCode>
                <c:ptCount val="9"/>
                <c:pt idx="0">
                  <c:v>124</c:v>
                </c:pt>
                <c:pt idx="1">
                  <c:v>320</c:v>
                </c:pt>
                <c:pt idx="2">
                  <c:v>156</c:v>
                </c:pt>
                <c:pt idx="3">
                  <c:v>646</c:v>
                </c:pt>
                <c:pt idx="4">
                  <c:v>545</c:v>
                </c:pt>
                <c:pt idx="5">
                  <c:v>167</c:v>
                </c:pt>
                <c:pt idx="6">
                  <c:v>78</c:v>
                </c:pt>
                <c:pt idx="7">
                  <c:v>36</c:v>
                </c:pt>
                <c:pt idx="8">
                  <c:v>170</c:v>
                </c:pt>
              </c:numCache>
            </c:numRef>
          </c:val>
          <c:extLst>
            <c:ext xmlns:c16="http://schemas.microsoft.com/office/drawing/2014/chart" uri="{C3380CC4-5D6E-409C-BE32-E72D297353CC}">
              <c16:uniqueId val="{00000000-3AA5-42CF-9909-AA556E7AEAB2}"/>
            </c:ext>
          </c:extLst>
        </c:ser>
        <c:dLbls>
          <c:showLegendKey val="0"/>
          <c:showVal val="0"/>
          <c:showCatName val="0"/>
          <c:showSerName val="0"/>
          <c:showPercent val="0"/>
          <c:showBubbleSize val="0"/>
        </c:dLbls>
        <c:gapWidth val="75"/>
        <c:overlap val="-25"/>
        <c:axId val="1234890208"/>
        <c:axId val="1234894560"/>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A5-42CF-9909-AA556E7AEAB2}"/>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A5-42CF-9909-AA556E7AEAB2}"/>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Activ'!$C$2:$K$2</c:f>
              <c:numCache>
                <c:formatCode>General</c:formatCode>
                <c:ptCount val="9"/>
                <c:pt idx="0">
                  <c:v>6</c:v>
                </c:pt>
                <c:pt idx="1">
                  <c:v>11</c:v>
                </c:pt>
                <c:pt idx="2">
                  <c:v>4</c:v>
                </c:pt>
                <c:pt idx="3">
                  <c:v>7</c:v>
                </c:pt>
                <c:pt idx="4">
                  <c:v>8</c:v>
                </c:pt>
                <c:pt idx="5">
                  <c:v>3</c:v>
                </c:pt>
                <c:pt idx="6">
                  <c:v>5</c:v>
                </c:pt>
                <c:pt idx="7">
                  <c:v>2</c:v>
                </c:pt>
                <c:pt idx="8">
                  <c:v>7</c:v>
                </c:pt>
              </c:numCache>
            </c:numRef>
          </c:val>
          <c:smooth val="0"/>
          <c:extLst>
            <c:ext xmlns:c16="http://schemas.microsoft.com/office/drawing/2014/chart" uri="{C3380CC4-5D6E-409C-BE32-E72D297353CC}">
              <c16:uniqueId val="{00000003-3AA5-42CF-9909-AA556E7AEAB2}"/>
            </c:ext>
          </c:extLst>
        </c:ser>
        <c:dLbls>
          <c:showLegendKey val="0"/>
          <c:showVal val="0"/>
          <c:showCatName val="0"/>
          <c:showSerName val="0"/>
          <c:showPercent val="0"/>
          <c:showBubbleSize val="0"/>
        </c:dLbls>
        <c:marker val="1"/>
        <c:smooth val="0"/>
        <c:axId val="1234903264"/>
        <c:axId val="1234890752"/>
      </c:lineChart>
      <c:catAx>
        <c:axId val="1234890208"/>
        <c:scaling>
          <c:orientation val="minMax"/>
        </c:scaling>
        <c:delete val="0"/>
        <c:axPos val="b"/>
        <c:numFmt formatCode="General" sourceLinked="1"/>
        <c:majorTickMark val="none"/>
        <c:minorTickMark val="none"/>
        <c:tickLblPos val="nextTo"/>
        <c:crossAx val="1234894560"/>
        <c:crosses val="autoZero"/>
        <c:auto val="1"/>
        <c:lblAlgn val="ctr"/>
        <c:lblOffset val="100"/>
        <c:noMultiLvlLbl val="0"/>
      </c:catAx>
      <c:valAx>
        <c:axId val="1234894560"/>
        <c:scaling>
          <c:orientation val="minMax"/>
        </c:scaling>
        <c:delete val="0"/>
        <c:axPos val="l"/>
        <c:majorGridlines/>
        <c:numFmt formatCode="#,##0" sourceLinked="0"/>
        <c:majorTickMark val="none"/>
        <c:minorTickMark val="none"/>
        <c:tickLblPos val="nextTo"/>
        <c:spPr>
          <a:noFill/>
          <a:ln w="9525">
            <a:noFill/>
          </a:ln>
        </c:spPr>
        <c:crossAx val="1234890208"/>
        <c:crosses val="autoZero"/>
        <c:crossBetween val="between"/>
      </c:valAx>
      <c:valAx>
        <c:axId val="1234890752"/>
        <c:scaling>
          <c:orientation val="minMax"/>
        </c:scaling>
        <c:delete val="0"/>
        <c:axPos val="r"/>
        <c:numFmt formatCode="#,##0" sourceLinked="0"/>
        <c:majorTickMark val="out"/>
        <c:minorTickMark val="none"/>
        <c:tickLblPos val="nextTo"/>
        <c:crossAx val="1234903264"/>
        <c:crosses val="max"/>
        <c:crossBetween val="between"/>
      </c:valAx>
      <c:catAx>
        <c:axId val="1234903264"/>
        <c:scaling>
          <c:orientation val="minMax"/>
        </c:scaling>
        <c:delete val="1"/>
        <c:axPos val="b"/>
        <c:numFmt formatCode="General" sourceLinked="1"/>
        <c:majorTickMark val="out"/>
        <c:minorTickMark val="none"/>
        <c:tickLblPos val="nextTo"/>
        <c:crossAx val="1234890752"/>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Accidentes durante la operación</a:t>
            </a:r>
          </a:p>
        </c:rich>
      </c:tx>
      <c:overlay val="0"/>
    </c:title>
    <c:autoTitleDeleted val="0"/>
    <c:plotArea>
      <c:layout/>
      <c:barChart>
        <c:barDir val="col"/>
        <c:grouping val="clustered"/>
        <c:varyColors val="0"/>
        <c:ser>
          <c:idx val="0"/>
          <c:order val="0"/>
          <c:tx>
            <c:v>Dias</c:v>
          </c:tx>
          <c:invertIfNegative val="0"/>
          <c:dLbls>
            <c:dLbl>
              <c:idx val="6"/>
              <c:spPr/>
              <c:txPr>
                <a:bodyPr/>
                <a:lstStyle/>
                <a:p>
                  <a:pPr>
                    <a:defRPr sz="1050" b="1">
                      <a:solidFill>
                        <a:schemeClr val="tx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0-C8B8-4C23-9CB0-C450BE0065E8}"/>
                </c:ext>
              </c:extLst>
            </c:dLbl>
            <c:spPr>
              <a:noFill/>
              <a:ln>
                <a:noFill/>
              </a:ln>
              <a:effectLst/>
            </c:spPr>
            <c:txPr>
              <a:bodyPr/>
              <a:lstStyle/>
              <a:p>
                <a:pPr>
                  <a:defRPr sz="1050" b="1">
                    <a:solidFill>
                      <a:schemeClr val="tx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Activ'!$C$1:$I$1</c:f>
              <c:numCache>
                <c:formatCode>General</c:formatCode>
                <c:ptCount val="7"/>
                <c:pt idx="0">
                  <c:v>2012</c:v>
                </c:pt>
                <c:pt idx="1">
                  <c:v>2013</c:v>
                </c:pt>
                <c:pt idx="2">
                  <c:v>2014</c:v>
                </c:pt>
                <c:pt idx="3">
                  <c:v>2015</c:v>
                </c:pt>
                <c:pt idx="4">
                  <c:v>2016</c:v>
                </c:pt>
                <c:pt idx="5">
                  <c:v>2017</c:v>
                </c:pt>
                <c:pt idx="6">
                  <c:v>2018</c:v>
                </c:pt>
              </c:numCache>
            </c:numRef>
          </c:cat>
          <c:val>
            <c:numRef>
              <c:f>'Graf FP - Activ'!$C$5:$K$5</c:f>
              <c:numCache>
                <c:formatCode>General</c:formatCode>
                <c:ptCount val="9"/>
                <c:pt idx="0">
                  <c:v>476</c:v>
                </c:pt>
                <c:pt idx="1">
                  <c:v>199</c:v>
                </c:pt>
                <c:pt idx="2">
                  <c:v>353</c:v>
                </c:pt>
                <c:pt idx="3">
                  <c:v>527</c:v>
                </c:pt>
                <c:pt idx="4">
                  <c:v>764</c:v>
                </c:pt>
                <c:pt idx="5">
                  <c:v>843</c:v>
                </c:pt>
                <c:pt idx="6">
                  <c:v>855</c:v>
                </c:pt>
                <c:pt idx="7">
                  <c:v>7540</c:v>
                </c:pt>
                <c:pt idx="8">
                  <c:v>632</c:v>
                </c:pt>
              </c:numCache>
            </c:numRef>
          </c:val>
          <c:extLst>
            <c:ext xmlns:c16="http://schemas.microsoft.com/office/drawing/2014/chart" uri="{C3380CC4-5D6E-409C-BE32-E72D297353CC}">
              <c16:uniqueId val="{00000001-5D18-49F2-AE71-AB19C57AC1FD}"/>
            </c:ext>
          </c:extLst>
        </c:ser>
        <c:dLbls>
          <c:showLegendKey val="0"/>
          <c:showVal val="0"/>
          <c:showCatName val="0"/>
          <c:showSerName val="0"/>
          <c:showPercent val="0"/>
          <c:showBubbleSize val="0"/>
        </c:dLbls>
        <c:gapWidth val="75"/>
        <c:overlap val="-25"/>
        <c:axId val="1234898912"/>
        <c:axId val="1234888576"/>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18-49F2-AE71-AB19C57AC1FD}"/>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18-49F2-AE71-AB19C57AC1FD}"/>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Activ'!$C$4:$K$4</c:f>
              <c:numCache>
                <c:formatCode>General</c:formatCode>
                <c:ptCount val="9"/>
                <c:pt idx="0">
                  <c:v>19</c:v>
                </c:pt>
                <c:pt idx="1">
                  <c:v>9</c:v>
                </c:pt>
                <c:pt idx="2">
                  <c:v>17</c:v>
                </c:pt>
                <c:pt idx="3">
                  <c:v>15</c:v>
                </c:pt>
                <c:pt idx="4">
                  <c:v>25</c:v>
                </c:pt>
                <c:pt idx="5">
                  <c:v>42</c:v>
                </c:pt>
                <c:pt idx="6">
                  <c:v>44</c:v>
                </c:pt>
                <c:pt idx="7">
                  <c:v>70</c:v>
                </c:pt>
                <c:pt idx="8">
                  <c:v>56</c:v>
                </c:pt>
              </c:numCache>
            </c:numRef>
          </c:val>
          <c:smooth val="0"/>
          <c:extLst>
            <c:ext xmlns:c16="http://schemas.microsoft.com/office/drawing/2014/chart" uri="{C3380CC4-5D6E-409C-BE32-E72D297353CC}">
              <c16:uniqueId val="{00000004-5D18-49F2-AE71-AB19C57AC1FD}"/>
            </c:ext>
          </c:extLst>
        </c:ser>
        <c:dLbls>
          <c:showLegendKey val="0"/>
          <c:showVal val="0"/>
          <c:showCatName val="0"/>
          <c:showSerName val="0"/>
          <c:showPercent val="0"/>
          <c:showBubbleSize val="0"/>
        </c:dLbls>
        <c:marker val="1"/>
        <c:smooth val="0"/>
        <c:axId val="1234919040"/>
        <c:axId val="1234901632"/>
      </c:lineChart>
      <c:catAx>
        <c:axId val="1234898912"/>
        <c:scaling>
          <c:orientation val="minMax"/>
        </c:scaling>
        <c:delete val="0"/>
        <c:axPos val="b"/>
        <c:numFmt formatCode="General" sourceLinked="1"/>
        <c:majorTickMark val="none"/>
        <c:minorTickMark val="none"/>
        <c:tickLblPos val="nextTo"/>
        <c:crossAx val="1234888576"/>
        <c:crosses val="autoZero"/>
        <c:auto val="1"/>
        <c:lblAlgn val="ctr"/>
        <c:lblOffset val="100"/>
        <c:noMultiLvlLbl val="0"/>
      </c:catAx>
      <c:valAx>
        <c:axId val="1234888576"/>
        <c:scaling>
          <c:orientation val="minMax"/>
        </c:scaling>
        <c:delete val="0"/>
        <c:axPos val="l"/>
        <c:majorGridlines/>
        <c:numFmt formatCode="#,##0" sourceLinked="0"/>
        <c:majorTickMark val="none"/>
        <c:minorTickMark val="none"/>
        <c:tickLblPos val="nextTo"/>
        <c:spPr>
          <a:noFill/>
          <a:ln w="9525">
            <a:noFill/>
          </a:ln>
        </c:spPr>
        <c:crossAx val="1234898912"/>
        <c:crosses val="autoZero"/>
        <c:crossBetween val="between"/>
      </c:valAx>
      <c:valAx>
        <c:axId val="1234901632"/>
        <c:scaling>
          <c:orientation val="minMax"/>
        </c:scaling>
        <c:delete val="0"/>
        <c:axPos val="r"/>
        <c:numFmt formatCode="#,##0" sourceLinked="0"/>
        <c:majorTickMark val="out"/>
        <c:minorTickMark val="none"/>
        <c:tickLblPos val="nextTo"/>
        <c:crossAx val="1234919040"/>
        <c:crosses val="max"/>
        <c:crossBetween val="between"/>
      </c:valAx>
      <c:catAx>
        <c:axId val="1234919040"/>
        <c:scaling>
          <c:orientation val="minMax"/>
        </c:scaling>
        <c:delete val="1"/>
        <c:axPos val="b"/>
        <c:numFmt formatCode="General" sourceLinked="1"/>
        <c:majorTickMark val="out"/>
        <c:minorTickMark val="none"/>
        <c:tickLblPos val="nextTo"/>
        <c:crossAx val="1234901632"/>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Accidentes:</a:t>
            </a:r>
            <a:r>
              <a:rPr lang="es-PE" sz="1050" b="0" baseline="0"/>
              <a:t> Trasladándose a pie</a:t>
            </a:r>
            <a:endParaRPr lang="es-PE" sz="1050" b="0"/>
          </a:p>
        </c:rich>
      </c:tx>
      <c:overlay val="0"/>
    </c:title>
    <c:autoTitleDeleted val="0"/>
    <c:plotArea>
      <c:layout/>
      <c:barChart>
        <c:barDir val="col"/>
        <c:grouping val="clustered"/>
        <c:varyColors val="0"/>
        <c:ser>
          <c:idx val="0"/>
          <c:order val="0"/>
          <c:tx>
            <c:v>Dias</c:v>
          </c:tx>
          <c:invertIfNegative val="0"/>
          <c:dLbls>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Activ'!$C$7:$K$7</c:f>
              <c:numCache>
                <c:formatCode>General</c:formatCode>
                <c:ptCount val="9"/>
                <c:pt idx="0">
                  <c:v>114</c:v>
                </c:pt>
                <c:pt idx="1">
                  <c:v>111</c:v>
                </c:pt>
                <c:pt idx="2">
                  <c:v>163</c:v>
                </c:pt>
                <c:pt idx="3">
                  <c:v>42</c:v>
                </c:pt>
                <c:pt idx="4">
                  <c:v>69</c:v>
                </c:pt>
                <c:pt idx="5">
                  <c:v>98</c:v>
                </c:pt>
                <c:pt idx="6">
                  <c:v>273</c:v>
                </c:pt>
                <c:pt idx="7">
                  <c:v>372</c:v>
                </c:pt>
                <c:pt idx="8">
                  <c:v>91</c:v>
                </c:pt>
              </c:numCache>
            </c:numRef>
          </c:val>
          <c:extLst>
            <c:ext xmlns:c16="http://schemas.microsoft.com/office/drawing/2014/chart" uri="{C3380CC4-5D6E-409C-BE32-E72D297353CC}">
              <c16:uniqueId val="{00000000-2F55-434C-996D-B2F958A47CF9}"/>
            </c:ext>
          </c:extLst>
        </c:ser>
        <c:dLbls>
          <c:showLegendKey val="0"/>
          <c:showVal val="0"/>
          <c:showCatName val="0"/>
          <c:showSerName val="0"/>
          <c:showPercent val="0"/>
          <c:showBubbleSize val="0"/>
        </c:dLbls>
        <c:gapWidth val="75"/>
        <c:overlap val="-25"/>
        <c:axId val="1234918496"/>
        <c:axId val="1234911424"/>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55-434C-996D-B2F958A47CF9}"/>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55-434C-996D-B2F958A47CF9}"/>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Activ'!$C$6:$K$6</c:f>
              <c:numCache>
                <c:formatCode>General</c:formatCode>
                <c:ptCount val="9"/>
                <c:pt idx="0">
                  <c:v>7</c:v>
                </c:pt>
                <c:pt idx="1">
                  <c:v>11</c:v>
                </c:pt>
                <c:pt idx="2">
                  <c:v>8</c:v>
                </c:pt>
                <c:pt idx="3">
                  <c:v>3</c:v>
                </c:pt>
                <c:pt idx="4">
                  <c:v>7</c:v>
                </c:pt>
                <c:pt idx="5">
                  <c:v>10</c:v>
                </c:pt>
                <c:pt idx="6">
                  <c:v>10</c:v>
                </c:pt>
                <c:pt idx="7">
                  <c:v>11</c:v>
                </c:pt>
                <c:pt idx="8">
                  <c:v>6</c:v>
                </c:pt>
              </c:numCache>
            </c:numRef>
          </c:val>
          <c:smooth val="0"/>
          <c:extLst>
            <c:ext xmlns:c16="http://schemas.microsoft.com/office/drawing/2014/chart" uri="{C3380CC4-5D6E-409C-BE32-E72D297353CC}">
              <c16:uniqueId val="{00000003-2F55-434C-996D-B2F958A47CF9}"/>
            </c:ext>
          </c:extLst>
        </c:ser>
        <c:dLbls>
          <c:showLegendKey val="0"/>
          <c:showVal val="0"/>
          <c:showCatName val="0"/>
          <c:showSerName val="0"/>
          <c:showPercent val="0"/>
          <c:showBubbleSize val="0"/>
        </c:dLbls>
        <c:marker val="1"/>
        <c:smooth val="0"/>
        <c:axId val="1234915776"/>
        <c:axId val="1234900544"/>
      </c:lineChart>
      <c:catAx>
        <c:axId val="1234918496"/>
        <c:scaling>
          <c:orientation val="minMax"/>
        </c:scaling>
        <c:delete val="0"/>
        <c:axPos val="b"/>
        <c:numFmt formatCode="General" sourceLinked="1"/>
        <c:majorTickMark val="none"/>
        <c:minorTickMark val="none"/>
        <c:tickLblPos val="nextTo"/>
        <c:crossAx val="1234911424"/>
        <c:crosses val="autoZero"/>
        <c:auto val="1"/>
        <c:lblAlgn val="ctr"/>
        <c:lblOffset val="100"/>
        <c:noMultiLvlLbl val="0"/>
      </c:catAx>
      <c:valAx>
        <c:axId val="1234911424"/>
        <c:scaling>
          <c:orientation val="minMax"/>
        </c:scaling>
        <c:delete val="0"/>
        <c:axPos val="l"/>
        <c:majorGridlines/>
        <c:numFmt formatCode="#,##0" sourceLinked="0"/>
        <c:majorTickMark val="none"/>
        <c:minorTickMark val="none"/>
        <c:tickLblPos val="nextTo"/>
        <c:spPr>
          <a:noFill/>
          <a:ln w="9525">
            <a:noFill/>
          </a:ln>
        </c:spPr>
        <c:crossAx val="1234918496"/>
        <c:crosses val="autoZero"/>
        <c:crossBetween val="between"/>
      </c:valAx>
      <c:valAx>
        <c:axId val="1234900544"/>
        <c:scaling>
          <c:orientation val="minMax"/>
        </c:scaling>
        <c:delete val="0"/>
        <c:axPos val="r"/>
        <c:numFmt formatCode="#,##0" sourceLinked="0"/>
        <c:majorTickMark val="out"/>
        <c:minorTickMark val="none"/>
        <c:tickLblPos val="nextTo"/>
        <c:crossAx val="1234915776"/>
        <c:crosses val="max"/>
        <c:crossBetween val="between"/>
      </c:valAx>
      <c:catAx>
        <c:axId val="1234915776"/>
        <c:scaling>
          <c:orientation val="minMax"/>
        </c:scaling>
        <c:delete val="1"/>
        <c:axPos val="b"/>
        <c:numFmt formatCode="General" sourceLinked="1"/>
        <c:majorTickMark val="out"/>
        <c:minorTickMark val="none"/>
        <c:tickLblPos val="nextTo"/>
        <c:crossAx val="1234900544"/>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Accidentes</a:t>
            </a:r>
            <a:r>
              <a:rPr lang="es-PE" sz="1050" b="0" baseline="0"/>
              <a:t> durante la Calibración/Regulación equipos</a:t>
            </a:r>
            <a:endParaRPr lang="es-PE" sz="1050" b="0"/>
          </a:p>
        </c:rich>
      </c:tx>
      <c:overlay val="0"/>
    </c:title>
    <c:autoTitleDeleted val="0"/>
    <c:plotArea>
      <c:layout/>
      <c:barChart>
        <c:barDir val="col"/>
        <c:grouping val="clustered"/>
        <c:varyColors val="0"/>
        <c:ser>
          <c:idx val="0"/>
          <c:order val="0"/>
          <c:tx>
            <c:v>Dias</c:v>
          </c:tx>
          <c:invertIfNegative val="0"/>
          <c:dLbls>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Activ'!$C$1:$H$1</c:f>
              <c:numCache>
                <c:formatCode>General</c:formatCode>
                <c:ptCount val="6"/>
                <c:pt idx="0">
                  <c:v>2012</c:v>
                </c:pt>
                <c:pt idx="1">
                  <c:v>2013</c:v>
                </c:pt>
                <c:pt idx="2">
                  <c:v>2014</c:v>
                </c:pt>
                <c:pt idx="3">
                  <c:v>2015</c:v>
                </c:pt>
                <c:pt idx="4">
                  <c:v>2016</c:v>
                </c:pt>
                <c:pt idx="5">
                  <c:v>2017</c:v>
                </c:pt>
              </c:numCache>
            </c:numRef>
          </c:cat>
          <c:val>
            <c:numRef>
              <c:f>'Graf FP - Activ'!$C$9:$H$9</c:f>
              <c:numCache>
                <c:formatCode>General</c:formatCode>
                <c:ptCount val="6"/>
              </c:numCache>
            </c:numRef>
          </c:val>
          <c:extLst>
            <c:ext xmlns:c16="http://schemas.microsoft.com/office/drawing/2014/chart" uri="{C3380CC4-5D6E-409C-BE32-E72D297353CC}">
              <c16:uniqueId val="{00000000-EB24-4BCB-87FC-660A9C974572}"/>
            </c:ext>
          </c:extLst>
        </c:ser>
        <c:dLbls>
          <c:showLegendKey val="0"/>
          <c:showVal val="0"/>
          <c:showCatName val="0"/>
          <c:showSerName val="0"/>
          <c:showPercent val="0"/>
          <c:showBubbleSize val="0"/>
        </c:dLbls>
        <c:gapWidth val="75"/>
        <c:overlap val="-25"/>
        <c:axId val="1234919584"/>
        <c:axId val="1234920128"/>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24-4BCB-87FC-660A9C974572}"/>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24-4BCB-87FC-660A9C974572}"/>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Activ'!$C$1:$H$1</c:f>
              <c:numCache>
                <c:formatCode>General</c:formatCode>
                <c:ptCount val="6"/>
                <c:pt idx="0">
                  <c:v>2012</c:v>
                </c:pt>
                <c:pt idx="1">
                  <c:v>2013</c:v>
                </c:pt>
                <c:pt idx="2">
                  <c:v>2014</c:v>
                </c:pt>
                <c:pt idx="3">
                  <c:v>2015</c:v>
                </c:pt>
                <c:pt idx="4">
                  <c:v>2016</c:v>
                </c:pt>
                <c:pt idx="5">
                  <c:v>2017</c:v>
                </c:pt>
              </c:numCache>
            </c:numRef>
          </c:cat>
          <c:val>
            <c:numRef>
              <c:f>'Graf FP - Activ'!$C$8:$H$8</c:f>
              <c:numCache>
                <c:formatCode>General</c:formatCode>
                <c:ptCount val="6"/>
              </c:numCache>
            </c:numRef>
          </c:val>
          <c:smooth val="0"/>
          <c:extLst>
            <c:ext xmlns:c16="http://schemas.microsoft.com/office/drawing/2014/chart" uri="{C3380CC4-5D6E-409C-BE32-E72D297353CC}">
              <c16:uniqueId val="{00000003-EB24-4BCB-87FC-660A9C974572}"/>
            </c:ext>
          </c:extLst>
        </c:ser>
        <c:dLbls>
          <c:showLegendKey val="0"/>
          <c:showVal val="0"/>
          <c:showCatName val="0"/>
          <c:showSerName val="0"/>
          <c:showPercent val="0"/>
          <c:showBubbleSize val="0"/>
        </c:dLbls>
        <c:marker val="1"/>
        <c:smooth val="0"/>
        <c:axId val="1234895648"/>
        <c:axId val="1234893472"/>
      </c:lineChart>
      <c:catAx>
        <c:axId val="1234919584"/>
        <c:scaling>
          <c:orientation val="minMax"/>
        </c:scaling>
        <c:delete val="0"/>
        <c:axPos val="b"/>
        <c:numFmt formatCode="General" sourceLinked="1"/>
        <c:majorTickMark val="none"/>
        <c:minorTickMark val="none"/>
        <c:tickLblPos val="nextTo"/>
        <c:crossAx val="1234920128"/>
        <c:crosses val="autoZero"/>
        <c:auto val="1"/>
        <c:lblAlgn val="ctr"/>
        <c:lblOffset val="100"/>
        <c:noMultiLvlLbl val="0"/>
      </c:catAx>
      <c:valAx>
        <c:axId val="1234920128"/>
        <c:scaling>
          <c:orientation val="minMax"/>
        </c:scaling>
        <c:delete val="0"/>
        <c:axPos val="l"/>
        <c:majorGridlines/>
        <c:numFmt formatCode="#,##0" sourceLinked="0"/>
        <c:majorTickMark val="none"/>
        <c:minorTickMark val="none"/>
        <c:tickLblPos val="nextTo"/>
        <c:spPr>
          <a:noFill/>
          <a:ln w="9525">
            <a:noFill/>
          </a:ln>
        </c:spPr>
        <c:crossAx val="1234919584"/>
        <c:crosses val="autoZero"/>
        <c:crossBetween val="between"/>
      </c:valAx>
      <c:valAx>
        <c:axId val="1234893472"/>
        <c:scaling>
          <c:orientation val="minMax"/>
        </c:scaling>
        <c:delete val="0"/>
        <c:axPos val="r"/>
        <c:numFmt formatCode="#,##0" sourceLinked="0"/>
        <c:majorTickMark val="out"/>
        <c:minorTickMark val="none"/>
        <c:tickLblPos val="nextTo"/>
        <c:crossAx val="1234895648"/>
        <c:crosses val="max"/>
        <c:crossBetween val="between"/>
      </c:valAx>
      <c:catAx>
        <c:axId val="1234895648"/>
        <c:scaling>
          <c:orientation val="minMax"/>
        </c:scaling>
        <c:delete val="1"/>
        <c:axPos val="b"/>
        <c:numFmt formatCode="General" sourceLinked="1"/>
        <c:majorTickMark val="out"/>
        <c:minorTickMark val="none"/>
        <c:tickLblPos val="nextTo"/>
        <c:crossAx val="1234893472"/>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Accidentes</a:t>
            </a:r>
            <a:r>
              <a:rPr lang="es-PE" sz="1050" b="0" baseline="0"/>
              <a:t> durante la Carga/Descarga del Camión</a:t>
            </a:r>
            <a:endParaRPr lang="es-PE" sz="1050" b="0"/>
          </a:p>
        </c:rich>
      </c:tx>
      <c:overlay val="0"/>
    </c:title>
    <c:autoTitleDeleted val="0"/>
    <c:plotArea>
      <c:layout/>
      <c:barChart>
        <c:barDir val="col"/>
        <c:grouping val="clustered"/>
        <c:varyColors val="0"/>
        <c:ser>
          <c:idx val="0"/>
          <c:order val="0"/>
          <c:tx>
            <c:v>Dias</c:v>
          </c:tx>
          <c:invertIfNegative val="0"/>
          <c:dLbls>
            <c:dLbl>
              <c:idx val="6"/>
              <c:layout>
                <c:manualLayout>
                  <c:x val="0"/>
                  <c:y val="1.45465898254335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61-4EEE-B457-CD7151C7892A}"/>
                </c:ext>
              </c:extLst>
            </c:dLbl>
            <c:spPr>
              <a:noFill/>
              <a:ln>
                <a:noFill/>
              </a:ln>
              <a:effectLst/>
            </c:spPr>
            <c:txPr>
              <a:bodyPr/>
              <a:lstStyle/>
              <a:p>
                <a:pPr>
                  <a:defRPr sz="1050" b="1">
                    <a:solidFill>
                      <a:sysClr val="windowText" lastClr="000000"/>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Activ'!$C$11:$K$11</c:f>
              <c:numCache>
                <c:formatCode>General</c:formatCode>
                <c:ptCount val="9"/>
                <c:pt idx="0">
                  <c:v>35</c:v>
                </c:pt>
                <c:pt idx="1">
                  <c:v>15</c:v>
                </c:pt>
                <c:pt idx="2">
                  <c:v>347</c:v>
                </c:pt>
                <c:pt idx="3">
                  <c:v>23</c:v>
                </c:pt>
                <c:pt idx="4">
                  <c:v>41</c:v>
                </c:pt>
                <c:pt idx="5">
                  <c:v>284</c:v>
                </c:pt>
                <c:pt idx="6">
                  <c:v>6024</c:v>
                </c:pt>
                <c:pt idx="7">
                  <c:v>155</c:v>
                </c:pt>
                <c:pt idx="8">
                  <c:v>10</c:v>
                </c:pt>
              </c:numCache>
            </c:numRef>
          </c:val>
          <c:extLst>
            <c:ext xmlns:c16="http://schemas.microsoft.com/office/drawing/2014/chart" uri="{C3380CC4-5D6E-409C-BE32-E72D297353CC}">
              <c16:uniqueId val="{00000000-889A-4EE5-ABD2-CE43F654D661}"/>
            </c:ext>
          </c:extLst>
        </c:ser>
        <c:dLbls>
          <c:showLegendKey val="0"/>
          <c:showVal val="0"/>
          <c:showCatName val="0"/>
          <c:showSerName val="0"/>
          <c:showPercent val="0"/>
          <c:showBubbleSize val="0"/>
        </c:dLbls>
        <c:gapWidth val="75"/>
        <c:overlap val="-25"/>
        <c:axId val="1234895104"/>
        <c:axId val="1234916320"/>
      </c:barChart>
      <c:lineChart>
        <c:grouping val="standard"/>
        <c:varyColors val="0"/>
        <c:ser>
          <c:idx val="1"/>
          <c:order val="1"/>
          <c:tx>
            <c:v>Cantidad</c:v>
          </c:tx>
          <c:spPr>
            <a:ln>
              <a:solidFill>
                <a:srgbClr val="FF0000"/>
              </a:solidFill>
            </a:ln>
          </c:spPr>
          <c:marker>
            <c:symbol val="none"/>
          </c:marker>
          <c:dLbls>
            <c:dLbl>
              <c:idx val="6"/>
              <c:layout>
                <c:manualLayout>
                  <c:x val="-3.5769239796396186E-2"/>
                  <c:y val="-0.130861374038220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00A-4F70-9925-9FAD9FAD4272}"/>
                </c:ext>
              </c:extLst>
            </c:dLbl>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9A-4EE5-ABD2-CE43F654D661}"/>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9A-4EE5-ABD2-CE43F654D661}"/>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Activ'!$C$10:$K$10</c:f>
              <c:numCache>
                <c:formatCode>General</c:formatCode>
                <c:ptCount val="9"/>
                <c:pt idx="0">
                  <c:v>5</c:v>
                </c:pt>
                <c:pt idx="1">
                  <c:v>3</c:v>
                </c:pt>
                <c:pt idx="2">
                  <c:v>4</c:v>
                </c:pt>
                <c:pt idx="3">
                  <c:v>3</c:v>
                </c:pt>
                <c:pt idx="4">
                  <c:v>3</c:v>
                </c:pt>
                <c:pt idx="5">
                  <c:v>6</c:v>
                </c:pt>
                <c:pt idx="6">
                  <c:v>2</c:v>
                </c:pt>
                <c:pt idx="7">
                  <c:v>6</c:v>
                </c:pt>
                <c:pt idx="8">
                  <c:v>2</c:v>
                </c:pt>
              </c:numCache>
            </c:numRef>
          </c:val>
          <c:smooth val="0"/>
          <c:extLst>
            <c:ext xmlns:c16="http://schemas.microsoft.com/office/drawing/2014/chart" uri="{C3380CC4-5D6E-409C-BE32-E72D297353CC}">
              <c16:uniqueId val="{00000003-889A-4EE5-ABD2-CE43F654D661}"/>
            </c:ext>
          </c:extLst>
        </c:ser>
        <c:dLbls>
          <c:showLegendKey val="0"/>
          <c:showVal val="0"/>
          <c:showCatName val="0"/>
          <c:showSerName val="0"/>
          <c:showPercent val="0"/>
          <c:showBubbleSize val="0"/>
        </c:dLbls>
        <c:marker val="1"/>
        <c:smooth val="0"/>
        <c:axId val="1234888032"/>
        <c:axId val="1234889120"/>
      </c:lineChart>
      <c:catAx>
        <c:axId val="1234895104"/>
        <c:scaling>
          <c:orientation val="minMax"/>
        </c:scaling>
        <c:delete val="0"/>
        <c:axPos val="b"/>
        <c:numFmt formatCode="General" sourceLinked="1"/>
        <c:majorTickMark val="none"/>
        <c:minorTickMark val="none"/>
        <c:tickLblPos val="nextTo"/>
        <c:crossAx val="1234916320"/>
        <c:crosses val="autoZero"/>
        <c:auto val="1"/>
        <c:lblAlgn val="ctr"/>
        <c:lblOffset val="100"/>
        <c:noMultiLvlLbl val="0"/>
      </c:catAx>
      <c:valAx>
        <c:axId val="1234916320"/>
        <c:scaling>
          <c:orientation val="minMax"/>
        </c:scaling>
        <c:delete val="0"/>
        <c:axPos val="l"/>
        <c:majorGridlines/>
        <c:numFmt formatCode="#,##0" sourceLinked="0"/>
        <c:majorTickMark val="none"/>
        <c:minorTickMark val="none"/>
        <c:tickLblPos val="nextTo"/>
        <c:spPr>
          <a:noFill/>
          <a:ln w="9525">
            <a:noFill/>
          </a:ln>
        </c:spPr>
        <c:crossAx val="1234895104"/>
        <c:crosses val="autoZero"/>
        <c:crossBetween val="between"/>
      </c:valAx>
      <c:valAx>
        <c:axId val="1234889120"/>
        <c:scaling>
          <c:orientation val="minMax"/>
        </c:scaling>
        <c:delete val="0"/>
        <c:axPos val="r"/>
        <c:numFmt formatCode="#,##0" sourceLinked="0"/>
        <c:majorTickMark val="out"/>
        <c:minorTickMark val="none"/>
        <c:tickLblPos val="nextTo"/>
        <c:crossAx val="1234888032"/>
        <c:crosses val="max"/>
        <c:crossBetween val="between"/>
      </c:valAx>
      <c:catAx>
        <c:axId val="1234888032"/>
        <c:scaling>
          <c:orientation val="minMax"/>
        </c:scaling>
        <c:delete val="1"/>
        <c:axPos val="b"/>
        <c:numFmt formatCode="General" sourceLinked="1"/>
        <c:majorTickMark val="out"/>
        <c:minorTickMark val="none"/>
        <c:tickLblPos val="nextTo"/>
        <c:crossAx val="1234889120"/>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Accidentes: Operando</a:t>
            </a:r>
            <a:r>
              <a:rPr lang="es-PE" sz="1050" b="0" baseline="0"/>
              <a:t> Montacarga/</a:t>
            </a:r>
          </a:p>
          <a:p>
            <a:pPr>
              <a:defRPr sz="1050" b="0"/>
            </a:pPr>
            <a:r>
              <a:rPr lang="es-PE" sz="1050" b="0" baseline="0"/>
              <a:t>ERES/Order Picker</a:t>
            </a:r>
            <a:endParaRPr lang="es-PE" sz="1050" b="0"/>
          </a:p>
        </c:rich>
      </c:tx>
      <c:overlay val="0"/>
    </c:title>
    <c:autoTitleDeleted val="0"/>
    <c:plotArea>
      <c:layout/>
      <c:barChart>
        <c:barDir val="col"/>
        <c:grouping val="clustered"/>
        <c:varyColors val="0"/>
        <c:ser>
          <c:idx val="0"/>
          <c:order val="0"/>
          <c:tx>
            <c:v>Dias</c:v>
          </c:tx>
          <c:invertIfNegative val="0"/>
          <c:dLbls>
            <c:dLbl>
              <c:idx val="0"/>
              <c:spPr>
                <a:noFill/>
                <a:ln>
                  <a:noFill/>
                </a:ln>
                <a:effectLst/>
              </c:spPr>
              <c:txPr>
                <a:bodyPr/>
                <a:lstStyle/>
                <a:p>
                  <a:pPr>
                    <a:defRPr sz="1050" b="1">
                      <a:solidFill>
                        <a:schemeClr val="tx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0-475F-40FC-8792-3B416D7845C2}"/>
                </c:ext>
              </c:extLst>
            </c:dLbl>
            <c:dLbl>
              <c:idx val="1"/>
              <c:spPr>
                <a:noFill/>
                <a:ln>
                  <a:noFill/>
                </a:ln>
                <a:effectLst/>
              </c:spPr>
              <c:txPr>
                <a:bodyPr/>
                <a:lstStyle/>
                <a:p>
                  <a:pPr>
                    <a:defRPr sz="1050" b="1">
                      <a:solidFill>
                        <a:schemeClr val="tx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1-475F-40FC-8792-3B416D7845C2}"/>
                </c:ext>
              </c:extLst>
            </c:dLbl>
            <c:dLbl>
              <c:idx val="2"/>
              <c:layout>
                <c:manualLayout>
                  <c:x val="0"/>
                  <c:y val="3.7001683775703682E-2"/>
                </c:manualLayout>
              </c:layout>
              <c:spPr>
                <a:noFill/>
                <a:ln>
                  <a:noFill/>
                </a:ln>
                <a:effectLst/>
              </c:spPr>
              <c:txPr>
                <a:bodyPr/>
                <a:lstStyle/>
                <a:p>
                  <a:pPr>
                    <a:defRPr sz="1050" b="1">
                      <a:solidFill>
                        <a:schemeClr val="tx1"/>
                      </a:solidFill>
                    </a:defRPr>
                  </a:pPr>
                  <a:endParaRPr lang="es-PE"/>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5B-44E9-AF2F-85822B8C36E1}"/>
                </c:ext>
              </c:extLst>
            </c:dLbl>
            <c:dLbl>
              <c:idx val="4"/>
              <c:layout>
                <c:manualLayout>
                  <c:x val="-1.1752003957898718E-16"/>
                  <c:y val="0.1353043900474234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85E-41A4-901B-AAB7B6BCCC98}"/>
                </c:ext>
              </c:extLst>
            </c:dLbl>
            <c:dLbl>
              <c:idx val="5"/>
              <c:layout>
                <c:manualLayout>
                  <c:x val="3.205129014013985E-3"/>
                  <c:y val="0.1355894640333186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5E-41A4-901B-AAB7B6BCCC98}"/>
                </c:ext>
              </c:extLst>
            </c:dLbl>
            <c:dLbl>
              <c:idx val="8"/>
              <c:layout>
                <c:manualLayout>
                  <c:x val="-1.1316744446271597E-16"/>
                  <c:y val="2.5733438582213754E-2"/>
                </c:manualLayout>
              </c:layout>
              <c:spPr>
                <a:noFill/>
                <a:ln>
                  <a:noFill/>
                </a:ln>
                <a:effectLst/>
              </c:spPr>
              <c:txPr>
                <a:bodyPr/>
                <a:lstStyle/>
                <a:p>
                  <a:pPr>
                    <a:defRPr sz="1050" b="1">
                      <a:solidFill>
                        <a:schemeClr val="tx1"/>
                      </a:solidFill>
                    </a:defRPr>
                  </a:pPr>
                  <a:endParaRPr lang="es-PE"/>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D8-4B43-BC12-3C08A67DC364}"/>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Activ'!$C$1:$J$1</c:f>
              <c:numCache>
                <c:formatCode>General</c:formatCode>
                <c:ptCount val="8"/>
                <c:pt idx="0">
                  <c:v>2012</c:v>
                </c:pt>
                <c:pt idx="1">
                  <c:v>2013</c:v>
                </c:pt>
                <c:pt idx="2">
                  <c:v>2014</c:v>
                </c:pt>
                <c:pt idx="3">
                  <c:v>2015</c:v>
                </c:pt>
                <c:pt idx="4">
                  <c:v>2016</c:v>
                </c:pt>
                <c:pt idx="5">
                  <c:v>2017</c:v>
                </c:pt>
                <c:pt idx="6">
                  <c:v>2018</c:v>
                </c:pt>
                <c:pt idx="7">
                  <c:v>2019</c:v>
                </c:pt>
              </c:numCache>
            </c:numRef>
          </c:cat>
          <c:val>
            <c:numRef>
              <c:f>'Graf FP - Activ'!$C$30:$K$30</c:f>
              <c:numCache>
                <c:formatCode>General</c:formatCode>
                <c:ptCount val="9"/>
                <c:pt idx="0">
                  <c:v>38</c:v>
                </c:pt>
                <c:pt idx="1">
                  <c:v>47</c:v>
                </c:pt>
                <c:pt idx="2">
                  <c:v>7</c:v>
                </c:pt>
                <c:pt idx="3">
                  <c:v>292</c:v>
                </c:pt>
                <c:pt idx="4">
                  <c:v>199</c:v>
                </c:pt>
                <c:pt idx="5">
                  <c:v>163</c:v>
                </c:pt>
                <c:pt idx="6">
                  <c:v>99</c:v>
                </c:pt>
                <c:pt idx="7">
                  <c:v>92</c:v>
                </c:pt>
                <c:pt idx="8">
                  <c:v>3</c:v>
                </c:pt>
              </c:numCache>
            </c:numRef>
          </c:val>
          <c:extLst>
            <c:ext xmlns:c16="http://schemas.microsoft.com/office/drawing/2014/chart" uri="{C3380CC4-5D6E-409C-BE32-E72D297353CC}">
              <c16:uniqueId val="{00000002-585E-41A4-901B-AAB7B6BCCC98}"/>
            </c:ext>
          </c:extLst>
        </c:ser>
        <c:dLbls>
          <c:showLegendKey val="0"/>
          <c:showVal val="0"/>
          <c:showCatName val="0"/>
          <c:showSerName val="0"/>
          <c:showPercent val="0"/>
          <c:showBubbleSize val="0"/>
        </c:dLbls>
        <c:gapWidth val="75"/>
        <c:overlap val="-25"/>
        <c:axId val="1234917952"/>
        <c:axId val="1234901088"/>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5E-41A4-901B-AAB7B6BCCC98}"/>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5E-41A4-901B-AAB7B6BCCC98}"/>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Activ'!$C$29:$K$29</c:f>
              <c:numCache>
                <c:formatCode>General</c:formatCode>
                <c:ptCount val="9"/>
                <c:pt idx="0">
                  <c:v>5</c:v>
                </c:pt>
                <c:pt idx="1">
                  <c:v>2</c:v>
                </c:pt>
                <c:pt idx="2">
                  <c:v>1</c:v>
                </c:pt>
                <c:pt idx="3">
                  <c:v>4</c:v>
                </c:pt>
                <c:pt idx="4">
                  <c:v>4</c:v>
                </c:pt>
                <c:pt idx="5">
                  <c:v>3</c:v>
                </c:pt>
                <c:pt idx="6">
                  <c:v>2</c:v>
                </c:pt>
                <c:pt idx="7">
                  <c:v>3</c:v>
                </c:pt>
                <c:pt idx="8">
                  <c:v>1</c:v>
                </c:pt>
              </c:numCache>
            </c:numRef>
          </c:val>
          <c:smooth val="0"/>
          <c:extLst>
            <c:ext xmlns:c16="http://schemas.microsoft.com/office/drawing/2014/chart" uri="{C3380CC4-5D6E-409C-BE32-E72D297353CC}">
              <c16:uniqueId val="{00000005-585E-41A4-901B-AAB7B6BCCC98}"/>
            </c:ext>
          </c:extLst>
        </c:ser>
        <c:dLbls>
          <c:showLegendKey val="0"/>
          <c:showVal val="0"/>
          <c:showCatName val="0"/>
          <c:showSerName val="0"/>
          <c:showPercent val="0"/>
          <c:showBubbleSize val="0"/>
        </c:dLbls>
        <c:marker val="1"/>
        <c:smooth val="0"/>
        <c:axId val="1234903808"/>
        <c:axId val="1234889664"/>
      </c:lineChart>
      <c:catAx>
        <c:axId val="1234917952"/>
        <c:scaling>
          <c:orientation val="minMax"/>
        </c:scaling>
        <c:delete val="0"/>
        <c:axPos val="b"/>
        <c:numFmt formatCode="General" sourceLinked="1"/>
        <c:majorTickMark val="none"/>
        <c:minorTickMark val="none"/>
        <c:tickLblPos val="nextTo"/>
        <c:crossAx val="1234901088"/>
        <c:crosses val="autoZero"/>
        <c:auto val="1"/>
        <c:lblAlgn val="ctr"/>
        <c:lblOffset val="100"/>
        <c:noMultiLvlLbl val="0"/>
      </c:catAx>
      <c:valAx>
        <c:axId val="1234901088"/>
        <c:scaling>
          <c:orientation val="minMax"/>
        </c:scaling>
        <c:delete val="0"/>
        <c:axPos val="l"/>
        <c:majorGridlines/>
        <c:numFmt formatCode="#,##0" sourceLinked="0"/>
        <c:majorTickMark val="none"/>
        <c:minorTickMark val="none"/>
        <c:tickLblPos val="nextTo"/>
        <c:spPr>
          <a:noFill/>
          <a:ln w="9525">
            <a:noFill/>
          </a:ln>
        </c:spPr>
        <c:crossAx val="1234917952"/>
        <c:crosses val="autoZero"/>
        <c:crossBetween val="between"/>
      </c:valAx>
      <c:valAx>
        <c:axId val="1234889664"/>
        <c:scaling>
          <c:orientation val="minMax"/>
        </c:scaling>
        <c:delete val="0"/>
        <c:axPos val="r"/>
        <c:numFmt formatCode="#,##0" sourceLinked="0"/>
        <c:majorTickMark val="out"/>
        <c:minorTickMark val="none"/>
        <c:tickLblPos val="nextTo"/>
        <c:crossAx val="1234903808"/>
        <c:crosses val="max"/>
        <c:crossBetween val="between"/>
      </c:valAx>
      <c:catAx>
        <c:axId val="1234903808"/>
        <c:scaling>
          <c:orientation val="minMax"/>
        </c:scaling>
        <c:delete val="1"/>
        <c:axPos val="b"/>
        <c:numFmt formatCode="General" sourceLinked="1"/>
        <c:majorTickMark val="out"/>
        <c:minorTickMark val="none"/>
        <c:tickLblPos val="nextTo"/>
        <c:crossAx val="1234889664"/>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Accidentes</a:t>
            </a:r>
            <a:r>
              <a:rPr lang="es-PE" sz="1050" b="0" baseline="0"/>
              <a:t> durante la Limpieza Equipos</a:t>
            </a:r>
            <a:endParaRPr lang="es-PE" sz="1050" b="0"/>
          </a:p>
        </c:rich>
      </c:tx>
      <c:overlay val="0"/>
    </c:title>
    <c:autoTitleDeleted val="0"/>
    <c:plotArea>
      <c:layout/>
      <c:barChart>
        <c:barDir val="col"/>
        <c:grouping val="clustered"/>
        <c:varyColors val="0"/>
        <c:ser>
          <c:idx val="0"/>
          <c:order val="0"/>
          <c:tx>
            <c:v>Dias</c:v>
          </c:tx>
          <c:invertIfNegative val="0"/>
          <c:dLbls>
            <c:dLbl>
              <c:idx val="2"/>
              <c:layout>
                <c:manualLayout>
                  <c:x val="0"/>
                  <c:y val="4.3805756103571979E-2"/>
                </c:manualLayout>
              </c:layout>
              <c:spPr/>
              <c:txPr>
                <a:bodyPr/>
                <a:lstStyle/>
                <a:p>
                  <a:pPr>
                    <a:defRPr sz="1050" b="1">
                      <a:solidFill>
                        <a:schemeClr val="tx1"/>
                      </a:solidFill>
                    </a:defRPr>
                  </a:pPr>
                  <a:endParaRPr lang="es-PE"/>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283-4620-A4CE-60DC0DE27C62}"/>
                </c:ext>
              </c:extLst>
            </c:dLbl>
            <c:dLbl>
              <c:idx val="4"/>
              <c:layout>
                <c:manualLayout>
                  <c:x val="1.1752003957898718E-16"/>
                  <c:y val="9.6502442077311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83-4620-A4CE-60DC0DE27C62}"/>
                </c:ext>
              </c:extLst>
            </c:dLbl>
            <c:dLbl>
              <c:idx val="5"/>
              <c:layout>
                <c:manualLayout>
                  <c:x val="0"/>
                  <c:y val="0.112961946301257"/>
                </c:manualLayout>
              </c:layout>
              <c:spPr/>
              <c:txPr>
                <a:bodyPr/>
                <a:lstStyle/>
                <a:p>
                  <a:pPr>
                    <a:defRPr sz="1050" b="1">
                      <a:solidFill>
                        <a:schemeClr val="bg1"/>
                      </a:solidFill>
                    </a:defRPr>
                  </a:pPr>
                  <a:endParaRPr lang="es-PE"/>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83-4620-A4CE-60DC0DE27C62}"/>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Activ'!$C$1:$I$1</c:f>
              <c:numCache>
                <c:formatCode>General</c:formatCode>
                <c:ptCount val="7"/>
                <c:pt idx="0">
                  <c:v>2012</c:v>
                </c:pt>
                <c:pt idx="1">
                  <c:v>2013</c:v>
                </c:pt>
                <c:pt idx="2">
                  <c:v>2014</c:v>
                </c:pt>
                <c:pt idx="3">
                  <c:v>2015</c:v>
                </c:pt>
                <c:pt idx="4">
                  <c:v>2016</c:v>
                </c:pt>
                <c:pt idx="5">
                  <c:v>2017</c:v>
                </c:pt>
                <c:pt idx="6">
                  <c:v>2018</c:v>
                </c:pt>
              </c:numCache>
            </c:numRef>
          </c:cat>
          <c:val>
            <c:numRef>
              <c:f>'Graf FP - Activ'!$C$13:$I$13</c:f>
              <c:numCache>
                <c:formatCode>General</c:formatCode>
                <c:ptCount val="7"/>
                <c:pt idx="0">
                  <c:v>60</c:v>
                </c:pt>
                <c:pt idx="1">
                  <c:v>182</c:v>
                </c:pt>
                <c:pt idx="2">
                  <c:v>19</c:v>
                </c:pt>
                <c:pt idx="3">
                  <c:v>67</c:v>
                </c:pt>
                <c:pt idx="4">
                  <c:v>345</c:v>
                </c:pt>
                <c:pt idx="5">
                  <c:v>82</c:v>
                </c:pt>
                <c:pt idx="6">
                  <c:v>93</c:v>
                </c:pt>
              </c:numCache>
            </c:numRef>
          </c:val>
          <c:extLst>
            <c:ext xmlns:c16="http://schemas.microsoft.com/office/drawing/2014/chart" uri="{C3380CC4-5D6E-409C-BE32-E72D297353CC}">
              <c16:uniqueId val="{00000003-6283-4620-A4CE-60DC0DE27C62}"/>
            </c:ext>
          </c:extLst>
        </c:ser>
        <c:dLbls>
          <c:showLegendKey val="0"/>
          <c:showVal val="0"/>
          <c:showCatName val="0"/>
          <c:showSerName val="0"/>
          <c:showPercent val="0"/>
          <c:showBubbleSize val="0"/>
        </c:dLbls>
        <c:gapWidth val="75"/>
        <c:overlap val="-25"/>
        <c:axId val="1234891296"/>
        <c:axId val="1234894016"/>
      </c:barChart>
      <c:lineChart>
        <c:grouping val="standard"/>
        <c:varyColors val="0"/>
        <c:ser>
          <c:idx val="1"/>
          <c:order val="1"/>
          <c:tx>
            <c:v>Cantidad</c:v>
          </c:tx>
          <c:spPr>
            <a:ln>
              <a:solidFill>
                <a:srgbClr val="FF0000"/>
              </a:solidFill>
            </a:ln>
          </c:spPr>
          <c:marker>
            <c:symbol val="none"/>
          </c:marker>
          <c:dLbls>
            <c:dLbl>
              <c:idx val="4"/>
              <c:layout>
                <c:manualLayout>
                  <c:x val="-3.8974368810410054E-2"/>
                  <c:y val="-6.98454255280995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83-4620-A4CE-60DC0DE27C62}"/>
                </c:ext>
              </c:extLst>
            </c:dLbl>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83-4620-A4CE-60DC0DE27C62}"/>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83-4620-A4CE-60DC0DE27C62}"/>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Activ'!$C$1:$I$1</c:f>
              <c:numCache>
                <c:formatCode>General</c:formatCode>
                <c:ptCount val="7"/>
                <c:pt idx="0">
                  <c:v>2012</c:v>
                </c:pt>
                <c:pt idx="1">
                  <c:v>2013</c:v>
                </c:pt>
                <c:pt idx="2">
                  <c:v>2014</c:v>
                </c:pt>
                <c:pt idx="3">
                  <c:v>2015</c:v>
                </c:pt>
                <c:pt idx="4">
                  <c:v>2016</c:v>
                </c:pt>
                <c:pt idx="5">
                  <c:v>2017</c:v>
                </c:pt>
                <c:pt idx="6">
                  <c:v>2018</c:v>
                </c:pt>
              </c:numCache>
            </c:numRef>
          </c:cat>
          <c:val>
            <c:numRef>
              <c:f>'Graf FP - Activ'!$C$12:$I$12</c:f>
              <c:numCache>
                <c:formatCode>General</c:formatCode>
                <c:ptCount val="7"/>
                <c:pt idx="0">
                  <c:v>1</c:v>
                </c:pt>
                <c:pt idx="1">
                  <c:v>4</c:v>
                </c:pt>
                <c:pt idx="2">
                  <c:v>3</c:v>
                </c:pt>
                <c:pt idx="3">
                  <c:v>2</c:v>
                </c:pt>
                <c:pt idx="4">
                  <c:v>9</c:v>
                </c:pt>
                <c:pt idx="5">
                  <c:v>4</c:v>
                </c:pt>
                <c:pt idx="6">
                  <c:v>6</c:v>
                </c:pt>
              </c:numCache>
            </c:numRef>
          </c:val>
          <c:smooth val="0"/>
          <c:extLst>
            <c:ext xmlns:c16="http://schemas.microsoft.com/office/drawing/2014/chart" uri="{C3380CC4-5D6E-409C-BE32-E72D297353CC}">
              <c16:uniqueId val="{00000007-6283-4620-A4CE-60DC0DE27C62}"/>
            </c:ext>
          </c:extLst>
        </c:ser>
        <c:dLbls>
          <c:showLegendKey val="0"/>
          <c:showVal val="0"/>
          <c:showCatName val="0"/>
          <c:showSerName val="0"/>
          <c:showPercent val="0"/>
          <c:showBubbleSize val="0"/>
        </c:dLbls>
        <c:marker val="1"/>
        <c:smooth val="0"/>
        <c:axId val="1234897280"/>
        <c:axId val="1234904352"/>
      </c:lineChart>
      <c:catAx>
        <c:axId val="1234891296"/>
        <c:scaling>
          <c:orientation val="minMax"/>
        </c:scaling>
        <c:delete val="0"/>
        <c:axPos val="b"/>
        <c:numFmt formatCode="General" sourceLinked="1"/>
        <c:majorTickMark val="none"/>
        <c:minorTickMark val="none"/>
        <c:tickLblPos val="nextTo"/>
        <c:crossAx val="1234894016"/>
        <c:crosses val="autoZero"/>
        <c:auto val="1"/>
        <c:lblAlgn val="ctr"/>
        <c:lblOffset val="100"/>
        <c:noMultiLvlLbl val="0"/>
      </c:catAx>
      <c:valAx>
        <c:axId val="1234894016"/>
        <c:scaling>
          <c:orientation val="minMax"/>
        </c:scaling>
        <c:delete val="0"/>
        <c:axPos val="l"/>
        <c:majorGridlines/>
        <c:numFmt formatCode="#,##0" sourceLinked="0"/>
        <c:majorTickMark val="none"/>
        <c:minorTickMark val="none"/>
        <c:tickLblPos val="nextTo"/>
        <c:spPr>
          <a:noFill/>
          <a:ln w="9525">
            <a:noFill/>
          </a:ln>
        </c:spPr>
        <c:crossAx val="1234891296"/>
        <c:crosses val="autoZero"/>
        <c:crossBetween val="between"/>
      </c:valAx>
      <c:valAx>
        <c:axId val="1234904352"/>
        <c:scaling>
          <c:orientation val="minMax"/>
        </c:scaling>
        <c:delete val="0"/>
        <c:axPos val="r"/>
        <c:numFmt formatCode="#,##0" sourceLinked="0"/>
        <c:majorTickMark val="out"/>
        <c:minorTickMark val="none"/>
        <c:tickLblPos val="nextTo"/>
        <c:crossAx val="1234897280"/>
        <c:crosses val="max"/>
        <c:crossBetween val="between"/>
      </c:valAx>
      <c:catAx>
        <c:axId val="1234897280"/>
        <c:scaling>
          <c:orientation val="minMax"/>
        </c:scaling>
        <c:delete val="1"/>
        <c:axPos val="b"/>
        <c:numFmt formatCode="General" sourceLinked="1"/>
        <c:majorTickMark val="out"/>
        <c:minorTickMark val="none"/>
        <c:tickLblPos val="nextTo"/>
        <c:crossAx val="1234904352"/>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Fuente Peligro: Equipo/Maquinaria</a:t>
            </a:r>
          </a:p>
        </c:rich>
      </c:tx>
      <c:overlay val="0"/>
    </c:title>
    <c:autoTitleDeleted val="0"/>
    <c:plotArea>
      <c:layout/>
      <c:barChart>
        <c:barDir val="col"/>
        <c:grouping val="clustered"/>
        <c:varyColors val="0"/>
        <c:ser>
          <c:idx val="0"/>
          <c:order val="0"/>
          <c:tx>
            <c:v>Dias</c:v>
          </c:tx>
          <c:invertIfNegative val="0"/>
          <c:dLbls>
            <c:dLbl>
              <c:idx val="0"/>
              <c:layout>
                <c:manualLayout>
                  <c:x val="0"/>
                  <c:y val="8.42185194219021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F4-4C26-904E-C6D22D691C13}"/>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Activ'!$C$1:$H$1</c:f>
              <c:numCache>
                <c:formatCode>General</c:formatCode>
                <c:ptCount val="6"/>
                <c:pt idx="0">
                  <c:v>2012</c:v>
                </c:pt>
                <c:pt idx="1">
                  <c:v>2013</c:v>
                </c:pt>
                <c:pt idx="2">
                  <c:v>2014</c:v>
                </c:pt>
                <c:pt idx="3">
                  <c:v>2015</c:v>
                </c:pt>
                <c:pt idx="4">
                  <c:v>2016</c:v>
                </c:pt>
                <c:pt idx="5">
                  <c:v>2017</c:v>
                </c:pt>
              </c:numCache>
            </c:numRef>
          </c:cat>
          <c:val>
            <c:numRef>
              <c:f>'Graf FP - Activ'!$C$20:$H$20</c:f>
              <c:numCache>
                <c:formatCode>General</c:formatCode>
                <c:ptCount val="6"/>
                <c:pt idx="0">
                  <c:v>126</c:v>
                </c:pt>
                <c:pt idx="1">
                  <c:v>240</c:v>
                </c:pt>
                <c:pt idx="2">
                  <c:v>383</c:v>
                </c:pt>
                <c:pt idx="3">
                  <c:v>1029</c:v>
                </c:pt>
                <c:pt idx="4">
                  <c:v>454</c:v>
                </c:pt>
                <c:pt idx="5">
                  <c:v>438</c:v>
                </c:pt>
              </c:numCache>
            </c:numRef>
          </c:val>
          <c:extLst>
            <c:ext xmlns:c16="http://schemas.microsoft.com/office/drawing/2014/chart" uri="{C3380CC4-5D6E-409C-BE32-E72D297353CC}">
              <c16:uniqueId val="{00000001-F0F4-4C26-904E-C6D22D691C13}"/>
            </c:ext>
          </c:extLst>
        </c:ser>
        <c:dLbls>
          <c:showLegendKey val="0"/>
          <c:showVal val="0"/>
          <c:showCatName val="0"/>
          <c:showSerName val="0"/>
          <c:showPercent val="0"/>
          <c:showBubbleSize val="0"/>
        </c:dLbls>
        <c:gapWidth val="75"/>
        <c:overlap val="-25"/>
        <c:axId val="1234917408"/>
        <c:axId val="1234913600"/>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F4-4C26-904E-C6D22D691C13}"/>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F4-4C26-904E-C6D22D691C13}"/>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Activ'!$C$1:$G$1</c:f>
              <c:numCache>
                <c:formatCode>General</c:formatCode>
                <c:ptCount val="5"/>
                <c:pt idx="0">
                  <c:v>2012</c:v>
                </c:pt>
                <c:pt idx="1">
                  <c:v>2013</c:v>
                </c:pt>
                <c:pt idx="2">
                  <c:v>2014</c:v>
                </c:pt>
                <c:pt idx="3">
                  <c:v>2015</c:v>
                </c:pt>
                <c:pt idx="4">
                  <c:v>2016</c:v>
                </c:pt>
              </c:numCache>
            </c:numRef>
          </c:cat>
          <c:val>
            <c:numRef>
              <c:f>'Graf FP - Activ'!$C$19:$H$19</c:f>
              <c:numCache>
                <c:formatCode>General</c:formatCode>
                <c:ptCount val="6"/>
                <c:pt idx="0">
                  <c:v>6</c:v>
                </c:pt>
                <c:pt idx="1">
                  <c:v>9</c:v>
                </c:pt>
                <c:pt idx="2">
                  <c:v>12</c:v>
                </c:pt>
                <c:pt idx="3">
                  <c:v>13</c:v>
                </c:pt>
                <c:pt idx="4">
                  <c:v>16</c:v>
                </c:pt>
                <c:pt idx="5">
                  <c:v>26</c:v>
                </c:pt>
              </c:numCache>
            </c:numRef>
          </c:val>
          <c:smooth val="0"/>
          <c:extLst>
            <c:ext xmlns:c16="http://schemas.microsoft.com/office/drawing/2014/chart" uri="{C3380CC4-5D6E-409C-BE32-E72D297353CC}">
              <c16:uniqueId val="{00000004-F0F4-4C26-904E-C6D22D691C13}"/>
            </c:ext>
          </c:extLst>
        </c:ser>
        <c:dLbls>
          <c:showLegendKey val="0"/>
          <c:showVal val="0"/>
          <c:showCatName val="0"/>
          <c:showSerName val="0"/>
          <c:showPercent val="0"/>
          <c:showBubbleSize val="0"/>
        </c:dLbls>
        <c:marker val="1"/>
        <c:smooth val="0"/>
        <c:axId val="1234896192"/>
        <c:axId val="1234891840"/>
      </c:lineChart>
      <c:catAx>
        <c:axId val="1234917408"/>
        <c:scaling>
          <c:orientation val="minMax"/>
        </c:scaling>
        <c:delete val="0"/>
        <c:axPos val="b"/>
        <c:numFmt formatCode="General" sourceLinked="1"/>
        <c:majorTickMark val="none"/>
        <c:minorTickMark val="none"/>
        <c:tickLblPos val="nextTo"/>
        <c:crossAx val="1234913600"/>
        <c:crosses val="autoZero"/>
        <c:auto val="1"/>
        <c:lblAlgn val="ctr"/>
        <c:lblOffset val="100"/>
        <c:noMultiLvlLbl val="0"/>
      </c:catAx>
      <c:valAx>
        <c:axId val="1234913600"/>
        <c:scaling>
          <c:orientation val="minMax"/>
        </c:scaling>
        <c:delete val="0"/>
        <c:axPos val="l"/>
        <c:majorGridlines/>
        <c:numFmt formatCode="#,##0" sourceLinked="0"/>
        <c:majorTickMark val="none"/>
        <c:minorTickMark val="none"/>
        <c:tickLblPos val="nextTo"/>
        <c:spPr>
          <a:noFill/>
          <a:ln w="9525">
            <a:noFill/>
          </a:ln>
        </c:spPr>
        <c:crossAx val="1234917408"/>
        <c:crosses val="autoZero"/>
        <c:crossBetween val="between"/>
      </c:valAx>
      <c:valAx>
        <c:axId val="1234891840"/>
        <c:scaling>
          <c:orientation val="minMax"/>
        </c:scaling>
        <c:delete val="0"/>
        <c:axPos val="r"/>
        <c:numFmt formatCode="#,##0" sourceLinked="0"/>
        <c:majorTickMark val="out"/>
        <c:minorTickMark val="none"/>
        <c:tickLblPos val="nextTo"/>
        <c:crossAx val="1234896192"/>
        <c:crosses val="max"/>
        <c:crossBetween val="between"/>
      </c:valAx>
      <c:catAx>
        <c:axId val="1234896192"/>
        <c:scaling>
          <c:orientation val="minMax"/>
        </c:scaling>
        <c:delete val="1"/>
        <c:axPos val="b"/>
        <c:numFmt formatCode="General" sourceLinked="1"/>
        <c:majorTickMark val="out"/>
        <c:minorTickMark val="none"/>
        <c:tickLblPos val="nextTo"/>
        <c:crossAx val="1234891840"/>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Fuente Peligro: Faja en Movimiento</a:t>
            </a:r>
          </a:p>
        </c:rich>
      </c:tx>
      <c:overlay val="0"/>
    </c:title>
    <c:autoTitleDeleted val="0"/>
    <c:plotArea>
      <c:layout/>
      <c:barChart>
        <c:barDir val="col"/>
        <c:grouping val="clustered"/>
        <c:varyColors val="0"/>
        <c:ser>
          <c:idx val="0"/>
          <c:order val="0"/>
          <c:tx>
            <c:v>Dias</c:v>
          </c:tx>
          <c:invertIfNegative val="0"/>
          <c:dLbls>
            <c:dLbl>
              <c:idx val="0"/>
              <c:layout>
                <c:manualLayout>
                  <c:x val="0"/>
                  <c:y val="5.2477302692058594E-2"/>
                </c:manualLayout>
              </c:layout>
              <c:spPr>
                <a:noFill/>
                <a:ln>
                  <a:noFill/>
                </a:ln>
                <a:effectLst/>
              </c:spPr>
              <c:txPr>
                <a:bodyPr/>
                <a:lstStyle/>
                <a:p>
                  <a:pPr>
                    <a:defRPr sz="1050" b="1">
                      <a:solidFill>
                        <a:schemeClr val="tx1"/>
                      </a:solidFill>
                    </a:defRPr>
                  </a:pPr>
                  <a:endParaRPr lang="es-PE"/>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5FD-4AD0-BA3D-748BE7ACEC21}"/>
                </c:ext>
              </c:extLst>
            </c:dLbl>
            <c:dLbl>
              <c:idx val="1"/>
              <c:spPr/>
              <c:txPr>
                <a:bodyPr/>
                <a:lstStyle/>
                <a:p>
                  <a:pPr>
                    <a:defRPr sz="1050" b="1">
                      <a:solidFill>
                        <a:schemeClr val="bg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0-D930-4364-A6F9-C0BEF19DA72A}"/>
                </c:ext>
              </c:extLst>
            </c:dLbl>
            <c:dLbl>
              <c:idx val="2"/>
              <c:spPr/>
              <c:txPr>
                <a:bodyPr/>
                <a:lstStyle/>
                <a:p>
                  <a:pPr>
                    <a:defRPr sz="1050" b="1">
                      <a:solidFill>
                        <a:schemeClr val="bg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1-D930-4364-A6F9-C0BEF19DA72A}"/>
                </c:ext>
              </c:extLst>
            </c:dLbl>
            <c:dLbl>
              <c:idx val="3"/>
              <c:spPr>
                <a:noFill/>
                <a:ln>
                  <a:noFill/>
                </a:ln>
                <a:effectLst/>
              </c:spPr>
              <c:txPr>
                <a:bodyPr/>
                <a:lstStyle/>
                <a:p>
                  <a:pPr>
                    <a:defRPr sz="1050" b="1">
                      <a:solidFill>
                        <a:schemeClr val="tx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2-D930-4364-A6F9-C0BEF19DA72A}"/>
                </c:ext>
              </c:extLst>
            </c:dLbl>
            <c:dLbl>
              <c:idx val="5"/>
              <c:spPr>
                <a:noFill/>
                <a:ln>
                  <a:noFill/>
                </a:ln>
                <a:effectLst/>
              </c:spPr>
              <c:txPr>
                <a:bodyPr/>
                <a:lstStyle/>
                <a:p>
                  <a:pPr>
                    <a:defRPr sz="1050" b="1">
                      <a:solidFill>
                        <a:schemeClr val="tx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3-D930-4364-A6F9-C0BEF19DA72A}"/>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Activ'!$C$22:$K$22</c:f>
              <c:numCache>
                <c:formatCode>General</c:formatCode>
                <c:ptCount val="9"/>
                <c:pt idx="0">
                  <c:v>35</c:v>
                </c:pt>
                <c:pt idx="1">
                  <c:v>249</c:v>
                </c:pt>
                <c:pt idx="2">
                  <c:v>244</c:v>
                </c:pt>
                <c:pt idx="3">
                  <c:v>26</c:v>
                </c:pt>
                <c:pt idx="4">
                  <c:v>131</c:v>
                </c:pt>
                <c:pt idx="5">
                  <c:v>14</c:v>
                </c:pt>
                <c:pt idx="6">
                  <c:v>73</c:v>
                </c:pt>
                <c:pt idx="7">
                  <c:v>60</c:v>
                </c:pt>
                <c:pt idx="8">
                  <c:v>38</c:v>
                </c:pt>
              </c:numCache>
            </c:numRef>
          </c:val>
          <c:extLst>
            <c:ext xmlns:c16="http://schemas.microsoft.com/office/drawing/2014/chart" uri="{C3380CC4-5D6E-409C-BE32-E72D297353CC}">
              <c16:uniqueId val="{00000003-25FD-4AD0-BA3D-748BE7ACEC21}"/>
            </c:ext>
          </c:extLst>
        </c:ser>
        <c:dLbls>
          <c:showLegendKey val="0"/>
          <c:showVal val="0"/>
          <c:showCatName val="0"/>
          <c:showSerName val="0"/>
          <c:showPercent val="0"/>
          <c:showBubbleSize val="0"/>
        </c:dLbls>
        <c:gapWidth val="75"/>
        <c:overlap val="-25"/>
        <c:axId val="1234904896"/>
        <c:axId val="1234892384"/>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FD-4AD0-BA3D-748BE7ACEC21}"/>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FD-4AD0-BA3D-748BE7ACEC21}"/>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Activ'!$C$21:$K$21</c:f>
              <c:numCache>
                <c:formatCode>General</c:formatCode>
                <c:ptCount val="9"/>
                <c:pt idx="0">
                  <c:v>2</c:v>
                </c:pt>
                <c:pt idx="1">
                  <c:v>4</c:v>
                </c:pt>
                <c:pt idx="2">
                  <c:v>5</c:v>
                </c:pt>
                <c:pt idx="3">
                  <c:v>1</c:v>
                </c:pt>
                <c:pt idx="4">
                  <c:v>4</c:v>
                </c:pt>
                <c:pt idx="5">
                  <c:v>3</c:v>
                </c:pt>
                <c:pt idx="6">
                  <c:v>3</c:v>
                </c:pt>
                <c:pt idx="7">
                  <c:v>3</c:v>
                </c:pt>
                <c:pt idx="8">
                  <c:v>3</c:v>
                </c:pt>
              </c:numCache>
            </c:numRef>
          </c:val>
          <c:smooth val="0"/>
          <c:extLst>
            <c:ext xmlns:c16="http://schemas.microsoft.com/office/drawing/2014/chart" uri="{C3380CC4-5D6E-409C-BE32-E72D297353CC}">
              <c16:uniqueId val="{00000006-25FD-4AD0-BA3D-748BE7ACEC21}"/>
            </c:ext>
          </c:extLst>
        </c:ser>
        <c:dLbls>
          <c:showLegendKey val="0"/>
          <c:showVal val="0"/>
          <c:showCatName val="0"/>
          <c:showSerName val="0"/>
          <c:showPercent val="0"/>
          <c:showBubbleSize val="0"/>
        </c:dLbls>
        <c:marker val="1"/>
        <c:smooth val="0"/>
        <c:axId val="1234892928"/>
        <c:axId val="1234896736"/>
      </c:lineChart>
      <c:catAx>
        <c:axId val="1234904896"/>
        <c:scaling>
          <c:orientation val="minMax"/>
        </c:scaling>
        <c:delete val="0"/>
        <c:axPos val="b"/>
        <c:numFmt formatCode="General" sourceLinked="1"/>
        <c:majorTickMark val="none"/>
        <c:minorTickMark val="none"/>
        <c:tickLblPos val="nextTo"/>
        <c:crossAx val="1234892384"/>
        <c:crosses val="autoZero"/>
        <c:auto val="1"/>
        <c:lblAlgn val="ctr"/>
        <c:lblOffset val="100"/>
        <c:noMultiLvlLbl val="0"/>
      </c:catAx>
      <c:valAx>
        <c:axId val="1234892384"/>
        <c:scaling>
          <c:orientation val="minMax"/>
        </c:scaling>
        <c:delete val="0"/>
        <c:axPos val="l"/>
        <c:majorGridlines/>
        <c:numFmt formatCode="#,##0" sourceLinked="0"/>
        <c:majorTickMark val="none"/>
        <c:minorTickMark val="none"/>
        <c:tickLblPos val="nextTo"/>
        <c:spPr>
          <a:noFill/>
          <a:ln w="9525">
            <a:noFill/>
          </a:ln>
        </c:spPr>
        <c:crossAx val="1234904896"/>
        <c:crosses val="autoZero"/>
        <c:crossBetween val="between"/>
      </c:valAx>
      <c:valAx>
        <c:axId val="1234896736"/>
        <c:scaling>
          <c:orientation val="minMax"/>
        </c:scaling>
        <c:delete val="0"/>
        <c:axPos val="r"/>
        <c:numFmt formatCode="#,##0" sourceLinked="0"/>
        <c:majorTickMark val="out"/>
        <c:minorTickMark val="none"/>
        <c:tickLblPos val="nextTo"/>
        <c:crossAx val="1234892928"/>
        <c:crosses val="max"/>
        <c:crossBetween val="between"/>
      </c:valAx>
      <c:catAx>
        <c:axId val="1234892928"/>
        <c:scaling>
          <c:orientation val="minMax"/>
        </c:scaling>
        <c:delete val="1"/>
        <c:axPos val="b"/>
        <c:numFmt formatCode="General" sourceLinked="1"/>
        <c:majorTickMark val="out"/>
        <c:minorTickMark val="none"/>
        <c:tickLblPos val="nextTo"/>
        <c:crossAx val="1234896736"/>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Fuente Peligro: Camión/cisterna</a:t>
            </a:r>
          </a:p>
        </c:rich>
      </c:tx>
      <c:overlay val="0"/>
    </c:title>
    <c:autoTitleDeleted val="0"/>
    <c:plotArea>
      <c:layout/>
      <c:barChart>
        <c:barDir val="col"/>
        <c:grouping val="clustered"/>
        <c:varyColors val="0"/>
        <c:ser>
          <c:idx val="0"/>
          <c:order val="0"/>
          <c:tx>
            <c:v>Dias</c:v>
          </c:tx>
          <c:invertIfNegative val="0"/>
          <c:dLbls>
            <c:dLbl>
              <c:idx val="0"/>
              <c:layout>
                <c:manualLayout>
                  <c:x val="0"/>
                  <c:y val="8.4218519421902172E-2"/>
                </c:manualLayout>
              </c:layout>
              <c:spPr/>
              <c:txPr>
                <a:bodyPr/>
                <a:lstStyle/>
                <a:p>
                  <a:pPr>
                    <a:defRPr sz="1050" b="1">
                      <a:solidFill>
                        <a:schemeClr val="bg1"/>
                      </a:solidFill>
                    </a:defRPr>
                  </a:pPr>
                  <a:endParaRPr lang="es-PE"/>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43-43D8-BD21-2BDDA2EAC403}"/>
                </c:ext>
              </c:extLst>
            </c:dLbl>
            <c:dLbl>
              <c:idx val="2"/>
              <c:spPr/>
              <c:txPr>
                <a:bodyPr/>
                <a:lstStyle/>
                <a:p>
                  <a:pPr>
                    <a:defRPr sz="1050" b="1">
                      <a:solidFill>
                        <a:schemeClr val="bg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0-9678-4D42-AA1B-974169196FEC}"/>
                </c:ext>
              </c:extLst>
            </c:dLbl>
            <c:dLbl>
              <c:idx val="6"/>
              <c:layout>
                <c:manualLayout>
                  <c:x val="-1.1837369625782426E-16"/>
                  <c:y val="1.93431107979436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C0-44BD-9883-B6A6A1AD4B38}"/>
                </c:ext>
              </c:extLst>
            </c:dLbl>
            <c:spPr>
              <a:noFill/>
              <a:ln>
                <a:noFill/>
              </a:ln>
              <a:effectLst/>
            </c:spPr>
            <c:txPr>
              <a:bodyPr/>
              <a:lstStyle/>
              <a:p>
                <a:pPr>
                  <a:defRPr sz="1050" b="1">
                    <a:solidFill>
                      <a:sysClr val="windowText" lastClr="000000"/>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Activ'!$C$1:$I$1</c:f>
              <c:numCache>
                <c:formatCode>General</c:formatCode>
                <c:ptCount val="7"/>
                <c:pt idx="0">
                  <c:v>2012</c:v>
                </c:pt>
                <c:pt idx="1">
                  <c:v>2013</c:v>
                </c:pt>
                <c:pt idx="2">
                  <c:v>2014</c:v>
                </c:pt>
                <c:pt idx="3">
                  <c:v>2015</c:v>
                </c:pt>
                <c:pt idx="4">
                  <c:v>2016</c:v>
                </c:pt>
                <c:pt idx="5">
                  <c:v>2017</c:v>
                </c:pt>
                <c:pt idx="6">
                  <c:v>2018</c:v>
                </c:pt>
              </c:numCache>
            </c:numRef>
          </c:cat>
          <c:val>
            <c:numRef>
              <c:f>'Graf FP - Activ'!$C$24:$K$24</c:f>
              <c:numCache>
                <c:formatCode>General</c:formatCode>
                <c:ptCount val="9"/>
                <c:pt idx="0">
                  <c:v>35</c:v>
                </c:pt>
                <c:pt idx="1">
                  <c:v>15</c:v>
                </c:pt>
                <c:pt idx="2">
                  <c:v>347</c:v>
                </c:pt>
                <c:pt idx="3">
                  <c:v>23</c:v>
                </c:pt>
                <c:pt idx="4">
                  <c:v>41</c:v>
                </c:pt>
                <c:pt idx="5">
                  <c:v>284</c:v>
                </c:pt>
                <c:pt idx="6">
                  <c:v>6024</c:v>
                </c:pt>
                <c:pt idx="7">
                  <c:v>155</c:v>
                </c:pt>
                <c:pt idx="8">
                  <c:v>10</c:v>
                </c:pt>
              </c:numCache>
            </c:numRef>
          </c:val>
          <c:extLst>
            <c:ext xmlns:c16="http://schemas.microsoft.com/office/drawing/2014/chart" uri="{C3380CC4-5D6E-409C-BE32-E72D297353CC}">
              <c16:uniqueId val="{00000002-8543-43D8-BD21-2BDDA2EAC403}"/>
            </c:ext>
          </c:extLst>
        </c:ser>
        <c:dLbls>
          <c:showLegendKey val="0"/>
          <c:showVal val="0"/>
          <c:showCatName val="0"/>
          <c:showSerName val="0"/>
          <c:showPercent val="0"/>
          <c:showBubbleSize val="0"/>
        </c:dLbls>
        <c:gapWidth val="75"/>
        <c:overlap val="-25"/>
        <c:axId val="1234911968"/>
        <c:axId val="1234913056"/>
      </c:barChart>
      <c:lineChart>
        <c:grouping val="standard"/>
        <c:varyColors val="0"/>
        <c:ser>
          <c:idx val="1"/>
          <c:order val="1"/>
          <c:tx>
            <c:v>Cantidad</c:v>
          </c:tx>
          <c:spPr>
            <a:ln>
              <a:solidFill>
                <a:srgbClr val="FF0000"/>
              </a:solidFill>
            </a:ln>
          </c:spPr>
          <c:marker>
            <c:symbol val="none"/>
          </c:marker>
          <c:dLbls>
            <c:dLbl>
              <c:idx val="6"/>
              <c:layout>
                <c:manualLayout>
                  <c:x val="-2.9572243191357823E-2"/>
                  <c:y val="-6.68228712248516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A0-4D5F-9844-7934D12662D1}"/>
                </c:ext>
              </c:extLst>
            </c:dLbl>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43-43D8-BD21-2BDDA2EAC403}"/>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43-43D8-BD21-2BDDA2EAC403}"/>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Activ'!$C$23:$K$23</c:f>
              <c:numCache>
                <c:formatCode>General</c:formatCode>
                <c:ptCount val="9"/>
                <c:pt idx="0">
                  <c:v>5</c:v>
                </c:pt>
                <c:pt idx="1">
                  <c:v>3</c:v>
                </c:pt>
                <c:pt idx="2">
                  <c:v>4</c:v>
                </c:pt>
                <c:pt idx="3">
                  <c:v>3</c:v>
                </c:pt>
                <c:pt idx="4">
                  <c:v>3</c:v>
                </c:pt>
                <c:pt idx="5">
                  <c:v>6</c:v>
                </c:pt>
                <c:pt idx="6">
                  <c:v>2</c:v>
                </c:pt>
                <c:pt idx="7">
                  <c:v>6</c:v>
                </c:pt>
                <c:pt idx="8">
                  <c:v>2</c:v>
                </c:pt>
              </c:numCache>
            </c:numRef>
          </c:val>
          <c:smooth val="0"/>
          <c:extLst>
            <c:ext xmlns:c16="http://schemas.microsoft.com/office/drawing/2014/chart" uri="{C3380CC4-5D6E-409C-BE32-E72D297353CC}">
              <c16:uniqueId val="{00000005-8543-43D8-BD21-2BDDA2EAC403}"/>
            </c:ext>
          </c:extLst>
        </c:ser>
        <c:dLbls>
          <c:showLegendKey val="0"/>
          <c:showVal val="0"/>
          <c:showCatName val="0"/>
          <c:showSerName val="0"/>
          <c:showPercent val="0"/>
          <c:showBubbleSize val="0"/>
        </c:dLbls>
        <c:marker val="1"/>
        <c:smooth val="0"/>
        <c:axId val="1234897824"/>
        <c:axId val="1234905440"/>
      </c:lineChart>
      <c:catAx>
        <c:axId val="1234911968"/>
        <c:scaling>
          <c:orientation val="minMax"/>
        </c:scaling>
        <c:delete val="0"/>
        <c:axPos val="b"/>
        <c:numFmt formatCode="General" sourceLinked="1"/>
        <c:majorTickMark val="none"/>
        <c:minorTickMark val="none"/>
        <c:tickLblPos val="nextTo"/>
        <c:crossAx val="1234913056"/>
        <c:crosses val="autoZero"/>
        <c:auto val="1"/>
        <c:lblAlgn val="ctr"/>
        <c:lblOffset val="100"/>
        <c:noMultiLvlLbl val="0"/>
      </c:catAx>
      <c:valAx>
        <c:axId val="1234913056"/>
        <c:scaling>
          <c:orientation val="minMax"/>
        </c:scaling>
        <c:delete val="0"/>
        <c:axPos val="l"/>
        <c:majorGridlines/>
        <c:numFmt formatCode="#,##0" sourceLinked="0"/>
        <c:majorTickMark val="none"/>
        <c:minorTickMark val="none"/>
        <c:tickLblPos val="nextTo"/>
        <c:spPr>
          <a:noFill/>
          <a:ln w="9525">
            <a:noFill/>
          </a:ln>
        </c:spPr>
        <c:crossAx val="1234911968"/>
        <c:crosses val="autoZero"/>
        <c:crossBetween val="between"/>
      </c:valAx>
      <c:valAx>
        <c:axId val="1234905440"/>
        <c:scaling>
          <c:orientation val="minMax"/>
        </c:scaling>
        <c:delete val="0"/>
        <c:axPos val="r"/>
        <c:numFmt formatCode="#,##0" sourceLinked="0"/>
        <c:majorTickMark val="out"/>
        <c:minorTickMark val="none"/>
        <c:tickLblPos val="nextTo"/>
        <c:crossAx val="1234897824"/>
        <c:crosses val="max"/>
        <c:crossBetween val="between"/>
      </c:valAx>
      <c:catAx>
        <c:axId val="1234897824"/>
        <c:scaling>
          <c:orientation val="minMax"/>
        </c:scaling>
        <c:delete val="1"/>
        <c:axPos val="b"/>
        <c:numFmt formatCode="General" sourceLinked="1"/>
        <c:majorTickMark val="out"/>
        <c:minorTickMark val="none"/>
        <c:tickLblPos val="nextTo"/>
        <c:crossAx val="1234905440"/>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Fuente Peligro: Bateria</a:t>
            </a:r>
          </a:p>
        </c:rich>
      </c:tx>
      <c:overlay val="0"/>
    </c:title>
    <c:autoTitleDeleted val="0"/>
    <c:plotArea>
      <c:layout/>
      <c:barChart>
        <c:barDir val="col"/>
        <c:grouping val="clustered"/>
        <c:varyColors val="0"/>
        <c:ser>
          <c:idx val="0"/>
          <c:order val="0"/>
          <c:tx>
            <c:v>Dias</c:v>
          </c:tx>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4AB1-48C2-8211-8F0F0977AD8C}"/>
                </c:ext>
              </c:extLst>
            </c:dLbl>
            <c:dLbl>
              <c:idx val="1"/>
              <c:delete val="1"/>
              <c:extLst>
                <c:ext xmlns:c15="http://schemas.microsoft.com/office/drawing/2012/chart" uri="{CE6537A1-D6FC-4f65-9D91-7224C49458BB}"/>
                <c:ext xmlns:c16="http://schemas.microsoft.com/office/drawing/2014/chart" uri="{C3380CC4-5D6E-409C-BE32-E72D297353CC}">
                  <c16:uniqueId val="{00000001-4AB1-48C2-8211-8F0F0977AD8C}"/>
                </c:ext>
              </c:extLst>
            </c:dLbl>
            <c:dLbl>
              <c:idx val="2"/>
              <c:layout>
                <c:manualLayout>
                  <c:x val="-3.2284108287508541E-3"/>
                  <c:y val="0.2242534275741821"/>
                </c:manualLayout>
              </c:layout>
              <c:spPr/>
              <c:txPr>
                <a:bodyPr/>
                <a:lstStyle/>
                <a:p>
                  <a:pPr>
                    <a:defRPr sz="1050" b="1">
                      <a:solidFill>
                        <a:schemeClr val="bg1"/>
                      </a:solidFill>
                    </a:defRPr>
                  </a:pPr>
                  <a:endParaRPr lang="es-PE"/>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B1-48C2-8211-8F0F0977AD8C}"/>
                </c:ext>
              </c:extLst>
            </c:dLbl>
            <c:spPr>
              <a:noFill/>
              <a:ln>
                <a:noFill/>
              </a:ln>
              <a:effectLst/>
            </c:spPr>
            <c:txPr>
              <a:bodyPr/>
              <a:lstStyle/>
              <a:p>
                <a:pPr>
                  <a:defRPr sz="1050" b="1">
                    <a:solidFill>
                      <a:sysClr val="windowText" lastClr="000000"/>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Activ'!$C$1:$H$1</c:f>
              <c:numCache>
                <c:formatCode>General</c:formatCode>
                <c:ptCount val="6"/>
                <c:pt idx="0">
                  <c:v>2012</c:v>
                </c:pt>
                <c:pt idx="1">
                  <c:v>2013</c:v>
                </c:pt>
                <c:pt idx="2">
                  <c:v>2014</c:v>
                </c:pt>
                <c:pt idx="3">
                  <c:v>2015</c:v>
                </c:pt>
                <c:pt idx="4">
                  <c:v>2016</c:v>
                </c:pt>
                <c:pt idx="5">
                  <c:v>2017</c:v>
                </c:pt>
              </c:numCache>
            </c:numRef>
          </c:cat>
          <c:val>
            <c:numRef>
              <c:f>'Graf FP - Activ'!$C$26:$H$26</c:f>
              <c:numCache>
                <c:formatCode>General</c:formatCode>
                <c:ptCount val="6"/>
                <c:pt idx="0">
                  <c:v>0</c:v>
                </c:pt>
                <c:pt idx="1">
                  <c:v>0</c:v>
                </c:pt>
                <c:pt idx="2">
                  <c:v>349</c:v>
                </c:pt>
                <c:pt idx="3">
                  <c:v>7</c:v>
                </c:pt>
                <c:pt idx="4">
                  <c:v>1</c:v>
                </c:pt>
                <c:pt idx="5">
                  <c:v>0</c:v>
                </c:pt>
              </c:numCache>
            </c:numRef>
          </c:val>
          <c:extLst>
            <c:ext xmlns:c16="http://schemas.microsoft.com/office/drawing/2014/chart" uri="{C3380CC4-5D6E-409C-BE32-E72D297353CC}">
              <c16:uniqueId val="{00000003-4AB1-48C2-8211-8F0F0977AD8C}"/>
            </c:ext>
          </c:extLst>
        </c:ser>
        <c:dLbls>
          <c:showLegendKey val="0"/>
          <c:showVal val="0"/>
          <c:showCatName val="0"/>
          <c:showSerName val="0"/>
          <c:showPercent val="0"/>
          <c:showBubbleSize val="0"/>
        </c:dLbls>
        <c:gapWidth val="75"/>
        <c:overlap val="-25"/>
        <c:axId val="1234898368"/>
        <c:axId val="1234899456"/>
      </c:barChart>
      <c:lineChart>
        <c:grouping val="standard"/>
        <c:varyColors val="0"/>
        <c:ser>
          <c:idx val="1"/>
          <c:order val="1"/>
          <c:tx>
            <c:v>Cantidad</c:v>
          </c:tx>
          <c:spPr>
            <a:ln>
              <a:solidFill>
                <a:srgbClr val="FF0000"/>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4-4AB1-48C2-8211-8F0F0977AD8C}"/>
                </c:ext>
              </c:extLst>
            </c:dLbl>
            <c:dLbl>
              <c:idx val="1"/>
              <c:delete val="1"/>
              <c:extLst>
                <c:ext xmlns:c15="http://schemas.microsoft.com/office/drawing/2012/chart" uri="{CE6537A1-D6FC-4f65-9D91-7224C49458BB}"/>
                <c:ext xmlns:c16="http://schemas.microsoft.com/office/drawing/2014/chart" uri="{C3380CC4-5D6E-409C-BE32-E72D297353CC}">
                  <c16:uniqueId val="{00000005-4AB1-48C2-8211-8F0F0977AD8C}"/>
                </c:ext>
              </c:extLst>
            </c:dLbl>
            <c:dLbl>
              <c:idx val="5"/>
              <c:layout>
                <c:manualLayout>
                  <c:x val="1.1934734855455795E-2"/>
                  <c:y val="-6.3283444164993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AB1-48C2-8211-8F0F0977AD8C}"/>
                </c:ext>
              </c:extLst>
            </c:dLbl>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AB1-48C2-8211-8F0F0977AD8C}"/>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AB1-48C2-8211-8F0F0977AD8C}"/>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Activ'!$C$1:$G$1</c:f>
              <c:numCache>
                <c:formatCode>General</c:formatCode>
                <c:ptCount val="5"/>
                <c:pt idx="0">
                  <c:v>2012</c:v>
                </c:pt>
                <c:pt idx="1">
                  <c:v>2013</c:v>
                </c:pt>
                <c:pt idx="2">
                  <c:v>2014</c:v>
                </c:pt>
                <c:pt idx="3">
                  <c:v>2015</c:v>
                </c:pt>
                <c:pt idx="4">
                  <c:v>2016</c:v>
                </c:pt>
              </c:numCache>
            </c:numRef>
          </c:cat>
          <c:val>
            <c:numRef>
              <c:f>'Graf FP - Activ'!$C$25:$H$25</c:f>
              <c:numCache>
                <c:formatCode>General</c:formatCode>
                <c:ptCount val="6"/>
                <c:pt idx="0">
                  <c:v>0</c:v>
                </c:pt>
                <c:pt idx="1">
                  <c:v>0</c:v>
                </c:pt>
                <c:pt idx="2">
                  <c:v>1</c:v>
                </c:pt>
                <c:pt idx="3">
                  <c:v>1</c:v>
                </c:pt>
                <c:pt idx="4">
                  <c:v>1</c:v>
                </c:pt>
                <c:pt idx="5">
                  <c:v>0</c:v>
                </c:pt>
              </c:numCache>
            </c:numRef>
          </c:val>
          <c:smooth val="0"/>
          <c:extLst>
            <c:ext xmlns:c16="http://schemas.microsoft.com/office/drawing/2014/chart" uri="{C3380CC4-5D6E-409C-BE32-E72D297353CC}">
              <c16:uniqueId val="{00000009-4AB1-48C2-8211-8F0F0977AD8C}"/>
            </c:ext>
          </c:extLst>
        </c:ser>
        <c:dLbls>
          <c:showLegendKey val="0"/>
          <c:showVal val="0"/>
          <c:showCatName val="0"/>
          <c:showSerName val="0"/>
          <c:showPercent val="0"/>
          <c:showBubbleSize val="0"/>
        </c:dLbls>
        <c:marker val="1"/>
        <c:smooth val="0"/>
        <c:axId val="1234912512"/>
        <c:axId val="1234906528"/>
      </c:lineChart>
      <c:catAx>
        <c:axId val="1234898368"/>
        <c:scaling>
          <c:orientation val="minMax"/>
        </c:scaling>
        <c:delete val="0"/>
        <c:axPos val="b"/>
        <c:numFmt formatCode="General" sourceLinked="1"/>
        <c:majorTickMark val="none"/>
        <c:minorTickMark val="none"/>
        <c:tickLblPos val="nextTo"/>
        <c:crossAx val="1234899456"/>
        <c:crosses val="autoZero"/>
        <c:auto val="1"/>
        <c:lblAlgn val="ctr"/>
        <c:lblOffset val="100"/>
        <c:noMultiLvlLbl val="0"/>
      </c:catAx>
      <c:valAx>
        <c:axId val="1234899456"/>
        <c:scaling>
          <c:orientation val="minMax"/>
        </c:scaling>
        <c:delete val="0"/>
        <c:axPos val="l"/>
        <c:majorGridlines/>
        <c:numFmt formatCode="#,##0" sourceLinked="0"/>
        <c:majorTickMark val="none"/>
        <c:minorTickMark val="none"/>
        <c:tickLblPos val="nextTo"/>
        <c:spPr>
          <a:noFill/>
          <a:ln w="9525">
            <a:noFill/>
          </a:ln>
        </c:spPr>
        <c:crossAx val="1234898368"/>
        <c:crosses val="autoZero"/>
        <c:crossBetween val="between"/>
      </c:valAx>
      <c:valAx>
        <c:axId val="1234906528"/>
        <c:scaling>
          <c:orientation val="minMax"/>
          <c:max val="4"/>
          <c:min val="0"/>
        </c:scaling>
        <c:delete val="0"/>
        <c:axPos val="r"/>
        <c:numFmt formatCode="#,##0" sourceLinked="0"/>
        <c:majorTickMark val="out"/>
        <c:minorTickMark val="none"/>
        <c:tickLblPos val="nextTo"/>
        <c:crossAx val="1234912512"/>
        <c:crosses val="max"/>
        <c:crossBetween val="between"/>
      </c:valAx>
      <c:catAx>
        <c:axId val="1234912512"/>
        <c:scaling>
          <c:orientation val="minMax"/>
        </c:scaling>
        <c:delete val="1"/>
        <c:axPos val="b"/>
        <c:numFmt formatCode="General" sourceLinked="1"/>
        <c:majorTickMark val="out"/>
        <c:minorTickMark val="none"/>
        <c:tickLblPos val="nextTo"/>
        <c:crossAx val="1234906528"/>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Fuente Peligro: Escaleras Portatiles</a:t>
            </a:r>
          </a:p>
        </c:rich>
      </c:tx>
      <c:overlay val="0"/>
    </c:title>
    <c:autoTitleDeleted val="0"/>
    <c:plotArea>
      <c:layout/>
      <c:barChart>
        <c:barDir val="col"/>
        <c:grouping val="clustered"/>
        <c:varyColors val="0"/>
        <c:ser>
          <c:idx val="0"/>
          <c:order val="0"/>
          <c:tx>
            <c:v>Dias</c:v>
          </c:tx>
          <c:invertIfNegative val="0"/>
          <c:dLbls>
            <c:dLbl>
              <c:idx val="0"/>
              <c:layout>
                <c:manualLayout>
                  <c:x val="0"/>
                  <c:y val="0.1187012936470692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DC-45AD-AAAC-50E0799E31A0}"/>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Activ'!$C$1:$H$1</c:f>
              <c:numCache>
                <c:formatCode>General</c:formatCode>
                <c:ptCount val="6"/>
                <c:pt idx="0">
                  <c:v>2012</c:v>
                </c:pt>
                <c:pt idx="1">
                  <c:v>2013</c:v>
                </c:pt>
                <c:pt idx="2">
                  <c:v>2014</c:v>
                </c:pt>
                <c:pt idx="3">
                  <c:v>2015</c:v>
                </c:pt>
                <c:pt idx="4">
                  <c:v>2016</c:v>
                </c:pt>
                <c:pt idx="5">
                  <c:v>2017</c:v>
                </c:pt>
              </c:numCache>
            </c:numRef>
          </c:cat>
          <c:val>
            <c:numRef>
              <c:f>'Graf FP - Activ'!#REF!</c:f>
              <c:numCache>
                <c:formatCode>General</c:formatCode>
                <c:ptCount val="1"/>
                <c:pt idx="0">
                  <c:v>1</c:v>
                </c:pt>
              </c:numCache>
            </c:numRef>
          </c:val>
          <c:extLst>
            <c:ext xmlns:c16="http://schemas.microsoft.com/office/drawing/2014/chart" uri="{C3380CC4-5D6E-409C-BE32-E72D297353CC}">
              <c16:uniqueId val="{00000001-81DC-45AD-AAAC-50E0799E31A0}"/>
            </c:ext>
          </c:extLst>
        </c:ser>
        <c:dLbls>
          <c:showLegendKey val="0"/>
          <c:showVal val="0"/>
          <c:showCatName val="0"/>
          <c:showSerName val="0"/>
          <c:showPercent val="0"/>
          <c:showBubbleSize val="0"/>
        </c:dLbls>
        <c:gapWidth val="75"/>
        <c:overlap val="-25"/>
        <c:axId val="1234900000"/>
        <c:axId val="1234902720"/>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DC-45AD-AAAC-50E0799E31A0}"/>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DC-45AD-AAAC-50E0799E31A0}"/>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Activ'!$C$1:$G$1</c:f>
              <c:numCache>
                <c:formatCode>General</c:formatCode>
                <c:ptCount val="5"/>
                <c:pt idx="0">
                  <c:v>2012</c:v>
                </c:pt>
                <c:pt idx="1">
                  <c:v>2013</c:v>
                </c:pt>
                <c:pt idx="2">
                  <c:v>2014</c:v>
                </c:pt>
                <c:pt idx="3">
                  <c:v>2015</c:v>
                </c:pt>
                <c:pt idx="4">
                  <c:v>2016</c:v>
                </c:pt>
              </c:numCache>
            </c:numRef>
          </c:cat>
          <c:val>
            <c:numRef>
              <c:f>'Graf FP - Activ'!#REF!</c:f>
              <c:numCache>
                <c:formatCode>General</c:formatCode>
                <c:ptCount val="1"/>
                <c:pt idx="0">
                  <c:v>1</c:v>
                </c:pt>
              </c:numCache>
            </c:numRef>
          </c:val>
          <c:smooth val="0"/>
          <c:extLst>
            <c:ext xmlns:c16="http://schemas.microsoft.com/office/drawing/2014/chart" uri="{C3380CC4-5D6E-409C-BE32-E72D297353CC}">
              <c16:uniqueId val="{00000004-81DC-45AD-AAAC-50E0799E31A0}"/>
            </c:ext>
          </c:extLst>
        </c:ser>
        <c:dLbls>
          <c:showLegendKey val="0"/>
          <c:showVal val="0"/>
          <c:showCatName val="0"/>
          <c:showSerName val="0"/>
          <c:showPercent val="0"/>
          <c:showBubbleSize val="0"/>
        </c:dLbls>
        <c:marker val="1"/>
        <c:smooth val="0"/>
        <c:axId val="1234915232"/>
        <c:axId val="1234902176"/>
      </c:lineChart>
      <c:catAx>
        <c:axId val="1234900000"/>
        <c:scaling>
          <c:orientation val="minMax"/>
        </c:scaling>
        <c:delete val="0"/>
        <c:axPos val="b"/>
        <c:numFmt formatCode="General" sourceLinked="1"/>
        <c:majorTickMark val="none"/>
        <c:minorTickMark val="none"/>
        <c:tickLblPos val="nextTo"/>
        <c:crossAx val="1234902720"/>
        <c:crosses val="autoZero"/>
        <c:auto val="1"/>
        <c:lblAlgn val="ctr"/>
        <c:lblOffset val="100"/>
        <c:noMultiLvlLbl val="0"/>
      </c:catAx>
      <c:valAx>
        <c:axId val="1234902720"/>
        <c:scaling>
          <c:orientation val="minMax"/>
        </c:scaling>
        <c:delete val="0"/>
        <c:axPos val="l"/>
        <c:majorGridlines/>
        <c:numFmt formatCode="#,##0" sourceLinked="0"/>
        <c:majorTickMark val="none"/>
        <c:minorTickMark val="none"/>
        <c:tickLblPos val="nextTo"/>
        <c:spPr>
          <a:noFill/>
          <a:ln w="9525">
            <a:noFill/>
          </a:ln>
        </c:spPr>
        <c:crossAx val="1234900000"/>
        <c:crosses val="autoZero"/>
        <c:crossBetween val="between"/>
      </c:valAx>
      <c:valAx>
        <c:axId val="1234902176"/>
        <c:scaling>
          <c:orientation val="minMax"/>
        </c:scaling>
        <c:delete val="0"/>
        <c:axPos val="r"/>
        <c:numFmt formatCode="#,##0" sourceLinked="0"/>
        <c:majorTickMark val="out"/>
        <c:minorTickMark val="none"/>
        <c:tickLblPos val="nextTo"/>
        <c:crossAx val="1234915232"/>
        <c:crosses val="max"/>
        <c:crossBetween val="between"/>
      </c:valAx>
      <c:catAx>
        <c:axId val="1234915232"/>
        <c:scaling>
          <c:orientation val="minMax"/>
        </c:scaling>
        <c:delete val="1"/>
        <c:axPos val="b"/>
        <c:numFmt formatCode="General" sourceLinked="1"/>
        <c:majorTickMark val="out"/>
        <c:minorTickMark val="none"/>
        <c:tickLblPos val="nextTo"/>
        <c:crossAx val="1234902176"/>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Fuente Peligro: Escalera</a:t>
            </a:r>
            <a:r>
              <a:rPr lang="es-PE" sz="1050" b="0" baseline="0"/>
              <a:t>s FIJAS/PORTATILES</a:t>
            </a:r>
            <a:endParaRPr lang="es-PE" sz="1050" b="0"/>
          </a:p>
        </c:rich>
      </c:tx>
      <c:overlay val="0"/>
    </c:title>
    <c:autoTitleDeleted val="0"/>
    <c:plotArea>
      <c:layout/>
      <c:barChart>
        <c:barDir val="col"/>
        <c:grouping val="clustered"/>
        <c:varyColors val="0"/>
        <c:ser>
          <c:idx val="0"/>
          <c:order val="0"/>
          <c:tx>
            <c:v>Dias</c:v>
          </c:tx>
          <c:invertIfNegative val="0"/>
          <c:dLbls>
            <c:dLbl>
              <c:idx val="0"/>
              <c:layout>
                <c:manualLayout>
                  <c:x val="0"/>
                  <c:y val="0.1187012936470692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BD-43B9-BF1E-324C0D647723}"/>
                </c:ext>
              </c:extLst>
            </c:dLbl>
            <c:dLbl>
              <c:idx val="1"/>
              <c:layout>
                <c:manualLayout>
                  <c:x val="0"/>
                  <c:y val="9.47864489032712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BD-43B9-BF1E-324C0D647723}"/>
                </c:ext>
              </c:extLst>
            </c:dLbl>
            <c:dLbl>
              <c:idx val="2"/>
              <c:layout>
                <c:manualLayout>
                  <c:x val="0"/>
                  <c:y val="0.1084596381842873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BD-43B9-BF1E-324C0D647723}"/>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Activ'!$C$34:$K$34</c:f>
              <c:numCache>
                <c:formatCode>General</c:formatCode>
                <c:ptCount val="9"/>
                <c:pt idx="0">
                  <c:v>92</c:v>
                </c:pt>
                <c:pt idx="1">
                  <c:v>40</c:v>
                </c:pt>
                <c:pt idx="2">
                  <c:v>132</c:v>
                </c:pt>
                <c:pt idx="3">
                  <c:v>0</c:v>
                </c:pt>
                <c:pt idx="4">
                  <c:v>41</c:v>
                </c:pt>
                <c:pt idx="5">
                  <c:v>93</c:v>
                </c:pt>
                <c:pt idx="6">
                  <c:v>166</c:v>
                </c:pt>
                <c:pt idx="7">
                  <c:v>339</c:v>
                </c:pt>
                <c:pt idx="8">
                  <c:v>45</c:v>
                </c:pt>
              </c:numCache>
            </c:numRef>
          </c:val>
          <c:extLst>
            <c:ext xmlns:c16="http://schemas.microsoft.com/office/drawing/2014/chart" uri="{C3380CC4-5D6E-409C-BE32-E72D297353CC}">
              <c16:uniqueId val="{00000003-0CBD-43B9-BF1E-324C0D647723}"/>
            </c:ext>
          </c:extLst>
        </c:ser>
        <c:dLbls>
          <c:showLegendKey val="0"/>
          <c:showVal val="0"/>
          <c:showCatName val="0"/>
          <c:showSerName val="0"/>
          <c:showPercent val="0"/>
          <c:showBubbleSize val="0"/>
        </c:dLbls>
        <c:gapWidth val="75"/>
        <c:overlap val="-25"/>
        <c:axId val="1234905984"/>
        <c:axId val="1234907072"/>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BD-43B9-BF1E-324C0D647723}"/>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BD-43B9-BF1E-324C0D647723}"/>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Activ'!$C$33:$K$33</c:f>
              <c:numCache>
                <c:formatCode>General</c:formatCode>
                <c:ptCount val="9"/>
                <c:pt idx="0">
                  <c:v>4</c:v>
                </c:pt>
                <c:pt idx="1">
                  <c:v>2</c:v>
                </c:pt>
                <c:pt idx="2">
                  <c:v>2</c:v>
                </c:pt>
                <c:pt idx="3">
                  <c:v>0</c:v>
                </c:pt>
                <c:pt idx="4">
                  <c:v>4</c:v>
                </c:pt>
                <c:pt idx="5">
                  <c:v>3</c:v>
                </c:pt>
                <c:pt idx="6">
                  <c:v>6</c:v>
                </c:pt>
                <c:pt idx="7">
                  <c:v>7</c:v>
                </c:pt>
                <c:pt idx="8">
                  <c:v>2</c:v>
                </c:pt>
              </c:numCache>
            </c:numRef>
          </c:val>
          <c:smooth val="0"/>
          <c:extLst>
            <c:ext xmlns:c16="http://schemas.microsoft.com/office/drawing/2014/chart" uri="{C3380CC4-5D6E-409C-BE32-E72D297353CC}">
              <c16:uniqueId val="{00000006-0CBD-43B9-BF1E-324C0D647723}"/>
            </c:ext>
          </c:extLst>
        </c:ser>
        <c:dLbls>
          <c:showLegendKey val="0"/>
          <c:showVal val="0"/>
          <c:showCatName val="0"/>
          <c:showSerName val="0"/>
          <c:showPercent val="0"/>
          <c:showBubbleSize val="0"/>
        </c:dLbls>
        <c:marker val="1"/>
        <c:smooth val="0"/>
        <c:axId val="1234908160"/>
        <c:axId val="1234907616"/>
      </c:lineChart>
      <c:catAx>
        <c:axId val="1234905984"/>
        <c:scaling>
          <c:orientation val="minMax"/>
        </c:scaling>
        <c:delete val="0"/>
        <c:axPos val="b"/>
        <c:numFmt formatCode="General" sourceLinked="1"/>
        <c:majorTickMark val="none"/>
        <c:minorTickMark val="none"/>
        <c:tickLblPos val="nextTo"/>
        <c:crossAx val="1234907072"/>
        <c:crosses val="autoZero"/>
        <c:auto val="1"/>
        <c:lblAlgn val="ctr"/>
        <c:lblOffset val="100"/>
        <c:noMultiLvlLbl val="0"/>
      </c:catAx>
      <c:valAx>
        <c:axId val="1234907072"/>
        <c:scaling>
          <c:orientation val="minMax"/>
        </c:scaling>
        <c:delete val="0"/>
        <c:axPos val="l"/>
        <c:majorGridlines/>
        <c:numFmt formatCode="#,##0" sourceLinked="0"/>
        <c:majorTickMark val="none"/>
        <c:minorTickMark val="none"/>
        <c:tickLblPos val="nextTo"/>
        <c:spPr>
          <a:noFill/>
          <a:ln w="9525">
            <a:noFill/>
          </a:ln>
        </c:spPr>
        <c:crossAx val="1234905984"/>
        <c:crosses val="autoZero"/>
        <c:crossBetween val="between"/>
      </c:valAx>
      <c:valAx>
        <c:axId val="1234907616"/>
        <c:scaling>
          <c:orientation val="minMax"/>
        </c:scaling>
        <c:delete val="0"/>
        <c:axPos val="r"/>
        <c:numFmt formatCode="#,##0" sourceLinked="0"/>
        <c:majorTickMark val="out"/>
        <c:minorTickMark val="none"/>
        <c:tickLblPos val="nextTo"/>
        <c:crossAx val="1234908160"/>
        <c:crosses val="max"/>
        <c:crossBetween val="between"/>
      </c:valAx>
      <c:catAx>
        <c:axId val="1234908160"/>
        <c:scaling>
          <c:orientation val="minMax"/>
        </c:scaling>
        <c:delete val="1"/>
        <c:axPos val="b"/>
        <c:numFmt formatCode="General" sourceLinked="1"/>
        <c:majorTickMark val="out"/>
        <c:minorTickMark val="none"/>
        <c:tickLblPos val="nextTo"/>
        <c:crossAx val="1234907616"/>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Fuente Peligro: Cuchilla/Cuchillo</a:t>
            </a:r>
          </a:p>
        </c:rich>
      </c:tx>
      <c:overlay val="0"/>
    </c:title>
    <c:autoTitleDeleted val="0"/>
    <c:plotArea>
      <c:layout/>
      <c:barChart>
        <c:barDir val="col"/>
        <c:grouping val="clustered"/>
        <c:varyColors val="0"/>
        <c:ser>
          <c:idx val="0"/>
          <c:order val="0"/>
          <c:tx>
            <c:v>Dias</c:v>
          </c:tx>
          <c:invertIfNegative val="0"/>
          <c:dLbls>
            <c:dLbl>
              <c:idx val="0"/>
              <c:layout>
                <c:manualLayout>
                  <c:x val="0"/>
                  <c:y val="0.1187012936470692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DF-4235-9A31-18250598CFD0}"/>
                </c:ext>
              </c:extLst>
            </c:dLbl>
            <c:dLbl>
              <c:idx val="1"/>
              <c:layout>
                <c:manualLayout>
                  <c:x val="3.2284108287508541E-3"/>
                  <c:y val="1.4326642377881428E-2"/>
                </c:manualLayout>
              </c:layout>
              <c:spPr/>
              <c:txPr>
                <a:bodyPr/>
                <a:lstStyle/>
                <a:p>
                  <a:pPr>
                    <a:defRPr sz="1050" b="1">
                      <a:solidFill>
                        <a:sysClr val="windowText" lastClr="000000"/>
                      </a:solidFill>
                    </a:defRPr>
                  </a:pPr>
                  <a:endParaRPr lang="es-PE"/>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DF-4235-9A31-18250598CFD0}"/>
                </c:ext>
              </c:extLst>
            </c:dLbl>
            <c:dLbl>
              <c:idx val="2"/>
              <c:layout>
                <c:manualLayout>
                  <c:x val="0"/>
                  <c:y val="0.1084596381842873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DF-4235-9A31-18250598CFD0}"/>
                </c:ext>
              </c:extLst>
            </c:dLbl>
            <c:dLbl>
              <c:idx val="3"/>
              <c:layout>
                <c:manualLayout>
                  <c:x val="6.4568216575017082E-3"/>
                  <c:y val="0.1936040336700306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DF-4235-9A31-18250598CFD0}"/>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Activ'!$C$1:$I$1</c:f>
              <c:numCache>
                <c:formatCode>General</c:formatCode>
                <c:ptCount val="7"/>
                <c:pt idx="0">
                  <c:v>2012</c:v>
                </c:pt>
                <c:pt idx="1">
                  <c:v>2013</c:v>
                </c:pt>
                <c:pt idx="2">
                  <c:v>2014</c:v>
                </c:pt>
                <c:pt idx="3">
                  <c:v>2015</c:v>
                </c:pt>
                <c:pt idx="4">
                  <c:v>2016</c:v>
                </c:pt>
                <c:pt idx="5">
                  <c:v>2017</c:v>
                </c:pt>
                <c:pt idx="6">
                  <c:v>2018</c:v>
                </c:pt>
              </c:numCache>
            </c:numRef>
          </c:cat>
          <c:val>
            <c:numRef>
              <c:f>'Graf FP - Activ'!$C$36:$I$36</c:f>
              <c:numCache>
                <c:formatCode>General</c:formatCode>
                <c:ptCount val="7"/>
                <c:pt idx="0">
                  <c:v>21</c:v>
                </c:pt>
                <c:pt idx="1">
                  <c:v>2</c:v>
                </c:pt>
                <c:pt idx="2">
                  <c:v>23</c:v>
                </c:pt>
                <c:pt idx="3">
                  <c:v>48</c:v>
                </c:pt>
                <c:pt idx="4">
                  <c:v>0</c:v>
                </c:pt>
                <c:pt idx="5">
                  <c:v>18</c:v>
                </c:pt>
                <c:pt idx="6">
                  <c:v>0</c:v>
                </c:pt>
              </c:numCache>
            </c:numRef>
          </c:val>
          <c:extLst>
            <c:ext xmlns:c16="http://schemas.microsoft.com/office/drawing/2014/chart" uri="{C3380CC4-5D6E-409C-BE32-E72D297353CC}">
              <c16:uniqueId val="{00000004-67DF-4235-9A31-18250598CFD0}"/>
            </c:ext>
          </c:extLst>
        </c:ser>
        <c:dLbls>
          <c:showLegendKey val="0"/>
          <c:showVal val="0"/>
          <c:showCatName val="0"/>
          <c:showSerName val="0"/>
          <c:showPercent val="0"/>
          <c:showBubbleSize val="0"/>
        </c:dLbls>
        <c:gapWidth val="75"/>
        <c:overlap val="-25"/>
        <c:axId val="1234908704"/>
        <c:axId val="1234909248"/>
      </c:barChart>
      <c:lineChart>
        <c:grouping val="standard"/>
        <c:varyColors val="0"/>
        <c:ser>
          <c:idx val="1"/>
          <c:order val="1"/>
          <c:tx>
            <c:v>Cantidad</c:v>
          </c:tx>
          <c:spPr>
            <a:ln>
              <a:solidFill>
                <a:srgbClr val="FF0000"/>
              </a:solidFill>
            </a:ln>
          </c:spPr>
          <c:marker>
            <c:symbol val="none"/>
          </c:marker>
          <c:dLbls>
            <c:dLbl>
              <c:idx val="3"/>
              <c:layout>
                <c:manualLayout>
                  <c:x val="-2.3115421533856116E-2"/>
                  <c:y val="-5.98276132806648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DF-4235-9A31-18250598CFD0}"/>
                </c:ext>
              </c:extLst>
            </c:dLbl>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DF-4235-9A31-18250598CFD0}"/>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DF-4235-9A31-18250598CFD0}"/>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Activ'!$C$1:$H$1</c:f>
              <c:numCache>
                <c:formatCode>General</c:formatCode>
                <c:ptCount val="6"/>
                <c:pt idx="0">
                  <c:v>2012</c:v>
                </c:pt>
                <c:pt idx="1">
                  <c:v>2013</c:v>
                </c:pt>
                <c:pt idx="2">
                  <c:v>2014</c:v>
                </c:pt>
                <c:pt idx="3">
                  <c:v>2015</c:v>
                </c:pt>
                <c:pt idx="4">
                  <c:v>2016</c:v>
                </c:pt>
                <c:pt idx="5">
                  <c:v>2017</c:v>
                </c:pt>
              </c:numCache>
            </c:numRef>
          </c:cat>
          <c:val>
            <c:numRef>
              <c:f>'Graf FP - Activ'!$C$35:$I$35</c:f>
              <c:numCache>
                <c:formatCode>General</c:formatCode>
                <c:ptCount val="7"/>
                <c:pt idx="0">
                  <c:v>2</c:v>
                </c:pt>
                <c:pt idx="1">
                  <c:v>1</c:v>
                </c:pt>
                <c:pt idx="2">
                  <c:v>3</c:v>
                </c:pt>
                <c:pt idx="3">
                  <c:v>1</c:v>
                </c:pt>
                <c:pt idx="4">
                  <c:v>0</c:v>
                </c:pt>
                <c:pt idx="5">
                  <c:v>4</c:v>
                </c:pt>
                <c:pt idx="6">
                  <c:v>0</c:v>
                </c:pt>
              </c:numCache>
            </c:numRef>
          </c:val>
          <c:smooth val="0"/>
          <c:extLst>
            <c:ext xmlns:c16="http://schemas.microsoft.com/office/drawing/2014/chart" uri="{C3380CC4-5D6E-409C-BE32-E72D297353CC}">
              <c16:uniqueId val="{00000008-67DF-4235-9A31-18250598CFD0}"/>
            </c:ext>
          </c:extLst>
        </c:ser>
        <c:dLbls>
          <c:showLegendKey val="0"/>
          <c:showVal val="0"/>
          <c:showCatName val="0"/>
          <c:showSerName val="0"/>
          <c:showPercent val="0"/>
          <c:showBubbleSize val="0"/>
        </c:dLbls>
        <c:marker val="1"/>
        <c:smooth val="0"/>
        <c:axId val="1234910336"/>
        <c:axId val="1234909792"/>
      </c:lineChart>
      <c:catAx>
        <c:axId val="1234908704"/>
        <c:scaling>
          <c:orientation val="minMax"/>
        </c:scaling>
        <c:delete val="0"/>
        <c:axPos val="b"/>
        <c:numFmt formatCode="General" sourceLinked="1"/>
        <c:majorTickMark val="none"/>
        <c:minorTickMark val="none"/>
        <c:tickLblPos val="nextTo"/>
        <c:crossAx val="1234909248"/>
        <c:crosses val="autoZero"/>
        <c:auto val="1"/>
        <c:lblAlgn val="ctr"/>
        <c:lblOffset val="100"/>
        <c:noMultiLvlLbl val="0"/>
      </c:catAx>
      <c:valAx>
        <c:axId val="1234909248"/>
        <c:scaling>
          <c:orientation val="minMax"/>
        </c:scaling>
        <c:delete val="0"/>
        <c:axPos val="l"/>
        <c:majorGridlines/>
        <c:numFmt formatCode="#,##0" sourceLinked="0"/>
        <c:majorTickMark val="none"/>
        <c:minorTickMark val="none"/>
        <c:tickLblPos val="nextTo"/>
        <c:spPr>
          <a:noFill/>
          <a:ln w="9525">
            <a:noFill/>
          </a:ln>
        </c:spPr>
        <c:crossAx val="1234908704"/>
        <c:crosses val="autoZero"/>
        <c:crossBetween val="between"/>
      </c:valAx>
      <c:valAx>
        <c:axId val="1234909792"/>
        <c:scaling>
          <c:orientation val="minMax"/>
        </c:scaling>
        <c:delete val="0"/>
        <c:axPos val="r"/>
        <c:numFmt formatCode="#,##0" sourceLinked="0"/>
        <c:majorTickMark val="out"/>
        <c:minorTickMark val="none"/>
        <c:tickLblPos val="nextTo"/>
        <c:crossAx val="1234910336"/>
        <c:crosses val="max"/>
        <c:crossBetween val="between"/>
      </c:valAx>
      <c:catAx>
        <c:axId val="1234910336"/>
        <c:scaling>
          <c:orientation val="minMax"/>
        </c:scaling>
        <c:delete val="1"/>
        <c:axPos val="b"/>
        <c:numFmt formatCode="General" sourceLinked="1"/>
        <c:majorTickMark val="out"/>
        <c:minorTickMark val="none"/>
        <c:tickLblPos val="nextTo"/>
        <c:crossAx val="1234909792"/>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Fuente Peligro: Sustancia</a:t>
            </a:r>
            <a:r>
              <a:rPr lang="es-PE" sz="1050" b="0" baseline="0"/>
              <a:t> Quimica</a:t>
            </a:r>
            <a:endParaRPr lang="es-PE" sz="1050" b="0"/>
          </a:p>
        </c:rich>
      </c:tx>
      <c:overlay val="0"/>
    </c:title>
    <c:autoTitleDeleted val="0"/>
    <c:plotArea>
      <c:layout/>
      <c:barChart>
        <c:barDir val="col"/>
        <c:grouping val="clustered"/>
        <c:varyColors val="0"/>
        <c:ser>
          <c:idx val="0"/>
          <c:order val="0"/>
          <c:tx>
            <c:v>Dias</c:v>
          </c:tx>
          <c:invertIfNegative val="0"/>
          <c:dLbls>
            <c:dLbl>
              <c:idx val="0"/>
              <c:layout>
                <c:manualLayout>
                  <c:x val="0"/>
                  <c:y val="0.1187012936470692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4E4-465D-B275-B05D4E10B91B}"/>
                </c:ext>
              </c:extLst>
            </c:dLbl>
            <c:dLbl>
              <c:idx val="1"/>
              <c:layout>
                <c:manualLayout>
                  <c:x val="0"/>
                  <c:y val="9.47864489032712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E4-465D-B275-B05D4E10B91B}"/>
                </c:ext>
              </c:extLst>
            </c:dLbl>
            <c:dLbl>
              <c:idx val="2"/>
              <c:layout>
                <c:manualLayout>
                  <c:x val="0"/>
                  <c:y val="0.1084596381842873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E4-465D-B275-B05D4E10B91B}"/>
                </c:ext>
              </c:extLst>
            </c:dLbl>
            <c:dLbl>
              <c:idx val="3"/>
              <c:layout>
                <c:manualLayout>
                  <c:x val="6.4568216575017082E-3"/>
                  <c:y val="7.87139086309397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E4-465D-B275-B05D4E10B91B}"/>
                </c:ext>
              </c:extLst>
            </c:dLbl>
            <c:dLbl>
              <c:idx val="4"/>
              <c:layout>
                <c:manualLayout>
                  <c:x val="-3.2284108287508541E-3"/>
                  <c:y val="0.4154269234441684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E4-465D-B275-B05D4E10B91B}"/>
                </c:ext>
              </c:extLst>
            </c:dLbl>
            <c:dLbl>
              <c:idx val="5"/>
              <c:layout>
                <c:manualLayout>
                  <c:x val="-1.1837369625782426E-16"/>
                  <c:y val="8.6827261307691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565-4FCF-BDAA-5842D4502506}"/>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Activ'!$C$38:$K$38</c:f>
              <c:numCache>
                <c:formatCode>General</c:formatCode>
                <c:ptCount val="9"/>
                <c:pt idx="0">
                  <c:v>15</c:v>
                </c:pt>
                <c:pt idx="1">
                  <c:v>18</c:v>
                </c:pt>
                <c:pt idx="2">
                  <c:v>0</c:v>
                </c:pt>
                <c:pt idx="3">
                  <c:v>3</c:v>
                </c:pt>
                <c:pt idx="4">
                  <c:v>26</c:v>
                </c:pt>
                <c:pt idx="5">
                  <c:v>4</c:v>
                </c:pt>
                <c:pt idx="6">
                  <c:v>0</c:v>
                </c:pt>
                <c:pt idx="7">
                  <c:v>44</c:v>
                </c:pt>
                <c:pt idx="8">
                  <c:v>19</c:v>
                </c:pt>
              </c:numCache>
            </c:numRef>
          </c:val>
          <c:extLst>
            <c:ext xmlns:c16="http://schemas.microsoft.com/office/drawing/2014/chart" uri="{C3380CC4-5D6E-409C-BE32-E72D297353CC}">
              <c16:uniqueId val="{00000005-D4E4-465D-B275-B05D4E10B91B}"/>
            </c:ext>
          </c:extLst>
        </c:ser>
        <c:dLbls>
          <c:showLegendKey val="0"/>
          <c:showVal val="0"/>
          <c:showCatName val="0"/>
          <c:showSerName val="0"/>
          <c:showPercent val="0"/>
          <c:showBubbleSize val="0"/>
        </c:dLbls>
        <c:gapWidth val="75"/>
        <c:overlap val="-25"/>
        <c:axId val="1234910880"/>
        <c:axId val="1234914144"/>
      </c:barChart>
      <c:lineChart>
        <c:grouping val="standard"/>
        <c:varyColors val="0"/>
        <c:ser>
          <c:idx val="1"/>
          <c:order val="1"/>
          <c:tx>
            <c:v>Cantidad</c:v>
          </c:tx>
          <c:spPr>
            <a:ln>
              <a:solidFill>
                <a:srgbClr val="FF0000"/>
              </a:solidFill>
            </a:ln>
          </c:spPr>
          <c:marker>
            <c:symbol val="none"/>
          </c:marker>
          <c:dLbls>
            <c:dLbl>
              <c:idx val="2"/>
              <c:delete val="1"/>
              <c:extLst>
                <c:ext xmlns:c15="http://schemas.microsoft.com/office/drawing/2012/chart" uri="{CE6537A1-D6FC-4f65-9D91-7224C49458BB}"/>
                <c:ext xmlns:c16="http://schemas.microsoft.com/office/drawing/2014/chart" uri="{C3380CC4-5D6E-409C-BE32-E72D297353CC}">
                  <c16:uniqueId val="{00000006-D4E4-465D-B275-B05D4E10B91B}"/>
                </c:ext>
              </c:extLst>
            </c:dLbl>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4E4-465D-B275-B05D4E10B91B}"/>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4E4-465D-B275-B05D4E10B91B}"/>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Activ'!$C$37:$K$37</c:f>
              <c:numCache>
                <c:formatCode>General</c:formatCode>
                <c:ptCount val="9"/>
                <c:pt idx="0">
                  <c:v>1</c:v>
                </c:pt>
                <c:pt idx="1">
                  <c:v>4</c:v>
                </c:pt>
                <c:pt idx="2">
                  <c:v>0</c:v>
                </c:pt>
                <c:pt idx="3">
                  <c:v>2</c:v>
                </c:pt>
                <c:pt idx="4">
                  <c:v>4</c:v>
                </c:pt>
                <c:pt idx="5">
                  <c:v>1</c:v>
                </c:pt>
                <c:pt idx="6">
                  <c:v>0</c:v>
                </c:pt>
                <c:pt idx="7">
                  <c:v>6</c:v>
                </c:pt>
                <c:pt idx="8">
                  <c:v>6</c:v>
                </c:pt>
              </c:numCache>
            </c:numRef>
          </c:val>
          <c:smooth val="0"/>
          <c:extLst>
            <c:ext xmlns:c16="http://schemas.microsoft.com/office/drawing/2014/chart" uri="{C3380CC4-5D6E-409C-BE32-E72D297353CC}">
              <c16:uniqueId val="{00000009-D4E4-465D-B275-B05D4E10B91B}"/>
            </c:ext>
          </c:extLst>
        </c:ser>
        <c:dLbls>
          <c:showLegendKey val="0"/>
          <c:showVal val="0"/>
          <c:showCatName val="0"/>
          <c:showSerName val="0"/>
          <c:showPercent val="0"/>
          <c:showBubbleSize val="0"/>
        </c:dLbls>
        <c:marker val="1"/>
        <c:smooth val="0"/>
        <c:axId val="1413904320"/>
        <c:axId val="1234914688"/>
      </c:lineChart>
      <c:catAx>
        <c:axId val="1234910880"/>
        <c:scaling>
          <c:orientation val="minMax"/>
        </c:scaling>
        <c:delete val="0"/>
        <c:axPos val="b"/>
        <c:numFmt formatCode="General" sourceLinked="1"/>
        <c:majorTickMark val="none"/>
        <c:minorTickMark val="none"/>
        <c:tickLblPos val="nextTo"/>
        <c:crossAx val="1234914144"/>
        <c:crosses val="autoZero"/>
        <c:auto val="1"/>
        <c:lblAlgn val="ctr"/>
        <c:lblOffset val="100"/>
        <c:noMultiLvlLbl val="0"/>
      </c:catAx>
      <c:valAx>
        <c:axId val="1234914144"/>
        <c:scaling>
          <c:orientation val="minMax"/>
        </c:scaling>
        <c:delete val="0"/>
        <c:axPos val="l"/>
        <c:majorGridlines/>
        <c:numFmt formatCode="#,##0" sourceLinked="0"/>
        <c:majorTickMark val="none"/>
        <c:minorTickMark val="none"/>
        <c:tickLblPos val="nextTo"/>
        <c:spPr>
          <a:noFill/>
          <a:ln w="9525">
            <a:noFill/>
          </a:ln>
        </c:spPr>
        <c:crossAx val="1234910880"/>
        <c:crosses val="autoZero"/>
        <c:crossBetween val="between"/>
      </c:valAx>
      <c:valAx>
        <c:axId val="1234914688"/>
        <c:scaling>
          <c:orientation val="minMax"/>
        </c:scaling>
        <c:delete val="0"/>
        <c:axPos val="r"/>
        <c:numFmt formatCode="#,##0" sourceLinked="0"/>
        <c:majorTickMark val="out"/>
        <c:minorTickMark val="none"/>
        <c:tickLblPos val="nextTo"/>
        <c:crossAx val="1413904320"/>
        <c:crosses val="max"/>
        <c:crossBetween val="between"/>
      </c:valAx>
      <c:catAx>
        <c:axId val="1413904320"/>
        <c:scaling>
          <c:orientation val="minMax"/>
        </c:scaling>
        <c:delete val="1"/>
        <c:axPos val="b"/>
        <c:numFmt formatCode="General" sourceLinked="1"/>
        <c:majorTickMark val="out"/>
        <c:minorTickMark val="none"/>
        <c:tickLblPos val="nextTo"/>
        <c:crossAx val="1234914688"/>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Fuente Peligro: Electricidad</a:t>
            </a:r>
          </a:p>
        </c:rich>
      </c:tx>
      <c:overlay val="0"/>
    </c:title>
    <c:autoTitleDeleted val="0"/>
    <c:plotArea>
      <c:layout/>
      <c:barChart>
        <c:barDir val="col"/>
        <c:grouping val="clustered"/>
        <c:varyColors val="0"/>
        <c:ser>
          <c:idx val="0"/>
          <c:order val="0"/>
          <c:tx>
            <c:v>Dias</c:v>
          </c:tx>
          <c:invertIfNegative val="0"/>
          <c:dLbls>
            <c:dLbl>
              <c:idx val="0"/>
              <c:layout>
                <c:manualLayout>
                  <c:x val="0"/>
                  <c:y val="8.42185194219021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1AD-4003-A3AF-1B701E99435F}"/>
                </c:ext>
              </c:extLst>
            </c:dLbl>
            <c:dLbl>
              <c:idx val="7"/>
              <c:spPr>
                <a:noFill/>
                <a:ln>
                  <a:noFill/>
                </a:ln>
                <a:effectLst/>
              </c:spPr>
              <c:txPr>
                <a:bodyPr/>
                <a:lstStyle/>
                <a:p>
                  <a:pPr>
                    <a:defRPr sz="1050" b="0">
                      <a:solidFill>
                        <a:schemeClr val="bg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0-0431-4508-8891-FD75B79282A8}"/>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Activ'!$C$40:$K$40</c:f>
              <c:numCache>
                <c:formatCode>General</c:formatCode>
                <c:ptCount val="9"/>
                <c:pt idx="0">
                  <c:v>0</c:v>
                </c:pt>
                <c:pt idx="1">
                  <c:v>85</c:v>
                </c:pt>
                <c:pt idx="2">
                  <c:v>16</c:v>
                </c:pt>
                <c:pt idx="3">
                  <c:v>0</c:v>
                </c:pt>
                <c:pt idx="4">
                  <c:v>80</c:v>
                </c:pt>
                <c:pt idx="5">
                  <c:v>0</c:v>
                </c:pt>
                <c:pt idx="6">
                  <c:v>0</c:v>
                </c:pt>
                <c:pt idx="7">
                  <c:v>2</c:v>
                </c:pt>
                <c:pt idx="8">
                  <c:v>69</c:v>
                </c:pt>
              </c:numCache>
            </c:numRef>
          </c:val>
          <c:extLst>
            <c:ext xmlns:c16="http://schemas.microsoft.com/office/drawing/2014/chart" uri="{C3380CC4-5D6E-409C-BE32-E72D297353CC}">
              <c16:uniqueId val="{00000001-01AD-4003-A3AF-1B701E99435F}"/>
            </c:ext>
          </c:extLst>
        </c:ser>
        <c:dLbls>
          <c:showLegendKey val="0"/>
          <c:showVal val="0"/>
          <c:showCatName val="0"/>
          <c:showSerName val="0"/>
          <c:showPercent val="0"/>
          <c:showBubbleSize val="0"/>
        </c:dLbls>
        <c:gapWidth val="75"/>
        <c:overlap val="-25"/>
        <c:axId val="1413900512"/>
        <c:axId val="1413906496"/>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AD-4003-A3AF-1B701E99435F}"/>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AD-4003-A3AF-1B701E99435F}"/>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Activ'!$C$39:$K$39</c:f>
              <c:numCache>
                <c:formatCode>General</c:formatCode>
                <c:ptCount val="9"/>
                <c:pt idx="0">
                  <c:v>0</c:v>
                </c:pt>
                <c:pt idx="1">
                  <c:v>2</c:v>
                </c:pt>
                <c:pt idx="2">
                  <c:v>1</c:v>
                </c:pt>
                <c:pt idx="3">
                  <c:v>0</c:v>
                </c:pt>
                <c:pt idx="4">
                  <c:v>1</c:v>
                </c:pt>
                <c:pt idx="5">
                  <c:v>0</c:v>
                </c:pt>
                <c:pt idx="6">
                  <c:v>0</c:v>
                </c:pt>
                <c:pt idx="7">
                  <c:v>1</c:v>
                </c:pt>
                <c:pt idx="8">
                  <c:v>2</c:v>
                </c:pt>
              </c:numCache>
            </c:numRef>
          </c:val>
          <c:smooth val="0"/>
          <c:extLst>
            <c:ext xmlns:c16="http://schemas.microsoft.com/office/drawing/2014/chart" uri="{C3380CC4-5D6E-409C-BE32-E72D297353CC}">
              <c16:uniqueId val="{00000004-01AD-4003-A3AF-1B701E99435F}"/>
            </c:ext>
          </c:extLst>
        </c:ser>
        <c:dLbls>
          <c:showLegendKey val="0"/>
          <c:showVal val="0"/>
          <c:showCatName val="0"/>
          <c:showSerName val="0"/>
          <c:showPercent val="0"/>
          <c:showBubbleSize val="0"/>
        </c:dLbls>
        <c:marker val="1"/>
        <c:smooth val="0"/>
        <c:axId val="1413894528"/>
        <c:axId val="1413914112"/>
      </c:lineChart>
      <c:catAx>
        <c:axId val="1413900512"/>
        <c:scaling>
          <c:orientation val="minMax"/>
        </c:scaling>
        <c:delete val="0"/>
        <c:axPos val="b"/>
        <c:numFmt formatCode="General" sourceLinked="1"/>
        <c:majorTickMark val="none"/>
        <c:minorTickMark val="none"/>
        <c:tickLblPos val="nextTo"/>
        <c:crossAx val="1413906496"/>
        <c:crosses val="autoZero"/>
        <c:auto val="1"/>
        <c:lblAlgn val="ctr"/>
        <c:lblOffset val="100"/>
        <c:noMultiLvlLbl val="0"/>
      </c:catAx>
      <c:valAx>
        <c:axId val="1413906496"/>
        <c:scaling>
          <c:orientation val="minMax"/>
        </c:scaling>
        <c:delete val="0"/>
        <c:axPos val="l"/>
        <c:majorGridlines/>
        <c:numFmt formatCode="#,##0" sourceLinked="0"/>
        <c:majorTickMark val="none"/>
        <c:minorTickMark val="none"/>
        <c:tickLblPos val="nextTo"/>
        <c:spPr>
          <a:noFill/>
          <a:ln w="9525">
            <a:noFill/>
          </a:ln>
        </c:spPr>
        <c:crossAx val="1413900512"/>
        <c:crosses val="autoZero"/>
        <c:crossBetween val="between"/>
      </c:valAx>
      <c:valAx>
        <c:axId val="1413914112"/>
        <c:scaling>
          <c:orientation val="minMax"/>
        </c:scaling>
        <c:delete val="0"/>
        <c:axPos val="r"/>
        <c:numFmt formatCode="#,##0" sourceLinked="0"/>
        <c:majorTickMark val="out"/>
        <c:minorTickMark val="none"/>
        <c:tickLblPos val="nextTo"/>
        <c:crossAx val="1413894528"/>
        <c:crosses val="max"/>
        <c:crossBetween val="between"/>
      </c:valAx>
      <c:catAx>
        <c:axId val="1413894528"/>
        <c:scaling>
          <c:orientation val="minMax"/>
        </c:scaling>
        <c:delete val="1"/>
        <c:axPos val="b"/>
        <c:numFmt formatCode="General" sourceLinked="1"/>
        <c:majorTickMark val="out"/>
        <c:minorTickMark val="none"/>
        <c:tickLblPos val="nextTo"/>
        <c:crossAx val="1413914112"/>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Fuente Peligro: Altura</a:t>
            </a:r>
          </a:p>
        </c:rich>
      </c:tx>
      <c:overlay val="0"/>
    </c:title>
    <c:autoTitleDeleted val="0"/>
    <c:plotArea>
      <c:layout/>
      <c:barChart>
        <c:barDir val="col"/>
        <c:grouping val="clustered"/>
        <c:varyColors val="0"/>
        <c:ser>
          <c:idx val="0"/>
          <c:order val="0"/>
          <c:tx>
            <c:v>Dias</c:v>
          </c:tx>
          <c:invertIfNegative val="0"/>
          <c:dLbls>
            <c:dLbl>
              <c:idx val="0"/>
              <c:layout>
                <c:manualLayout>
                  <c:x val="0"/>
                  <c:y val="2.67472290466236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FD-470A-91D4-29F648F2C346}"/>
                </c:ext>
              </c:extLst>
            </c:dLbl>
            <c:dLbl>
              <c:idx val="2"/>
              <c:layout>
                <c:manualLayout>
                  <c:x val="-5.9186848128912128E-17"/>
                  <c:y val="3.06874064111713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FD-470A-91D4-29F648F2C346}"/>
                </c:ext>
              </c:extLst>
            </c:dLbl>
            <c:dLbl>
              <c:idx val="4"/>
              <c:spPr/>
              <c:txPr>
                <a:bodyPr/>
                <a:lstStyle/>
                <a:p>
                  <a:pPr>
                    <a:defRPr sz="1050" b="1">
                      <a:solidFill>
                        <a:sysClr val="windowText" lastClr="000000"/>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0-1978-4F2F-A21F-006CA6006A8C}"/>
                </c:ext>
              </c:extLst>
            </c:dLbl>
            <c:dLbl>
              <c:idx val="7"/>
              <c:layout>
                <c:manualLayout>
                  <c:x val="-1.1837369625782426E-16"/>
                  <c:y val="1.85637788652558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9E2-4D06-A474-6AC4EC50EF1D}"/>
                </c:ext>
              </c:extLst>
            </c:dLbl>
            <c:spPr>
              <a:noFill/>
              <a:ln>
                <a:noFill/>
              </a:ln>
              <a:effectLst/>
            </c:spPr>
            <c:txPr>
              <a:bodyPr/>
              <a:lstStyle/>
              <a:p>
                <a:pPr>
                  <a:defRPr sz="1050" b="1">
                    <a:solidFill>
                      <a:sysClr val="windowText" lastClr="000000"/>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Activ'!$C$1:$J$1</c:f>
              <c:numCache>
                <c:formatCode>General</c:formatCode>
                <c:ptCount val="8"/>
                <c:pt idx="0">
                  <c:v>2012</c:v>
                </c:pt>
                <c:pt idx="1">
                  <c:v>2013</c:v>
                </c:pt>
                <c:pt idx="2">
                  <c:v>2014</c:v>
                </c:pt>
                <c:pt idx="3">
                  <c:v>2015</c:v>
                </c:pt>
                <c:pt idx="4">
                  <c:v>2016</c:v>
                </c:pt>
                <c:pt idx="5">
                  <c:v>2017</c:v>
                </c:pt>
                <c:pt idx="6">
                  <c:v>2018</c:v>
                </c:pt>
                <c:pt idx="7">
                  <c:v>2019</c:v>
                </c:pt>
              </c:numCache>
            </c:numRef>
          </c:cat>
          <c:val>
            <c:numRef>
              <c:f>'Graf FP - Activ'!$C$42:$K$42</c:f>
              <c:numCache>
                <c:formatCode>General</c:formatCode>
                <c:ptCount val="9"/>
                <c:pt idx="0">
                  <c:v>9</c:v>
                </c:pt>
                <c:pt idx="1">
                  <c:v>0</c:v>
                </c:pt>
                <c:pt idx="2">
                  <c:v>37</c:v>
                </c:pt>
                <c:pt idx="3">
                  <c:v>12</c:v>
                </c:pt>
                <c:pt idx="4">
                  <c:v>399</c:v>
                </c:pt>
                <c:pt idx="5">
                  <c:v>0</c:v>
                </c:pt>
                <c:pt idx="6">
                  <c:v>90</c:v>
                </c:pt>
                <c:pt idx="7">
                  <c:v>6014</c:v>
                </c:pt>
                <c:pt idx="8">
                  <c:v>45</c:v>
                </c:pt>
              </c:numCache>
            </c:numRef>
          </c:val>
          <c:extLst>
            <c:ext xmlns:c16="http://schemas.microsoft.com/office/drawing/2014/chart" uri="{C3380CC4-5D6E-409C-BE32-E72D297353CC}">
              <c16:uniqueId val="{00000003-7AFD-470A-91D4-29F648F2C346}"/>
            </c:ext>
          </c:extLst>
        </c:ser>
        <c:dLbls>
          <c:showLegendKey val="0"/>
          <c:showVal val="0"/>
          <c:showCatName val="0"/>
          <c:showSerName val="0"/>
          <c:showPercent val="0"/>
          <c:showBubbleSize val="0"/>
        </c:dLbls>
        <c:gapWidth val="75"/>
        <c:overlap val="-25"/>
        <c:axId val="1413897792"/>
        <c:axId val="1413891808"/>
      </c:barChart>
      <c:lineChart>
        <c:grouping val="standard"/>
        <c:varyColors val="0"/>
        <c:ser>
          <c:idx val="1"/>
          <c:order val="1"/>
          <c:tx>
            <c:v>Cantidad</c:v>
          </c:tx>
          <c:spPr>
            <a:ln>
              <a:solidFill>
                <a:srgbClr val="FF0000"/>
              </a:solid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4-7AFD-470A-91D4-29F648F2C346}"/>
                </c:ext>
              </c:extLst>
            </c:dLbl>
            <c:dLbl>
              <c:idx val="5"/>
              <c:layout>
                <c:manualLayout>
                  <c:x val="-3.4685323173668403E-2"/>
                  <c:y val="-0.124120796307344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FD-470A-91D4-29F648F2C346}"/>
                </c:ext>
              </c:extLst>
            </c:dLbl>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AFD-470A-91D4-29F648F2C346}"/>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AFD-470A-91D4-29F648F2C346}"/>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'Graf FP - Activ'!$C$1:$K$1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'Graf FP - Activ'!$C$41:$K$41</c:f>
              <c:numCache>
                <c:formatCode>General</c:formatCode>
                <c:ptCount val="9"/>
                <c:pt idx="0">
                  <c:v>2</c:v>
                </c:pt>
                <c:pt idx="1">
                  <c:v>0</c:v>
                </c:pt>
                <c:pt idx="2">
                  <c:v>2</c:v>
                </c:pt>
                <c:pt idx="3">
                  <c:v>2</c:v>
                </c:pt>
                <c:pt idx="4">
                  <c:v>4</c:v>
                </c:pt>
                <c:pt idx="5">
                  <c:v>0</c:v>
                </c:pt>
                <c:pt idx="6">
                  <c:v>1</c:v>
                </c:pt>
                <c:pt idx="7">
                  <c:v>2</c:v>
                </c:pt>
                <c:pt idx="8">
                  <c:v>2</c:v>
                </c:pt>
              </c:numCache>
            </c:numRef>
          </c:val>
          <c:smooth val="0"/>
          <c:extLst>
            <c:ext xmlns:c16="http://schemas.microsoft.com/office/drawing/2014/chart" uri="{C3380CC4-5D6E-409C-BE32-E72D297353CC}">
              <c16:uniqueId val="{00000008-7AFD-470A-91D4-29F648F2C346}"/>
            </c:ext>
          </c:extLst>
        </c:ser>
        <c:dLbls>
          <c:showLegendKey val="0"/>
          <c:showVal val="0"/>
          <c:showCatName val="0"/>
          <c:showSerName val="0"/>
          <c:showPercent val="0"/>
          <c:showBubbleSize val="0"/>
        </c:dLbls>
        <c:marker val="1"/>
        <c:smooth val="0"/>
        <c:axId val="1413904864"/>
        <c:axId val="1413899424"/>
      </c:lineChart>
      <c:catAx>
        <c:axId val="1413897792"/>
        <c:scaling>
          <c:orientation val="minMax"/>
        </c:scaling>
        <c:delete val="0"/>
        <c:axPos val="b"/>
        <c:numFmt formatCode="General" sourceLinked="1"/>
        <c:majorTickMark val="none"/>
        <c:minorTickMark val="none"/>
        <c:tickLblPos val="nextTo"/>
        <c:crossAx val="1413891808"/>
        <c:crosses val="autoZero"/>
        <c:auto val="1"/>
        <c:lblAlgn val="ctr"/>
        <c:lblOffset val="100"/>
        <c:noMultiLvlLbl val="0"/>
      </c:catAx>
      <c:valAx>
        <c:axId val="1413891808"/>
        <c:scaling>
          <c:orientation val="minMax"/>
        </c:scaling>
        <c:delete val="0"/>
        <c:axPos val="l"/>
        <c:majorGridlines/>
        <c:numFmt formatCode="#,##0" sourceLinked="0"/>
        <c:majorTickMark val="none"/>
        <c:minorTickMark val="none"/>
        <c:tickLblPos val="nextTo"/>
        <c:spPr>
          <a:noFill/>
          <a:ln w="9525">
            <a:noFill/>
          </a:ln>
        </c:spPr>
        <c:crossAx val="1413897792"/>
        <c:crosses val="autoZero"/>
        <c:crossBetween val="between"/>
      </c:valAx>
      <c:valAx>
        <c:axId val="1413899424"/>
        <c:scaling>
          <c:orientation val="minMax"/>
        </c:scaling>
        <c:delete val="0"/>
        <c:axPos val="r"/>
        <c:numFmt formatCode="#,##0" sourceLinked="0"/>
        <c:majorTickMark val="out"/>
        <c:minorTickMark val="none"/>
        <c:tickLblPos val="nextTo"/>
        <c:crossAx val="1413904864"/>
        <c:crosses val="max"/>
        <c:crossBetween val="between"/>
      </c:valAx>
      <c:catAx>
        <c:axId val="1413904864"/>
        <c:scaling>
          <c:orientation val="minMax"/>
        </c:scaling>
        <c:delete val="1"/>
        <c:axPos val="b"/>
        <c:numFmt formatCode="General" sourceLinked="1"/>
        <c:majorTickMark val="out"/>
        <c:minorTickMark val="none"/>
        <c:tickLblPos val="nextTo"/>
        <c:crossAx val="1413899424"/>
        <c:crosses val="autoZero"/>
        <c:auto val="1"/>
        <c:lblAlgn val="ctr"/>
        <c:lblOffset val="100"/>
        <c:noMultiLvlLbl val="0"/>
      </c:cat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73600174978128"/>
          <c:y val="8.1018518518518517E-2"/>
          <c:w val="0.46388888888888891"/>
          <c:h val="0.77314814814814814"/>
        </c:manualLayout>
      </c:layout>
      <c:pieChart>
        <c:varyColors val="1"/>
        <c:ser>
          <c:idx val="0"/>
          <c:order val="0"/>
          <c:dLbls>
            <c:dLbl>
              <c:idx val="0"/>
              <c:layout>
                <c:manualLayout>
                  <c:x val="-0.17867338202148522"/>
                  <c:y val="-0.1559559744363724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B2-4137-A52E-B63782E8E03B}"/>
                </c:ext>
              </c:extLst>
            </c:dLbl>
            <c:dLbl>
              <c:idx val="1"/>
              <c:layout>
                <c:manualLayout>
                  <c:x val="0.10954212159353686"/>
                  <c:y val="-6.18074850842941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6B2-4137-A52E-B63782E8E03B}"/>
                </c:ext>
              </c:extLst>
            </c:dLbl>
            <c:dLbl>
              <c:idx val="2"/>
              <c:layout>
                <c:manualLayout>
                  <c:x val="9.8297866112460844E-2"/>
                  <c:y val="3.305117340988882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6B2-4137-A52E-B63782E8E03B}"/>
                </c:ext>
              </c:extLst>
            </c:dLbl>
            <c:dLbl>
              <c:idx val="3"/>
              <c:layout>
                <c:manualLayout>
                  <c:x val="6.6913217516026108E-2"/>
                  <c:y val="9.542728612616271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6B2-4137-A52E-B63782E8E03B}"/>
                </c:ext>
              </c:extLst>
            </c:dLbl>
            <c:dLbl>
              <c:idx val="4"/>
              <c:layout>
                <c:manualLayout>
                  <c:x val="5.1780617919971898E-2"/>
                  <c:y val="9.14222767875000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B2-4137-A52E-B63782E8E03B}"/>
                </c:ext>
              </c:extLst>
            </c:dLbl>
            <c:dLbl>
              <c:idx val="5"/>
              <c:layout>
                <c:manualLayout>
                  <c:x val="2.9514569856277258E-2"/>
                  <c:y val="9.18822866954057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6B2-4137-A52E-B63782E8E03B}"/>
                </c:ext>
              </c:extLst>
            </c:dLbl>
            <c:spPr>
              <a:noFill/>
              <a:ln>
                <a:noFill/>
              </a:ln>
              <a:effectLst/>
            </c:spPr>
            <c:txPr>
              <a:bodyPr wrap="square" lIns="38100" tIns="19050" rIns="38100" bIns="19050" anchor="ctr">
                <a:spAutoFit/>
              </a:bodyPr>
              <a:lstStyle/>
              <a:p>
                <a:pPr>
                  <a:defRPr>
                    <a:solidFill>
                      <a:schemeClr val="bg1"/>
                    </a:solidFill>
                  </a:defRPr>
                </a:pPr>
                <a:endParaRPr lang="es-PE"/>
              </a:p>
            </c:txPr>
            <c:showLegendKey val="0"/>
            <c:showVal val="1"/>
            <c:showCatName val="0"/>
            <c:showSerName val="0"/>
            <c:showPercent val="1"/>
            <c:showBubbleSize val="0"/>
            <c:showLeaderLines val="1"/>
            <c:extLst>
              <c:ext xmlns:c15="http://schemas.microsoft.com/office/drawing/2012/chart" uri="{CE6537A1-D6FC-4f65-9D91-7224C49458BB}"/>
            </c:extLst>
          </c:dLbls>
          <c:cat>
            <c:strRef>
              <c:f>'Graf FP - Activ'!$A$51:$A$56</c:f>
              <c:strCache>
                <c:ptCount val="6"/>
                <c:pt idx="0">
                  <c:v>Durante la actividad Productiva</c:v>
                </c:pt>
                <c:pt idx="1">
                  <c:v>Mantenimiento</c:v>
                </c:pt>
                <c:pt idx="2">
                  <c:v>Trasladandose a pie</c:v>
                </c:pt>
                <c:pt idx="3">
                  <c:v>Limpiando Equipos</c:v>
                </c:pt>
                <c:pt idx="4">
                  <c:v>Limpiando Instalaciones</c:v>
                </c:pt>
                <c:pt idx="5">
                  <c:v>Otros</c:v>
                </c:pt>
              </c:strCache>
            </c:strRef>
          </c:cat>
          <c:val>
            <c:numRef>
              <c:f>'Graf FP - Activ'!$B$51:$B$56</c:f>
              <c:numCache>
                <c:formatCode>General</c:formatCode>
                <c:ptCount val="6"/>
                <c:pt idx="0">
                  <c:v>42</c:v>
                </c:pt>
                <c:pt idx="1">
                  <c:v>7</c:v>
                </c:pt>
                <c:pt idx="2">
                  <c:v>6</c:v>
                </c:pt>
                <c:pt idx="3">
                  <c:v>4</c:v>
                </c:pt>
                <c:pt idx="4">
                  <c:v>2</c:v>
                </c:pt>
                <c:pt idx="5">
                  <c:v>4</c:v>
                </c:pt>
              </c:numCache>
            </c:numRef>
          </c:val>
          <c:extLst>
            <c:ext xmlns:c16="http://schemas.microsoft.com/office/drawing/2014/chart" uri="{C3380CC4-5D6E-409C-BE32-E72D297353CC}">
              <c16:uniqueId val="{00000000-E691-4F38-B1C5-53301503BAB6}"/>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57905409361004589"/>
          <c:y val="0.2332991787515423"/>
          <c:w val="0.3899445306325558"/>
          <c:h val="0.42398390119171797"/>
        </c:manualLayout>
      </c:layout>
      <c:overlay val="0"/>
    </c:legend>
    <c:plotVisOnly val="1"/>
    <c:dispBlanksAs val="gap"/>
    <c:showDLblsOverMax val="0"/>
  </c:chart>
  <c:spPr>
    <a:ln>
      <a:noFill/>
    </a:ln>
  </c:spPr>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73600174978128"/>
          <c:y val="8.1018518518518517E-2"/>
          <c:w val="0.46388888888888891"/>
          <c:h val="0.77314814814814814"/>
        </c:manualLayout>
      </c:layout>
      <c:pieChart>
        <c:varyColors val="1"/>
        <c:ser>
          <c:idx val="0"/>
          <c:order val="0"/>
          <c:dLbls>
            <c:dLbl>
              <c:idx val="0"/>
              <c:layout>
                <c:manualLayout>
                  <c:x val="-0.10320160451641658"/>
                  <c:y val="0.1424898731920805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3DFE-4FD9-8AFE-0536AB8C6771}"/>
                </c:ext>
              </c:extLst>
            </c:dLbl>
            <c:dLbl>
              <c:idx val="1"/>
              <c:layout>
                <c:manualLayout>
                  <c:x val="-9.3812212152726268E-2"/>
                  <c:y val="-3.838813181139243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DFE-4FD9-8AFE-0536AB8C6771}"/>
                </c:ext>
              </c:extLst>
            </c:dLbl>
            <c:dLbl>
              <c:idx val="2"/>
              <c:layout>
                <c:manualLayout>
                  <c:x val="-7.1513395731194057E-2"/>
                  <c:y val="-7.623842101704500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DFE-4FD9-8AFE-0536AB8C6771}"/>
                </c:ext>
              </c:extLst>
            </c:dLbl>
            <c:dLbl>
              <c:idx val="3"/>
              <c:layout>
                <c:manualLayout>
                  <c:x val="-4.8390696445963124E-2"/>
                  <c:y val="-7.24102110187046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DFE-4FD9-8AFE-0536AB8C6771}"/>
                </c:ext>
              </c:extLst>
            </c:dLbl>
            <c:dLbl>
              <c:idx val="4"/>
              <c:layout>
                <c:manualLayout>
                  <c:x val="-2.1594611994255435E-2"/>
                  <c:y val="-7.251224744447927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DFE-4FD9-8AFE-0536AB8C6771}"/>
                </c:ext>
              </c:extLst>
            </c:dLbl>
            <c:dLbl>
              <c:idx val="5"/>
              <c:layout>
                <c:manualLayout>
                  <c:x val="-4.1764307763416407E-2"/>
                  <c:y val="-0.1266969702557672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DFE-4FD9-8AFE-0536AB8C6771}"/>
                </c:ext>
              </c:extLst>
            </c:dLbl>
            <c:dLbl>
              <c:idx val="6"/>
              <c:layout>
                <c:manualLayout>
                  <c:x val="3.6734346885884547E-2"/>
                  <c:y val="-6.863455592641083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3DFE-4FD9-8AFE-0536AB8C6771}"/>
                </c:ext>
              </c:extLst>
            </c:dLbl>
            <c:dLbl>
              <c:idx val="7"/>
              <c:layout>
                <c:manualLayout>
                  <c:x val="0.16768195249178758"/>
                  <c:y val="1.197667914461511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DFE-4FD9-8AFE-0536AB8C6771}"/>
                </c:ext>
              </c:extLst>
            </c:dLbl>
            <c:spPr>
              <a:noFill/>
              <a:ln>
                <a:noFill/>
              </a:ln>
              <a:effectLst/>
            </c:spPr>
            <c:txPr>
              <a:bodyPr wrap="square" lIns="38100" tIns="19050" rIns="38100" bIns="19050" anchor="ctr">
                <a:spAutoFit/>
              </a:bodyPr>
              <a:lstStyle/>
              <a:p>
                <a:pPr>
                  <a:defRPr>
                    <a:solidFill>
                      <a:schemeClr val="bg1"/>
                    </a:solidFill>
                  </a:defRPr>
                </a:pPr>
                <a:endParaRPr lang="es-PE"/>
              </a:p>
            </c:txPr>
            <c:showLegendKey val="0"/>
            <c:showVal val="1"/>
            <c:showCatName val="0"/>
            <c:showSerName val="0"/>
            <c:showPercent val="1"/>
            <c:showBubbleSize val="0"/>
            <c:showLeaderLines val="1"/>
            <c:extLst>
              <c:ext xmlns:c15="http://schemas.microsoft.com/office/drawing/2012/chart" uri="{CE6537A1-D6FC-4f65-9D91-7224C49458BB}"/>
            </c:extLst>
          </c:dLbls>
          <c:cat>
            <c:strRef>
              <c:f>'Graf FP - Activ'!$A$66:$A$73</c:f>
              <c:strCache>
                <c:ptCount val="8"/>
                <c:pt idx="0">
                  <c:v>Maq/Equipos</c:v>
                </c:pt>
                <c:pt idx="1">
                  <c:v>Sust.Quim</c:v>
                </c:pt>
                <c:pt idx="2">
                  <c:v>Paletas</c:v>
                </c:pt>
                <c:pt idx="3">
                  <c:v>Fajas</c:v>
                </c:pt>
                <c:pt idx="4">
                  <c:v>EE</c:v>
                </c:pt>
                <c:pt idx="5">
                  <c:v>Escaleras</c:v>
                </c:pt>
                <c:pt idx="6">
                  <c:v>Montacargas</c:v>
                </c:pt>
                <c:pt idx="7">
                  <c:v>Otros</c:v>
                </c:pt>
              </c:strCache>
            </c:strRef>
          </c:cat>
          <c:val>
            <c:numRef>
              <c:f>'Graf FP - Activ'!$B$66:$B$73</c:f>
              <c:numCache>
                <c:formatCode>General</c:formatCode>
                <c:ptCount val="8"/>
                <c:pt idx="0">
                  <c:v>16</c:v>
                </c:pt>
                <c:pt idx="1">
                  <c:v>6</c:v>
                </c:pt>
                <c:pt idx="2">
                  <c:v>4</c:v>
                </c:pt>
                <c:pt idx="3">
                  <c:v>3</c:v>
                </c:pt>
                <c:pt idx="4">
                  <c:v>2</c:v>
                </c:pt>
                <c:pt idx="5">
                  <c:v>2</c:v>
                </c:pt>
                <c:pt idx="6">
                  <c:v>1</c:v>
                </c:pt>
                <c:pt idx="7">
                  <c:v>31</c:v>
                </c:pt>
              </c:numCache>
            </c:numRef>
          </c:val>
          <c:extLst>
            <c:ext xmlns:c16="http://schemas.microsoft.com/office/drawing/2014/chart" uri="{C3380CC4-5D6E-409C-BE32-E72D297353CC}">
              <c16:uniqueId val="{00000006-3DFE-4FD9-8AFE-0536AB8C6771}"/>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62354347216031969"/>
          <c:y val="0.20596544284423463"/>
          <c:w val="0.1500414335000578"/>
          <c:h val="0.56464991056445812"/>
        </c:manualLayout>
      </c:layout>
      <c:overlay val="0"/>
    </c:legend>
    <c:plotVisOnly val="1"/>
    <c:dispBlanksAs val="gap"/>
    <c:showDLblsOverMax val="0"/>
  </c:chart>
  <c:spPr>
    <a:ln>
      <a:noFill/>
    </a:ln>
  </c:spPr>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invertIfNegative val="0"/>
          <c:dPt>
            <c:idx val="3"/>
            <c:invertIfNegative val="0"/>
            <c:bubble3D val="0"/>
            <c:spPr>
              <a:solidFill>
                <a:srgbClr val="FF0000"/>
              </a:solidFill>
            </c:spPr>
            <c:extLst>
              <c:ext xmlns:c16="http://schemas.microsoft.com/office/drawing/2014/chart" uri="{C3380CC4-5D6E-409C-BE32-E72D297353CC}">
                <c16:uniqueId val="{00000001-676E-4296-8B06-FA6CEAA864F8}"/>
              </c:ext>
            </c:extLst>
          </c:dPt>
          <c:dPt>
            <c:idx val="4"/>
            <c:invertIfNegative val="0"/>
            <c:bubble3D val="0"/>
            <c:spPr>
              <a:solidFill>
                <a:srgbClr val="FF0000"/>
              </a:solidFill>
            </c:spPr>
            <c:extLst>
              <c:ext xmlns:c16="http://schemas.microsoft.com/office/drawing/2014/chart" uri="{C3380CC4-5D6E-409C-BE32-E72D297353CC}">
                <c16:uniqueId val="{00000003-676E-4296-8B06-FA6CEAA864F8}"/>
              </c:ext>
            </c:extLst>
          </c:dPt>
          <c:dPt>
            <c:idx val="5"/>
            <c:invertIfNegative val="0"/>
            <c:bubble3D val="0"/>
            <c:spPr>
              <a:solidFill>
                <a:srgbClr val="0070C0"/>
              </a:solidFill>
            </c:spPr>
            <c:extLst>
              <c:ext xmlns:c16="http://schemas.microsoft.com/office/drawing/2014/chart" uri="{C3380CC4-5D6E-409C-BE32-E72D297353CC}">
                <c16:uniqueId val="{00000005-676E-4296-8B06-FA6CEAA864F8}"/>
              </c:ext>
            </c:extLst>
          </c:dPt>
          <c:dPt>
            <c:idx val="7"/>
            <c:invertIfNegative val="0"/>
            <c:bubble3D val="0"/>
            <c:spPr>
              <a:solidFill>
                <a:srgbClr val="FF0000"/>
              </a:solidFill>
            </c:spPr>
            <c:extLst>
              <c:ext xmlns:c16="http://schemas.microsoft.com/office/drawing/2014/chart" uri="{C3380CC4-5D6E-409C-BE32-E72D297353CC}">
                <c16:uniqueId val="{00000007-676E-4296-8B06-FA6CEAA864F8}"/>
              </c:ext>
            </c:extLst>
          </c:dPt>
          <c:dPt>
            <c:idx val="8"/>
            <c:invertIfNegative val="0"/>
            <c:bubble3D val="0"/>
            <c:spPr>
              <a:solidFill>
                <a:srgbClr val="FF0000"/>
              </a:solidFill>
            </c:spPr>
            <c:extLst>
              <c:ext xmlns:c16="http://schemas.microsoft.com/office/drawing/2014/chart" uri="{C3380CC4-5D6E-409C-BE32-E72D297353CC}">
                <c16:uniqueId val="{00000009-676E-4296-8B06-FA6CEAA864F8}"/>
              </c:ext>
            </c:extLst>
          </c:dPt>
          <c:dPt>
            <c:idx val="9"/>
            <c:invertIfNegative val="0"/>
            <c:bubble3D val="0"/>
            <c:spPr>
              <a:solidFill>
                <a:srgbClr val="FF0000"/>
              </a:solidFill>
            </c:spPr>
            <c:extLst>
              <c:ext xmlns:c16="http://schemas.microsoft.com/office/drawing/2014/chart" uri="{C3380CC4-5D6E-409C-BE32-E72D297353CC}">
                <c16:uniqueId val="{0000000B-676E-4296-8B06-FA6CEAA864F8}"/>
              </c:ext>
            </c:extLst>
          </c:dPt>
          <c:dPt>
            <c:idx val="10"/>
            <c:invertIfNegative val="0"/>
            <c:bubble3D val="0"/>
            <c:spPr>
              <a:solidFill>
                <a:srgbClr val="FF0000"/>
              </a:solidFill>
            </c:spPr>
            <c:extLst>
              <c:ext xmlns:c16="http://schemas.microsoft.com/office/drawing/2014/chart" uri="{C3380CC4-5D6E-409C-BE32-E72D297353CC}">
                <c16:uniqueId val="{0000000D-676E-4296-8B06-FA6CEAA864F8}"/>
              </c:ext>
            </c:extLst>
          </c:dPt>
          <c:dPt>
            <c:idx val="11"/>
            <c:invertIfNegative val="0"/>
            <c:bubble3D val="0"/>
            <c:spPr>
              <a:solidFill>
                <a:srgbClr val="FF0000"/>
              </a:solidFill>
            </c:spPr>
            <c:extLst>
              <c:ext xmlns:c16="http://schemas.microsoft.com/office/drawing/2014/chart" uri="{C3380CC4-5D6E-409C-BE32-E72D297353CC}">
                <c16:uniqueId val="{0000000F-676E-4296-8B06-FA6CEAA864F8}"/>
              </c:ext>
            </c:extLst>
          </c:dPt>
          <c:dPt>
            <c:idx val="12"/>
            <c:invertIfNegative val="0"/>
            <c:bubble3D val="0"/>
            <c:spPr>
              <a:solidFill>
                <a:srgbClr val="FF0000"/>
              </a:solidFill>
            </c:spPr>
            <c:extLst>
              <c:ext xmlns:c16="http://schemas.microsoft.com/office/drawing/2014/chart" uri="{C3380CC4-5D6E-409C-BE32-E72D297353CC}">
                <c16:uniqueId val="{00000011-676E-4296-8B06-FA6CEAA864F8}"/>
              </c:ext>
            </c:extLst>
          </c:dPt>
          <c:dPt>
            <c:idx val="13"/>
            <c:invertIfNegative val="0"/>
            <c:bubble3D val="0"/>
            <c:spPr>
              <a:solidFill>
                <a:srgbClr val="FF0000"/>
              </a:solidFill>
            </c:spPr>
            <c:extLst>
              <c:ext xmlns:c16="http://schemas.microsoft.com/office/drawing/2014/chart" uri="{C3380CC4-5D6E-409C-BE32-E72D297353CC}">
                <c16:uniqueId val="{00000013-676E-4296-8B06-FA6CEAA864F8}"/>
              </c:ext>
            </c:extLst>
          </c:dPt>
          <c:dPt>
            <c:idx val="14"/>
            <c:invertIfNegative val="0"/>
            <c:bubble3D val="0"/>
            <c:spPr>
              <a:solidFill>
                <a:srgbClr val="FF0000"/>
              </a:solidFill>
            </c:spPr>
            <c:extLst>
              <c:ext xmlns:c16="http://schemas.microsoft.com/office/drawing/2014/chart" uri="{C3380CC4-5D6E-409C-BE32-E72D297353CC}">
                <c16:uniqueId val="{00000015-676E-4296-8B06-FA6CEAA864F8}"/>
              </c:ext>
            </c:extLst>
          </c:dPt>
          <c:dPt>
            <c:idx val="15"/>
            <c:invertIfNegative val="0"/>
            <c:bubble3D val="0"/>
            <c:spPr>
              <a:solidFill>
                <a:srgbClr val="0070C0"/>
              </a:solidFill>
            </c:spPr>
            <c:extLst>
              <c:ext xmlns:c16="http://schemas.microsoft.com/office/drawing/2014/chart" uri="{C3380CC4-5D6E-409C-BE32-E72D297353CC}">
                <c16:uniqueId val="{00000017-676E-4296-8B06-FA6CEAA864F8}"/>
              </c:ext>
            </c:extLst>
          </c:dPt>
          <c:dPt>
            <c:idx val="16"/>
            <c:invertIfNegative val="0"/>
            <c:bubble3D val="0"/>
            <c:spPr>
              <a:solidFill>
                <a:srgbClr val="0070C0"/>
              </a:solidFill>
            </c:spPr>
            <c:extLst>
              <c:ext xmlns:c16="http://schemas.microsoft.com/office/drawing/2014/chart" uri="{C3380CC4-5D6E-409C-BE32-E72D297353CC}">
                <c16:uniqueId val="{00000019-676E-4296-8B06-FA6CEAA864F8}"/>
              </c:ext>
            </c:extLst>
          </c:dPt>
          <c:dPt>
            <c:idx val="17"/>
            <c:invertIfNegative val="0"/>
            <c:bubble3D val="0"/>
            <c:spPr>
              <a:solidFill>
                <a:srgbClr val="FF0000"/>
              </a:solidFill>
            </c:spPr>
            <c:extLst>
              <c:ext xmlns:c16="http://schemas.microsoft.com/office/drawing/2014/chart" uri="{C3380CC4-5D6E-409C-BE32-E72D297353CC}">
                <c16:uniqueId val="{0000001B-676E-4296-8B06-FA6CEAA864F8}"/>
              </c:ext>
            </c:extLst>
          </c:dPt>
          <c:dPt>
            <c:idx val="18"/>
            <c:invertIfNegative val="0"/>
            <c:bubble3D val="0"/>
            <c:spPr>
              <a:solidFill>
                <a:srgbClr val="FF0000"/>
              </a:solidFill>
            </c:spPr>
            <c:extLst>
              <c:ext xmlns:c16="http://schemas.microsoft.com/office/drawing/2014/chart" uri="{C3380CC4-5D6E-409C-BE32-E72D297353CC}">
                <c16:uniqueId val="{0000001D-676E-4296-8B06-FA6CEAA864F8}"/>
              </c:ext>
            </c:extLst>
          </c:dPt>
          <c:dPt>
            <c:idx val="19"/>
            <c:invertIfNegative val="0"/>
            <c:bubble3D val="0"/>
            <c:spPr>
              <a:solidFill>
                <a:srgbClr val="FF0000"/>
              </a:solidFill>
            </c:spPr>
            <c:extLst>
              <c:ext xmlns:c16="http://schemas.microsoft.com/office/drawing/2014/chart" uri="{C3380CC4-5D6E-409C-BE32-E72D297353CC}">
                <c16:uniqueId val="{0000001F-676E-4296-8B06-FA6CEAA864F8}"/>
              </c:ext>
            </c:extLst>
          </c:dPt>
          <c:dPt>
            <c:idx val="20"/>
            <c:invertIfNegative val="0"/>
            <c:bubble3D val="0"/>
            <c:spPr>
              <a:solidFill>
                <a:srgbClr val="0070C0"/>
              </a:solidFill>
            </c:spPr>
            <c:extLst>
              <c:ext xmlns:c16="http://schemas.microsoft.com/office/drawing/2014/chart" uri="{C3380CC4-5D6E-409C-BE32-E72D297353CC}">
                <c16:uniqueId val="{00000021-676E-4296-8B06-FA6CEAA864F8}"/>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'Dias Sin Accidentes'!$A$4:$A$36</c:f>
              <c:strCache>
                <c:ptCount val="21"/>
                <c:pt idx="0">
                  <c:v>MOL. SANTA ROSA</c:v>
                </c:pt>
                <c:pt idx="1">
                  <c:v>MOL. FAUCETT </c:v>
                </c:pt>
                <c:pt idx="2">
                  <c:v>MOL. CALLAO </c:v>
                </c:pt>
                <c:pt idx="3">
                  <c:v>GALLETERA&amp; INSTANTANEOS</c:v>
                </c:pt>
                <c:pt idx="4">
                  <c:v>FIDEERIA LIMA</c:v>
                </c:pt>
                <c:pt idx="5">
                  <c:v>COPSA+BAL LIMA</c:v>
                </c:pt>
                <c:pt idx="6">
                  <c:v>SIDSUR+MAQ</c:v>
                </c:pt>
                <c:pt idx="7">
                  <c:v>VITAPRO TRUJILLO</c:v>
                </c:pt>
                <c:pt idx="8">
                  <c:v>DETERGENTES</c:v>
                </c:pt>
                <c:pt idx="9">
                  <c:v>JABONERIA</c:v>
                </c:pt>
                <c:pt idx="10">
                  <c:v>DISTRIBUCION LIMA</c:v>
                </c:pt>
                <c:pt idx="11">
                  <c:v>DISTRIBUCION PROVINCIAS</c:v>
                </c:pt>
                <c:pt idx="12">
                  <c:v>ADMINISTRACION</c:v>
                </c:pt>
                <c:pt idx="13">
                  <c:v>RELACIONES LABORALES</c:v>
                </c:pt>
                <c:pt idx="14">
                  <c:v>DESARROLLO TECNOLOGICO</c:v>
                </c:pt>
                <c:pt idx="15">
                  <c:v>MOLINO TRUJILLO</c:v>
                </c:pt>
                <c:pt idx="16">
                  <c:v>MOLINO PAITA</c:v>
                </c:pt>
                <c:pt idx="17">
                  <c:v>GALLETERA TRUJILLO</c:v>
                </c:pt>
                <c:pt idx="18">
                  <c:v>TEAL</c:v>
                </c:pt>
                <c:pt idx="19">
                  <c:v>GLOBAL</c:v>
                </c:pt>
                <c:pt idx="20">
                  <c:v>TOTAL</c:v>
                </c:pt>
              </c:strCache>
            </c:strRef>
          </c:cat>
          <c:val>
            <c:numRef>
              <c:f>'Dias Sin Accidentes'!$F$4:$F$36</c:f>
              <c:numCache>
                <c:formatCode>#,##0</c:formatCode>
                <c:ptCount val="21"/>
                <c:pt idx="0">
                  <c:v>221470.5</c:v>
                </c:pt>
                <c:pt idx="1">
                  <c:v>230748.57986118726</c:v>
                </c:pt>
                <c:pt idx="2">
                  <c:v>272016.66753424652</c:v>
                </c:pt>
                <c:pt idx="3">
                  <c:v>183109.39218721466</c:v>
                </c:pt>
                <c:pt idx="4">
                  <c:v>251984.94695585992</c:v>
                </c:pt>
                <c:pt idx="5">
                  <c:v>-48837.30772237444</c:v>
                </c:pt>
                <c:pt idx="6">
                  <c:v>1952269.5814520551</c:v>
                </c:pt>
                <c:pt idx="7">
                  <c:v>373827.57534246577</c:v>
                </c:pt>
                <c:pt idx="8">
                  <c:v>77757.710301369865</c:v>
                </c:pt>
                <c:pt idx="9">
                  <c:v>181108.78397260272</c:v>
                </c:pt>
                <c:pt idx="10">
                  <c:v>847727.23075342574</c:v>
                </c:pt>
                <c:pt idx="11">
                  <c:v>46000</c:v>
                </c:pt>
                <c:pt idx="12">
                  <c:v>2396767.3145015221</c:v>
                </c:pt>
                <c:pt idx="13">
                  <c:v>839637.89939726039</c:v>
                </c:pt>
                <c:pt idx="14">
                  <c:v>834924.95605479425</c:v>
                </c:pt>
                <c:pt idx="15">
                  <c:v>0</c:v>
                </c:pt>
                <c:pt idx="16">
                  <c:v>1027120.879890411</c:v>
                </c:pt>
                <c:pt idx="17">
                  <c:v>0</c:v>
                </c:pt>
                <c:pt idx="18">
                  <c:v>361286.51739726024</c:v>
                </c:pt>
                <c:pt idx="19">
                  <c:v>104402.26301369863</c:v>
                </c:pt>
                <c:pt idx="20">
                  <c:v>0</c:v>
                </c:pt>
              </c:numCache>
            </c:numRef>
          </c:val>
          <c:extLst>
            <c:ext xmlns:c16="http://schemas.microsoft.com/office/drawing/2014/chart" uri="{C3380CC4-5D6E-409C-BE32-E72D297353CC}">
              <c16:uniqueId val="{00000022-676E-4296-8B06-FA6CEAA864F8}"/>
            </c:ext>
          </c:extLst>
        </c:ser>
        <c:dLbls>
          <c:showLegendKey val="0"/>
          <c:showVal val="0"/>
          <c:showCatName val="0"/>
          <c:showSerName val="0"/>
          <c:showPercent val="0"/>
          <c:showBubbleSize val="0"/>
        </c:dLbls>
        <c:gapWidth val="150"/>
        <c:axId val="1413901056"/>
        <c:axId val="1413885824"/>
      </c:barChart>
      <c:catAx>
        <c:axId val="1413901056"/>
        <c:scaling>
          <c:orientation val="minMax"/>
        </c:scaling>
        <c:delete val="0"/>
        <c:axPos val="l"/>
        <c:numFmt formatCode="General" sourceLinked="0"/>
        <c:majorTickMark val="out"/>
        <c:minorTickMark val="none"/>
        <c:tickLblPos val="nextTo"/>
        <c:txPr>
          <a:bodyPr/>
          <a:lstStyle/>
          <a:p>
            <a:pPr>
              <a:defRPr sz="800"/>
            </a:pPr>
            <a:endParaRPr lang="es-PE"/>
          </a:p>
        </c:txPr>
        <c:crossAx val="1413885824"/>
        <c:crosses val="autoZero"/>
        <c:auto val="1"/>
        <c:lblAlgn val="ctr"/>
        <c:lblOffset val="100"/>
        <c:noMultiLvlLbl val="0"/>
      </c:catAx>
      <c:valAx>
        <c:axId val="1413885824"/>
        <c:scaling>
          <c:orientation val="minMax"/>
          <c:max val="700000"/>
          <c:min val="0"/>
        </c:scaling>
        <c:delete val="0"/>
        <c:axPos val="b"/>
        <c:majorGridlines/>
        <c:numFmt formatCode="#,##0" sourceLinked="1"/>
        <c:majorTickMark val="out"/>
        <c:minorTickMark val="none"/>
        <c:tickLblPos val="nextTo"/>
        <c:crossAx val="1413901056"/>
        <c:crosses val="autoZero"/>
        <c:crossBetween val="between"/>
        <c:majorUnit val="200000"/>
        <c:dispUnits>
          <c:builtInUnit val="thousands"/>
          <c:dispUnitsLbl/>
        </c:dispUnits>
      </c:valAx>
    </c:plotArea>
    <c:plotVisOnly val="1"/>
    <c:dispBlanksAs val="gap"/>
    <c:showDLblsOverMax val="0"/>
  </c:chart>
  <c:spPr>
    <a:ln>
      <a:noFill/>
    </a:ln>
  </c:spPr>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PE"/>
              <a:t>MTBA (Prom.Dias sin Accidentes Inca+DMR)</a:t>
            </a:r>
          </a:p>
        </c:rich>
      </c:tx>
      <c:layout>
        <c:manualLayout>
          <c:xMode val="edge"/>
          <c:yMode val="edge"/>
          <c:x val="0.2238808208675408"/>
          <c:y val="2.4271844660194396E-2"/>
        </c:manualLayout>
      </c:layout>
      <c:overlay val="0"/>
      <c:spPr>
        <a:noFill/>
        <a:ln w="25400">
          <a:noFill/>
        </a:ln>
      </c:spPr>
    </c:title>
    <c:autoTitleDeleted val="0"/>
    <c:plotArea>
      <c:layout>
        <c:manualLayout>
          <c:layoutTarget val="inner"/>
          <c:xMode val="edge"/>
          <c:yMode val="edge"/>
          <c:x val="0.10234552233134239"/>
          <c:y val="0.16019417475728159"/>
          <c:w val="0.88912672525353686"/>
          <c:h val="0.47572815533981994"/>
        </c:manualLayout>
      </c:layout>
      <c:barChart>
        <c:barDir val="col"/>
        <c:grouping val="clustered"/>
        <c:varyColors val="0"/>
        <c:ser>
          <c:idx val="1"/>
          <c:order val="0"/>
          <c:tx>
            <c:v>MTBA x Año</c:v>
          </c:tx>
          <c:spPr>
            <a:gradFill rotWithShape="0">
              <a:gsLst>
                <a:gs pos="0">
                  <a:srgbClr val="99CCFF"/>
                </a:gs>
                <a:gs pos="100000">
                  <a:srgbClr val="99CCFF">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[11]Sheet1!$AY$4:$AY$8</c:f>
              <c:numCache>
                <c:formatCode>General</c:formatCode>
                <c:ptCount val="5"/>
              </c:numCache>
            </c:numRef>
          </c:cat>
          <c:val>
            <c:numRef>
              <c:f>[11]Sheet1!$BA$4:$BA$8</c:f>
              <c:numCache>
                <c:formatCode>General</c:formatCode>
                <c:ptCount val="5"/>
              </c:numCache>
            </c:numRef>
          </c:val>
          <c:extLst>
            <c:ext xmlns:c16="http://schemas.microsoft.com/office/drawing/2014/chart" uri="{C3380CC4-5D6E-409C-BE32-E72D297353CC}">
              <c16:uniqueId val="{00000000-CD51-4D70-AFCD-71CDE2284CDA}"/>
            </c:ext>
          </c:extLst>
        </c:ser>
        <c:dLbls>
          <c:showLegendKey val="1"/>
          <c:showVal val="1"/>
          <c:showCatName val="0"/>
          <c:showSerName val="0"/>
          <c:showPercent val="0"/>
          <c:showBubbleSize val="0"/>
        </c:dLbls>
        <c:gapWidth val="150"/>
        <c:axId val="1413893440"/>
        <c:axId val="1413887456"/>
      </c:barChart>
      <c:lineChart>
        <c:grouping val="standard"/>
        <c:varyColors val="0"/>
        <c:ser>
          <c:idx val="0"/>
          <c:order val="1"/>
          <c:tx>
            <c:v>MTBA Acumulado</c:v>
          </c:tx>
          <c:spPr>
            <a:ln w="38100">
              <a:solidFill>
                <a:srgbClr val="0000FF"/>
              </a:solidFill>
              <a:prstDash val="solid"/>
            </a:ln>
          </c:spPr>
          <c:marker>
            <c:symbol val="circle"/>
            <c:size val="7"/>
            <c:spPr>
              <a:solidFill>
                <a:srgbClr val="0000FF"/>
              </a:solidFill>
              <a:ln>
                <a:solidFill>
                  <a:srgbClr val="0000FF"/>
                </a:solidFill>
                <a:prstDash val="solid"/>
              </a:ln>
            </c:spPr>
          </c:marker>
          <c:dLbls>
            <c:numFmt formatCode="0" sourceLinked="0"/>
            <c:spPr>
              <a:noFill/>
              <a:ln w="25400">
                <a:noFill/>
              </a:ln>
            </c:spPr>
            <c:txPr>
              <a:bodyPr/>
              <a:lstStyle/>
              <a:p>
                <a:pPr>
                  <a:defRPr sz="11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[11]Sheet1!$AY$4:$AY$8</c:f>
              <c:numCache>
                <c:formatCode>General</c:formatCode>
                <c:ptCount val="5"/>
              </c:numCache>
            </c:numRef>
          </c:cat>
          <c:val>
            <c:numRef>
              <c:f>[11]Sheet1!$AZ$4:$AZ$8</c:f>
              <c:numCache>
                <c:formatCode>General</c:formatCode>
                <c:ptCount val="5"/>
              </c:numCache>
            </c:numRef>
          </c:val>
          <c:smooth val="0"/>
          <c:extLst>
            <c:ext xmlns:c16="http://schemas.microsoft.com/office/drawing/2014/chart" uri="{C3380CC4-5D6E-409C-BE32-E72D297353CC}">
              <c16:uniqueId val="{00000001-CD51-4D70-AFCD-71CDE2284CDA}"/>
            </c:ext>
          </c:extLst>
        </c:ser>
        <c:dLbls>
          <c:showLegendKey val="1"/>
          <c:showVal val="1"/>
          <c:showCatName val="0"/>
          <c:showSerName val="0"/>
          <c:showPercent val="0"/>
          <c:showBubbleSize val="0"/>
        </c:dLbls>
        <c:marker val="1"/>
        <c:smooth val="0"/>
        <c:axId val="1413886368"/>
        <c:axId val="1413890176"/>
      </c:lineChart>
      <c:catAx>
        <c:axId val="141389344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887456"/>
        <c:crosses val="autoZero"/>
        <c:auto val="0"/>
        <c:lblAlgn val="ctr"/>
        <c:lblOffset val="100"/>
        <c:tickLblSkip val="1"/>
        <c:tickMarkSkip val="1"/>
        <c:noMultiLvlLbl val="0"/>
      </c:catAx>
      <c:valAx>
        <c:axId val="1413887456"/>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893440"/>
        <c:crosses val="autoZero"/>
        <c:crossBetween val="between"/>
      </c:valAx>
      <c:catAx>
        <c:axId val="1413886368"/>
        <c:scaling>
          <c:orientation val="minMax"/>
        </c:scaling>
        <c:delete val="1"/>
        <c:axPos val="b"/>
        <c:numFmt formatCode="General" sourceLinked="1"/>
        <c:majorTickMark val="out"/>
        <c:minorTickMark val="none"/>
        <c:tickLblPos val="none"/>
        <c:crossAx val="1413890176"/>
        <c:crosses val="autoZero"/>
        <c:auto val="0"/>
        <c:lblAlgn val="ctr"/>
        <c:lblOffset val="100"/>
        <c:noMultiLvlLbl val="0"/>
      </c:catAx>
      <c:valAx>
        <c:axId val="1413890176"/>
        <c:scaling>
          <c:orientation val="minMax"/>
        </c:scaling>
        <c:delete val="1"/>
        <c:axPos val="l"/>
        <c:numFmt formatCode="General" sourceLinked="1"/>
        <c:majorTickMark val="out"/>
        <c:minorTickMark val="none"/>
        <c:tickLblPos val="none"/>
        <c:crossAx val="1413886368"/>
        <c:crosses val="autoZero"/>
        <c:crossBetween val="between"/>
      </c:valAx>
      <c:spPr>
        <a:solidFill>
          <a:srgbClr val="FFFFFF"/>
        </a:solidFill>
        <a:ln w="12700">
          <a:solidFill>
            <a:srgbClr val="000000"/>
          </a:solidFill>
          <a:prstDash val="solid"/>
        </a:ln>
      </c:spPr>
    </c:plotArea>
    <c:legend>
      <c:legendPos val="r"/>
      <c:layout>
        <c:manualLayout>
          <c:xMode val="edge"/>
          <c:yMode val="edge"/>
          <c:x val="0.28571458317500037"/>
          <c:y val="0.8689320388349514"/>
          <c:w val="0.46908364401865282"/>
          <c:h val="9.7087378640776698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oddHeader>&amp;A</c:oddHeader>
      <c:oddFooter>Page &amp;P</c:oddFooter>
    </c:headerFooter>
    <c:pageMargins b="1" l="0.75000000000001465" r="0.75000000000001465" t="1" header="0.5" footer="0.5"/>
    <c:pageSetup paperSize="9" orientation="landscape"/>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PE"/>
              <a:t>MTTR (Prom.Dias Descanso Incap+DMR)</a:t>
            </a:r>
          </a:p>
        </c:rich>
      </c:tx>
      <c:layout>
        <c:manualLayout>
          <c:xMode val="edge"/>
          <c:yMode val="edge"/>
          <c:x val="0.22317619095896268"/>
          <c:y val="2.4509803921568631E-2"/>
        </c:manualLayout>
      </c:layout>
      <c:overlay val="0"/>
      <c:spPr>
        <a:noFill/>
        <a:ln w="25400">
          <a:noFill/>
        </a:ln>
      </c:spPr>
    </c:title>
    <c:autoTitleDeleted val="0"/>
    <c:plotArea>
      <c:layout>
        <c:manualLayout>
          <c:layoutTarget val="inner"/>
          <c:xMode val="edge"/>
          <c:yMode val="edge"/>
          <c:x val="0.10300439977492939"/>
          <c:y val="0.18627540151751393"/>
          <c:w val="0.85407814813380589"/>
          <c:h val="0.48039445654515428"/>
        </c:manualLayout>
      </c:layout>
      <c:barChart>
        <c:barDir val="col"/>
        <c:grouping val="clustered"/>
        <c:varyColors val="0"/>
        <c:ser>
          <c:idx val="1"/>
          <c:order val="0"/>
          <c:tx>
            <c:v>MTBA x Año</c:v>
          </c:tx>
          <c:spPr>
            <a:gradFill rotWithShape="0">
              <a:gsLst>
                <a:gs pos="0">
                  <a:srgbClr val="99FF99"/>
                </a:gs>
                <a:gs pos="100000">
                  <a:srgbClr val="99FF99">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[11]Sheet1!$AY$4:$AY$8</c:f>
              <c:numCache>
                <c:formatCode>General</c:formatCode>
                <c:ptCount val="5"/>
              </c:numCache>
            </c:numRef>
          </c:cat>
          <c:val>
            <c:numRef>
              <c:f>[11]Sheet1!$BC$4:$BC$8</c:f>
              <c:numCache>
                <c:formatCode>General</c:formatCode>
                <c:ptCount val="5"/>
              </c:numCache>
            </c:numRef>
          </c:val>
          <c:extLst>
            <c:ext xmlns:c16="http://schemas.microsoft.com/office/drawing/2014/chart" uri="{C3380CC4-5D6E-409C-BE32-E72D297353CC}">
              <c16:uniqueId val="{00000000-E2B3-427A-BA18-62259D4C12B5}"/>
            </c:ext>
          </c:extLst>
        </c:ser>
        <c:dLbls>
          <c:showLegendKey val="1"/>
          <c:showVal val="1"/>
          <c:showCatName val="0"/>
          <c:showSerName val="0"/>
          <c:showPercent val="0"/>
          <c:showBubbleSize val="0"/>
        </c:dLbls>
        <c:gapWidth val="150"/>
        <c:axId val="1413884736"/>
        <c:axId val="1413911936"/>
      </c:barChart>
      <c:lineChart>
        <c:grouping val="standard"/>
        <c:varyColors val="0"/>
        <c:ser>
          <c:idx val="0"/>
          <c:order val="1"/>
          <c:tx>
            <c:v>MTBA Acumulado</c:v>
          </c:tx>
          <c:spPr>
            <a:ln w="38100">
              <a:solidFill>
                <a:srgbClr val="008000"/>
              </a:solidFill>
              <a:prstDash val="solid"/>
            </a:ln>
          </c:spPr>
          <c:marker>
            <c:symbol val="circle"/>
            <c:size val="7"/>
            <c:spPr>
              <a:solidFill>
                <a:srgbClr val="008000"/>
              </a:solidFill>
              <a:ln>
                <a:solidFill>
                  <a:srgbClr val="008000"/>
                </a:solidFill>
                <a:prstDash val="solid"/>
              </a:ln>
            </c:spPr>
          </c:marker>
          <c:dLbls>
            <c:numFmt formatCode="0" sourceLinked="0"/>
            <c:spPr>
              <a:noFill/>
              <a:ln w="25400">
                <a:noFill/>
              </a:ln>
            </c:spPr>
            <c:txPr>
              <a:bodyPr/>
              <a:lstStyle/>
              <a:p>
                <a:pPr>
                  <a:defRPr sz="1100" b="1" i="0" u="none" strike="noStrike" baseline="0">
                    <a:solidFill>
                      <a:srgbClr val="008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[11]Sheet1!$AY$4:$AY$8</c:f>
              <c:numCache>
                <c:formatCode>General</c:formatCode>
                <c:ptCount val="5"/>
              </c:numCache>
            </c:numRef>
          </c:cat>
          <c:val>
            <c:numRef>
              <c:f>[11]Sheet1!$BB$4:$BB$8</c:f>
              <c:numCache>
                <c:formatCode>General</c:formatCode>
                <c:ptCount val="5"/>
              </c:numCache>
            </c:numRef>
          </c:val>
          <c:smooth val="0"/>
          <c:extLst>
            <c:ext xmlns:c16="http://schemas.microsoft.com/office/drawing/2014/chart" uri="{C3380CC4-5D6E-409C-BE32-E72D297353CC}">
              <c16:uniqueId val="{00000001-E2B3-427A-BA18-62259D4C12B5}"/>
            </c:ext>
          </c:extLst>
        </c:ser>
        <c:dLbls>
          <c:showLegendKey val="1"/>
          <c:showVal val="1"/>
          <c:showCatName val="0"/>
          <c:showSerName val="0"/>
          <c:showPercent val="0"/>
          <c:showBubbleSize val="0"/>
        </c:dLbls>
        <c:marker val="1"/>
        <c:smooth val="0"/>
        <c:axId val="1413895072"/>
        <c:axId val="1413895616"/>
      </c:lineChart>
      <c:catAx>
        <c:axId val="14138847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911936"/>
        <c:crosses val="autoZero"/>
        <c:auto val="0"/>
        <c:lblAlgn val="ctr"/>
        <c:lblOffset val="100"/>
        <c:tickLblSkip val="1"/>
        <c:tickMarkSkip val="1"/>
        <c:noMultiLvlLbl val="0"/>
      </c:catAx>
      <c:valAx>
        <c:axId val="1413911936"/>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s-PE"/>
          </a:p>
        </c:txPr>
        <c:crossAx val="1413884736"/>
        <c:crosses val="autoZero"/>
        <c:crossBetween val="between"/>
      </c:valAx>
      <c:catAx>
        <c:axId val="1413895072"/>
        <c:scaling>
          <c:orientation val="minMax"/>
        </c:scaling>
        <c:delete val="1"/>
        <c:axPos val="b"/>
        <c:numFmt formatCode="General" sourceLinked="1"/>
        <c:majorTickMark val="out"/>
        <c:minorTickMark val="none"/>
        <c:tickLblPos val="none"/>
        <c:crossAx val="1413895616"/>
        <c:crosses val="autoZero"/>
        <c:auto val="0"/>
        <c:lblAlgn val="ctr"/>
        <c:lblOffset val="100"/>
        <c:noMultiLvlLbl val="0"/>
      </c:catAx>
      <c:valAx>
        <c:axId val="1413895616"/>
        <c:scaling>
          <c:orientation val="minMax"/>
        </c:scaling>
        <c:delete val="1"/>
        <c:axPos val="l"/>
        <c:numFmt formatCode="General" sourceLinked="1"/>
        <c:majorTickMark val="out"/>
        <c:minorTickMark val="none"/>
        <c:tickLblPos val="none"/>
        <c:crossAx val="1413895072"/>
        <c:crosses val="autoZero"/>
        <c:crossBetween val="between"/>
      </c:valAx>
      <c:spPr>
        <a:solidFill>
          <a:srgbClr val="FFFFFF"/>
        </a:solidFill>
        <a:ln w="12700">
          <a:solidFill>
            <a:srgbClr val="000000"/>
          </a:solidFill>
          <a:prstDash val="solid"/>
        </a:ln>
      </c:spPr>
    </c:plotArea>
    <c:legend>
      <c:legendPos val="r"/>
      <c:layout>
        <c:manualLayout>
          <c:xMode val="edge"/>
          <c:yMode val="edge"/>
          <c:x val="0.30257542433885753"/>
          <c:y val="0.8676512123315625"/>
          <c:w val="0.47210349896842618"/>
          <c:h val="9.8039685009215158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MTBA (Prom.Dias sin Accidentes Inca+DMR)</a:t>
            </a:r>
          </a:p>
        </c:rich>
      </c:tx>
      <c:overlay val="0"/>
      <c:spPr>
        <a:noFill/>
        <a:ln w="25400">
          <a:noFill/>
        </a:ln>
      </c:spPr>
    </c:title>
    <c:autoTitleDeleted val="0"/>
    <c:plotArea>
      <c:layout/>
      <c:barChart>
        <c:barDir val="col"/>
        <c:grouping val="clustered"/>
        <c:varyColors val="0"/>
        <c:ser>
          <c:idx val="1"/>
          <c:order val="0"/>
          <c:tx>
            <c:v>MTBA x Año</c:v>
          </c:tx>
          <c:spPr>
            <a:gradFill rotWithShape="0">
              <a:gsLst>
                <a:gs pos="0">
                  <a:srgbClr val="99CCFF"/>
                </a:gs>
                <a:gs pos="100000">
                  <a:srgbClr val="99CCFF">
                    <a:gamma/>
                    <a:shade val="46275"/>
                    <a:invGamma/>
                  </a:srgbClr>
                </a:gs>
              </a:gsLst>
              <a:lin ang="5400000" scaled="1"/>
            </a:gradFill>
            <a:ln w="3175">
              <a:solidFill>
                <a:srgbClr val="000000"/>
              </a:solidFill>
              <a:prstDash val="solid"/>
            </a:ln>
          </c:spPr>
          <c:invertIfNegative val="0"/>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[11]Sheet1!$BK$4:$BK$8</c:f>
              <c:numCache>
                <c:formatCode>General</c:formatCode>
                <c:ptCount val="5"/>
              </c:numCache>
            </c:numRef>
          </c:cat>
          <c:val>
            <c:numRef>
              <c:f>[11]Sheet1!$BM$4:$BM$8</c:f>
              <c:numCache>
                <c:formatCode>General</c:formatCode>
                <c:ptCount val="5"/>
              </c:numCache>
            </c:numRef>
          </c:val>
          <c:extLst>
            <c:ext xmlns:c16="http://schemas.microsoft.com/office/drawing/2014/chart" uri="{C3380CC4-5D6E-409C-BE32-E72D297353CC}">
              <c16:uniqueId val="{00000000-C901-4C5A-AF2A-95560219EB78}"/>
            </c:ext>
          </c:extLst>
        </c:ser>
        <c:dLbls>
          <c:showLegendKey val="1"/>
          <c:showVal val="1"/>
          <c:showCatName val="0"/>
          <c:showSerName val="0"/>
          <c:showPercent val="0"/>
          <c:showBubbleSize val="0"/>
        </c:dLbls>
        <c:gapWidth val="150"/>
        <c:axId val="1413902688"/>
        <c:axId val="1413910848"/>
      </c:barChart>
      <c:lineChart>
        <c:grouping val="standard"/>
        <c:varyColors val="0"/>
        <c:ser>
          <c:idx val="0"/>
          <c:order val="1"/>
          <c:tx>
            <c:v>MTBA Acumulado</c:v>
          </c:tx>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[11]Sheet1!$BK$4:$BK$8</c:f>
              <c:numCache>
                <c:formatCode>General</c:formatCode>
                <c:ptCount val="5"/>
              </c:numCache>
            </c:numRef>
          </c:cat>
          <c:val>
            <c:numRef>
              <c:f>[11]Sheet1!$BL$4:$BL$8</c:f>
              <c:numCache>
                <c:formatCode>General</c:formatCode>
                <c:ptCount val="5"/>
              </c:numCache>
            </c:numRef>
          </c:val>
          <c:smooth val="0"/>
          <c:extLst>
            <c:ext xmlns:c16="http://schemas.microsoft.com/office/drawing/2014/chart" uri="{C3380CC4-5D6E-409C-BE32-E72D297353CC}">
              <c16:uniqueId val="{00000001-C901-4C5A-AF2A-95560219EB78}"/>
            </c:ext>
          </c:extLst>
        </c:ser>
        <c:dLbls>
          <c:showLegendKey val="1"/>
          <c:showVal val="1"/>
          <c:showCatName val="0"/>
          <c:showSerName val="0"/>
          <c:showPercent val="0"/>
          <c:showBubbleSize val="0"/>
        </c:dLbls>
        <c:marker val="1"/>
        <c:smooth val="0"/>
        <c:axId val="1413893984"/>
        <c:axId val="1413903776"/>
      </c:lineChart>
      <c:catAx>
        <c:axId val="141390268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910848"/>
        <c:crosses val="autoZero"/>
        <c:auto val="0"/>
        <c:lblAlgn val="ctr"/>
        <c:lblOffset val="100"/>
        <c:tickMarkSkip val="1"/>
        <c:noMultiLvlLbl val="0"/>
      </c:catAx>
      <c:valAx>
        <c:axId val="1413910848"/>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902688"/>
        <c:crosses val="autoZero"/>
        <c:crossBetween val="between"/>
      </c:valAx>
      <c:catAx>
        <c:axId val="1413893984"/>
        <c:scaling>
          <c:orientation val="minMax"/>
        </c:scaling>
        <c:delete val="1"/>
        <c:axPos val="b"/>
        <c:numFmt formatCode="General" sourceLinked="1"/>
        <c:majorTickMark val="out"/>
        <c:minorTickMark val="none"/>
        <c:tickLblPos val="none"/>
        <c:crossAx val="1413903776"/>
        <c:crosses val="autoZero"/>
        <c:auto val="0"/>
        <c:lblAlgn val="ctr"/>
        <c:lblOffset val="100"/>
        <c:noMultiLvlLbl val="0"/>
      </c:catAx>
      <c:valAx>
        <c:axId val="1413903776"/>
        <c:scaling>
          <c:orientation val="minMax"/>
        </c:scaling>
        <c:delete val="1"/>
        <c:axPos val="l"/>
        <c:numFmt formatCode="General" sourceLinked="1"/>
        <c:majorTickMark val="out"/>
        <c:minorTickMark val="none"/>
        <c:tickLblPos val="none"/>
        <c:crossAx val="1413893984"/>
        <c:crosses val="autoZero"/>
        <c:crossBetween val="between"/>
      </c:valAx>
      <c:spPr>
        <a:solidFill>
          <a:srgbClr val="FFFFFF"/>
        </a:solidFill>
        <a:ln w="12700">
          <a:solidFill>
            <a:srgbClr val="000000"/>
          </a:solidFill>
          <a:prstDash val="solid"/>
        </a:ln>
      </c:spPr>
    </c:plotArea>
    <c:legend>
      <c:legendPos val="r"/>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MTTR (Prom.Dias Descanso Incap+DMR)</a:t>
            </a:r>
          </a:p>
        </c:rich>
      </c:tx>
      <c:overlay val="0"/>
      <c:spPr>
        <a:noFill/>
        <a:ln w="25400">
          <a:noFill/>
        </a:ln>
      </c:spPr>
    </c:title>
    <c:autoTitleDeleted val="0"/>
    <c:plotArea>
      <c:layout/>
      <c:barChart>
        <c:barDir val="col"/>
        <c:grouping val="clustered"/>
        <c:varyColors val="0"/>
        <c:ser>
          <c:idx val="1"/>
          <c:order val="0"/>
          <c:tx>
            <c:v>MTBA x Año</c:v>
          </c:tx>
          <c:spPr>
            <a:gradFill rotWithShape="0">
              <a:gsLst>
                <a:gs pos="0">
                  <a:srgbClr val="99FF99"/>
                </a:gs>
                <a:gs pos="100000">
                  <a:srgbClr val="99FF99">
                    <a:gamma/>
                    <a:shade val="46275"/>
                    <a:invGamma/>
                  </a:srgbClr>
                </a:gs>
              </a:gsLst>
              <a:lin ang="5400000" scaled="1"/>
            </a:gradFill>
            <a:ln w="3175">
              <a:solidFill>
                <a:srgbClr val="000000"/>
              </a:solidFill>
              <a:prstDash val="solid"/>
            </a:ln>
          </c:spPr>
          <c:invertIfNegative val="0"/>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[11]Sheet1!$BK$4:$BK$8</c:f>
              <c:numCache>
                <c:formatCode>General</c:formatCode>
                <c:ptCount val="5"/>
              </c:numCache>
            </c:numRef>
          </c:cat>
          <c:val>
            <c:numRef>
              <c:f>[11]Sheet1!$BO$4:$BO$8</c:f>
              <c:numCache>
                <c:formatCode>General</c:formatCode>
                <c:ptCount val="5"/>
              </c:numCache>
            </c:numRef>
          </c:val>
          <c:extLst>
            <c:ext xmlns:c16="http://schemas.microsoft.com/office/drawing/2014/chart" uri="{C3380CC4-5D6E-409C-BE32-E72D297353CC}">
              <c16:uniqueId val="{00000000-42BB-40EB-B230-B6101F01FB94}"/>
            </c:ext>
          </c:extLst>
        </c:ser>
        <c:dLbls>
          <c:showLegendKey val="1"/>
          <c:showVal val="1"/>
          <c:showCatName val="0"/>
          <c:showSerName val="0"/>
          <c:showPercent val="0"/>
          <c:showBubbleSize val="0"/>
        </c:dLbls>
        <c:gapWidth val="150"/>
        <c:axId val="1413905408"/>
        <c:axId val="1413892352"/>
      </c:barChart>
      <c:lineChart>
        <c:grouping val="standard"/>
        <c:varyColors val="0"/>
        <c:ser>
          <c:idx val="0"/>
          <c:order val="1"/>
          <c:tx>
            <c:v>MTBA Acumulado</c:v>
          </c:tx>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[11]Sheet1!$BK$4:$BK$8</c:f>
              <c:numCache>
                <c:formatCode>General</c:formatCode>
                <c:ptCount val="5"/>
              </c:numCache>
            </c:numRef>
          </c:cat>
          <c:val>
            <c:numRef>
              <c:f>[11]Sheet1!$BN$4:$BN$8</c:f>
              <c:numCache>
                <c:formatCode>General</c:formatCode>
                <c:ptCount val="5"/>
              </c:numCache>
            </c:numRef>
          </c:val>
          <c:smooth val="0"/>
          <c:extLst>
            <c:ext xmlns:c16="http://schemas.microsoft.com/office/drawing/2014/chart" uri="{C3380CC4-5D6E-409C-BE32-E72D297353CC}">
              <c16:uniqueId val="{00000001-42BB-40EB-B230-B6101F01FB94}"/>
            </c:ext>
          </c:extLst>
        </c:ser>
        <c:dLbls>
          <c:showLegendKey val="1"/>
          <c:showVal val="1"/>
          <c:showCatName val="0"/>
          <c:showSerName val="0"/>
          <c:showPercent val="0"/>
          <c:showBubbleSize val="0"/>
        </c:dLbls>
        <c:marker val="1"/>
        <c:smooth val="0"/>
        <c:axId val="1413899968"/>
        <c:axId val="1413890720"/>
      </c:lineChart>
      <c:catAx>
        <c:axId val="141390540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892352"/>
        <c:crosses val="autoZero"/>
        <c:auto val="0"/>
        <c:lblAlgn val="ctr"/>
        <c:lblOffset val="100"/>
        <c:tickMarkSkip val="1"/>
        <c:noMultiLvlLbl val="0"/>
      </c:catAx>
      <c:valAx>
        <c:axId val="1413892352"/>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s-PE"/>
          </a:p>
        </c:txPr>
        <c:crossAx val="1413905408"/>
        <c:crosses val="autoZero"/>
        <c:crossBetween val="between"/>
      </c:valAx>
      <c:catAx>
        <c:axId val="1413899968"/>
        <c:scaling>
          <c:orientation val="minMax"/>
        </c:scaling>
        <c:delete val="1"/>
        <c:axPos val="b"/>
        <c:numFmt formatCode="General" sourceLinked="1"/>
        <c:majorTickMark val="out"/>
        <c:minorTickMark val="none"/>
        <c:tickLblPos val="none"/>
        <c:crossAx val="1413890720"/>
        <c:crosses val="autoZero"/>
        <c:auto val="0"/>
        <c:lblAlgn val="ctr"/>
        <c:lblOffset val="100"/>
        <c:noMultiLvlLbl val="0"/>
      </c:catAx>
      <c:valAx>
        <c:axId val="1413890720"/>
        <c:scaling>
          <c:orientation val="minMax"/>
        </c:scaling>
        <c:delete val="1"/>
        <c:axPos val="l"/>
        <c:numFmt formatCode="General" sourceLinked="1"/>
        <c:majorTickMark val="out"/>
        <c:minorTickMark val="none"/>
        <c:tickLblPos val="none"/>
        <c:crossAx val="1413899968"/>
        <c:crosses val="autoZero"/>
        <c:crossBetween val="between"/>
      </c:valAx>
      <c:spPr>
        <a:solidFill>
          <a:srgbClr val="FFFFFF"/>
        </a:solidFill>
        <a:ln w="12700">
          <a:solidFill>
            <a:srgbClr val="000000"/>
          </a:solidFill>
          <a:prstDash val="solid"/>
        </a:ln>
      </c:spPr>
    </c:plotArea>
    <c:legend>
      <c:legendPos val="r"/>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PE"/>
              <a:t>MTBA (Prom.Dias sin Accidentes Inca+DMR)</a:t>
            </a:r>
          </a:p>
        </c:rich>
      </c:tx>
      <c:layout>
        <c:manualLayout>
          <c:xMode val="edge"/>
          <c:yMode val="edge"/>
          <c:x val="0.22621564482029732"/>
          <c:y val="2.4271844660194396E-2"/>
        </c:manualLayout>
      </c:layout>
      <c:overlay val="0"/>
      <c:spPr>
        <a:noFill/>
        <a:ln w="25400">
          <a:noFill/>
        </a:ln>
      </c:spPr>
    </c:title>
    <c:autoTitleDeleted val="0"/>
    <c:plotArea>
      <c:layout>
        <c:manualLayout>
          <c:layoutTarget val="inner"/>
          <c:xMode val="edge"/>
          <c:yMode val="edge"/>
          <c:x val="0.1014799154334038"/>
          <c:y val="0.16019417475728159"/>
          <c:w val="0.89006342494712898"/>
          <c:h val="0.48058252427185877"/>
        </c:manualLayout>
      </c:layout>
      <c:barChart>
        <c:barDir val="col"/>
        <c:grouping val="clustered"/>
        <c:varyColors val="0"/>
        <c:ser>
          <c:idx val="1"/>
          <c:order val="0"/>
          <c:tx>
            <c:v>MTBA x Año</c:v>
          </c:tx>
          <c:spPr>
            <a:gradFill rotWithShape="0">
              <a:gsLst>
                <a:gs pos="0">
                  <a:srgbClr val="99CCFF"/>
                </a:gs>
                <a:gs pos="100000">
                  <a:srgbClr val="99CCFF">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[11]Sheet1!$BW$4:$BW$8</c:f>
              <c:numCache>
                <c:formatCode>General</c:formatCode>
                <c:ptCount val="5"/>
              </c:numCache>
            </c:numRef>
          </c:cat>
          <c:val>
            <c:numRef>
              <c:f>[11]Sheet1!$BY$4:$BY$8</c:f>
              <c:numCache>
                <c:formatCode>General</c:formatCode>
                <c:ptCount val="5"/>
              </c:numCache>
            </c:numRef>
          </c:val>
          <c:extLst>
            <c:ext xmlns:c16="http://schemas.microsoft.com/office/drawing/2014/chart" uri="{C3380CC4-5D6E-409C-BE32-E72D297353CC}">
              <c16:uniqueId val="{00000000-5499-4401-9870-1B7EA7FC66CE}"/>
            </c:ext>
          </c:extLst>
        </c:ser>
        <c:dLbls>
          <c:showLegendKey val="1"/>
          <c:showVal val="1"/>
          <c:showCatName val="0"/>
          <c:showSerName val="0"/>
          <c:showPercent val="0"/>
          <c:showBubbleSize val="0"/>
        </c:dLbls>
        <c:gapWidth val="150"/>
        <c:axId val="1413883104"/>
        <c:axId val="1413913568"/>
      </c:barChart>
      <c:lineChart>
        <c:grouping val="standard"/>
        <c:varyColors val="0"/>
        <c:ser>
          <c:idx val="0"/>
          <c:order val="1"/>
          <c:tx>
            <c:v>MTBA Acumulado</c:v>
          </c:tx>
          <c:spPr>
            <a:ln w="38100">
              <a:solidFill>
                <a:srgbClr val="0000FF"/>
              </a:solidFill>
              <a:prstDash val="solid"/>
            </a:ln>
          </c:spPr>
          <c:marker>
            <c:symbol val="circle"/>
            <c:size val="7"/>
            <c:spPr>
              <a:solidFill>
                <a:srgbClr val="0000FF"/>
              </a:solidFill>
              <a:ln>
                <a:solidFill>
                  <a:srgbClr val="0000FF"/>
                </a:solidFill>
                <a:prstDash val="solid"/>
              </a:ln>
            </c:spPr>
          </c:marker>
          <c:dLbls>
            <c:numFmt formatCode="0" sourceLinked="0"/>
            <c:spPr>
              <a:noFill/>
              <a:ln w="25400">
                <a:noFill/>
              </a:ln>
            </c:spPr>
            <c:txPr>
              <a:bodyPr/>
              <a:lstStyle/>
              <a:p>
                <a:pPr>
                  <a:defRPr sz="11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[11]Sheet1!$BW$4:$BW$8</c:f>
              <c:numCache>
                <c:formatCode>General</c:formatCode>
                <c:ptCount val="5"/>
              </c:numCache>
            </c:numRef>
          </c:cat>
          <c:val>
            <c:numRef>
              <c:f>[11]Sheet1!$BX$4:$BX$8</c:f>
              <c:numCache>
                <c:formatCode>General</c:formatCode>
                <c:ptCount val="5"/>
              </c:numCache>
            </c:numRef>
          </c:val>
          <c:smooth val="0"/>
          <c:extLst>
            <c:ext xmlns:c16="http://schemas.microsoft.com/office/drawing/2014/chart" uri="{C3380CC4-5D6E-409C-BE32-E72D297353CC}">
              <c16:uniqueId val="{00000001-5499-4401-9870-1B7EA7FC66CE}"/>
            </c:ext>
          </c:extLst>
        </c:ser>
        <c:dLbls>
          <c:showLegendKey val="1"/>
          <c:showVal val="1"/>
          <c:showCatName val="0"/>
          <c:showSerName val="0"/>
          <c:showPercent val="0"/>
          <c:showBubbleSize val="0"/>
        </c:dLbls>
        <c:marker val="1"/>
        <c:smooth val="0"/>
        <c:axId val="1413882016"/>
        <c:axId val="1413898880"/>
      </c:lineChart>
      <c:catAx>
        <c:axId val="141388310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913568"/>
        <c:crosses val="autoZero"/>
        <c:auto val="0"/>
        <c:lblAlgn val="ctr"/>
        <c:lblOffset val="100"/>
        <c:tickLblSkip val="1"/>
        <c:tickMarkSkip val="1"/>
        <c:noMultiLvlLbl val="0"/>
      </c:catAx>
      <c:valAx>
        <c:axId val="1413913568"/>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883104"/>
        <c:crosses val="autoZero"/>
        <c:crossBetween val="between"/>
      </c:valAx>
      <c:catAx>
        <c:axId val="1413882016"/>
        <c:scaling>
          <c:orientation val="minMax"/>
        </c:scaling>
        <c:delete val="1"/>
        <c:axPos val="b"/>
        <c:numFmt formatCode="General" sourceLinked="1"/>
        <c:majorTickMark val="out"/>
        <c:minorTickMark val="none"/>
        <c:tickLblPos val="none"/>
        <c:crossAx val="1413898880"/>
        <c:crosses val="autoZero"/>
        <c:auto val="0"/>
        <c:lblAlgn val="ctr"/>
        <c:lblOffset val="100"/>
        <c:noMultiLvlLbl val="0"/>
      </c:catAx>
      <c:valAx>
        <c:axId val="1413898880"/>
        <c:scaling>
          <c:orientation val="minMax"/>
        </c:scaling>
        <c:delete val="1"/>
        <c:axPos val="l"/>
        <c:numFmt formatCode="General" sourceLinked="1"/>
        <c:majorTickMark val="out"/>
        <c:minorTickMark val="none"/>
        <c:tickLblPos val="none"/>
        <c:crossAx val="1413882016"/>
        <c:crosses val="autoZero"/>
        <c:crossBetween val="between"/>
      </c:valAx>
      <c:spPr>
        <a:solidFill>
          <a:srgbClr val="FFFFFF"/>
        </a:solidFill>
        <a:ln w="12700">
          <a:solidFill>
            <a:srgbClr val="000000"/>
          </a:solidFill>
          <a:prstDash val="solid"/>
        </a:ln>
      </c:spPr>
    </c:plotArea>
    <c:legend>
      <c:legendPos val="r"/>
      <c:layout>
        <c:manualLayout>
          <c:xMode val="edge"/>
          <c:yMode val="edge"/>
          <c:x val="0.29386892177590218"/>
          <c:y val="0.8689320388349514"/>
          <c:w val="0.46511627906977038"/>
          <c:h val="9.7087378640776698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PE"/>
              <a:t>MTTR (Prom.Dias Descanso Incap+DMR)</a:t>
            </a:r>
          </a:p>
        </c:rich>
      </c:tx>
      <c:layout>
        <c:manualLayout>
          <c:xMode val="edge"/>
          <c:yMode val="edge"/>
          <c:x val="0.22553191489361687"/>
          <c:y val="2.4509803921568631E-2"/>
        </c:manualLayout>
      </c:layout>
      <c:overlay val="0"/>
      <c:spPr>
        <a:noFill/>
        <a:ln w="25400">
          <a:noFill/>
        </a:ln>
      </c:spPr>
    </c:title>
    <c:autoTitleDeleted val="0"/>
    <c:plotArea>
      <c:layout>
        <c:manualLayout>
          <c:layoutTarget val="inner"/>
          <c:xMode val="edge"/>
          <c:yMode val="edge"/>
          <c:x val="0.10212765957446808"/>
          <c:y val="0.18627540151751393"/>
          <c:w val="0.85531914893617023"/>
          <c:h val="0.48039445654515428"/>
        </c:manualLayout>
      </c:layout>
      <c:barChart>
        <c:barDir val="col"/>
        <c:grouping val="clustered"/>
        <c:varyColors val="0"/>
        <c:ser>
          <c:idx val="1"/>
          <c:order val="0"/>
          <c:tx>
            <c:v>MTBA x Año</c:v>
          </c:tx>
          <c:spPr>
            <a:gradFill rotWithShape="0">
              <a:gsLst>
                <a:gs pos="0">
                  <a:srgbClr val="99FF99"/>
                </a:gs>
                <a:gs pos="100000">
                  <a:srgbClr val="99FF99">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[11]Sheet1!$AY$4:$AY$8</c:f>
              <c:numCache>
                <c:formatCode>General</c:formatCode>
                <c:ptCount val="5"/>
              </c:numCache>
            </c:numRef>
          </c:cat>
          <c:val>
            <c:numRef>
              <c:f>[11]Sheet1!$CA$4:$CA$8</c:f>
              <c:numCache>
                <c:formatCode>General</c:formatCode>
                <c:ptCount val="5"/>
              </c:numCache>
            </c:numRef>
          </c:val>
          <c:extLst>
            <c:ext xmlns:c16="http://schemas.microsoft.com/office/drawing/2014/chart" uri="{C3380CC4-5D6E-409C-BE32-E72D297353CC}">
              <c16:uniqueId val="{00000000-F357-4286-87C8-4593B08F264F}"/>
            </c:ext>
          </c:extLst>
        </c:ser>
        <c:dLbls>
          <c:showLegendKey val="1"/>
          <c:showVal val="1"/>
          <c:showCatName val="0"/>
          <c:showSerName val="0"/>
          <c:showPercent val="0"/>
          <c:showBubbleSize val="0"/>
        </c:dLbls>
        <c:gapWidth val="150"/>
        <c:axId val="1413883648"/>
        <c:axId val="1413888000"/>
      </c:barChart>
      <c:lineChart>
        <c:grouping val="standard"/>
        <c:varyColors val="0"/>
        <c:ser>
          <c:idx val="0"/>
          <c:order val="1"/>
          <c:tx>
            <c:v>MTBA Acumulado</c:v>
          </c:tx>
          <c:spPr>
            <a:ln w="38100">
              <a:solidFill>
                <a:srgbClr val="008000"/>
              </a:solidFill>
              <a:prstDash val="solid"/>
            </a:ln>
          </c:spPr>
          <c:marker>
            <c:symbol val="circle"/>
            <c:size val="7"/>
            <c:spPr>
              <a:solidFill>
                <a:srgbClr val="008000"/>
              </a:solidFill>
              <a:ln>
                <a:solidFill>
                  <a:srgbClr val="008000"/>
                </a:solidFill>
                <a:prstDash val="solid"/>
              </a:ln>
            </c:spPr>
          </c:marker>
          <c:dLbls>
            <c:numFmt formatCode="0" sourceLinked="0"/>
            <c:spPr>
              <a:noFill/>
              <a:ln w="25400">
                <a:noFill/>
              </a:ln>
            </c:spPr>
            <c:txPr>
              <a:bodyPr/>
              <a:lstStyle/>
              <a:p>
                <a:pPr>
                  <a:defRPr sz="1100" b="1" i="0" u="none" strike="noStrike" baseline="0">
                    <a:solidFill>
                      <a:srgbClr val="008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[11]Sheet1!$AY$4:$AY$8</c:f>
              <c:numCache>
                <c:formatCode>General</c:formatCode>
                <c:ptCount val="5"/>
              </c:numCache>
            </c:numRef>
          </c:cat>
          <c:val>
            <c:numRef>
              <c:f>[11]Sheet1!$BZ$4:$BZ$8</c:f>
              <c:numCache>
                <c:formatCode>General</c:formatCode>
                <c:ptCount val="5"/>
              </c:numCache>
            </c:numRef>
          </c:val>
          <c:smooth val="0"/>
          <c:extLst>
            <c:ext xmlns:c16="http://schemas.microsoft.com/office/drawing/2014/chart" uri="{C3380CC4-5D6E-409C-BE32-E72D297353CC}">
              <c16:uniqueId val="{00000001-F357-4286-87C8-4593B08F264F}"/>
            </c:ext>
          </c:extLst>
        </c:ser>
        <c:dLbls>
          <c:showLegendKey val="1"/>
          <c:showVal val="1"/>
          <c:showCatName val="0"/>
          <c:showSerName val="0"/>
          <c:showPercent val="0"/>
          <c:showBubbleSize val="0"/>
        </c:dLbls>
        <c:marker val="1"/>
        <c:smooth val="0"/>
        <c:axId val="1413885280"/>
        <c:axId val="1413905952"/>
      </c:lineChart>
      <c:catAx>
        <c:axId val="141388364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888000"/>
        <c:crosses val="autoZero"/>
        <c:auto val="0"/>
        <c:lblAlgn val="ctr"/>
        <c:lblOffset val="100"/>
        <c:tickLblSkip val="1"/>
        <c:tickMarkSkip val="1"/>
        <c:noMultiLvlLbl val="0"/>
      </c:catAx>
      <c:valAx>
        <c:axId val="1413888000"/>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s-PE"/>
          </a:p>
        </c:txPr>
        <c:crossAx val="1413883648"/>
        <c:crosses val="autoZero"/>
        <c:crossBetween val="between"/>
      </c:valAx>
      <c:catAx>
        <c:axId val="1413885280"/>
        <c:scaling>
          <c:orientation val="minMax"/>
        </c:scaling>
        <c:delete val="1"/>
        <c:axPos val="b"/>
        <c:numFmt formatCode="General" sourceLinked="1"/>
        <c:majorTickMark val="out"/>
        <c:minorTickMark val="none"/>
        <c:tickLblPos val="none"/>
        <c:crossAx val="1413905952"/>
        <c:crosses val="autoZero"/>
        <c:auto val="0"/>
        <c:lblAlgn val="ctr"/>
        <c:lblOffset val="100"/>
        <c:noMultiLvlLbl val="0"/>
      </c:catAx>
      <c:valAx>
        <c:axId val="1413905952"/>
        <c:scaling>
          <c:orientation val="minMax"/>
        </c:scaling>
        <c:delete val="1"/>
        <c:axPos val="l"/>
        <c:numFmt formatCode="General" sourceLinked="1"/>
        <c:majorTickMark val="out"/>
        <c:minorTickMark val="none"/>
        <c:tickLblPos val="none"/>
        <c:crossAx val="1413885280"/>
        <c:crosses val="autoZero"/>
        <c:crossBetween val="between"/>
      </c:valAx>
      <c:spPr>
        <a:solidFill>
          <a:srgbClr val="FFFFFF"/>
        </a:solidFill>
        <a:ln w="12700">
          <a:solidFill>
            <a:srgbClr val="000000"/>
          </a:solidFill>
          <a:prstDash val="solid"/>
        </a:ln>
      </c:spPr>
    </c:plotArea>
    <c:legend>
      <c:legendPos val="r"/>
      <c:layout>
        <c:manualLayout>
          <c:xMode val="edge"/>
          <c:yMode val="edge"/>
          <c:x val="0.30000000000000032"/>
          <c:y val="0.8676512123315625"/>
          <c:w val="0.46808510638298056"/>
          <c:h val="9.8039685009215158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PE"/>
              <a:t>MTBA (Prom.Dias sin Accidentes Inca+DMR)</a:t>
            </a:r>
          </a:p>
        </c:rich>
      </c:tx>
      <c:layout>
        <c:manualLayout>
          <c:xMode val="edge"/>
          <c:yMode val="edge"/>
          <c:x val="0.20001499812523563"/>
          <c:y val="2.2321428571428582E-2"/>
        </c:manualLayout>
      </c:layout>
      <c:overlay val="0"/>
      <c:spPr>
        <a:noFill/>
        <a:ln w="25400">
          <a:noFill/>
        </a:ln>
      </c:spPr>
    </c:title>
    <c:autoTitleDeleted val="0"/>
    <c:plotArea>
      <c:layout/>
      <c:barChart>
        <c:barDir val="col"/>
        <c:grouping val="clustered"/>
        <c:varyColors val="0"/>
        <c:ser>
          <c:idx val="1"/>
          <c:order val="0"/>
          <c:tx>
            <c:v>MTBA x Año</c:v>
          </c:tx>
          <c:spPr>
            <a:gradFill rotWithShape="0">
              <a:gsLst>
                <a:gs pos="0">
                  <a:srgbClr val="99CCFF"/>
                </a:gs>
                <a:gs pos="100000">
                  <a:srgbClr val="99CCFF">
                    <a:gamma/>
                    <a:shade val="46275"/>
                    <a:invGamma/>
                  </a:srgbClr>
                </a:gs>
              </a:gsLst>
              <a:lin ang="5400000" scaled="1"/>
            </a:gradFill>
            <a:ln w="3175">
              <a:solidFill>
                <a:srgbClr val="000000"/>
              </a:solidFill>
              <a:prstDash val="solid"/>
            </a:ln>
          </c:spPr>
          <c:invertIfNegative val="0"/>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[11]Sheet1!$BE$4:$BE$8</c:f>
              <c:numCache>
                <c:formatCode>General</c:formatCode>
                <c:ptCount val="5"/>
              </c:numCache>
            </c:numRef>
          </c:cat>
          <c:val>
            <c:numRef>
              <c:f>[11]Sheet1!$BG$4:$BG$8</c:f>
              <c:numCache>
                <c:formatCode>General</c:formatCode>
                <c:ptCount val="5"/>
              </c:numCache>
            </c:numRef>
          </c:val>
          <c:extLst>
            <c:ext xmlns:c16="http://schemas.microsoft.com/office/drawing/2014/chart" uri="{C3380CC4-5D6E-409C-BE32-E72D297353CC}">
              <c16:uniqueId val="{00000000-F5E7-4DC8-9B41-A308B6DDDB7B}"/>
            </c:ext>
          </c:extLst>
        </c:ser>
        <c:dLbls>
          <c:showLegendKey val="1"/>
          <c:showVal val="1"/>
          <c:showCatName val="0"/>
          <c:showSerName val="0"/>
          <c:showPercent val="0"/>
          <c:showBubbleSize val="0"/>
        </c:dLbls>
        <c:gapWidth val="150"/>
        <c:axId val="1413882560"/>
        <c:axId val="1413884192"/>
      </c:barChart>
      <c:lineChart>
        <c:grouping val="standard"/>
        <c:varyColors val="0"/>
        <c:ser>
          <c:idx val="0"/>
          <c:order val="1"/>
          <c:tx>
            <c:v>MTBA Acumulado</c:v>
          </c:tx>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[11]Sheet1!$BE$4:$BE$8</c:f>
              <c:numCache>
                <c:formatCode>General</c:formatCode>
                <c:ptCount val="5"/>
              </c:numCache>
            </c:numRef>
          </c:cat>
          <c:val>
            <c:numRef>
              <c:f>[11]Sheet1!$BF$4:$BF$8</c:f>
              <c:numCache>
                <c:formatCode>General</c:formatCode>
                <c:ptCount val="5"/>
              </c:numCache>
            </c:numRef>
          </c:val>
          <c:smooth val="0"/>
          <c:extLst>
            <c:ext xmlns:c16="http://schemas.microsoft.com/office/drawing/2014/chart" uri="{C3380CC4-5D6E-409C-BE32-E72D297353CC}">
              <c16:uniqueId val="{00000001-F5E7-4DC8-9B41-A308B6DDDB7B}"/>
            </c:ext>
          </c:extLst>
        </c:ser>
        <c:dLbls>
          <c:showLegendKey val="1"/>
          <c:showVal val="1"/>
          <c:showCatName val="0"/>
          <c:showSerName val="0"/>
          <c:showPercent val="0"/>
          <c:showBubbleSize val="0"/>
        </c:dLbls>
        <c:marker val="1"/>
        <c:smooth val="0"/>
        <c:axId val="1413896160"/>
        <c:axId val="1413901600"/>
      </c:lineChart>
      <c:catAx>
        <c:axId val="141388256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884192"/>
        <c:crosses val="autoZero"/>
        <c:auto val="0"/>
        <c:lblAlgn val="ctr"/>
        <c:lblOffset val="100"/>
        <c:tickMarkSkip val="1"/>
        <c:noMultiLvlLbl val="0"/>
      </c:catAx>
      <c:valAx>
        <c:axId val="1413884192"/>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882560"/>
        <c:crosses val="autoZero"/>
        <c:crossBetween val="between"/>
        <c:majorUnit val="100"/>
      </c:valAx>
      <c:catAx>
        <c:axId val="1413896160"/>
        <c:scaling>
          <c:orientation val="minMax"/>
        </c:scaling>
        <c:delete val="1"/>
        <c:axPos val="b"/>
        <c:numFmt formatCode="General" sourceLinked="1"/>
        <c:majorTickMark val="out"/>
        <c:minorTickMark val="none"/>
        <c:tickLblPos val="none"/>
        <c:crossAx val="1413901600"/>
        <c:crosses val="autoZero"/>
        <c:auto val="0"/>
        <c:lblAlgn val="ctr"/>
        <c:lblOffset val="100"/>
        <c:noMultiLvlLbl val="0"/>
      </c:catAx>
      <c:valAx>
        <c:axId val="1413901600"/>
        <c:scaling>
          <c:orientation val="minMax"/>
        </c:scaling>
        <c:delete val="1"/>
        <c:axPos val="l"/>
        <c:numFmt formatCode="General" sourceLinked="1"/>
        <c:majorTickMark val="out"/>
        <c:minorTickMark val="none"/>
        <c:tickLblPos val="none"/>
        <c:crossAx val="1413896160"/>
        <c:crosses val="autoZero"/>
        <c:crossBetween val="between"/>
      </c:valAx>
      <c:spPr>
        <a:solidFill>
          <a:srgbClr val="FFFFFF"/>
        </a:solidFill>
        <a:ln w="12700">
          <a:solidFill>
            <a:srgbClr val="000000"/>
          </a:solidFill>
          <a:prstDash val="solid"/>
        </a:ln>
      </c:spPr>
    </c:plotArea>
    <c:legend>
      <c:legendPos val="r"/>
      <c:layout>
        <c:manualLayout>
          <c:xMode val="edge"/>
          <c:yMode val="edge"/>
          <c:x val="0.23810631074733873"/>
          <c:y val="0.32142857142857501"/>
          <c:w val="0.38097009719574493"/>
          <c:h val="1.7857142857142856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PE"/>
              <a:t>MTTR (Prom.Dias Descanso Incap+DMR)</a:t>
            </a:r>
          </a:p>
        </c:rich>
      </c:tx>
      <c:layout>
        <c:manualLayout>
          <c:xMode val="edge"/>
          <c:yMode val="edge"/>
          <c:x val="0.20617089530475258"/>
          <c:y val="2.1276595744680847E-2"/>
        </c:manualLayout>
      </c:layout>
      <c:overlay val="0"/>
      <c:spPr>
        <a:noFill/>
        <a:ln w="25400">
          <a:noFill/>
        </a:ln>
      </c:spPr>
    </c:title>
    <c:autoTitleDeleted val="0"/>
    <c:plotArea>
      <c:layout/>
      <c:barChart>
        <c:barDir val="col"/>
        <c:grouping val="clustered"/>
        <c:varyColors val="0"/>
        <c:ser>
          <c:idx val="1"/>
          <c:order val="0"/>
          <c:tx>
            <c:v>MTBA x Año</c:v>
          </c:tx>
          <c:spPr>
            <a:gradFill rotWithShape="0">
              <a:gsLst>
                <a:gs pos="0">
                  <a:srgbClr val="99FF99"/>
                </a:gs>
                <a:gs pos="100000">
                  <a:srgbClr val="99FF99">
                    <a:gamma/>
                    <a:shade val="46275"/>
                    <a:invGamma/>
                  </a:srgbClr>
                </a:gs>
              </a:gsLst>
              <a:lin ang="5400000" scaled="1"/>
            </a:gradFill>
            <a:ln w="3175">
              <a:solidFill>
                <a:srgbClr val="000000"/>
              </a:solidFill>
              <a:prstDash val="solid"/>
            </a:ln>
          </c:spPr>
          <c:invertIfNegative val="0"/>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[11]Sheet1!$BE$4:$BE$8</c:f>
              <c:numCache>
                <c:formatCode>General</c:formatCode>
                <c:ptCount val="5"/>
              </c:numCache>
            </c:numRef>
          </c:cat>
          <c:val>
            <c:numRef>
              <c:f>[11]Sheet1!$BI$4:$BI$8</c:f>
              <c:numCache>
                <c:formatCode>General</c:formatCode>
                <c:ptCount val="5"/>
              </c:numCache>
            </c:numRef>
          </c:val>
          <c:extLst>
            <c:ext xmlns:c16="http://schemas.microsoft.com/office/drawing/2014/chart" uri="{C3380CC4-5D6E-409C-BE32-E72D297353CC}">
              <c16:uniqueId val="{00000000-F41A-4823-A749-959D143B0D25}"/>
            </c:ext>
          </c:extLst>
        </c:ser>
        <c:dLbls>
          <c:showLegendKey val="1"/>
          <c:showVal val="1"/>
          <c:showCatName val="0"/>
          <c:showSerName val="0"/>
          <c:showPercent val="0"/>
          <c:showBubbleSize val="0"/>
        </c:dLbls>
        <c:gapWidth val="150"/>
        <c:axId val="1413891264"/>
        <c:axId val="1413896704"/>
      </c:barChart>
      <c:lineChart>
        <c:grouping val="standard"/>
        <c:varyColors val="0"/>
        <c:ser>
          <c:idx val="0"/>
          <c:order val="1"/>
          <c:tx>
            <c:v>MTBA Acumulado</c:v>
          </c:tx>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[11]Sheet1!$BE$4:$BE$8</c:f>
              <c:numCache>
                <c:formatCode>General</c:formatCode>
                <c:ptCount val="5"/>
              </c:numCache>
            </c:numRef>
          </c:cat>
          <c:val>
            <c:numRef>
              <c:f>[11]Sheet1!$BH$4:$BH$8</c:f>
              <c:numCache>
                <c:formatCode>General</c:formatCode>
                <c:ptCount val="5"/>
              </c:numCache>
            </c:numRef>
          </c:val>
          <c:smooth val="0"/>
          <c:extLst>
            <c:ext xmlns:c16="http://schemas.microsoft.com/office/drawing/2014/chart" uri="{C3380CC4-5D6E-409C-BE32-E72D297353CC}">
              <c16:uniqueId val="{00000001-F41A-4823-A749-959D143B0D25}"/>
            </c:ext>
          </c:extLst>
        </c:ser>
        <c:dLbls>
          <c:showLegendKey val="1"/>
          <c:showVal val="1"/>
          <c:showCatName val="0"/>
          <c:showSerName val="0"/>
          <c:showPercent val="0"/>
          <c:showBubbleSize val="0"/>
        </c:dLbls>
        <c:marker val="1"/>
        <c:smooth val="0"/>
        <c:axId val="1413907040"/>
        <c:axId val="1413908128"/>
      </c:lineChart>
      <c:catAx>
        <c:axId val="141389126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896704"/>
        <c:crosses val="autoZero"/>
        <c:auto val="0"/>
        <c:lblAlgn val="ctr"/>
        <c:lblOffset val="100"/>
        <c:tickMarkSkip val="1"/>
        <c:noMultiLvlLbl val="0"/>
      </c:catAx>
      <c:valAx>
        <c:axId val="1413896704"/>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s-PE"/>
          </a:p>
        </c:txPr>
        <c:crossAx val="1413891264"/>
        <c:crosses val="autoZero"/>
        <c:crossBetween val="between"/>
      </c:valAx>
      <c:catAx>
        <c:axId val="1413907040"/>
        <c:scaling>
          <c:orientation val="minMax"/>
        </c:scaling>
        <c:delete val="1"/>
        <c:axPos val="b"/>
        <c:numFmt formatCode="General" sourceLinked="1"/>
        <c:majorTickMark val="out"/>
        <c:minorTickMark val="none"/>
        <c:tickLblPos val="none"/>
        <c:crossAx val="1413908128"/>
        <c:crosses val="autoZero"/>
        <c:auto val="0"/>
        <c:lblAlgn val="ctr"/>
        <c:lblOffset val="100"/>
        <c:noMultiLvlLbl val="0"/>
      </c:catAx>
      <c:valAx>
        <c:axId val="1413908128"/>
        <c:scaling>
          <c:orientation val="minMax"/>
        </c:scaling>
        <c:delete val="1"/>
        <c:axPos val="l"/>
        <c:numFmt formatCode="General" sourceLinked="1"/>
        <c:majorTickMark val="out"/>
        <c:minorTickMark val="none"/>
        <c:tickLblPos val="none"/>
        <c:crossAx val="1413907040"/>
        <c:crosses val="autoZero"/>
        <c:crossBetween val="between"/>
      </c:valAx>
      <c:spPr>
        <a:solidFill>
          <a:srgbClr val="FFFFFF"/>
        </a:solidFill>
        <a:ln w="12700">
          <a:solidFill>
            <a:srgbClr val="000000"/>
          </a:solidFill>
          <a:prstDash val="solid"/>
        </a:ln>
      </c:spPr>
    </c:plotArea>
    <c:legend>
      <c:legendPos val="r"/>
      <c:layout>
        <c:manualLayout>
          <c:xMode val="edge"/>
          <c:yMode val="edge"/>
          <c:x val="0.18519188338698594"/>
          <c:y val="0.33191558326875287"/>
          <c:w val="0.29630701341917748"/>
          <c:h val="1.7021311962499917E-2"/>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MTBA (Prom.Dias sin Accidentes Inca+DMR)</a:t>
            </a:r>
          </a:p>
        </c:rich>
      </c:tx>
      <c:overlay val="0"/>
      <c:spPr>
        <a:noFill/>
        <a:ln w="25400">
          <a:noFill/>
        </a:ln>
      </c:spPr>
    </c:title>
    <c:autoTitleDeleted val="0"/>
    <c:plotArea>
      <c:layout/>
      <c:barChart>
        <c:barDir val="col"/>
        <c:grouping val="clustered"/>
        <c:varyColors val="0"/>
        <c:ser>
          <c:idx val="1"/>
          <c:order val="0"/>
          <c:tx>
            <c:v>MTBA x Año</c:v>
          </c:tx>
          <c:spPr>
            <a:gradFill rotWithShape="0">
              <a:gsLst>
                <a:gs pos="0">
                  <a:srgbClr val="99CCFF"/>
                </a:gs>
                <a:gs pos="100000">
                  <a:srgbClr val="99CCFF">
                    <a:gamma/>
                    <a:shade val="46275"/>
                    <a:invGamma/>
                  </a:srgbClr>
                </a:gs>
              </a:gsLst>
              <a:lin ang="5400000" scaled="1"/>
            </a:gradFill>
            <a:ln w="3175">
              <a:solidFill>
                <a:srgbClr val="000000"/>
              </a:solidFill>
              <a:prstDash val="solid"/>
            </a:ln>
          </c:spPr>
          <c:invertIfNegative val="0"/>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[11]Sheet1!$BQ$4:$BQ$8</c:f>
              <c:numCache>
                <c:formatCode>General</c:formatCode>
                <c:ptCount val="5"/>
              </c:numCache>
            </c:numRef>
          </c:cat>
          <c:val>
            <c:numRef>
              <c:f>[11]Sheet1!$BS$4:$BS$8</c:f>
              <c:numCache>
                <c:formatCode>General</c:formatCode>
                <c:ptCount val="5"/>
              </c:numCache>
            </c:numRef>
          </c:val>
          <c:extLst>
            <c:ext xmlns:c16="http://schemas.microsoft.com/office/drawing/2014/chart" uri="{C3380CC4-5D6E-409C-BE32-E72D297353CC}">
              <c16:uniqueId val="{00000000-30B0-4B75-AB27-5B10BFBDB3C7}"/>
            </c:ext>
          </c:extLst>
        </c:ser>
        <c:dLbls>
          <c:showLegendKey val="1"/>
          <c:showVal val="1"/>
          <c:showCatName val="0"/>
          <c:showSerName val="0"/>
          <c:showPercent val="0"/>
          <c:showBubbleSize val="0"/>
        </c:dLbls>
        <c:gapWidth val="150"/>
        <c:axId val="1413913024"/>
        <c:axId val="1413907584"/>
      </c:barChart>
      <c:lineChart>
        <c:grouping val="standard"/>
        <c:varyColors val="0"/>
        <c:ser>
          <c:idx val="0"/>
          <c:order val="1"/>
          <c:tx>
            <c:v>MTBA Acumulado</c:v>
          </c:tx>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[11]Sheet1!$BQ$4:$BQ$8</c:f>
              <c:numCache>
                <c:formatCode>General</c:formatCode>
                <c:ptCount val="5"/>
              </c:numCache>
            </c:numRef>
          </c:cat>
          <c:val>
            <c:numRef>
              <c:f>[11]Sheet1!$BR$4:$BR$8</c:f>
              <c:numCache>
                <c:formatCode>General</c:formatCode>
                <c:ptCount val="5"/>
              </c:numCache>
            </c:numRef>
          </c:val>
          <c:smooth val="0"/>
          <c:extLst>
            <c:ext xmlns:c16="http://schemas.microsoft.com/office/drawing/2014/chart" uri="{C3380CC4-5D6E-409C-BE32-E72D297353CC}">
              <c16:uniqueId val="{00000001-30B0-4B75-AB27-5B10BFBDB3C7}"/>
            </c:ext>
          </c:extLst>
        </c:ser>
        <c:dLbls>
          <c:showLegendKey val="1"/>
          <c:showVal val="1"/>
          <c:showCatName val="0"/>
          <c:showSerName val="0"/>
          <c:showPercent val="0"/>
          <c:showBubbleSize val="0"/>
        </c:dLbls>
        <c:marker val="1"/>
        <c:smooth val="0"/>
        <c:axId val="1413902144"/>
        <c:axId val="1413910304"/>
      </c:lineChart>
      <c:catAx>
        <c:axId val="141391302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907584"/>
        <c:crosses val="autoZero"/>
        <c:auto val="0"/>
        <c:lblAlgn val="ctr"/>
        <c:lblOffset val="100"/>
        <c:tickMarkSkip val="1"/>
        <c:noMultiLvlLbl val="0"/>
      </c:catAx>
      <c:valAx>
        <c:axId val="1413907584"/>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913024"/>
        <c:crosses val="autoZero"/>
        <c:crossBetween val="between"/>
      </c:valAx>
      <c:catAx>
        <c:axId val="1413902144"/>
        <c:scaling>
          <c:orientation val="minMax"/>
        </c:scaling>
        <c:delete val="1"/>
        <c:axPos val="b"/>
        <c:numFmt formatCode="General" sourceLinked="1"/>
        <c:majorTickMark val="out"/>
        <c:minorTickMark val="none"/>
        <c:tickLblPos val="none"/>
        <c:crossAx val="1413910304"/>
        <c:crosses val="autoZero"/>
        <c:auto val="0"/>
        <c:lblAlgn val="ctr"/>
        <c:lblOffset val="100"/>
        <c:noMultiLvlLbl val="0"/>
      </c:catAx>
      <c:valAx>
        <c:axId val="1413910304"/>
        <c:scaling>
          <c:orientation val="minMax"/>
        </c:scaling>
        <c:delete val="1"/>
        <c:axPos val="l"/>
        <c:numFmt formatCode="General" sourceLinked="1"/>
        <c:majorTickMark val="out"/>
        <c:minorTickMark val="none"/>
        <c:tickLblPos val="none"/>
        <c:crossAx val="1413902144"/>
        <c:crosses val="autoZero"/>
        <c:crossBetween val="between"/>
      </c:valAx>
      <c:spPr>
        <a:solidFill>
          <a:srgbClr val="FFFFFF"/>
        </a:solidFill>
        <a:ln w="12700">
          <a:solidFill>
            <a:srgbClr val="000000"/>
          </a:solidFill>
          <a:prstDash val="solid"/>
        </a:ln>
      </c:spPr>
    </c:plotArea>
    <c:legend>
      <c:legendPos val="r"/>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t>MTTR (Prom.Dias Descanso Incap+DMR)</a:t>
            </a:r>
          </a:p>
        </c:rich>
      </c:tx>
      <c:overlay val="0"/>
      <c:spPr>
        <a:noFill/>
        <a:ln w="25400">
          <a:noFill/>
        </a:ln>
      </c:spPr>
    </c:title>
    <c:autoTitleDeleted val="0"/>
    <c:plotArea>
      <c:layout/>
      <c:barChart>
        <c:barDir val="col"/>
        <c:grouping val="clustered"/>
        <c:varyColors val="0"/>
        <c:ser>
          <c:idx val="1"/>
          <c:order val="0"/>
          <c:tx>
            <c:v>MTBA x Año</c:v>
          </c:tx>
          <c:spPr>
            <a:gradFill rotWithShape="0">
              <a:gsLst>
                <a:gs pos="0">
                  <a:srgbClr val="99FF99"/>
                </a:gs>
                <a:gs pos="100000">
                  <a:srgbClr val="99FF99">
                    <a:gamma/>
                    <a:shade val="46275"/>
                    <a:invGamma/>
                  </a:srgbClr>
                </a:gs>
              </a:gsLst>
              <a:lin ang="5400000" scaled="1"/>
            </a:gradFill>
            <a:ln w="3175">
              <a:solidFill>
                <a:srgbClr val="000000"/>
              </a:solidFill>
              <a:prstDash val="solid"/>
            </a:ln>
          </c:spPr>
          <c:invertIfNegative val="0"/>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[11]Sheet1!$BK$4:$BK$8</c:f>
              <c:numCache>
                <c:formatCode>General</c:formatCode>
                <c:ptCount val="5"/>
              </c:numCache>
            </c:numRef>
          </c:cat>
          <c:val>
            <c:numRef>
              <c:f>[11]Sheet1!$BU$4:$BU$8</c:f>
              <c:numCache>
                <c:formatCode>General</c:formatCode>
                <c:ptCount val="5"/>
              </c:numCache>
            </c:numRef>
          </c:val>
          <c:extLst>
            <c:ext xmlns:c16="http://schemas.microsoft.com/office/drawing/2014/chart" uri="{C3380CC4-5D6E-409C-BE32-E72D297353CC}">
              <c16:uniqueId val="{00000000-2BBC-473A-863A-DD5A16E2B6C2}"/>
            </c:ext>
          </c:extLst>
        </c:ser>
        <c:dLbls>
          <c:showLegendKey val="1"/>
          <c:showVal val="1"/>
          <c:showCatName val="0"/>
          <c:showSerName val="0"/>
          <c:showPercent val="0"/>
          <c:showBubbleSize val="0"/>
        </c:dLbls>
        <c:gapWidth val="150"/>
        <c:axId val="1413908672"/>
        <c:axId val="1413909216"/>
      </c:barChart>
      <c:lineChart>
        <c:grouping val="standard"/>
        <c:varyColors val="0"/>
        <c:ser>
          <c:idx val="0"/>
          <c:order val="1"/>
          <c:tx>
            <c:v>MTBA Acumulado</c:v>
          </c:tx>
          <c:dLbls>
            <c:spPr>
              <a:noFill/>
              <a:ln w="25400">
                <a:noFill/>
              </a:ln>
            </c:spPr>
            <c:txPr>
              <a:bodyPr/>
              <a:lstStyle/>
              <a:p>
                <a:pPr>
                  <a:defRPr sz="1000" b="0" i="0" u="none" strike="noStrike" baseline="0">
                    <a:solidFill>
                      <a:srgbClr val="000000"/>
                    </a:solidFill>
                    <a:latin typeface="Arial"/>
                    <a:ea typeface="Arial"/>
                    <a:cs typeface="Arial"/>
                  </a:defRPr>
                </a:pPr>
                <a:endParaRPr lang="es-PE"/>
              </a:p>
            </c:txPr>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[11]Sheet1!$BK$4:$BK$8</c:f>
              <c:numCache>
                <c:formatCode>General</c:formatCode>
                <c:ptCount val="5"/>
              </c:numCache>
            </c:numRef>
          </c:cat>
          <c:val>
            <c:numRef>
              <c:f>[11]Sheet1!$BT$4:$BT$8</c:f>
              <c:numCache>
                <c:formatCode>General</c:formatCode>
                <c:ptCount val="5"/>
              </c:numCache>
            </c:numRef>
          </c:val>
          <c:smooth val="0"/>
          <c:extLst>
            <c:ext xmlns:c16="http://schemas.microsoft.com/office/drawing/2014/chart" uri="{C3380CC4-5D6E-409C-BE32-E72D297353CC}">
              <c16:uniqueId val="{00000001-2BBC-473A-863A-DD5A16E2B6C2}"/>
            </c:ext>
          </c:extLst>
        </c:ser>
        <c:dLbls>
          <c:showLegendKey val="1"/>
          <c:showVal val="1"/>
          <c:showCatName val="0"/>
          <c:showSerName val="0"/>
          <c:showPercent val="0"/>
          <c:showBubbleSize val="0"/>
        </c:dLbls>
        <c:marker val="1"/>
        <c:smooth val="0"/>
        <c:axId val="1413897248"/>
        <c:axId val="1413903232"/>
      </c:lineChart>
      <c:catAx>
        <c:axId val="141390867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909216"/>
        <c:crosses val="autoZero"/>
        <c:auto val="0"/>
        <c:lblAlgn val="ctr"/>
        <c:lblOffset val="100"/>
        <c:tickMarkSkip val="1"/>
        <c:noMultiLvlLbl val="0"/>
      </c:catAx>
      <c:valAx>
        <c:axId val="1413909216"/>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s-PE"/>
          </a:p>
        </c:txPr>
        <c:crossAx val="1413908672"/>
        <c:crosses val="autoZero"/>
        <c:crossBetween val="between"/>
      </c:valAx>
      <c:catAx>
        <c:axId val="1413897248"/>
        <c:scaling>
          <c:orientation val="minMax"/>
        </c:scaling>
        <c:delete val="1"/>
        <c:axPos val="b"/>
        <c:numFmt formatCode="General" sourceLinked="1"/>
        <c:majorTickMark val="out"/>
        <c:minorTickMark val="none"/>
        <c:tickLblPos val="none"/>
        <c:crossAx val="1413903232"/>
        <c:crosses val="autoZero"/>
        <c:auto val="0"/>
        <c:lblAlgn val="ctr"/>
        <c:lblOffset val="100"/>
        <c:noMultiLvlLbl val="0"/>
      </c:catAx>
      <c:valAx>
        <c:axId val="1413903232"/>
        <c:scaling>
          <c:orientation val="minMax"/>
        </c:scaling>
        <c:delete val="1"/>
        <c:axPos val="l"/>
        <c:numFmt formatCode="General" sourceLinked="1"/>
        <c:majorTickMark val="out"/>
        <c:minorTickMark val="none"/>
        <c:tickLblPos val="none"/>
        <c:crossAx val="1413897248"/>
        <c:crosses val="autoZero"/>
        <c:crossBetween val="between"/>
      </c:valAx>
      <c:spPr>
        <a:solidFill>
          <a:srgbClr val="FFFFFF"/>
        </a:solidFill>
        <a:ln w="12700">
          <a:solidFill>
            <a:srgbClr val="000000"/>
          </a:solidFill>
          <a:prstDash val="solid"/>
        </a:ln>
      </c:spPr>
    </c:plotArea>
    <c:legend>
      <c:legendPos val="r"/>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PE"/>
              <a:t>MTBA (Prom.Dias sin Accidentes Inca+DMR)</a:t>
            </a:r>
          </a:p>
        </c:rich>
      </c:tx>
      <c:layout>
        <c:manualLayout>
          <c:xMode val="edge"/>
          <c:yMode val="edge"/>
          <c:x val="0.18660312197817377"/>
          <c:y val="2.7624309392265192E-2"/>
        </c:manualLayout>
      </c:layout>
      <c:overlay val="0"/>
      <c:spPr>
        <a:noFill/>
        <a:ln w="25400">
          <a:noFill/>
        </a:ln>
      </c:spPr>
    </c:title>
    <c:autoTitleDeleted val="0"/>
    <c:plotArea>
      <c:layout>
        <c:manualLayout>
          <c:layoutTarget val="inner"/>
          <c:xMode val="edge"/>
          <c:yMode val="edge"/>
          <c:x val="0.11244032273325678"/>
          <c:y val="0.18232093383366571"/>
          <c:w val="0.87799145623631514"/>
          <c:h val="0.4143657587128845"/>
        </c:manualLayout>
      </c:layout>
      <c:barChart>
        <c:barDir val="col"/>
        <c:grouping val="clustered"/>
        <c:varyColors val="0"/>
        <c:ser>
          <c:idx val="1"/>
          <c:order val="0"/>
          <c:tx>
            <c:v>MTBA x Año</c:v>
          </c:tx>
          <c:spPr>
            <a:gradFill rotWithShape="0">
              <a:gsLst>
                <a:gs pos="0">
                  <a:srgbClr val="99CCFF"/>
                </a:gs>
                <a:gs pos="100000">
                  <a:srgbClr val="99CCFF">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[11]Sheet1!$CC$4:$CC$8</c:f>
              <c:numCache>
                <c:formatCode>General</c:formatCode>
                <c:ptCount val="5"/>
              </c:numCache>
            </c:numRef>
          </c:cat>
          <c:val>
            <c:numRef>
              <c:f>[11]Sheet1!$CE$4:$CE$8</c:f>
              <c:numCache>
                <c:formatCode>General</c:formatCode>
                <c:ptCount val="5"/>
              </c:numCache>
            </c:numRef>
          </c:val>
          <c:extLst>
            <c:ext xmlns:c16="http://schemas.microsoft.com/office/drawing/2014/chart" uri="{C3380CC4-5D6E-409C-BE32-E72D297353CC}">
              <c16:uniqueId val="{00000000-07CC-4229-B90D-93F478396F85}"/>
            </c:ext>
          </c:extLst>
        </c:ser>
        <c:dLbls>
          <c:showLegendKey val="1"/>
          <c:showVal val="1"/>
          <c:showCatName val="0"/>
          <c:showSerName val="0"/>
          <c:showPercent val="0"/>
          <c:showBubbleSize val="0"/>
        </c:dLbls>
        <c:gapWidth val="150"/>
        <c:axId val="1413909760"/>
        <c:axId val="1413898336"/>
      </c:barChart>
      <c:lineChart>
        <c:grouping val="standard"/>
        <c:varyColors val="0"/>
        <c:ser>
          <c:idx val="0"/>
          <c:order val="1"/>
          <c:tx>
            <c:v>MTBA Acumulado</c:v>
          </c:tx>
          <c:spPr>
            <a:ln w="38100">
              <a:solidFill>
                <a:srgbClr val="0000FF"/>
              </a:solidFill>
              <a:prstDash val="solid"/>
            </a:ln>
          </c:spPr>
          <c:marker>
            <c:symbol val="circle"/>
            <c:size val="7"/>
            <c:spPr>
              <a:solidFill>
                <a:srgbClr val="0000FF"/>
              </a:solidFill>
              <a:ln>
                <a:solidFill>
                  <a:srgbClr val="0000FF"/>
                </a:solidFill>
                <a:prstDash val="solid"/>
              </a:ln>
            </c:spPr>
          </c:marker>
          <c:dLbls>
            <c:numFmt formatCode="0" sourceLinked="0"/>
            <c:spPr>
              <a:noFill/>
              <a:ln w="25400">
                <a:noFill/>
              </a:ln>
            </c:spPr>
            <c:txPr>
              <a:bodyPr/>
              <a:lstStyle/>
              <a:p>
                <a:pPr>
                  <a:defRPr sz="1100" b="1" i="0" u="none" strike="noStrike" baseline="0">
                    <a:solidFill>
                      <a:srgbClr val="0000FF"/>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[11]Sheet1!$CC$4:$CC$8</c:f>
              <c:numCache>
                <c:formatCode>General</c:formatCode>
                <c:ptCount val="5"/>
              </c:numCache>
            </c:numRef>
          </c:cat>
          <c:val>
            <c:numRef>
              <c:f>[11]Sheet1!$BX$4:$BX$8</c:f>
              <c:numCache>
                <c:formatCode>General</c:formatCode>
                <c:ptCount val="5"/>
              </c:numCache>
            </c:numRef>
          </c:val>
          <c:smooth val="0"/>
          <c:extLst>
            <c:ext xmlns:c16="http://schemas.microsoft.com/office/drawing/2014/chart" uri="{C3380CC4-5D6E-409C-BE32-E72D297353CC}">
              <c16:uniqueId val="{00000001-07CC-4229-B90D-93F478396F85}"/>
            </c:ext>
          </c:extLst>
        </c:ser>
        <c:dLbls>
          <c:showLegendKey val="1"/>
          <c:showVal val="1"/>
          <c:showCatName val="0"/>
          <c:showSerName val="0"/>
          <c:showPercent val="0"/>
          <c:showBubbleSize val="0"/>
        </c:dLbls>
        <c:marker val="1"/>
        <c:smooth val="0"/>
        <c:axId val="1413892896"/>
        <c:axId val="1413911392"/>
      </c:lineChart>
      <c:catAx>
        <c:axId val="141390976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898336"/>
        <c:crosses val="autoZero"/>
        <c:auto val="0"/>
        <c:lblAlgn val="ctr"/>
        <c:lblOffset val="100"/>
        <c:tickLblSkip val="1"/>
        <c:tickMarkSkip val="1"/>
        <c:noMultiLvlLbl val="0"/>
      </c:catAx>
      <c:valAx>
        <c:axId val="1413898336"/>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909760"/>
        <c:crosses val="autoZero"/>
        <c:crossBetween val="between"/>
      </c:valAx>
      <c:catAx>
        <c:axId val="1413892896"/>
        <c:scaling>
          <c:orientation val="minMax"/>
        </c:scaling>
        <c:delete val="1"/>
        <c:axPos val="b"/>
        <c:numFmt formatCode="General" sourceLinked="1"/>
        <c:majorTickMark val="out"/>
        <c:minorTickMark val="none"/>
        <c:tickLblPos val="none"/>
        <c:crossAx val="1413911392"/>
        <c:crosses val="autoZero"/>
        <c:auto val="0"/>
        <c:lblAlgn val="ctr"/>
        <c:lblOffset val="100"/>
        <c:noMultiLvlLbl val="0"/>
      </c:catAx>
      <c:valAx>
        <c:axId val="1413911392"/>
        <c:scaling>
          <c:orientation val="minMax"/>
        </c:scaling>
        <c:delete val="1"/>
        <c:axPos val="l"/>
        <c:numFmt formatCode="General" sourceLinked="1"/>
        <c:majorTickMark val="out"/>
        <c:minorTickMark val="none"/>
        <c:tickLblPos val="none"/>
        <c:crossAx val="1413892896"/>
        <c:crosses val="autoZero"/>
        <c:crossBetween val="between"/>
      </c:valAx>
      <c:spPr>
        <a:solidFill>
          <a:srgbClr val="FFFFFF"/>
        </a:solidFill>
        <a:ln w="12700">
          <a:solidFill>
            <a:srgbClr val="000000"/>
          </a:solidFill>
          <a:prstDash val="solid"/>
        </a:ln>
      </c:spPr>
    </c:plotArea>
    <c:legend>
      <c:legendPos val="r"/>
      <c:layout>
        <c:manualLayout>
          <c:xMode val="edge"/>
          <c:yMode val="edge"/>
          <c:x val="0.26794289672605881"/>
          <c:y val="0.85083102455710979"/>
          <c:w val="0.52631640428332949"/>
          <c:h val="0.1104975356567665"/>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PE"/>
              <a:t>MTTR (Prom.Dias Descanso Incap+DMR)</a:t>
            </a:r>
          </a:p>
        </c:rich>
      </c:tx>
      <c:layout>
        <c:manualLayout>
          <c:xMode val="edge"/>
          <c:yMode val="edge"/>
          <c:x val="0.18990384615384709"/>
          <c:y val="2.7777777777778109E-2"/>
        </c:manualLayout>
      </c:layout>
      <c:overlay val="0"/>
      <c:spPr>
        <a:noFill/>
        <a:ln w="25400">
          <a:noFill/>
        </a:ln>
      </c:spPr>
    </c:title>
    <c:autoTitleDeleted val="0"/>
    <c:plotArea>
      <c:layout>
        <c:manualLayout>
          <c:layoutTarget val="inner"/>
          <c:xMode val="edge"/>
          <c:yMode val="edge"/>
          <c:x val="0.11298076923076918"/>
          <c:y val="0.20555667077186834"/>
          <c:w val="0.84134615384615352"/>
          <c:h val="0.41666892724028665"/>
        </c:manualLayout>
      </c:layout>
      <c:barChart>
        <c:barDir val="col"/>
        <c:grouping val="clustered"/>
        <c:varyColors val="0"/>
        <c:ser>
          <c:idx val="1"/>
          <c:order val="0"/>
          <c:tx>
            <c:v>MTBA x Año</c:v>
          </c:tx>
          <c:spPr>
            <a:gradFill rotWithShape="0">
              <a:gsLst>
                <a:gs pos="0">
                  <a:srgbClr val="99FF99"/>
                </a:gs>
                <a:gs pos="100000">
                  <a:srgbClr val="99FF99">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1100" b="1" i="0" u="none" strike="noStrike" baseline="0">
                    <a:solidFill>
                      <a:srgbClr val="000000"/>
                    </a:solidFill>
                    <a:latin typeface="Arial"/>
                    <a:ea typeface="Arial"/>
                    <a:cs typeface="Aria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[11]Sheet1!$AY$4:$AY$8</c:f>
              <c:numCache>
                <c:formatCode>General</c:formatCode>
                <c:ptCount val="5"/>
              </c:numCache>
            </c:numRef>
          </c:cat>
          <c:val>
            <c:numRef>
              <c:f>[11]Sheet1!$CA$4:$CA$8</c:f>
              <c:numCache>
                <c:formatCode>General</c:formatCode>
                <c:ptCount val="5"/>
              </c:numCache>
            </c:numRef>
          </c:val>
          <c:extLst>
            <c:ext xmlns:c16="http://schemas.microsoft.com/office/drawing/2014/chart" uri="{C3380CC4-5D6E-409C-BE32-E72D297353CC}">
              <c16:uniqueId val="{00000000-4E1A-4685-B0B4-3C81A29D6E20}"/>
            </c:ext>
          </c:extLst>
        </c:ser>
        <c:dLbls>
          <c:showLegendKey val="1"/>
          <c:showVal val="1"/>
          <c:showCatName val="0"/>
          <c:showSerName val="0"/>
          <c:showPercent val="0"/>
          <c:showBubbleSize val="0"/>
        </c:dLbls>
        <c:gapWidth val="150"/>
        <c:axId val="1413912480"/>
        <c:axId val="1413886912"/>
      </c:barChart>
      <c:lineChart>
        <c:grouping val="standard"/>
        <c:varyColors val="0"/>
        <c:ser>
          <c:idx val="0"/>
          <c:order val="1"/>
          <c:tx>
            <c:v>MTBA Acumulado</c:v>
          </c:tx>
          <c:spPr>
            <a:ln w="38100">
              <a:solidFill>
                <a:srgbClr val="008000"/>
              </a:solidFill>
              <a:prstDash val="solid"/>
            </a:ln>
          </c:spPr>
          <c:marker>
            <c:symbol val="circle"/>
            <c:size val="7"/>
            <c:spPr>
              <a:solidFill>
                <a:srgbClr val="008000"/>
              </a:solidFill>
              <a:ln>
                <a:solidFill>
                  <a:srgbClr val="008000"/>
                </a:solidFill>
                <a:prstDash val="solid"/>
              </a:ln>
            </c:spPr>
          </c:marker>
          <c:dLbls>
            <c:numFmt formatCode="0" sourceLinked="0"/>
            <c:spPr>
              <a:noFill/>
              <a:ln w="25400">
                <a:noFill/>
              </a:ln>
            </c:spPr>
            <c:txPr>
              <a:bodyPr/>
              <a:lstStyle/>
              <a:p>
                <a:pPr>
                  <a:defRPr sz="1100" b="1" i="0" u="none" strike="noStrike" baseline="0">
                    <a:solidFill>
                      <a:srgbClr val="008000"/>
                    </a:solidFill>
                    <a:latin typeface="Arial"/>
                    <a:ea typeface="Arial"/>
                    <a:cs typeface="Aria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[11]Sheet1!$AY$4:$AY$8</c:f>
              <c:numCache>
                <c:formatCode>General</c:formatCode>
                <c:ptCount val="5"/>
              </c:numCache>
            </c:numRef>
          </c:cat>
          <c:val>
            <c:numRef>
              <c:f>[11]Sheet1!$BZ$4:$BZ$8</c:f>
              <c:numCache>
                <c:formatCode>General</c:formatCode>
                <c:ptCount val="5"/>
              </c:numCache>
            </c:numRef>
          </c:val>
          <c:smooth val="0"/>
          <c:extLst>
            <c:ext xmlns:c16="http://schemas.microsoft.com/office/drawing/2014/chart" uri="{C3380CC4-5D6E-409C-BE32-E72D297353CC}">
              <c16:uniqueId val="{00000001-4E1A-4685-B0B4-3C81A29D6E20}"/>
            </c:ext>
          </c:extLst>
        </c:ser>
        <c:dLbls>
          <c:showLegendKey val="1"/>
          <c:showVal val="1"/>
          <c:showCatName val="0"/>
          <c:showSerName val="0"/>
          <c:showPercent val="0"/>
          <c:showBubbleSize val="0"/>
        </c:dLbls>
        <c:marker val="1"/>
        <c:smooth val="0"/>
        <c:axId val="1413888544"/>
        <c:axId val="1413889088"/>
      </c:lineChart>
      <c:catAx>
        <c:axId val="141391248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s-PE"/>
          </a:p>
        </c:txPr>
        <c:crossAx val="1413886912"/>
        <c:crosses val="autoZero"/>
        <c:auto val="0"/>
        <c:lblAlgn val="ctr"/>
        <c:lblOffset val="100"/>
        <c:tickLblSkip val="1"/>
        <c:tickMarkSkip val="1"/>
        <c:noMultiLvlLbl val="0"/>
      </c:catAx>
      <c:valAx>
        <c:axId val="1413886912"/>
        <c:scaling>
          <c:orientation val="minMax"/>
        </c:scaling>
        <c:delete val="0"/>
        <c:axPos val="l"/>
        <c:majorGridlines>
          <c:spPr>
            <a:ln w="3175">
              <a:solidFill>
                <a:srgbClr val="000000"/>
              </a:solidFill>
              <a:prstDash val="solid"/>
            </a:ln>
          </c:spPr>
        </c:majorGridlines>
        <c:numFmt formatCode="General" sourceLinked="1"/>
        <c:majorTickMark val="cross"/>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s-PE"/>
          </a:p>
        </c:txPr>
        <c:crossAx val="1413912480"/>
        <c:crosses val="autoZero"/>
        <c:crossBetween val="between"/>
      </c:valAx>
      <c:catAx>
        <c:axId val="1413888544"/>
        <c:scaling>
          <c:orientation val="minMax"/>
        </c:scaling>
        <c:delete val="1"/>
        <c:axPos val="b"/>
        <c:numFmt formatCode="General" sourceLinked="1"/>
        <c:majorTickMark val="out"/>
        <c:minorTickMark val="none"/>
        <c:tickLblPos val="none"/>
        <c:crossAx val="1413889088"/>
        <c:crosses val="autoZero"/>
        <c:auto val="0"/>
        <c:lblAlgn val="ctr"/>
        <c:lblOffset val="100"/>
        <c:noMultiLvlLbl val="0"/>
      </c:catAx>
      <c:valAx>
        <c:axId val="1413889088"/>
        <c:scaling>
          <c:orientation val="minMax"/>
        </c:scaling>
        <c:delete val="1"/>
        <c:axPos val="l"/>
        <c:numFmt formatCode="General" sourceLinked="1"/>
        <c:majorTickMark val="out"/>
        <c:minorTickMark val="none"/>
        <c:tickLblPos val="none"/>
        <c:crossAx val="1413888544"/>
        <c:crosses val="autoZero"/>
        <c:crossBetween val="between"/>
      </c:valAx>
      <c:spPr>
        <a:solidFill>
          <a:srgbClr val="FFFFFF"/>
        </a:solidFill>
        <a:ln w="12700">
          <a:solidFill>
            <a:srgbClr val="000000"/>
          </a:solidFill>
          <a:prstDash val="solid"/>
        </a:ln>
      </c:spPr>
    </c:plotArea>
    <c:legend>
      <c:legendPos val="r"/>
      <c:layout>
        <c:manualLayout>
          <c:xMode val="edge"/>
          <c:yMode val="edge"/>
          <c:x val="0.27644230769230782"/>
          <c:y val="0.8500046115701626"/>
          <c:w val="0.52884615384615352"/>
          <c:h val="0.11111171393073969"/>
        </c:manualLayout>
      </c:layout>
      <c:overlay val="0"/>
      <c:spPr>
        <a:solidFill>
          <a:srgbClr val="FFFFFF"/>
        </a:solidFill>
        <a:ln w="25400">
          <a:noFill/>
        </a:ln>
      </c:spPr>
      <c:txPr>
        <a:bodyPr/>
        <a:lstStyle/>
        <a:p>
          <a:pPr>
            <a:defRPr lang="es-PE" sz="735" b="0" i="0" u="none" strike="noStrike" baseline="0">
              <a:solidFill>
                <a:srgbClr val="000000"/>
              </a:solidFill>
              <a:latin typeface="Arial"/>
              <a:ea typeface="Arial"/>
              <a:cs typeface="Arial"/>
            </a:defRPr>
          </a:pPr>
          <a:endParaRPr lang="es-PE"/>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s-PE"/>
    </a:p>
  </c:txPr>
  <c:printSettings>
    <c:headerFooter alignWithMargins="0"/>
    <c:pageMargins b="1" l="0.75000000000001465" r="0.75000000000001465" t="1" header="0" footer="0"/>
    <c:pageSetup/>
  </c:printSettings>
</c:chartSpace>
</file>

<file path=xl/charts/chart1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sz="1200"/>
            </a:pPr>
            <a:r>
              <a:rPr lang="es-PE" sz="1200" baseline="0"/>
              <a:t>Dias sin Accidentes</a:t>
            </a:r>
            <a:endParaRPr lang="es-PE" sz="1200"/>
          </a:p>
        </c:rich>
      </c:tx>
      <c:overlay val="0"/>
    </c:title>
    <c:autoTitleDeleted val="0"/>
    <c:view3D>
      <c:rotX val="0"/>
      <c:rotY val="0"/>
      <c:rAngAx val="1"/>
    </c:view3D>
    <c:floor>
      <c:thickness val="0"/>
    </c:floor>
    <c:sideWall>
      <c:thickness val="0"/>
    </c:sideWall>
    <c:backWall>
      <c:thickness val="0"/>
    </c:backWall>
    <c:plotArea>
      <c:layout/>
      <c:bar3DChart>
        <c:barDir val="col"/>
        <c:grouping val="clustered"/>
        <c:varyColors val="0"/>
        <c:ser>
          <c:idx val="0"/>
          <c:order val="0"/>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'estadistica dias sin accidente'!$M$6:$M$19</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'estadistica dias sin accidente'!$N$6:$N$19</c:f>
              <c:numCache>
                <c:formatCode>0</c:formatCode>
                <c:ptCount val="14"/>
                <c:pt idx="0">
                  <c:v>37</c:v>
                </c:pt>
                <c:pt idx="1">
                  <c:v>28</c:v>
                </c:pt>
                <c:pt idx="2">
                  <c:v>33</c:v>
                </c:pt>
                <c:pt idx="3">
                  <c:v>26</c:v>
                </c:pt>
                <c:pt idx="4">
                  <c:v>27</c:v>
                </c:pt>
                <c:pt idx="5">
                  <c:v>22</c:v>
                </c:pt>
                <c:pt idx="6">
                  <c:v>27</c:v>
                </c:pt>
                <c:pt idx="7">
                  <c:v>31</c:v>
                </c:pt>
                <c:pt idx="8">
                  <c:v>25</c:v>
                </c:pt>
                <c:pt idx="9">
                  <c:v>27</c:v>
                </c:pt>
                <c:pt idx="10">
                  <c:v>31</c:v>
                </c:pt>
                <c:pt idx="11">
                  <c:v>23</c:v>
                </c:pt>
                <c:pt idx="12">
                  <c:v>35</c:v>
                </c:pt>
                <c:pt idx="13">
                  <c:v>19</c:v>
                </c:pt>
              </c:numCache>
            </c:numRef>
          </c:val>
          <c:extLst>
            <c:ext xmlns:c16="http://schemas.microsoft.com/office/drawing/2014/chart" uri="{C3380CC4-5D6E-409C-BE32-E72D297353CC}">
              <c16:uniqueId val="{00000000-E24C-439B-9733-3AFF3850C661}"/>
            </c:ext>
          </c:extLst>
        </c:ser>
        <c:dLbls>
          <c:showLegendKey val="0"/>
          <c:showVal val="1"/>
          <c:showCatName val="0"/>
          <c:showSerName val="0"/>
          <c:showPercent val="0"/>
          <c:showBubbleSize val="0"/>
        </c:dLbls>
        <c:gapWidth val="150"/>
        <c:shape val="cylinder"/>
        <c:axId val="1413889632"/>
        <c:axId val="1416371152"/>
        <c:axId val="0"/>
      </c:bar3DChart>
      <c:catAx>
        <c:axId val="1413889632"/>
        <c:scaling>
          <c:orientation val="minMax"/>
        </c:scaling>
        <c:delete val="0"/>
        <c:axPos val="b"/>
        <c:numFmt formatCode="General" sourceLinked="1"/>
        <c:majorTickMark val="none"/>
        <c:minorTickMark val="none"/>
        <c:tickLblPos val="nextTo"/>
        <c:txPr>
          <a:bodyPr/>
          <a:lstStyle/>
          <a:p>
            <a:pPr>
              <a:defRPr sz="800"/>
            </a:pPr>
            <a:endParaRPr lang="es-PE"/>
          </a:p>
        </c:txPr>
        <c:crossAx val="1416371152"/>
        <c:crosses val="autoZero"/>
        <c:auto val="1"/>
        <c:lblAlgn val="ctr"/>
        <c:lblOffset val="100"/>
        <c:noMultiLvlLbl val="0"/>
      </c:catAx>
      <c:valAx>
        <c:axId val="1416371152"/>
        <c:scaling>
          <c:orientation val="minMax"/>
        </c:scaling>
        <c:delete val="1"/>
        <c:axPos val="l"/>
        <c:numFmt formatCode="0" sourceLinked="1"/>
        <c:majorTickMark val="none"/>
        <c:minorTickMark val="none"/>
        <c:tickLblPos val="nextTo"/>
        <c:crossAx val="1413889632"/>
        <c:crosses val="autoZero"/>
        <c:crossBetween val="between"/>
      </c:valAx>
    </c:plotArea>
    <c:plotVisOnly val="1"/>
    <c:dispBlanksAs val="gap"/>
    <c:showDLblsOverMax val="0"/>
  </c:chart>
  <c:spPr>
    <a:ln>
      <a:noFill/>
    </a:ln>
  </c:spPr>
  <c:printSettings>
    <c:headerFooter/>
    <c:pageMargins b="0.75000000000000122" l="0.70000000000000062" r="0.70000000000000062" t="0.75000000000000122" header="0.30000000000000032" footer="0.30000000000000032"/>
    <c:pageSetup/>
  </c:printSettings>
</c:chartSpace>
</file>

<file path=xl/charts/chart1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sz="1400"/>
            </a:pPr>
            <a:r>
              <a:rPr lang="es-PE" sz="1400"/>
              <a:t>Atención Clinicas</a:t>
            </a:r>
            <a:r>
              <a:rPr lang="es-PE" sz="1400" baseline="0"/>
              <a:t> </a:t>
            </a:r>
            <a:r>
              <a:rPr lang="es-PE" sz="1400"/>
              <a:t>(S/.)</a:t>
            </a:r>
          </a:p>
        </c:rich>
      </c:tx>
      <c:layout>
        <c:manualLayout>
          <c:xMode val="edge"/>
          <c:yMode val="edge"/>
          <c:x val="0.37540966754155797"/>
          <c:y val="3.7037037037037056E-2"/>
        </c:manualLayout>
      </c:layout>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invertIfNegative val="0"/>
          <c:dLbls>
            <c:dLbl>
              <c:idx val="0"/>
              <c:layout>
                <c:manualLayout>
                  <c:x val="1.9444444444444445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87-44D0-9D11-6D659DAEC0DD}"/>
                </c:ext>
              </c:extLst>
            </c:dLbl>
            <c:dLbl>
              <c:idx val="1"/>
              <c:layout>
                <c:manualLayout>
                  <c:x val="2.2222222222222251E-2"/>
                  <c:y val="-1.38888888888889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87-44D0-9D11-6D659DAEC0DD}"/>
                </c:ext>
              </c:extLst>
            </c:dLbl>
            <c:dLbl>
              <c:idx val="2"/>
              <c:layout>
                <c:manualLayout>
                  <c:x val="2.2222222222222251E-2"/>
                  <c:y val="-2.77777777777778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87-44D0-9D11-6D659DAEC0DD}"/>
                </c:ext>
              </c:extLst>
            </c:dLbl>
            <c:spPr>
              <a:noFill/>
              <a:ln>
                <a:noFill/>
              </a:ln>
              <a:effectLst/>
            </c:spPr>
            <c:txPr>
              <a:bodyPr/>
              <a:lstStyle/>
              <a:p>
                <a:pPr>
                  <a:defRPr sz="12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'estadistica dias sin accidente'!$M$40:$M$43</c:f>
              <c:strCache>
                <c:ptCount val="4"/>
                <c:pt idx="0">
                  <c:v>2010</c:v>
                </c:pt>
                <c:pt idx="1">
                  <c:v>2011</c:v>
                </c:pt>
                <c:pt idx="2">
                  <c:v>2012</c:v>
                </c:pt>
                <c:pt idx="3">
                  <c:v>2013</c:v>
                </c:pt>
              </c:strCache>
            </c:strRef>
          </c:cat>
          <c:val>
            <c:numRef>
              <c:f>'estadistica dias sin accidente'!$Q$40:$Q$43</c:f>
              <c:numCache>
                <c:formatCode>#,##0</c:formatCode>
                <c:ptCount val="4"/>
                <c:pt idx="0">
                  <c:v>50390</c:v>
                </c:pt>
                <c:pt idx="1">
                  <c:v>92593</c:v>
                </c:pt>
                <c:pt idx="2">
                  <c:v>37427</c:v>
                </c:pt>
                <c:pt idx="3">
                  <c:v>111386.69099999999</c:v>
                </c:pt>
              </c:numCache>
            </c:numRef>
          </c:val>
          <c:extLst>
            <c:ext xmlns:c16="http://schemas.microsoft.com/office/drawing/2014/chart" uri="{C3380CC4-5D6E-409C-BE32-E72D297353CC}">
              <c16:uniqueId val="{00000003-8187-44D0-9D11-6D659DAEC0DD}"/>
            </c:ext>
          </c:extLst>
        </c:ser>
        <c:dLbls>
          <c:showLegendKey val="0"/>
          <c:showVal val="0"/>
          <c:showCatName val="0"/>
          <c:showSerName val="0"/>
          <c:showPercent val="0"/>
          <c:showBubbleSize val="0"/>
        </c:dLbls>
        <c:gapWidth val="150"/>
        <c:shape val="box"/>
        <c:axId val="1416341776"/>
        <c:axId val="1416349936"/>
        <c:axId val="0"/>
      </c:bar3DChart>
      <c:catAx>
        <c:axId val="1416341776"/>
        <c:scaling>
          <c:orientation val="minMax"/>
        </c:scaling>
        <c:delete val="0"/>
        <c:axPos val="b"/>
        <c:numFmt formatCode="General" sourceLinked="1"/>
        <c:majorTickMark val="none"/>
        <c:minorTickMark val="none"/>
        <c:tickLblPos val="nextTo"/>
        <c:crossAx val="1416349936"/>
        <c:crosses val="autoZero"/>
        <c:auto val="1"/>
        <c:lblAlgn val="ctr"/>
        <c:lblOffset val="100"/>
        <c:noMultiLvlLbl val="0"/>
      </c:catAx>
      <c:valAx>
        <c:axId val="1416349936"/>
        <c:scaling>
          <c:orientation val="minMax"/>
        </c:scaling>
        <c:delete val="0"/>
        <c:axPos val="l"/>
        <c:majorGridlines/>
        <c:numFmt formatCode="#,##0" sourceLinked="1"/>
        <c:majorTickMark val="none"/>
        <c:minorTickMark val="none"/>
        <c:tickLblPos val="nextTo"/>
        <c:crossAx val="1416341776"/>
        <c:crosses val="autoZero"/>
        <c:crossBetween val="between"/>
      </c:valAx>
    </c:plotArea>
    <c:plotVisOnly val="1"/>
    <c:dispBlanksAs val="gap"/>
    <c:showDLblsOverMax val="0"/>
  </c:chart>
  <c:spPr>
    <a:ln>
      <a:noFill/>
    </a:ln>
  </c:spPr>
  <c:printSettings>
    <c:headerFooter/>
    <c:pageMargins b="0.75000000000000122" l="0.70000000000000062" r="0.70000000000000062" t="0.75000000000000122" header="0.30000000000000032" footer="0.30000000000000032"/>
    <c:pageSetup/>
  </c:printSettings>
</c:chartSpace>
</file>

<file path=xl/charts/chart1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0"/>
    </mc:Choice>
    <mc:Fallback>
      <c:style val="40"/>
    </mc:Fallback>
  </mc:AlternateContent>
  <c:chart>
    <c:title>
      <c:tx>
        <c:rich>
          <a:bodyPr/>
          <a:lstStyle/>
          <a:p>
            <a:pPr>
              <a:defRPr/>
            </a:pPr>
            <a:r>
              <a:rPr lang="es-PE"/>
              <a:t>Atención Clinicas (S/./Accidente)</a:t>
            </a:r>
          </a:p>
        </c:rich>
      </c:tx>
      <c:layout>
        <c:manualLayout>
          <c:xMode val="edge"/>
          <c:yMode val="edge"/>
          <c:x val="0.28096522309711286"/>
          <c:y val="5.0925925925925923E-2"/>
        </c:manualLayout>
      </c:layout>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invertIfNegative val="0"/>
          <c:dLbls>
            <c:dLbl>
              <c:idx val="0"/>
              <c:layout>
                <c:manualLayout>
                  <c:x val="1.9444444444444445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81-4716-AE78-F621202D4963}"/>
                </c:ext>
              </c:extLst>
            </c:dLbl>
            <c:dLbl>
              <c:idx val="1"/>
              <c:layout>
                <c:manualLayout>
                  <c:x val="2.2222222222222251E-2"/>
                  <c:y val="-1.38888888888889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81-4716-AE78-F621202D4963}"/>
                </c:ext>
              </c:extLst>
            </c:dLbl>
            <c:dLbl>
              <c:idx val="2"/>
              <c:layout>
                <c:manualLayout>
                  <c:x val="1.687827097765084E-2"/>
                  <c:y val="-5.55555555555554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81-4716-AE78-F621202D4963}"/>
                </c:ext>
              </c:extLst>
            </c:dLbl>
            <c:dLbl>
              <c:idx val="3"/>
              <c:layout>
                <c:manualLayout>
                  <c:x val="1.0688042752170899E-2"/>
                  <c:y val="-1.8518518518518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81-4716-AE78-F621202D496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'estadistica dias sin accidente'!$M$40:$M$43</c:f>
              <c:strCache>
                <c:ptCount val="4"/>
                <c:pt idx="0">
                  <c:v>2010</c:v>
                </c:pt>
                <c:pt idx="1">
                  <c:v>2011</c:v>
                </c:pt>
                <c:pt idx="2">
                  <c:v>2012</c:v>
                </c:pt>
                <c:pt idx="3">
                  <c:v>2013</c:v>
                </c:pt>
              </c:strCache>
            </c:strRef>
          </c:cat>
          <c:val>
            <c:numRef>
              <c:f>'estadistica dias sin accidente'!$R$40:$R$43</c:f>
              <c:numCache>
                <c:formatCode>#,##0</c:formatCode>
                <c:ptCount val="4"/>
                <c:pt idx="0">
                  <c:v>854.06779661016947</c:v>
                </c:pt>
                <c:pt idx="1">
                  <c:v>1653.4464285714287</c:v>
                </c:pt>
                <c:pt idx="2">
                  <c:v>733.86274509803923</c:v>
                </c:pt>
                <c:pt idx="3">
                  <c:v>1796.5595322580643</c:v>
                </c:pt>
              </c:numCache>
            </c:numRef>
          </c:val>
          <c:extLst>
            <c:ext xmlns:c16="http://schemas.microsoft.com/office/drawing/2014/chart" uri="{C3380CC4-5D6E-409C-BE32-E72D297353CC}">
              <c16:uniqueId val="{00000004-FC81-4716-AE78-F621202D4963}"/>
            </c:ext>
          </c:extLst>
        </c:ser>
        <c:dLbls>
          <c:showLegendKey val="0"/>
          <c:showVal val="0"/>
          <c:showCatName val="0"/>
          <c:showSerName val="0"/>
          <c:showPercent val="0"/>
          <c:showBubbleSize val="0"/>
        </c:dLbls>
        <c:gapWidth val="150"/>
        <c:shape val="box"/>
        <c:axId val="1416343408"/>
        <c:axId val="1416343952"/>
        <c:axId val="0"/>
      </c:bar3DChart>
      <c:catAx>
        <c:axId val="1416343408"/>
        <c:scaling>
          <c:orientation val="minMax"/>
        </c:scaling>
        <c:delete val="0"/>
        <c:axPos val="b"/>
        <c:numFmt formatCode="General" sourceLinked="1"/>
        <c:majorTickMark val="none"/>
        <c:minorTickMark val="none"/>
        <c:tickLblPos val="nextTo"/>
        <c:crossAx val="1416343952"/>
        <c:crosses val="autoZero"/>
        <c:auto val="1"/>
        <c:lblAlgn val="ctr"/>
        <c:lblOffset val="100"/>
        <c:noMultiLvlLbl val="0"/>
      </c:catAx>
      <c:valAx>
        <c:axId val="1416343952"/>
        <c:scaling>
          <c:orientation val="minMax"/>
        </c:scaling>
        <c:delete val="0"/>
        <c:axPos val="l"/>
        <c:majorGridlines/>
        <c:numFmt formatCode="#,##0" sourceLinked="1"/>
        <c:majorTickMark val="none"/>
        <c:minorTickMark val="none"/>
        <c:tickLblPos val="nextTo"/>
        <c:crossAx val="1416343408"/>
        <c:crosses val="autoZero"/>
        <c:crossBetween val="between"/>
      </c:valAx>
    </c:plotArea>
    <c:plotVisOnly val="1"/>
    <c:dispBlanksAs val="gap"/>
    <c:showDLblsOverMax val="0"/>
  </c:chart>
  <c:spPr>
    <a:ln>
      <a:noFill/>
    </a:ln>
  </c:spPr>
  <c:printSettings>
    <c:headerFooter/>
    <c:pageMargins b="0.75000000000000122" l="0.70000000000000062" r="0.70000000000000062" t="0.75000000000000122" header="0.30000000000000032" footer="0.30000000000000032"/>
    <c:pageSetup/>
  </c:printSettings>
</c:chartSpace>
</file>

<file path=xl/charts/chart1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t>Indice de Severidad</a:t>
            </a:r>
          </a:p>
        </c:rich>
      </c:tx>
      <c:overlay val="0"/>
    </c:title>
    <c:autoTitleDeleted val="0"/>
    <c:plotArea>
      <c:layout/>
      <c:lineChart>
        <c:grouping val="standard"/>
        <c:varyColors val="0"/>
        <c:ser>
          <c:idx val="1"/>
          <c:order val="0"/>
          <c:tx>
            <c:strRef>
              <c:f>'[12]Graf Det'!$A$11</c:f>
              <c:strCache>
                <c:ptCount val="1"/>
                <c:pt idx="0">
                  <c:v>IS</c:v>
                </c:pt>
              </c:strCache>
            </c:strRef>
          </c:tx>
          <c:spPr>
            <a:ln>
              <a:solidFill>
                <a:schemeClr val="accent6"/>
              </a:solidFill>
            </a:ln>
          </c:spPr>
          <c:marker>
            <c:symbol val="square"/>
            <c:size val="6"/>
            <c:spPr>
              <a:ln>
                <a:solidFill>
                  <a:schemeClr val="accent6"/>
                </a:solidFill>
              </a:ln>
            </c:spPr>
          </c:marker>
          <c:dLbls>
            <c:dLbl>
              <c:idx val="0"/>
              <c:layout>
                <c:manualLayout>
                  <c:x val="-1.9444444444444441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14-4F9B-892A-B40501978EAE}"/>
                </c:ext>
              </c:extLst>
            </c:dLbl>
            <c:dLbl>
              <c:idx val="1"/>
              <c:layout>
                <c:manualLayout>
                  <c:x val="-3.3333333333333381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14-4F9B-892A-B40501978EAE}"/>
                </c:ext>
              </c:extLst>
            </c:dLbl>
            <c:dLbl>
              <c:idx val="2"/>
              <c:layout>
                <c:manualLayout>
                  <c:x val="-4.1666666666666664E-2"/>
                  <c:y val="-3.240740740740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14-4F9B-892A-B40501978EAE}"/>
                </c:ext>
              </c:extLst>
            </c:dLbl>
            <c:dLbl>
              <c:idx val="3"/>
              <c:layout>
                <c:manualLayout>
                  <c:x val="-4.4444444444444502E-2"/>
                  <c:y val="-4.62962962962964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14-4F9B-892A-B40501978EAE}"/>
                </c:ext>
              </c:extLst>
            </c:dLbl>
            <c:dLbl>
              <c:idx val="4"/>
              <c:layout>
                <c:manualLayout>
                  <c:x val="-3.888888888888889E-2"/>
                  <c:y val="-5.55555555555554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14-4F9B-892A-B40501978EAE}"/>
                </c:ext>
              </c:extLst>
            </c:dLbl>
            <c:dLbl>
              <c:idx val="5"/>
              <c:layout>
                <c:manualLayout>
                  <c:x val="-3.333333333333334E-2"/>
                  <c:y val="6.0185185185185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14-4F9B-892A-B40501978EAE}"/>
                </c:ext>
              </c:extLst>
            </c:dLbl>
            <c:dLbl>
              <c:idx val="6"/>
              <c:layout>
                <c:manualLayout>
                  <c:x val="-4.4444444444444432E-2"/>
                  <c:y val="-6.0185185185185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C14-4F9B-892A-B40501978EAE}"/>
                </c:ext>
              </c:extLst>
            </c:dLbl>
            <c:dLbl>
              <c:idx val="7"/>
              <c:layout>
                <c:manualLayout>
                  <c:x val="-4.1666666666666664E-2"/>
                  <c:y val="5.55555555555554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C14-4F9B-892A-B40501978EAE}"/>
                </c:ext>
              </c:extLst>
            </c:dLbl>
            <c:dLbl>
              <c:idx val="8"/>
              <c:layout>
                <c:manualLayout>
                  <c:x val="-4.4444444444444502E-2"/>
                  <c:y val="-3.7037037037037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C14-4F9B-892A-B40501978EAE}"/>
                </c:ext>
              </c:extLst>
            </c:dLbl>
            <c:dLbl>
              <c:idx val="9"/>
              <c:layout>
                <c:manualLayout>
                  <c:x val="-3.6111111111111198E-2"/>
                  <c:y val="6.0185185185185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C14-4F9B-892A-B40501978EAE}"/>
                </c:ext>
              </c:extLst>
            </c:dLbl>
            <c:dLbl>
              <c:idx val="10"/>
              <c:layout>
                <c:manualLayout>
                  <c:x val="-0.05"/>
                  <c:y val="-3.240740740740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C14-4F9B-892A-B40501978EAE}"/>
                </c:ext>
              </c:extLst>
            </c:dLbl>
            <c:dLbl>
              <c:idx val="11"/>
              <c:layout>
                <c:manualLayout>
                  <c:x val="-5.8333333333333549E-2"/>
                  <c:y val="-3.7037037037037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C14-4F9B-892A-B40501978EAE}"/>
                </c:ext>
              </c:extLst>
            </c:dLbl>
            <c:dLbl>
              <c:idx val="12"/>
              <c:layout>
                <c:manualLayout>
                  <c:x val="-3.6111111111111011E-2"/>
                  <c:y val="3.240740740740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C14-4F9B-892A-B40501978EAE}"/>
                </c:ext>
              </c:extLst>
            </c:dLbl>
            <c:spPr>
              <a:noFill/>
              <a:ln>
                <a:noFill/>
              </a:ln>
              <a:effectLst/>
            </c:spPr>
            <c:txPr>
              <a:bodyPr/>
              <a:lstStyle/>
              <a:p>
                <a:pPr>
                  <a:defRPr sz="1100" b="1">
                    <a:solidFill>
                      <a:srgbClr val="FF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'[12]Graf Det'!$B$9:$O$9</c:f>
              <c:numCache>
                <c:formatCode>General</c:formatCode>
                <c:ptCount val="14"/>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numCache>
            </c:numRef>
          </c:cat>
          <c:val>
            <c:numRef>
              <c:f>'[12]Graf Det'!$B$11:$O$11</c:f>
              <c:numCache>
                <c:formatCode>General</c:formatCode>
                <c:ptCount val="14"/>
                <c:pt idx="0">
                  <c:v>5</c:v>
                </c:pt>
                <c:pt idx="1">
                  <c:v>5</c:v>
                </c:pt>
                <c:pt idx="2">
                  <c:v>97</c:v>
                </c:pt>
                <c:pt idx="3">
                  <c:v>97</c:v>
                </c:pt>
                <c:pt idx="4">
                  <c:v>93</c:v>
                </c:pt>
                <c:pt idx="5">
                  <c:v>92</c:v>
                </c:pt>
                <c:pt idx="6">
                  <c:v>92</c:v>
                </c:pt>
                <c:pt idx="7">
                  <c:v>94</c:v>
                </c:pt>
                <c:pt idx="8">
                  <c:v>97</c:v>
                </c:pt>
                <c:pt idx="9">
                  <c:v>97</c:v>
                </c:pt>
                <c:pt idx="10">
                  <c:v>97</c:v>
                </c:pt>
                <c:pt idx="11">
                  <c:v>142</c:v>
                </c:pt>
                <c:pt idx="12">
                  <c:v>140</c:v>
                </c:pt>
                <c:pt idx="13">
                  <c:v>144</c:v>
                </c:pt>
              </c:numCache>
            </c:numRef>
          </c:val>
          <c:smooth val="0"/>
          <c:extLst>
            <c:ext xmlns:c16="http://schemas.microsoft.com/office/drawing/2014/chart" uri="{C3380CC4-5D6E-409C-BE32-E72D297353CC}">
              <c16:uniqueId val="{0000000D-EC14-4F9B-892A-B40501978EAE}"/>
            </c:ext>
          </c:extLst>
        </c:ser>
        <c:dLbls>
          <c:showLegendKey val="0"/>
          <c:showVal val="0"/>
          <c:showCatName val="0"/>
          <c:showSerName val="0"/>
          <c:showPercent val="0"/>
          <c:showBubbleSize val="0"/>
        </c:dLbls>
        <c:marker val="1"/>
        <c:smooth val="0"/>
        <c:axId val="1416364624"/>
        <c:axId val="1416340144"/>
      </c:lineChart>
      <c:catAx>
        <c:axId val="1416364624"/>
        <c:scaling>
          <c:orientation val="minMax"/>
        </c:scaling>
        <c:delete val="0"/>
        <c:axPos val="b"/>
        <c:numFmt formatCode="mmm\-yyyy" sourceLinked="0"/>
        <c:majorTickMark val="out"/>
        <c:minorTickMark val="none"/>
        <c:tickLblPos val="nextTo"/>
        <c:crossAx val="1416340144"/>
        <c:crosses val="autoZero"/>
        <c:auto val="1"/>
        <c:lblAlgn val="ctr"/>
        <c:lblOffset val="100"/>
        <c:noMultiLvlLbl val="1"/>
      </c:catAx>
      <c:valAx>
        <c:axId val="1416340144"/>
        <c:scaling>
          <c:orientation val="minMax"/>
        </c:scaling>
        <c:delete val="0"/>
        <c:axPos val="l"/>
        <c:majorGridlines/>
        <c:numFmt formatCode="General" sourceLinked="1"/>
        <c:majorTickMark val="out"/>
        <c:minorTickMark val="none"/>
        <c:tickLblPos val="nextTo"/>
        <c:crossAx val="1416364624"/>
        <c:crosses val="autoZero"/>
        <c:crossBetween val="between"/>
      </c:valAx>
    </c:plotArea>
    <c:legend>
      <c:legendPos val="r"/>
      <c:overlay val="0"/>
    </c:legend>
    <c:plotVisOnly val="1"/>
    <c:dispBlanksAs val="gap"/>
    <c:showDLblsOverMax val="0"/>
  </c:chart>
  <c:printSettings>
    <c:headerFooter/>
    <c:pageMargins b="0.75000000000000155" l="0.70000000000000062" r="0.70000000000000062" t="0.75000000000000155" header="0.30000000000000032" footer="0.30000000000000032"/>
    <c:pageSetup/>
  </c:printSettings>
</c:chartSpace>
</file>

<file path=xl/charts/chart2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t>Indicadores de Frecuencia</a:t>
            </a:r>
          </a:p>
        </c:rich>
      </c:tx>
      <c:overlay val="0"/>
    </c:title>
    <c:autoTitleDeleted val="0"/>
    <c:plotArea>
      <c:layout/>
      <c:lineChart>
        <c:grouping val="standard"/>
        <c:varyColors val="0"/>
        <c:ser>
          <c:idx val="0"/>
          <c:order val="0"/>
          <c:tx>
            <c:strRef>
              <c:f>'[12]Graf Det'!$A$15</c:f>
              <c:strCache>
                <c:ptCount val="1"/>
                <c:pt idx="0">
                  <c:v>2011</c:v>
                </c:pt>
              </c:strCache>
            </c:strRef>
          </c:tx>
          <c:spPr>
            <a:ln>
              <a:solidFill>
                <a:srgbClr val="00B0F0"/>
              </a:solidFill>
            </a:ln>
          </c:spPr>
          <c:marker>
            <c:spPr>
              <a:ln>
                <a:solidFill>
                  <a:srgbClr val="00B0F0"/>
                </a:solidFill>
              </a:ln>
            </c:spPr>
          </c:marker>
          <c:cat>
            <c:strRef>
              <c:f>'[12]Graf Det'!$B$14:$M$14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'[12]Graf Det'!$B$15:$M$15</c:f>
              <c:numCache>
                <c:formatCode>General</c:formatCode>
                <c:ptCount val="12"/>
                <c:pt idx="0">
                  <c:v>7.4</c:v>
                </c:pt>
                <c:pt idx="1">
                  <c:v>7.4</c:v>
                </c:pt>
                <c:pt idx="2">
                  <c:v>7.5</c:v>
                </c:pt>
                <c:pt idx="3">
                  <c:v>7.3</c:v>
                </c:pt>
                <c:pt idx="4">
                  <c:v>9.9</c:v>
                </c:pt>
                <c:pt idx="5">
                  <c:v>7.6</c:v>
                </c:pt>
                <c:pt idx="6">
                  <c:v>2.4</c:v>
                </c:pt>
                <c:pt idx="7">
                  <c:v>2.4</c:v>
                </c:pt>
                <c:pt idx="8">
                  <c:v>2.4</c:v>
                </c:pt>
                <c:pt idx="9">
                  <c:v>2.4</c:v>
                </c:pt>
                <c:pt idx="10">
                  <c:v>2.4</c:v>
                </c:pt>
                <c:pt idx="11">
                  <c:v>2.4</c:v>
                </c:pt>
              </c:numCache>
            </c:numRef>
          </c:val>
          <c:smooth val="0"/>
          <c:extLst>
            <c:ext xmlns:c16="http://schemas.microsoft.com/office/drawing/2014/chart" uri="{C3380CC4-5D6E-409C-BE32-E72D297353CC}">
              <c16:uniqueId val="{00000000-129B-4837-A63D-0AC02A7B8A4B}"/>
            </c:ext>
          </c:extLst>
        </c:ser>
        <c:ser>
          <c:idx val="1"/>
          <c:order val="1"/>
          <c:tx>
            <c:strRef>
              <c:f>'[12]Graf Det'!$A$16</c:f>
              <c:strCache>
                <c:ptCount val="1"/>
                <c:pt idx="0">
                  <c:v>2012</c:v>
                </c:pt>
              </c:strCache>
            </c:strRef>
          </c:tx>
          <c:spPr>
            <a:ln>
              <a:solidFill>
                <a:srgbClr val="FF0000"/>
              </a:solidFill>
            </a:ln>
          </c:spPr>
          <c:marker>
            <c:symbol val="square"/>
            <c:size val="6"/>
            <c:spPr>
              <a:ln>
                <a:solidFill>
                  <a:srgbClr val="FF0000"/>
                </a:solidFill>
              </a:ln>
            </c:spPr>
          </c:marker>
          <c:val>
            <c:numRef>
              <c:f>'[12]Graf Det'!$B$16:$M$16</c:f>
              <c:numCache>
                <c:formatCode>General</c:formatCode>
                <c:ptCount val="12"/>
                <c:pt idx="0">
                  <c:v>2.4</c:v>
                </c:pt>
                <c:pt idx="1">
                  <c:v>2.4</c:v>
                </c:pt>
                <c:pt idx="2">
                  <c:v>7.3</c:v>
                </c:pt>
                <c:pt idx="3">
                  <c:v>7.3</c:v>
                </c:pt>
                <c:pt idx="4">
                  <c:v>4.9000000000000004</c:v>
                </c:pt>
                <c:pt idx="5">
                  <c:v>4.8</c:v>
                </c:pt>
                <c:pt idx="6">
                  <c:v>4.9000000000000004</c:v>
                </c:pt>
                <c:pt idx="7">
                  <c:v>4.9000000000000004</c:v>
                </c:pt>
                <c:pt idx="8">
                  <c:v>5.0999999999999996</c:v>
                </c:pt>
                <c:pt idx="9">
                  <c:v>5.0999999999999996</c:v>
                </c:pt>
                <c:pt idx="10">
                  <c:v>5.0999999999999996</c:v>
                </c:pt>
                <c:pt idx="11">
                  <c:v>10.1</c:v>
                </c:pt>
              </c:numCache>
            </c:numRef>
          </c:val>
          <c:smooth val="0"/>
          <c:extLst>
            <c:ext xmlns:c16="http://schemas.microsoft.com/office/drawing/2014/chart" uri="{C3380CC4-5D6E-409C-BE32-E72D297353CC}">
              <c16:uniqueId val="{00000001-129B-4837-A63D-0AC02A7B8A4B}"/>
            </c:ext>
          </c:extLst>
        </c:ser>
        <c:ser>
          <c:idx val="2"/>
          <c:order val="2"/>
          <c:tx>
            <c:strRef>
              <c:f>'[12]Graf Det'!$A$17</c:f>
              <c:strCache>
                <c:ptCount val="1"/>
                <c:pt idx="0">
                  <c:v>2013</c:v>
                </c:pt>
              </c:strCache>
            </c:strRef>
          </c:tx>
          <c:spPr>
            <a:ln>
              <a:solidFill>
                <a:srgbClr val="00B050"/>
              </a:solidFill>
            </a:ln>
          </c:spPr>
          <c:marker>
            <c:spPr>
              <a:ln>
                <a:solidFill>
                  <a:srgbClr val="00B050"/>
                </a:solidFill>
              </a:ln>
            </c:spPr>
          </c:marker>
          <c:val>
            <c:numRef>
              <c:f>'[12]Graf Det'!$B$17:$M$17</c:f>
              <c:numCache>
                <c:formatCode>General</c:formatCode>
                <c:ptCount val="12"/>
                <c:pt idx="0">
                  <c:v>5</c:v>
                </c:pt>
                <c:pt idx="1">
                  <c:v>3.4</c:v>
                </c:pt>
              </c:numCache>
            </c:numRef>
          </c:val>
          <c:smooth val="0"/>
          <c:extLst>
            <c:ext xmlns:c16="http://schemas.microsoft.com/office/drawing/2014/chart" uri="{C3380CC4-5D6E-409C-BE32-E72D297353CC}">
              <c16:uniqueId val="{00000002-129B-4837-A63D-0AC02A7B8A4B}"/>
            </c:ext>
          </c:extLst>
        </c:ser>
        <c:dLbls>
          <c:showLegendKey val="0"/>
          <c:showVal val="0"/>
          <c:showCatName val="0"/>
          <c:showSerName val="0"/>
          <c:showPercent val="0"/>
          <c:showBubbleSize val="0"/>
        </c:dLbls>
        <c:marker val="1"/>
        <c:smooth val="0"/>
        <c:axId val="1416339600"/>
        <c:axId val="1416352112"/>
      </c:lineChart>
      <c:catAx>
        <c:axId val="1416339600"/>
        <c:scaling>
          <c:orientation val="minMax"/>
        </c:scaling>
        <c:delete val="0"/>
        <c:axPos val="b"/>
        <c:numFmt formatCode="General" sourceLinked="0"/>
        <c:majorTickMark val="out"/>
        <c:minorTickMark val="none"/>
        <c:tickLblPos val="nextTo"/>
        <c:crossAx val="1416352112"/>
        <c:crosses val="autoZero"/>
        <c:auto val="1"/>
        <c:lblAlgn val="ctr"/>
        <c:lblOffset val="100"/>
        <c:noMultiLvlLbl val="0"/>
      </c:catAx>
      <c:valAx>
        <c:axId val="1416352112"/>
        <c:scaling>
          <c:orientation val="minMax"/>
        </c:scaling>
        <c:delete val="0"/>
        <c:axPos val="l"/>
        <c:majorGridlines/>
        <c:numFmt formatCode="General" sourceLinked="1"/>
        <c:majorTickMark val="out"/>
        <c:minorTickMark val="none"/>
        <c:tickLblPos val="nextTo"/>
        <c:crossAx val="1416339600"/>
        <c:crosses val="autoZero"/>
        <c:crossBetween val="between"/>
      </c:valAx>
      <c:dTable>
        <c:showHorzBorder val="1"/>
        <c:showVertBorder val="1"/>
        <c:showOutline val="1"/>
        <c:showKeys val="1"/>
      </c:dTable>
    </c:plotArea>
    <c:legend>
      <c:legendPos val="r"/>
      <c:overlay val="0"/>
    </c:legend>
    <c:plotVisOnly val="1"/>
    <c:dispBlanksAs val="gap"/>
    <c:showDLblsOverMax val="0"/>
  </c:chart>
  <c:printSettings>
    <c:headerFooter/>
    <c:pageMargins b="0.75000000000000155" l="0.70000000000000062" r="0.70000000000000062" t="0.75000000000000155" header="0.30000000000000032" footer="0.30000000000000032"/>
    <c:pageSetup/>
  </c:printSettings>
</c:chartSpace>
</file>

<file path=xl/charts/chart2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s-PE"/>
              <a:t>Indice de Accidentabilidad</a:t>
            </a:r>
          </a:p>
        </c:rich>
      </c:tx>
      <c:overlay val="0"/>
    </c:title>
    <c:autoTitleDeleted val="0"/>
    <c:plotArea>
      <c:layout/>
      <c:lineChart>
        <c:grouping val="standard"/>
        <c:varyColors val="0"/>
        <c:ser>
          <c:idx val="3"/>
          <c:order val="0"/>
          <c:tx>
            <c:strRef>
              <c:f>'[12]Graf Det'!$A$13</c:f>
              <c:strCache>
                <c:ptCount val="1"/>
                <c:pt idx="0">
                  <c:v>IA</c:v>
                </c:pt>
              </c:strCache>
            </c:strRef>
          </c:tx>
          <c:marker>
            <c:symbol val="circle"/>
            <c:size val="6"/>
            <c:spPr>
              <a:solidFill>
                <a:srgbClr val="002060"/>
              </a:solidFill>
            </c:spPr>
          </c:marker>
          <c:dLbls>
            <c:dLbl>
              <c:idx val="0"/>
              <c:layout>
                <c:manualLayout>
                  <c:x val="-3.0555555555555582E-2"/>
                  <c:y val="-3.240740740740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7A-4B25-8583-DDCC9FB276C3}"/>
                </c:ext>
              </c:extLst>
            </c:dLbl>
            <c:dLbl>
              <c:idx val="1"/>
              <c:layout>
                <c:manualLayout>
                  <c:x val="2.7777777777777957E-3"/>
                  <c:y val="-4.62962962962964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7A-4B25-8583-DDCC9FB276C3}"/>
                </c:ext>
              </c:extLst>
            </c:dLbl>
            <c:dLbl>
              <c:idx val="2"/>
              <c:layout>
                <c:manualLayout>
                  <c:x val="-0.05"/>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7A-4B25-8583-DDCC9FB276C3}"/>
                </c:ext>
              </c:extLst>
            </c:dLbl>
            <c:dLbl>
              <c:idx val="3"/>
              <c:layout>
                <c:manualLayout>
                  <c:x val="-4.1666666666666664E-2"/>
                  <c:y val="-4.1666666666666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7A-4B25-8583-DDCC9FB276C3}"/>
                </c:ext>
              </c:extLst>
            </c:dLbl>
            <c:dLbl>
              <c:idx val="4"/>
              <c:layout>
                <c:manualLayout>
                  <c:x val="-4.1666666666666664E-2"/>
                  <c:y val="5.55555555555554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7A-4B25-8583-DDCC9FB276C3}"/>
                </c:ext>
              </c:extLst>
            </c:dLbl>
            <c:dLbl>
              <c:idx val="5"/>
              <c:layout>
                <c:manualLayout>
                  <c:x val="-4.1666666666666664E-2"/>
                  <c:y val="-5.55555555555554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7A-4B25-8583-DDCC9FB276C3}"/>
                </c:ext>
              </c:extLst>
            </c:dLbl>
            <c:dLbl>
              <c:idx val="6"/>
              <c:layout>
                <c:manualLayout>
                  <c:x val="-3.6111111111111198E-2"/>
                  <c:y val="6.0185185185185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7A-4B25-8583-DDCC9FB276C3}"/>
                </c:ext>
              </c:extLst>
            </c:dLbl>
            <c:dLbl>
              <c:idx val="7"/>
              <c:layout>
                <c:manualLayout>
                  <c:x val="-0.05"/>
                  <c:y val="-4.62962962962963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7A-4B25-8583-DDCC9FB276C3}"/>
                </c:ext>
              </c:extLst>
            </c:dLbl>
            <c:dLbl>
              <c:idx val="8"/>
              <c:layout>
                <c:manualLayout>
                  <c:x val="-3.333333333333334E-2"/>
                  <c:y val="6.48148148148150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17A-4B25-8583-DDCC9FB276C3}"/>
                </c:ext>
              </c:extLst>
            </c:dLbl>
            <c:dLbl>
              <c:idx val="9"/>
              <c:layout>
                <c:manualLayout>
                  <c:x val="-0.05"/>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17A-4B25-8583-DDCC9FB276C3}"/>
                </c:ext>
              </c:extLst>
            </c:dLbl>
            <c:dLbl>
              <c:idx val="10"/>
              <c:layout>
                <c:manualLayout>
                  <c:x val="-3.888888888888889E-2"/>
                  <c:y val="4.62962962962964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17A-4B25-8583-DDCC9FB276C3}"/>
                </c:ext>
              </c:extLst>
            </c:dLbl>
            <c:dLbl>
              <c:idx val="11"/>
              <c:layout>
                <c:manualLayout>
                  <c:x val="-6.1111111111111123E-2"/>
                  <c:y val="-2.77777777777779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17A-4B25-8583-DDCC9FB276C3}"/>
                </c:ext>
              </c:extLst>
            </c:dLbl>
            <c:dLbl>
              <c:idx val="12"/>
              <c:layout>
                <c:manualLayout>
                  <c:x val="-4.7222222222222332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17A-4B25-8583-DDCC9FB276C3}"/>
                </c:ext>
              </c:extLst>
            </c:dLbl>
            <c:dLbl>
              <c:idx val="13"/>
              <c:layout>
                <c:manualLayout>
                  <c:x val="-0.05"/>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17A-4B25-8583-DDCC9FB276C3}"/>
                </c:ext>
              </c:extLst>
            </c:dLbl>
            <c:spPr>
              <a:noFill/>
              <a:ln>
                <a:noFill/>
              </a:ln>
              <a:effectLst/>
            </c:spPr>
            <c:txPr>
              <a:bodyPr/>
              <a:lstStyle/>
              <a:p>
                <a:pPr>
                  <a:defRPr sz="1100" b="1">
                    <a:solidFill>
                      <a:srgbClr val="FF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'[12]Graf Det'!$B$9:$O$9</c:f>
              <c:numCache>
                <c:formatCode>General</c:formatCode>
                <c:ptCount val="14"/>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numCache>
            </c:numRef>
          </c:cat>
          <c:val>
            <c:numRef>
              <c:f>'[12]Graf Det'!$B$13:$O$13</c:f>
              <c:numCache>
                <c:formatCode>General</c:formatCode>
                <c:ptCount val="14"/>
                <c:pt idx="0">
                  <c:v>1.2E-2</c:v>
                </c:pt>
                <c:pt idx="1">
                  <c:v>1.2E-2</c:v>
                </c:pt>
                <c:pt idx="2">
                  <c:v>0.70810000000000006</c:v>
                </c:pt>
                <c:pt idx="3">
                  <c:v>0.70810000000000006</c:v>
                </c:pt>
                <c:pt idx="4">
                  <c:v>0.45570000000000005</c:v>
                </c:pt>
                <c:pt idx="5">
                  <c:v>0.44159999999999999</c:v>
                </c:pt>
                <c:pt idx="6">
                  <c:v>0.45080000000000003</c:v>
                </c:pt>
                <c:pt idx="7">
                  <c:v>0.46060000000000001</c:v>
                </c:pt>
                <c:pt idx="8">
                  <c:v>0.49469999999999997</c:v>
                </c:pt>
                <c:pt idx="9">
                  <c:v>0.49469999999999997</c:v>
                </c:pt>
                <c:pt idx="10">
                  <c:v>0.49469999999999997</c:v>
                </c:pt>
                <c:pt idx="11">
                  <c:v>1.4342000000000001</c:v>
                </c:pt>
                <c:pt idx="12">
                  <c:v>1.4</c:v>
                </c:pt>
                <c:pt idx="13">
                  <c:v>1.4832000000000001</c:v>
                </c:pt>
              </c:numCache>
            </c:numRef>
          </c:val>
          <c:smooth val="0"/>
          <c:extLst>
            <c:ext xmlns:c16="http://schemas.microsoft.com/office/drawing/2014/chart" uri="{C3380CC4-5D6E-409C-BE32-E72D297353CC}">
              <c16:uniqueId val="{0000000E-817A-4B25-8583-DDCC9FB276C3}"/>
            </c:ext>
          </c:extLst>
        </c:ser>
        <c:dLbls>
          <c:showLegendKey val="0"/>
          <c:showVal val="0"/>
          <c:showCatName val="0"/>
          <c:showSerName val="0"/>
          <c:showPercent val="0"/>
          <c:showBubbleSize val="0"/>
        </c:dLbls>
        <c:marker val="1"/>
        <c:smooth val="0"/>
        <c:axId val="1416347760"/>
        <c:axId val="1416359728"/>
      </c:lineChart>
      <c:catAx>
        <c:axId val="1416347760"/>
        <c:scaling>
          <c:orientation val="minMax"/>
        </c:scaling>
        <c:delete val="0"/>
        <c:axPos val="b"/>
        <c:numFmt formatCode="General" sourceLinked="1"/>
        <c:majorTickMark val="out"/>
        <c:minorTickMark val="none"/>
        <c:tickLblPos val="nextTo"/>
        <c:crossAx val="1416359728"/>
        <c:crosses val="autoZero"/>
        <c:auto val="1"/>
        <c:lblAlgn val="ctr"/>
        <c:lblOffset val="100"/>
        <c:noMultiLvlLbl val="1"/>
      </c:catAx>
      <c:valAx>
        <c:axId val="1416359728"/>
        <c:scaling>
          <c:orientation val="minMax"/>
        </c:scaling>
        <c:delete val="0"/>
        <c:axPos val="l"/>
        <c:majorGridlines/>
        <c:numFmt formatCode="General" sourceLinked="1"/>
        <c:majorTickMark val="out"/>
        <c:minorTickMark val="none"/>
        <c:tickLblPos val="nextTo"/>
        <c:crossAx val="1416347760"/>
        <c:crosses val="autoZero"/>
        <c:crossBetween val="between"/>
      </c:valAx>
    </c:plotArea>
    <c:legend>
      <c:legendPos val="r"/>
      <c:overlay val="0"/>
    </c:legend>
    <c:plotVisOnly val="1"/>
    <c:dispBlanksAs val="gap"/>
    <c:showDLblsOverMax val="0"/>
  </c:chart>
  <c:printSettings>
    <c:headerFooter/>
    <c:pageMargins b="0.75000000000000155" l="0.70000000000000062" r="0.70000000000000062" t="0.75000000000000155" header="0.30000000000000032" footer="0.30000000000000032"/>
    <c:pageSetup/>
  </c:printSettings>
</c:chartSpace>
</file>

<file path=xl/charts/chart2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s-PE"/>
              <a:t>Indice de Frecuencia</a:t>
            </a:r>
          </a:p>
        </c:rich>
      </c:tx>
      <c:overlay val="0"/>
    </c:title>
    <c:autoTitleDeleted val="0"/>
    <c:plotArea>
      <c:layout/>
      <c:lineChart>
        <c:grouping val="standard"/>
        <c:varyColors val="0"/>
        <c:ser>
          <c:idx val="0"/>
          <c:order val="0"/>
          <c:tx>
            <c:strRef>
              <c:f>'[12]Graf Det'!$A$10</c:f>
              <c:strCache>
                <c:ptCount val="1"/>
                <c:pt idx="0">
                  <c:v>IF</c:v>
                </c:pt>
              </c:strCache>
            </c:strRef>
          </c:tx>
          <c:dLbls>
            <c:dLbl>
              <c:idx val="0"/>
              <c:layout>
                <c:manualLayout>
                  <c:x val="-5.0000000000000024E-2"/>
                  <c:y val="-3.2407407407407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04-4D2E-915F-932C7F273BA9}"/>
                </c:ext>
              </c:extLst>
            </c:dLbl>
            <c:dLbl>
              <c:idx val="1"/>
              <c:layout>
                <c:manualLayout>
                  <c:x val="-4.1666666666666664E-2"/>
                  <c:y val="-2.77777777777778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04-4D2E-915F-932C7F273BA9}"/>
                </c:ext>
              </c:extLst>
            </c:dLbl>
            <c:dLbl>
              <c:idx val="2"/>
              <c:layout>
                <c:manualLayout>
                  <c:x val="-3.6111111111111198E-2"/>
                  <c:y val="-2.77777777777779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304-4D2E-915F-932C7F273BA9}"/>
                </c:ext>
              </c:extLst>
            </c:dLbl>
            <c:dLbl>
              <c:idx val="3"/>
              <c:layout>
                <c:manualLayout>
                  <c:x val="-0.05"/>
                  <c:y val="3.7037037037037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04-4D2E-915F-932C7F273BA9}"/>
                </c:ext>
              </c:extLst>
            </c:dLbl>
            <c:dLbl>
              <c:idx val="4"/>
              <c:layout>
                <c:manualLayout>
                  <c:x val="-4.1666666666666664E-2"/>
                  <c:y val="-3.240740740740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04-4D2E-915F-932C7F273BA9}"/>
                </c:ext>
              </c:extLst>
            </c:dLbl>
            <c:dLbl>
              <c:idx val="5"/>
              <c:layout>
                <c:manualLayout>
                  <c:x val="-4.4444444444444502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04-4D2E-915F-932C7F273BA9}"/>
                </c:ext>
              </c:extLst>
            </c:dLbl>
            <c:dLbl>
              <c:idx val="6"/>
              <c:layout>
                <c:manualLayout>
                  <c:x val="-4.7222222222222332E-2"/>
                  <c:y val="-3.240740740740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304-4D2E-915F-932C7F273BA9}"/>
                </c:ext>
              </c:extLst>
            </c:dLbl>
            <c:dLbl>
              <c:idx val="7"/>
              <c:layout>
                <c:manualLayout>
                  <c:x val="-4.1666666666666664E-2"/>
                  <c:y val="2.77777777777779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04-4D2E-915F-932C7F273BA9}"/>
                </c:ext>
              </c:extLst>
            </c:dLbl>
            <c:dLbl>
              <c:idx val="8"/>
              <c:layout>
                <c:manualLayout>
                  <c:x val="-6.1111111111111123E-2"/>
                  <c:y val="-3.240740740740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304-4D2E-915F-932C7F273BA9}"/>
                </c:ext>
              </c:extLst>
            </c:dLbl>
            <c:dLbl>
              <c:idx val="9"/>
              <c:layout>
                <c:manualLayout>
                  <c:x val="-5.5555555555555455E-2"/>
                  <c:y val="-2.77777777777779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304-4D2E-915F-932C7F273BA9}"/>
                </c:ext>
              </c:extLst>
            </c:dLbl>
            <c:dLbl>
              <c:idx val="10"/>
              <c:layout>
                <c:manualLayout>
                  <c:x val="-4.4444444444444502E-2"/>
                  <c:y val="5.55555555555554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304-4D2E-915F-932C7F273BA9}"/>
                </c:ext>
              </c:extLst>
            </c:dLbl>
            <c:dLbl>
              <c:idx val="11"/>
              <c:layout>
                <c:manualLayout>
                  <c:x val="-0.05"/>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304-4D2E-915F-932C7F273BA9}"/>
                </c:ext>
              </c:extLst>
            </c:dLbl>
            <c:dLbl>
              <c:idx val="12"/>
              <c:layout>
                <c:manualLayout>
                  <c:x val="-4.3204316349337406E-2"/>
                  <c:y val="3.2407407407407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304-4D2E-915F-932C7F273BA9}"/>
                </c:ext>
              </c:extLst>
            </c:dLbl>
            <c:spPr>
              <a:noFill/>
              <a:ln>
                <a:noFill/>
              </a:ln>
              <a:effectLst/>
            </c:spPr>
            <c:txPr>
              <a:bodyPr/>
              <a:lstStyle/>
              <a:p>
                <a:pPr>
                  <a:defRPr sz="1200" b="1">
                    <a:solidFill>
                      <a:schemeClr val="tx1"/>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'[12]Graf Det'!$B$9:$O$9</c:f>
              <c:numCache>
                <c:formatCode>General</c:formatCode>
                <c:ptCount val="14"/>
                <c:pt idx="0">
                  <c:v>40909</c:v>
                </c:pt>
                <c:pt idx="1">
                  <c:v>40940</c:v>
                </c:pt>
                <c:pt idx="2">
                  <c:v>40969</c:v>
                </c:pt>
                <c:pt idx="3">
                  <c:v>41000</c:v>
                </c:pt>
                <c:pt idx="4">
                  <c:v>41030</c:v>
                </c:pt>
                <c:pt idx="5">
                  <c:v>41061</c:v>
                </c:pt>
                <c:pt idx="6">
                  <c:v>41091</c:v>
                </c:pt>
                <c:pt idx="7">
                  <c:v>41122</c:v>
                </c:pt>
                <c:pt idx="8">
                  <c:v>41153</c:v>
                </c:pt>
                <c:pt idx="9">
                  <c:v>41183</c:v>
                </c:pt>
                <c:pt idx="10">
                  <c:v>41214</c:v>
                </c:pt>
                <c:pt idx="11">
                  <c:v>41244</c:v>
                </c:pt>
                <c:pt idx="12">
                  <c:v>41275</c:v>
                </c:pt>
                <c:pt idx="13">
                  <c:v>41306</c:v>
                </c:pt>
              </c:numCache>
            </c:numRef>
          </c:cat>
          <c:val>
            <c:numRef>
              <c:f>'[12]Graf Det'!$B$10:$O$10</c:f>
              <c:numCache>
                <c:formatCode>General</c:formatCode>
                <c:ptCount val="14"/>
                <c:pt idx="0">
                  <c:v>2.4</c:v>
                </c:pt>
                <c:pt idx="1">
                  <c:v>2.4</c:v>
                </c:pt>
                <c:pt idx="2">
                  <c:v>7.3</c:v>
                </c:pt>
                <c:pt idx="3">
                  <c:v>7.3</c:v>
                </c:pt>
                <c:pt idx="4">
                  <c:v>4.9000000000000004</c:v>
                </c:pt>
                <c:pt idx="5">
                  <c:v>4.8</c:v>
                </c:pt>
                <c:pt idx="6">
                  <c:v>4.9000000000000004</c:v>
                </c:pt>
                <c:pt idx="7">
                  <c:v>4.9000000000000004</c:v>
                </c:pt>
                <c:pt idx="8">
                  <c:v>5.0999999999999996</c:v>
                </c:pt>
                <c:pt idx="9">
                  <c:v>5.0999999999999996</c:v>
                </c:pt>
                <c:pt idx="10">
                  <c:v>5.0999999999999996</c:v>
                </c:pt>
                <c:pt idx="11">
                  <c:v>10.1</c:v>
                </c:pt>
                <c:pt idx="12">
                  <c:v>10</c:v>
                </c:pt>
                <c:pt idx="13">
                  <c:v>10.3</c:v>
                </c:pt>
              </c:numCache>
            </c:numRef>
          </c:val>
          <c:smooth val="0"/>
          <c:extLst>
            <c:ext xmlns:c16="http://schemas.microsoft.com/office/drawing/2014/chart" uri="{C3380CC4-5D6E-409C-BE32-E72D297353CC}">
              <c16:uniqueId val="{0000000D-8304-4D2E-915F-932C7F273BA9}"/>
            </c:ext>
          </c:extLst>
        </c:ser>
        <c:dLbls>
          <c:showLegendKey val="0"/>
          <c:showVal val="0"/>
          <c:showCatName val="0"/>
          <c:showSerName val="0"/>
          <c:showPercent val="0"/>
          <c:showBubbleSize val="0"/>
        </c:dLbls>
        <c:marker val="1"/>
        <c:smooth val="0"/>
        <c:axId val="1416362448"/>
        <c:axId val="1416353744"/>
      </c:lineChart>
      <c:catAx>
        <c:axId val="1416362448"/>
        <c:scaling>
          <c:orientation val="minMax"/>
        </c:scaling>
        <c:delete val="0"/>
        <c:axPos val="b"/>
        <c:numFmt formatCode="General" sourceLinked="1"/>
        <c:majorTickMark val="out"/>
        <c:minorTickMark val="none"/>
        <c:tickLblPos val="nextTo"/>
        <c:crossAx val="1416353744"/>
        <c:crosses val="autoZero"/>
        <c:auto val="1"/>
        <c:lblAlgn val="ctr"/>
        <c:lblOffset val="100"/>
        <c:noMultiLvlLbl val="1"/>
      </c:catAx>
      <c:valAx>
        <c:axId val="1416353744"/>
        <c:scaling>
          <c:orientation val="minMax"/>
        </c:scaling>
        <c:delete val="0"/>
        <c:axPos val="l"/>
        <c:majorGridlines/>
        <c:numFmt formatCode="General" sourceLinked="1"/>
        <c:majorTickMark val="out"/>
        <c:minorTickMark val="none"/>
        <c:tickLblPos val="nextTo"/>
        <c:crossAx val="1416362448"/>
        <c:crosses val="autoZero"/>
        <c:crossBetween val="between"/>
      </c:valAx>
    </c:plotArea>
    <c:legend>
      <c:legendPos val="r"/>
      <c:overlay val="0"/>
    </c:legend>
    <c:plotVisOnly val="1"/>
    <c:dispBlanksAs val="gap"/>
    <c:showDLblsOverMax val="0"/>
  </c:chart>
  <c:printSettings>
    <c:headerFooter/>
    <c:pageMargins b="0.75000000000000155" l="0.70000000000000062" r="0.70000000000000062" t="0.75000000000000155" header="0.30000000000000032" footer="0.30000000000000032"/>
    <c:pageSetup/>
  </c:printSettings>
</c:chartSpace>
</file>

<file path=xl/charts/chart2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s-PE"/>
              <a:t>Indice</a:t>
            </a:r>
            <a:r>
              <a:rPr lang="es-PE" baseline="0"/>
              <a:t> de Severidad</a:t>
            </a:r>
            <a:endParaRPr lang="es-PE"/>
          </a:p>
        </c:rich>
      </c:tx>
      <c:overlay val="0"/>
    </c:title>
    <c:autoTitleDeleted val="0"/>
    <c:plotArea>
      <c:layout/>
      <c:lineChart>
        <c:grouping val="standard"/>
        <c:varyColors val="0"/>
        <c:ser>
          <c:idx val="1"/>
          <c:order val="0"/>
          <c:tx>
            <c:strRef>
              <c:f>'[12]Graf Det'!$A$11</c:f>
              <c:strCache>
                <c:ptCount val="1"/>
                <c:pt idx="0">
                  <c:v>IS</c:v>
                </c:pt>
              </c:strCache>
            </c:strRef>
          </c:tx>
          <c:spPr>
            <a:ln>
              <a:solidFill>
                <a:srgbClr val="FF0000"/>
              </a:solidFill>
            </a:ln>
          </c:spPr>
          <c:marker>
            <c:spPr>
              <a:ln>
                <a:solidFill>
                  <a:srgbClr val="FF0000"/>
                </a:solidFill>
              </a:ln>
            </c:spPr>
          </c:marker>
          <c:dLbls>
            <c:spPr>
              <a:noFill/>
              <a:ln>
                <a:noFill/>
              </a:ln>
              <a:effectLst/>
            </c:spPr>
            <c:txPr>
              <a:bodyPr/>
              <a:lstStyle/>
              <a:p>
                <a:pPr>
                  <a:defRPr sz="1150" b="1"/>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'[12]Graf Det'!$D$9:$O$9</c:f>
              <c:numCache>
                <c:formatCode>General</c:formatCode>
                <c:ptCount val="12"/>
                <c:pt idx="0">
                  <c:v>40969</c:v>
                </c:pt>
                <c:pt idx="1">
                  <c:v>41000</c:v>
                </c:pt>
                <c:pt idx="2">
                  <c:v>41030</c:v>
                </c:pt>
                <c:pt idx="3">
                  <c:v>41061</c:v>
                </c:pt>
                <c:pt idx="4">
                  <c:v>41091</c:v>
                </c:pt>
                <c:pt idx="5">
                  <c:v>41122</c:v>
                </c:pt>
                <c:pt idx="6">
                  <c:v>41153</c:v>
                </c:pt>
                <c:pt idx="7">
                  <c:v>41183</c:v>
                </c:pt>
                <c:pt idx="8">
                  <c:v>41214</c:v>
                </c:pt>
                <c:pt idx="9">
                  <c:v>41244</c:v>
                </c:pt>
                <c:pt idx="10">
                  <c:v>41275</c:v>
                </c:pt>
                <c:pt idx="11">
                  <c:v>41306</c:v>
                </c:pt>
              </c:numCache>
            </c:numRef>
          </c:cat>
          <c:val>
            <c:numRef>
              <c:f>'[12]Graf Det'!$D$11:$O$11</c:f>
              <c:numCache>
                <c:formatCode>General</c:formatCode>
                <c:ptCount val="12"/>
                <c:pt idx="0">
                  <c:v>97</c:v>
                </c:pt>
                <c:pt idx="1">
                  <c:v>97</c:v>
                </c:pt>
                <c:pt idx="2">
                  <c:v>93</c:v>
                </c:pt>
                <c:pt idx="3">
                  <c:v>92</c:v>
                </c:pt>
                <c:pt idx="4">
                  <c:v>92</c:v>
                </c:pt>
                <c:pt idx="5">
                  <c:v>94</c:v>
                </c:pt>
                <c:pt idx="6">
                  <c:v>97</c:v>
                </c:pt>
                <c:pt idx="7">
                  <c:v>97</c:v>
                </c:pt>
                <c:pt idx="8">
                  <c:v>97</c:v>
                </c:pt>
                <c:pt idx="9">
                  <c:v>142</c:v>
                </c:pt>
                <c:pt idx="10">
                  <c:v>140</c:v>
                </c:pt>
                <c:pt idx="11">
                  <c:v>144</c:v>
                </c:pt>
              </c:numCache>
            </c:numRef>
          </c:val>
          <c:smooth val="0"/>
          <c:extLst>
            <c:ext xmlns:c16="http://schemas.microsoft.com/office/drawing/2014/chart" uri="{C3380CC4-5D6E-409C-BE32-E72D297353CC}">
              <c16:uniqueId val="{00000000-558B-45BD-ADA4-9401D5174448}"/>
            </c:ext>
          </c:extLst>
        </c:ser>
        <c:dLbls>
          <c:showLegendKey val="0"/>
          <c:showVal val="0"/>
          <c:showCatName val="0"/>
          <c:showSerName val="0"/>
          <c:showPercent val="0"/>
          <c:showBubbleSize val="0"/>
        </c:dLbls>
        <c:marker val="1"/>
        <c:smooth val="0"/>
        <c:axId val="1416345584"/>
        <c:axId val="1416348848"/>
      </c:lineChart>
      <c:catAx>
        <c:axId val="1416345584"/>
        <c:scaling>
          <c:orientation val="minMax"/>
        </c:scaling>
        <c:delete val="0"/>
        <c:axPos val="b"/>
        <c:numFmt formatCode="General" sourceLinked="1"/>
        <c:majorTickMark val="out"/>
        <c:minorTickMark val="none"/>
        <c:tickLblPos val="nextTo"/>
        <c:crossAx val="1416348848"/>
        <c:crosses val="autoZero"/>
        <c:auto val="1"/>
        <c:lblAlgn val="ctr"/>
        <c:lblOffset val="100"/>
        <c:noMultiLvlLbl val="1"/>
      </c:catAx>
      <c:valAx>
        <c:axId val="1416348848"/>
        <c:scaling>
          <c:orientation val="minMax"/>
        </c:scaling>
        <c:delete val="0"/>
        <c:axPos val="l"/>
        <c:majorGridlines/>
        <c:numFmt formatCode="General" sourceLinked="1"/>
        <c:majorTickMark val="out"/>
        <c:minorTickMark val="none"/>
        <c:tickLblPos val="nextTo"/>
        <c:crossAx val="1416345584"/>
        <c:crosses val="autoZero"/>
        <c:crossBetween val="between"/>
      </c:valAx>
    </c:plotArea>
    <c:legend>
      <c:legendPos val="r"/>
      <c:overlay val="0"/>
    </c:legend>
    <c:plotVisOnly val="1"/>
    <c:dispBlanksAs val="gap"/>
    <c:showDLblsOverMax val="0"/>
  </c:chart>
  <c:printSettings>
    <c:headerFooter/>
    <c:pageMargins b="0.75000000000000155" l="0.70000000000000062" r="0.70000000000000062" t="0.75000000000000155" header="0.30000000000000032" footer="0.30000000000000032"/>
    <c:pageSetup/>
  </c:printSettings>
</c:chartSpace>
</file>

<file path=xl/charts/chart2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t>Accidentes Incapacitantes</a:t>
            </a:r>
          </a:p>
        </c:rich>
      </c:tx>
      <c:overlay val="0"/>
    </c:title>
    <c:autoTitleDeleted val="0"/>
    <c:plotArea>
      <c:layout/>
      <c:lineChart>
        <c:grouping val="standard"/>
        <c:varyColors val="0"/>
        <c:ser>
          <c:idx val="0"/>
          <c:order val="0"/>
          <c:tx>
            <c:strRef>
              <c:f>'[12]Graf Det'!$A$46</c:f>
              <c:strCache>
                <c:ptCount val="1"/>
                <c:pt idx="0">
                  <c:v>2011</c:v>
                </c:pt>
              </c:strCache>
            </c:strRef>
          </c:tx>
          <c:spPr>
            <a:ln>
              <a:solidFill>
                <a:srgbClr val="7030A0"/>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E7AD-46A1-812E-9A894A2124A8}"/>
                </c:ext>
              </c:extLst>
            </c:dLbl>
            <c:dLbl>
              <c:idx val="1"/>
              <c:delete val="1"/>
              <c:extLst>
                <c:ext xmlns:c15="http://schemas.microsoft.com/office/drawing/2012/chart" uri="{CE6537A1-D6FC-4f65-9D91-7224C49458BB}"/>
                <c:ext xmlns:c16="http://schemas.microsoft.com/office/drawing/2014/chart" uri="{C3380CC4-5D6E-409C-BE32-E72D297353CC}">
                  <c16:uniqueId val="{00000001-E7AD-46A1-812E-9A894A2124A8}"/>
                </c:ext>
              </c:extLst>
            </c:dLbl>
            <c:dLbl>
              <c:idx val="2"/>
              <c:delete val="1"/>
              <c:extLst>
                <c:ext xmlns:c15="http://schemas.microsoft.com/office/drawing/2012/chart" uri="{CE6537A1-D6FC-4f65-9D91-7224C49458BB}"/>
                <c:ext xmlns:c16="http://schemas.microsoft.com/office/drawing/2014/chart" uri="{C3380CC4-5D6E-409C-BE32-E72D297353CC}">
                  <c16:uniqueId val="{00000002-E7AD-46A1-812E-9A894A2124A8}"/>
                </c:ext>
              </c:extLst>
            </c:dLbl>
            <c:dLbl>
              <c:idx val="3"/>
              <c:delete val="1"/>
              <c:extLst>
                <c:ext xmlns:c15="http://schemas.microsoft.com/office/drawing/2012/chart" uri="{CE6537A1-D6FC-4f65-9D91-7224C49458BB}"/>
                <c:ext xmlns:c16="http://schemas.microsoft.com/office/drawing/2014/chart" uri="{C3380CC4-5D6E-409C-BE32-E72D297353CC}">
                  <c16:uniqueId val="{00000003-E7AD-46A1-812E-9A894A2124A8}"/>
                </c:ext>
              </c:extLst>
            </c:dLbl>
            <c:dLbl>
              <c:idx val="5"/>
              <c:delete val="1"/>
              <c:extLst>
                <c:ext xmlns:c15="http://schemas.microsoft.com/office/drawing/2012/chart" uri="{CE6537A1-D6FC-4f65-9D91-7224C49458BB}"/>
                <c:ext xmlns:c16="http://schemas.microsoft.com/office/drawing/2014/chart" uri="{C3380CC4-5D6E-409C-BE32-E72D297353CC}">
                  <c16:uniqueId val="{00000004-E7AD-46A1-812E-9A894A2124A8}"/>
                </c:ext>
              </c:extLst>
            </c:dLbl>
            <c:dLbl>
              <c:idx val="6"/>
              <c:delete val="1"/>
              <c:extLst>
                <c:ext xmlns:c15="http://schemas.microsoft.com/office/drawing/2012/chart" uri="{CE6537A1-D6FC-4f65-9D91-7224C49458BB}"/>
                <c:ext xmlns:c16="http://schemas.microsoft.com/office/drawing/2014/chart" uri="{C3380CC4-5D6E-409C-BE32-E72D297353CC}">
                  <c16:uniqueId val="{00000005-E7AD-46A1-812E-9A894A2124A8}"/>
                </c:ext>
              </c:extLst>
            </c:dLbl>
            <c:dLbl>
              <c:idx val="7"/>
              <c:delete val="1"/>
              <c:extLst>
                <c:ext xmlns:c15="http://schemas.microsoft.com/office/drawing/2012/chart" uri="{CE6537A1-D6FC-4f65-9D91-7224C49458BB}"/>
                <c:ext xmlns:c16="http://schemas.microsoft.com/office/drawing/2014/chart" uri="{C3380CC4-5D6E-409C-BE32-E72D297353CC}">
                  <c16:uniqueId val="{00000006-E7AD-46A1-812E-9A894A2124A8}"/>
                </c:ext>
              </c:extLst>
            </c:dLbl>
            <c:dLbl>
              <c:idx val="8"/>
              <c:delete val="1"/>
              <c:extLst>
                <c:ext xmlns:c15="http://schemas.microsoft.com/office/drawing/2012/chart" uri="{CE6537A1-D6FC-4f65-9D91-7224C49458BB}"/>
                <c:ext xmlns:c16="http://schemas.microsoft.com/office/drawing/2014/chart" uri="{C3380CC4-5D6E-409C-BE32-E72D297353CC}">
                  <c16:uniqueId val="{00000007-E7AD-46A1-812E-9A894A2124A8}"/>
                </c:ext>
              </c:extLst>
            </c:dLbl>
            <c:dLbl>
              <c:idx val="9"/>
              <c:delete val="1"/>
              <c:extLst>
                <c:ext xmlns:c15="http://schemas.microsoft.com/office/drawing/2012/chart" uri="{CE6537A1-D6FC-4f65-9D91-7224C49458BB}"/>
                <c:ext xmlns:c16="http://schemas.microsoft.com/office/drawing/2014/chart" uri="{C3380CC4-5D6E-409C-BE32-E72D297353CC}">
                  <c16:uniqueId val="{00000008-E7AD-46A1-812E-9A894A2124A8}"/>
                </c:ext>
              </c:extLst>
            </c:dLbl>
            <c:dLbl>
              <c:idx val="10"/>
              <c:delete val="1"/>
              <c:extLst>
                <c:ext xmlns:c15="http://schemas.microsoft.com/office/drawing/2012/chart" uri="{CE6537A1-D6FC-4f65-9D91-7224C49458BB}"/>
                <c:ext xmlns:c16="http://schemas.microsoft.com/office/drawing/2014/chart" uri="{C3380CC4-5D6E-409C-BE32-E72D297353CC}">
                  <c16:uniqueId val="{00000009-E7AD-46A1-812E-9A894A2124A8}"/>
                </c:ext>
              </c:extLst>
            </c:dLbl>
            <c:dLbl>
              <c:idx val="11"/>
              <c:layout>
                <c:manualLayout>
                  <c:x val="-2.0004999674721892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7AD-46A1-812E-9A894A2124A8}"/>
                </c:ext>
              </c:extLst>
            </c:dLbl>
            <c:spPr>
              <a:noFill/>
              <a:ln>
                <a:noFill/>
              </a:ln>
              <a:effectLst/>
            </c:spPr>
            <c:txPr>
              <a:bodyPr/>
              <a:lstStyle/>
              <a:p>
                <a:pPr>
                  <a:defRPr sz="1100" b="1">
                    <a:solidFill>
                      <a:srgbClr val="7030A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'[12]Graf Det'!$B$45:$M$45</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'[12]Graf Det'!$B$46:$M$46</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B-E7AD-46A1-812E-9A894A2124A8}"/>
            </c:ext>
          </c:extLst>
        </c:ser>
        <c:ser>
          <c:idx val="1"/>
          <c:order val="1"/>
          <c:tx>
            <c:strRef>
              <c:f>'[12]Graf Det'!$A$47</c:f>
              <c:strCache>
                <c:ptCount val="1"/>
                <c:pt idx="0">
                  <c:v>2012</c:v>
                </c:pt>
              </c:strCache>
            </c:strRef>
          </c:tx>
          <c:spPr>
            <a:ln>
              <a:solidFill>
                <a:srgbClr val="FF0000"/>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C-E7AD-46A1-812E-9A894A2124A8}"/>
                </c:ext>
              </c:extLst>
            </c:dLbl>
            <c:dLbl>
              <c:idx val="1"/>
              <c:delete val="1"/>
              <c:extLst>
                <c:ext xmlns:c15="http://schemas.microsoft.com/office/drawing/2012/chart" uri="{CE6537A1-D6FC-4f65-9D91-7224C49458BB}"/>
                <c:ext xmlns:c16="http://schemas.microsoft.com/office/drawing/2014/chart" uri="{C3380CC4-5D6E-409C-BE32-E72D297353CC}">
                  <c16:uniqueId val="{0000000D-E7AD-46A1-812E-9A894A2124A8}"/>
                </c:ext>
              </c:extLst>
            </c:dLbl>
            <c:dLbl>
              <c:idx val="2"/>
              <c:layout>
                <c:manualLayout>
                  <c:x val="-4.0009999349443895E-2"/>
                  <c:y val="-5.0925925925925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7AD-46A1-812E-9A894A2124A8}"/>
                </c:ext>
              </c:extLst>
            </c:dLbl>
            <c:dLbl>
              <c:idx val="3"/>
              <c:delete val="1"/>
              <c:extLst>
                <c:ext xmlns:c15="http://schemas.microsoft.com/office/drawing/2012/chart" uri="{CE6537A1-D6FC-4f65-9D91-7224C49458BB}"/>
                <c:ext xmlns:c16="http://schemas.microsoft.com/office/drawing/2014/chart" uri="{C3380CC4-5D6E-409C-BE32-E72D297353CC}">
                  <c16:uniqueId val="{0000000F-E7AD-46A1-812E-9A894A2124A8}"/>
                </c:ext>
              </c:extLst>
            </c:dLbl>
            <c:dLbl>
              <c:idx val="4"/>
              <c:delete val="1"/>
              <c:extLst>
                <c:ext xmlns:c15="http://schemas.microsoft.com/office/drawing/2012/chart" uri="{CE6537A1-D6FC-4f65-9D91-7224C49458BB}"/>
                <c:ext xmlns:c16="http://schemas.microsoft.com/office/drawing/2014/chart" uri="{C3380CC4-5D6E-409C-BE32-E72D297353CC}">
                  <c16:uniqueId val="{00000010-E7AD-46A1-812E-9A894A2124A8}"/>
                </c:ext>
              </c:extLst>
            </c:dLbl>
            <c:dLbl>
              <c:idx val="5"/>
              <c:delete val="1"/>
              <c:extLst>
                <c:ext xmlns:c15="http://schemas.microsoft.com/office/drawing/2012/chart" uri="{CE6537A1-D6FC-4f65-9D91-7224C49458BB}"/>
                <c:ext xmlns:c16="http://schemas.microsoft.com/office/drawing/2014/chart" uri="{C3380CC4-5D6E-409C-BE32-E72D297353CC}">
                  <c16:uniqueId val="{00000011-E7AD-46A1-812E-9A894A2124A8}"/>
                </c:ext>
              </c:extLst>
            </c:dLbl>
            <c:dLbl>
              <c:idx val="6"/>
              <c:delete val="1"/>
              <c:extLst>
                <c:ext xmlns:c15="http://schemas.microsoft.com/office/drawing/2012/chart" uri="{CE6537A1-D6FC-4f65-9D91-7224C49458BB}"/>
                <c:ext xmlns:c16="http://schemas.microsoft.com/office/drawing/2014/chart" uri="{C3380CC4-5D6E-409C-BE32-E72D297353CC}">
                  <c16:uniqueId val="{00000012-E7AD-46A1-812E-9A894A2124A8}"/>
                </c:ext>
              </c:extLst>
            </c:dLbl>
            <c:dLbl>
              <c:idx val="7"/>
              <c:delete val="1"/>
              <c:extLst>
                <c:ext xmlns:c15="http://schemas.microsoft.com/office/drawing/2012/chart" uri="{CE6537A1-D6FC-4f65-9D91-7224C49458BB}"/>
                <c:ext xmlns:c16="http://schemas.microsoft.com/office/drawing/2014/chart" uri="{C3380CC4-5D6E-409C-BE32-E72D297353CC}">
                  <c16:uniqueId val="{00000013-E7AD-46A1-812E-9A894A2124A8}"/>
                </c:ext>
              </c:extLst>
            </c:dLbl>
            <c:dLbl>
              <c:idx val="8"/>
              <c:delete val="1"/>
              <c:extLst>
                <c:ext xmlns:c15="http://schemas.microsoft.com/office/drawing/2012/chart" uri="{CE6537A1-D6FC-4f65-9D91-7224C49458BB}"/>
                <c:ext xmlns:c16="http://schemas.microsoft.com/office/drawing/2014/chart" uri="{C3380CC4-5D6E-409C-BE32-E72D297353CC}">
                  <c16:uniqueId val="{00000014-E7AD-46A1-812E-9A894A2124A8}"/>
                </c:ext>
              </c:extLst>
            </c:dLbl>
            <c:dLbl>
              <c:idx val="9"/>
              <c:delete val="1"/>
              <c:extLst>
                <c:ext xmlns:c15="http://schemas.microsoft.com/office/drawing/2012/chart" uri="{CE6537A1-D6FC-4f65-9D91-7224C49458BB}"/>
                <c:ext xmlns:c16="http://schemas.microsoft.com/office/drawing/2014/chart" uri="{C3380CC4-5D6E-409C-BE32-E72D297353CC}">
                  <c16:uniqueId val="{00000015-E7AD-46A1-812E-9A894A2124A8}"/>
                </c:ext>
              </c:extLst>
            </c:dLbl>
            <c:dLbl>
              <c:idx val="10"/>
              <c:delete val="1"/>
              <c:extLst>
                <c:ext xmlns:c15="http://schemas.microsoft.com/office/drawing/2012/chart" uri="{CE6537A1-D6FC-4f65-9D91-7224C49458BB}"/>
                <c:ext xmlns:c16="http://schemas.microsoft.com/office/drawing/2014/chart" uri="{C3380CC4-5D6E-409C-BE32-E72D297353CC}">
                  <c16:uniqueId val="{00000016-E7AD-46A1-812E-9A894A2124A8}"/>
                </c:ext>
              </c:extLst>
            </c:dLbl>
            <c:dLbl>
              <c:idx val="11"/>
              <c:layout>
                <c:manualLayout>
                  <c:x val="-3.200799947955512E-2"/>
                  <c:y val="-5.09259259259259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E7AD-46A1-812E-9A894A2124A8}"/>
                </c:ext>
              </c:extLst>
            </c:dLbl>
            <c:spPr>
              <a:noFill/>
              <a:ln>
                <a:noFill/>
              </a:ln>
              <a:effectLst/>
            </c:spPr>
            <c:txPr>
              <a:bodyPr/>
              <a:lstStyle/>
              <a:p>
                <a:pPr>
                  <a:defRPr b="1">
                    <a:solidFill>
                      <a:srgbClr val="FF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'[12]Graf Det'!$B$47:$M$47</c:f>
              <c:numCache>
                <c:formatCode>General</c:formatCode>
                <c:ptCount val="12"/>
                <c:pt idx="0">
                  <c:v>0</c:v>
                </c:pt>
                <c:pt idx="1">
                  <c:v>0</c:v>
                </c:pt>
                <c:pt idx="2">
                  <c:v>2</c:v>
                </c:pt>
                <c:pt idx="3">
                  <c:v>0</c:v>
                </c:pt>
                <c:pt idx="4">
                  <c:v>0</c:v>
                </c:pt>
                <c:pt idx="5">
                  <c:v>0</c:v>
                </c:pt>
                <c:pt idx="6">
                  <c:v>0</c:v>
                </c:pt>
                <c:pt idx="7">
                  <c:v>0</c:v>
                </c:pt>
                <c:pt idx="8">
                  <c:v>0</c:v>
                </c:pt>
                <c:pt idx="9">
                  <c:v>0</c:v>
                </c:pt>
                <c:pt idx="10">
                  <c:v>0</c:v>
                </c:pt>
                <c:pt idx="11">
                  <c:v>2</c:v>
                </c:pt>
              </c:numCache>
            </c:numRef>
          </c:val>
          <c:smooth val="0"/>
          <c:extLst>
            <c:ext xmlns:c16="http://schemas.microsoft.com/office/drawing/2014/chart" uri="{C3380CC4-5D6E-409C-BE32-E72D297353CC}">
              <c16:uniqueId val="{00000018-E7AD-46A1-812E-9A894A2124A8}"/>
            </c:ext>
          </c:extLst>
        </c:ser>
        <c:ser>
          <c:idx val="2"/>
          <c:order val="2"/>
          <c:tx>
            <c:strRef>
              <c:f>'[12]Graf Det'!$A$48</c:f>
              <c:strCache>
                <c:ptCount val="1"/>
                <c:pt idx="0">
                  <c:v>2013</c:v>
                </c:pt>
              </c:strCache>
            </c:strRef>
          </c:tx>
          <c:spPr>
            <a:ln cap="rnd">
              <a:solidFill>
                <a:srgbClr val="00B050"/>
              </a:solidFill>
            </a:ln>
          </c:spPr>
          <c:marker>
            <c:symbol val="triangle"/>
            <c:size val="7"/>
            <c:spPr>
              <a:solidFill>
                <a:srgbClr val="00B050"/>
              </a:solidFill>
              <a:ln>
                <a:solidFill>
                  <a:srgbClr val="00B050"/>
                </a:solidFill>
              </a:ln>
            </c:spPr>
          </c:marker>
          <c:val>
            <c:numRef>
              <c:f>'[12]Graf Det'!$B$48:$M$48</c:f>
              <c:numCache>
                <c:formatCode>General</c:formatCode>
                <c:ptCount val="12"/>
                <c:pt idx="0">
                  <c:v>0</c:v>
                </c:pt>
                <c:pt idx="1">
                  <c:v>0</c:v>
                </c:pt>
              </c:numCache>
            </c:numRef>
          </c:val>
          <c:smooth val="0"/>
          <c:extLst>
            <c:ext xmlns:c16="http://schemas.microsoft.com/office/drawing/2014/chart" uri="{C3380CC4-5D6E-409C-BE32-E72D297353CC}">
              <c16:uniqueId val="{00000019-E7AD-46A1-812E-9A894A2124A8}"/>
            </c:ext>
          </c:extLst>
        </c:ser>
        <c:dLbls>
          <c:showLegendKey val="0"/>
          <c:showVal val="0"/>
          <c:showCatName val="0"/>
          <c:showSerName val="0"/>
          <c:showPercent val="0"/>
          <c:showBubbleSize val="0"/>
        </c:dLbls>
        <c:smooth val="0"/>
        <c:axId val="1416364080"/>
        <c:axId val="1416348304"/>
      </c:lineChart>
      <c:catAx>
        <c:axId val="1416364080"/>
        <c:scaling>
          <c:orientation val="minMax"/>
        </c:scaling>
        <c:delete val="0"/>
        <c:axPos val="b"/>
        <c:numFmt formatCode="General" sourceLinked="0"/>
        <c:majorTickMark val="out"/>
        <c:minorTickMark val="none"/>
        <c:tickLblPos val="nextTo"/>
        <c:crossAx val="1416348304"/>
        <c:crosses val="autoZero"/>
        <c:auto val="1"/>
        <c:lblAlgn val="ctr"/>
        <c:lblOffset val="100"/>
        <c:noMultiLvlLbl val="0"/>
      </c:catAx>
      <c:valAx>
        <c:axId val="1416348304"/>
        <c:scaling>
          <c:orientation val="minMax"/>
        </c:scaling>
        <c:delete val="0"/>
        <c:axPos val="l"/>
        <c:majorGridlines/>
        <c:numFmt formatCode="General" sourceLinked="1"/>
        <c:majorTickMark val="out"/>
        <c:minorTickMark val="none"/>
        <c:tickLblPos val="nextTo"/>
        <c:crossAx val="1416364080"/>
        <c:crosses val="autoZero"/>
        <c:crossBetween val="between"/>
      </c:valAx>
      <c:dTable>
        <c:showHorzBorder val="1"/>
        <c:showVertBorder val="1"/>
        <c:showOutline val="1"/>
        <c:showKeys val="1"/>
      </c:dTable>
    </c:plotArea>
    <c:legend>
      <c:legendPos val="r"/>
      <c:overlay val="0"/>
    </c:legend>
    <c:plotVisOnly val="1"/>
    <c:dispBlanksAs val="gap"/>
    <c:showDLblsOverMax val="0"/>
  </c:chart>
  <c:printSettings>
    <c:headerFooter/>
    <c:pageMargins b="0.75000000000000155" l="0.70000000000000062" r="0.70000000000000062" t="0.75000000000000155" header="0.30000000000000032" footer="0.30000000000000032"/>
    <c:pageSetup/>
  </c:printSettings>
</c:chartSpace>
</file>

<file path=xl/charts/chart2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s-PE"/>
              <a:t>Accidentes Incapacitantes</a:t>
            </a:r>
          </a:p>
        </c:rich>
      </c:tx>
      <c:overlay val="0"/>
    </c:title>
    <c:autoTitleDeleted val="0"/>
    <c:plotArea>
      <c:layout/>
      <c:lineChart>
        <c:grouping val="standard"/>
        <c:varyColors val="0"/>
        <c:ser>
          <c:idx val="0"/>
          <c:order val="0"/>
          <c:tx>
            <c:strRef>
              <c:f>'[12]Graf Det'!$K$51</c:f>
              <c:strCache>
                <c:ptCount val="1"/>
                <c:pt idx="0">
                  <c:v>Incapacitantes</c:v>
                </c:pt>
              </c:strCache>
            </c:strRef>
          </c:tx>
          <c:spPr>
            <a:ln>
              <a:solidFill>
                <a:srgbClr val="0070C0"/>
              </a:solidFill>
            </a:ln>
          </c:spPr>
          <c:marker>
            <c:symbol val="circle"/>
            <c:size val="4"/>
            <c:spPr>
              <a:ln>
                <a:solidFill>
                  <a:srgbClr val="0070C0"/>
                </a:solidFill>
              </a:ln>
            </c:spPr>
          </c:marker>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91-4310-9078-B7F6128C4BD6}"/>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91-4310-9078-B7F6128C4BD6}"/>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91-4310-9078-B7F6128C4BD6}"/>
                </c:ext>
              </c:extLst>
            </c:dLbl>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91-4310-9078-B7F6128C4BD6}"/>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91-4310-9078-B7F6128C4BD6}"/>
                </c:ext>
              </c:extLst>
            </c:dLbl>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91-4310-9078-B7F6128C4BD6}"/>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'[12]Graf Det'!$L$51:$W$51</c:f>
              <c:numCache>
                <c:formatCode>General</c:formatCode>
                <c:ptCount val="12"/>
                <c:pt idx="0">
                  <c:v>40969</c:v>
                </c:pt>
                <c:pt idx="1">
                  <c:v>41000</c:v>
                </c:pt>
                <c:pt idx="2">
                  <c:v>41030</c:v>
                </c:pt>
                <c:pt idx="3">
                  <c:v>41061</c:v>
                </c:pt>
                <c:pt idx="4">
                  <c:v>41091</c:v>
                </c:pt>
                <c:pt idx="5">
                  <c:v>41122</c:v>
                </c:pt>
                <c:pt idx="6">
                  <c:v>41153</c:v>
                </c:pt>
                <c:pt idx="7">
                  <c:v>41183</c:v>
                </c:pt>
                <c:pt idx="8">
                  <c:v>41214</c:v>
                </c:pt>
                <c:pt idx="9">
                  <c:v>41244</c:v>
                </c:pt>
                <c:pt idx="10">
                  <c:v>41275</c:v>
                </c:pt>
                <c:pt idx="11">
                  <c:v>41306</c:v>
                </c:pt>
              </c:numCache>
            </c:numRef>
          </c:cat>
          <c:val>
            <c:numRef>
              <c:f>'[12]Graf Det'!$L$52:$W$52</c:f>
              <c:numCache>
                <c:formatCode>General</c:formatCode>
                <c:ptCount val="12"/>
                <c:pt idx="0">
                  <c:v>2</c:v>
                </c:pt>
                <c:pt idx="1">
                  <c:v>0</c:v>
                </c:pt>
                <c:pt idx="2">
                  <c:v>0</c:v>
                </c:pt>
                <c:pt idx="3">
                  <c:v>0</c:v>
                </c:pt>
                <c:pt idx="4">
                  <c:v>0</c:v>
                </c:pt>
                <c:pt idx="5">
                  <c:v>0</c:v>
                </c:pt>
                <c:pt idx="6">
                  <c:v>0</c:v>
                </c:pt>
                <c:pt idx="7">
                  <c:v>0</c:v>
                </c:pt>
                <c:pt idx="8">
                  <c:v>0</c:v>
                </c:pt>
                <c:pt idx="9">
                  <c:v>2</c:v>
                </c:pt>
                <c:pt idx="10">
                  <c:v>0</c:v>
                </c:pt>
                <c:pt idx="11">
                  <c:v>0</c:v>
                </c:pt>
              </c:numCache>
            </c:numRef>
          </c:val>
          <c:smooth val="0"/>
          <c:extLst>
            <c:ext xmlns:c16="http://schemas.microsoft.com/office/drawing/2014/chart" uri="{C3380CC4-5D6E-409C-BE32-E72D297353CC}">
              <c16:uniqueId val="{00000006-9891-4310-9078-B7F6128C4BD6}"/>
            </c:ext>
          </c:extLst>
        </c:ser>
        <c:dLbls>
          <c:showLegendKey val="0"/>
          <c:showVal val="0"/>
          <c:showCatName val="0"/>
          <c:showSerName val="0"/>
          <c:showPercent val="0"/>
          <c:showBubbleSize val="0"/>
        </c:dLbls>
        <c:marker val="1"/>
        <c:smooth val="0"/>
        <c:axId val="1416346128"/>
        <c:axId val="1416360816"/>
      </c:lineChart>
      <c:catAx>
        <c:axId val="1416346128"/>
        <c:scaling>
          <c:orientation val="minMax"/>
        </c:scaling>
        <c:delete val="0"/>
        <c:axPos val="b"/>
        <c:numFmt formatCode="General" sourceLinked="1"/>
        <c:majorTickMark val="out"/>
        <c:minorTickMark val="none"/>
        <c:tickLblPos val="nextTo"/>
        <c:crossAx val="1416360816"/>
        <c:crosses val="autoZero"/>
        <c:auto val="1"/>
        <c:lblAlgn val="ctr"/>
        <c:lblOffset val="100"/>
        <c:noMultiLvlLbl val="1"/>
      </c:catAx>
      <c:valAx>
        <c:axId val="1416360816"/>
        <c:scaling>
          <c:orientation val="minMax"/>
        </c:scaling>
        <c:delete val="0"/>
        <c:axPos val="l"/>
        <c:majorGridlines/>
        <c:numFmt formatCode="General" sourceLinked="1"/>
        <c:majorTickMark val="out"/>
        <c:minorTickMark val="none"/>
        <c:tickLblPos val="nextTo"/>
        <c:crossAx val="1416346128"/>
        <c:crosses val="autoZero"/>
        <c:crossBetween val="between"/>
      </c:valAx>
    </c:plotArea>
    <c:legend>
      <c:legendPos val="r"/>
      <c:overlay val="0"/>
    </c:legend>
    <c:plotVisOnly val="1"/>
    <c:dispBlanksAs val="gap"/>
    <c:showDLblsOverMax val="0"/>
  </c:chart>
  <c:printSettings>
    <c:headerFooter/>
    <c:pageMargins b="0.75000000000000155" l="0.70000000000000062" r="0.70000000000000062" t="0.75000000000000155" header="0.30000000000000032" footer="0.30000000000000032"/>
    <c:pageSetup/>
  </c:printSettings>
</c:chartSpace>
</file>

<file path=xl/charts/chart2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s-PE"/>
              <a:t>Indice de Accidentabilidad</a:t>
            </a:r>
          </a:p>
        </c:rich>
      </c:tx>
      <c:overlay val="0"/>
    </c:title>
    <c:autoTitleDeleted val="0"/>
    <c:plotArea>
      <c:layout/>
      <c:lineChart>
        <c:grouping val="standard"/>
        <c:varyColors val="0"/>
        <c:ser>
          <c:idx val="3"/>
          <c:order val="0"/>
          <c:tx>
            <c:strRef>
              <c:f>'[12]Graf Det'!$A$13</c:f>
              <c:strCache>
                <c:ptCount val="1"/>
                <c:pt idx="0">
                  <c:v>IA</c:v>
                </c:pt>
              </c:strCache>
            </c:strRef>
          </c:tx>
          <c:spPr>
            <a:ln>
              <a:solidFill>
                <a:srgbClr val="00B050"/>
              </a:solidFill>
            </a:ln>
          </c:spPr>
          <c:marker>
            <c:spPr>
              <a:ln>
                <a:solidFill>
                  <a:srgbClr val="00B050"/>
                </a:solidFill>
              </a:ln>
            </c:spPr>
          </c:marker>
          <c:dLbls>
            <c:spPr>
              <a:noFill/>
              <a:ln>
                <a:noFill/>
              </a:ln>
              <a:effectLst/>
            </c:spPr>
            <c:txPr>
              <a:bodyPr/>
              <a:lstStyle/>
              <a:p>
                <a:pPr>
                  <a:defRPr b="1">
                    <a:solidFill>
                      <a:srgbClr val="00206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'[12]Graf Det'!$D$9:$O$9</c:f>
              <c:numCache>
                <c:formatCode>General</c:formatCode>
                <c:ptCount val="12"/>
                <c:pt idx="0">
                  <c:v>40969</c:v>
                </c:pt>
                <c:pt idx="1">
                  <c:v>41000</c:v>
                </c:pt>
                <c:pt idx="2">
                  <c:v>41030</c:v>
                </c:pt>
                <c:pt idx="3">
                  <c:v>41061</c:v>
                </c:pt>
                <c:pt idx="4">
                  <c:v>41091</c:v>
                </c:pt>
                <c:pt idx="5">
                  <c:v>41122</c:v>
                </c:pt>
                <c:pt idx="6">
                  <c:v>41153</c:v>
                </c:pt>
                <c:pt idx="7">
                  <c:v>41183</c:v>
                </c:pt>
                <c:pt idx="8">
                  <c:v>41214</c:v>
                </c:pt>
                <c:pt idx="9">
                  <c:v>41244</c:v>
                </c:pt>
                <c:pt idx="10">
                  <c:v>41275</c:v>
                </c:pt>
                <c:pt idx="11">
                  <c:v>41306</c:v>
                </c:pt>
              </c:numCache>
            </c:numRef>
          </c:cat>
          <c:val>
            <c:numRef>
              <c:f>'[12]Graf Det'!$D$13:$O$13</c:f>
              <c:numCache>
                <c:formatCode>General</c:formatCode>
                <c:ptCount val="12"/>
                <c:pt idx="0">
                  <c:v>0.70810000000000006</c:v>
                </c:pt>
                <c:pt idx="1">
                  <c:v>0.70810000000000006</c:v>
                </c:pt>
                <c:pt idx="2">
                  <c:v>0.45570000000000005</c:v>
                </c:pt>
                <c:pt idx="3">
                  <c:v>0.44159999999999999</c:v>
                </c:pt>
                <c:pt idx="4">
                  <c:v>0.45080000000000003</c:v>
                </c:pt>
                <c:pt idx="5">
                  <c:v>0.46060000000000001</c:v>
                </c:pt>
                <c:pt idx="6">
                  <c:v>0.49469999999999997</c:v>
                </c:pt>
                <c:pt idx="7">
                  <c:v>0.49469999999999997</c:v>
                </c:pt>
                <c:pt idx="8">
                  <c:v>0.49469999999999997</c:v>
                </c:pt>
                <c:pt idx="9">
                  <c:v>1.4342000000000001</c:v>
                </c:pt>
                <c:pt idx="10">
                  <c:v>1.4</c:v>
                </c:pt>
                <c:pt idx="11">
                  <c:v>1.4832000000000001</c:v>
                </c:pt>
              </c:numCache>
            </c:numRef>
          </c:val>
          <c:smooth val="0"/>
          <c:extLst>
            <c:ext xmlns:c16="http://schemas.microsoft.com/office/drawing/2014/chart" uri="{C3380CC4-5D6E-409C-BE32-E72D297353CC}">
              <c16:uniqueId val="{00000000-2AAD-4562-AF5E-59A6466B1A82}"/>
            </c:ext>
          </c:extLst>
        </c:ser>
        <c:dLbls>
          <c:showLegendKey val="0"/>
          <c:showVal val="0"/>
          <c:showCatName val="0"/>
          <c:showSerName val="0"/>
          <c:showPercent val="0"/>
          <c:showBubbleSize val="0"/>
        </c:dLbls>
        <c:marker val="1"/>
        <c:smooth val="0"/>
        <c:axId val="1416350480"/>
        <c:axId val="1416362992"/>
      </c:lineChart>
      <c:catAx>
        <c:axId val="1416350480"/>
        <c:scaling>
          <c:orientation val="minMax"/>
        </c:scaling>
        <c:delete val="0"/>
        <c:axPos val="b"/>
        <c:numFmt formatCode="General" sourceLinked="1"/>
        <c:majorTickMark val="out"/>
        <c:minorTickMark val="none"/>
        <c:tickLblPos val="nextTo"/>
        <c:crossAx val="1416362992"/>
        <c:crosses val="autoZero"/>
        <c:auto val="1"/>
        <c:lblAlgn val="ctr"/>
        <c:lblOffset val="100"/>
        <c:noMultiLvlLbl val="1"/>
      </c:catAx>
      <c:valAx>
        <c:axId val="1416362992"/>
        <c:scaling>
          <c:orientation val="minMax"/>
        </c:scaling>
        <c:delete val="0"/>
        <c:axPos val="l"/>
        <c:majorGridlines/>
        <c:numFmt formatCode="General" sourceLinked="1"/>
        <c:majorTickMark val="out"/>
        <c:minorTickMark val="none"/>
        <c:tickLblPos val="nextTo"/>
        <c:crossAx val="1416350480"/>
        <c:crosses val="autoZero"/>
        <c:crossBetween val="between"/>
      </c:valAx>
    </c:plotArea>
    <c:legend>
      <c:legendPos val="r"/>
      <c:overlay val="0"/>
    </c:legend>
    <c:plotVisOnly val="1"/>
    <c:dispBlanksAs val="gap"/>
    <c:showDLblsOverMax val="0"/>
  </c:chart>
  <c:printSettings>
    <c:headerFooter/>
    <c:pageMargins b="0.75000000000000155" l="0.70000000000000062" r="0.70000000000000062" t="0.75000000000000155" header="0.30000000000000032" footer="0.30000000000000032"/>
    <c:pageSetup/>
  </c:printSettings>
</c:chartSpace>
</file>

<file path=xl/charts/chart2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v>INDICE FRECUENCIA</c:v>
          </c:tx>
          <c:dLbls>
            <c:numFmt formatCode="#,##0.0" sourceLinked="0"/>
            <c:spPr>
              <a:noFill/>
            </c:spPr>
            <c:txPr>
              <a:bodyPr/>
              <a:lstStyle/>
              <a:p>
                <a:pPr>
                  <a:defRPr sz="1200" b="1"/>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Graphics!$G$165:$M$165</c:f>
              <c:numCache>
                <c:formatCode>0</c:formatCode>
                <c:ptCount val="7"/>
              </c:numCache>
            </c:numRef>
          </c:cat>
          <c:val>
            <c:numRef>
              <c:f>COPSA!$H$7:$N$7</c:f>
              <c:numCache>
                <c:formatCode>0.0</c:formatCode>
                <c:ptCount val="7"/>
                <c:pt idx="0">
                  <c:v>9.237820070087885</c:v>
                </c:pt>
                <c:pt idx="1">
                  <c:v>5.1644792749446697</c:v>
                </c:pt>
                <c:pt idx="2">
                  <c:v>3.9646633956725257</c:v>
                </c:pt>
                <c:pt idx="3">
                  <c:v>5.7168947961774554</c:v>
                </c:pt>
                <c:pt idx="4">
                  <c:v>4.233970508730045</c:v>
                </c:pt>
                <c:pt idx="5">
                  <c:v>3.6816938409761888</c:v>
                </c:pt>
                <c:pt idx="6" formatCode="General">
                  <c:v>11</c:v>
                </c:pt>
              </c:numCache>
            </c:numRef>
          </c:val>
          <c:smooth val="0"/>
          <c:extLst>
            <c:ext xmlns:c16="http://schemas.microsoft.com/office/drawing/2014/chart" uri="{C3380CC4-5D6E-409C-BE32-E72D297353CC}">
              <c16:uniqueId val="{00000000-C7BA-49CB-9AF8-E42749DA07B3}"/>
            </c:ext>
          </c:extLst>
        </c:ser>
        <c:dLbls>
          <c:showLegendKey val="0"/>
          <c:showVal val="1"/>
          <c:showCatName val="0"/>
          <c:showSerName val="0"/>
          <c:showPercent val="0"/>
          <c:showBubbleSize val="0"/>
        </c:dLbls>
        <c:marker val="1"/>
        <c:smooth val="0"/>
        <c:axId val="1416370064"/>
        <c:axId val="1416349392"/>
      </c:lineChart>
      <c:catAx>
        <c:axId val="1416370064"/>
        <c:scaling>
          <c:orientation val="minMax"/>
        </c:scaling>
        <c:delete val="0"/>
        <c:axPos val="b"/>
        <c:numFmt formatCode="0" sourceLinked="1"/>
        <c:majorTickMark val="none"/>
        <c:minorTickMark val="none"/>
        <c:tickLblPos val="nextTo"/>
        <c:crossAx val="1416349392"/>
        <c:crosses val="autoZero"/>
        <c:auto val="1"/>
        <c:lblAlgn val="ctr"/>
        <c:lblOffset val="100"/>
        <c:noMultiLvlLbl val="0"/>
      </c:catAx>
      <c:valAx>
        <c:axId val="1416349392"/>
        <c:scaling>
          <c:orientation val="minMax"/>
        </c:scaling>
        <c:delete val="0"/>
        <c:axPos val="l"/>
        <c:majorGridlines/>
        <c:numFmt formatCode="0.0" sourceLinked="1"/>
        <c:majorTickMark val="none"/>
        <c:minorTickMark val="none"/>
        <c:tickLblPos val="nextTo"/>
        <c:crossAx val="1416370064"/>
        <c:crosses val="autoZero"/>
        <c:crossBetween val="between"/>
      </c:valAx>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2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s-PE"/>
              <a:t>INDICE SEVERIDAD</a:t>
            </a:r>
          </a:p>
        </c:rich>
      </c:tx>
      <c:overlay val="0"/>
    </c:title>
    <c:autoTitleDeleted val="0"/>
    <c:plotArea>
      <c:layout/>
      <c:lineChart>
        <c:grouping val="standard"/>
        <c:varyColors val="0"/>
        <c:ser>
          <c:idx val="0"/>
          <c:order val="0"/>
          <c:tx>
            <c:v>INDICE FRECUENCIA</c:v>
          </c:tx>
          <c:dLbls>
            <c:numFmt formatCode="#,##0" sourceLinked="0"/>
            <c:spPr>
              <a:noFill/>
            </c:spPr>
            <c:txPr>
              <a:bodyPr/>
              <a:lstStyle/>
              <a:p>
                <a:pPr>
                  <a:defRPr sz="1200" b="1"/>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Graphics!$G$165:$M$165</c:f>
              <c:numCache>
                <c:formatCode>0</c:formatCode>
                <c:ptCount val="7"/>
              </c:numCache>
            </c:numRef>
          </c:cat>
          <c:val>
            <c:numRef>
              <c:f>COPSA!$H$8:$N$8</c:f>
              <c:numCache>
                <c:formatCode>0</c:formatCode>
                <c:ptCount val="7"/>
                <c:pt idx="0">
                  <c:v>53.796716878747091</c:v>
                </c:pt>
                <c:pt idx="1">
                  <c:v>69.485721153801009</c:v>
                </c:pt>
                <c:pt idx="2">
                  <c:v>810.1128871824194</c:v>
                </c:pt>
                <c:pt idx="3">
                  <c:v>57.55007428151972</c:v>
                </c:pt>
                <c:pt idx="4">
                  <c:v>72.918380983684102</c:v>
                </c:pt>
                <c:pt idx="5">
                  <c:v>61.361564016269817</c:v>
                </c:pt>
                <c:pt idx="6">
                  <c:v>332</c:v>
                </c:pt>
              </c:numCache>
            </c:numRef>
          </c:val>
          <c:smooth val="0"/>
          <c:extLst>
            <c:ext xmlns:c16="http://schemas.microsoft.com/office/drawing/2014/chart" uri="{C3380CC4-5D6E-409C-BE32-E72D297353CC}">
              <c16:uniqueId val="{00000000-7561-4EF6-A526-5E5B1DF4C40F}"/>
            </c:ext>
          </c:extLst>
        </c:ser>
        <c:dLbls>
          <c:showLegendKey val="0"/>
          <c:showVal val="1"/>
          <c:showCatName val="0"/>
          <c:showSerName val="0"/>
          <c:showPercent val="0"/>
          <c:showBubbleSize val="0"/>
        </c:dLbls>
        <c:marker val="1"/>
        <c:smooth val="0"/>
        <c:axId val="1416368432"/>
        <c:axId val="1416365168"/>
      </c:lineChart>
      <c:catAx>
        <c:axId val="1416368432"/>
        <c:scaling>
          <c:orientation val="minMax"/>
        </c:scaling>
        <c:delete val="0"/>
        <c:axPos val="b"/>
        <c:numFmt formatCode="0" sourceLinked="1"/>
        <c:majorTickMark val="none"/>
        <c:minorTickMark val="none"/>
        <c:tickLblPos val="nextTo"/>
        <c:crossAx val="1416365168"/>
        <c:crosses val="autoZero"/>
        <c:auto val="1"/>
        <c:lblAlgn val="ctr"/>
        <c:lblOffset val="100"/>
        <c:noMultiLvlLbl val="0"/>
      </c:catAx>
      <c:valAx>
        <c:axId val="1416365168"/>
        <c:scaling>
          <c:orientation val="minMax"/>
        </c:scaling>
        <c:delete val="0"/>
        <c:axPos val="l"/>
        <c:majorGridlines/>
        <c:numFmt formatCode="0" sourceLinked="1"/>
        <c:majorTickMark val="none"/>
        <c:minorTickMark val="none"/>
        <c:tickLblPos val="nextTo"/>
        <c:crossAx val="1416368432"/>
        <c:crosses val="autoZero"/>
        <c:crossBetween val="between"/>
      </c:valAx>
    </c:plotArea>
    <c:plotVisOnly val="1"/>
    <c:dispBlanksAs val="gap"/>
    <c:showDLblsOverMax val="0"/>
  </c:chart>
  <c:printSettings>
    <c:headerFooter/>
    <c:pageMargins b="0.75000000000000222" l="0.70000000000000062" r="0.70000000000000062" t="0.75000000000000222" header="0.30000000000000032" footer="0.30000000000000032"/>
    <c:pageSetup/>
  </c:printSettings>
</c:chartSpace>
</file>

<file path=xl/charts/chart2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s-PE"/>
              <a:t>INDICE  ACCIDENTABILIDAD</a:t>
            </a:r>
          </a:p>
        </c:rich>
      </c:tx>
      <c:overlay val="0"/>
    </c:title>
    <c:autoTitleDeleted val="0"/>
    <c:plotArea>
      <c:layout/>
      <c:lineChart>
        <c:grouping val="standard"/>
        <c:varyColors val="0"/>
        <c:ser>
          <c:idx val="0"/>
          <c:order val="0"/>
          <c:tx>
            <c:v>INDICE FRECUENCIA</c:v>
          </c:tx>
          <c:dLbls>
            <c:numFmt formatCode="#,##0.00" sourceLinked="0"/>
            <c:spPr>
              <a:noFill/>
            </c:spPr>
            <c:txPr>
              <a:bodyPr/>
              <a:lstStyle/>
              <a:p>
                <a:pPr>
                  <a:defRPr sz="1200" b="1"/>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Graphics!$G$165:$M$165</c:f>
              <c:numCache>
                <c:formatCode>0</c:formatCode>
                <c:ptCount val="7"/>
              </c:numCache>
            </c:numRef>
          </c:cat>
          <c:val>
            <c:numRef>
              <c:f>COPSA!$H$9:$N$9</c:f>
              <c:numCache>
                <c:formatCode>0.00</c:formatCode>
                <c:ptCount val="7"/>
                <c:pt idx="0">
                  <c:v>0.49696439088732558</c:v>
                </c:pt>
                <c:pt idx="1">
                  <c:v>0.3588575668033897</c:v>
                </c:pt>
                <c:pt idx="2">
                  <c:v>3.2118249101747245</c:v>
                </c:pt>
                <c:pt idx="3">
                  <c:v>0.32900772017964608</c:v>
                </c:pt>
                <c:pt idx="4">
                  <c:v>0.30873427462926017</c:v>
                </c:pt>
                <c:pt idx="5">
                  <c:v>0.22591449231136673</c:v>
                </c:pt>
                <c:pt idx="6">
                  <c:v>3.6520000000000001</c:v>
                </c:pt>
              </c:numCache>
            </c:numRef>
          </c:val>
          <c:smooth val="0"/>
          <c:extLst>
            <c:ext xmlns:c16="http://schemas.microsoft.com/office/drawing/2014/chart" uri="{C3380CC4-5D6E-409C-BE32-E72D297353CC}">
              <c16:uniqueId val="{00000000-E99D-4004-A267-64FC4C3053DA}"/>
            </c:ext>
          </c:extLst>
        </c:ser>
        <c:dLbls>
          <c:showLegendKey val="0"/>
          <c:showVal val="1"/>
          <c:showCatName val="0"/>
          <c:showSerName val="0"/>
          <c:showPercent val="0"/>
          <c:showBubbleSize val="0"/>
        </c:dLbls>
        <c:marker val="1"/>
        <c:smooth val="0"/>
        <c:axId val="1416345040"/>
        <c:axId val="1416351024"/>
      </c:lineChart>
      <c:catAx>
        <c:axId val="1416345040"/>
        <c:scaling>
          <c:orientation val="minMax"/>
        </c:scaling>
        <c:delete val="0"/>
        <c:axPos val="b"/>
        <c:numFmt formatCode="0" sourceLinked="1"/>
        <c:majorTickMark val="none"/>
        <c:minorTickMark val="none"/>
        <c:tickLblPos val="nextTo"/>
        <c:crossAx val="1416351024"/>
        <c:crosses val="autoZero"/>
        <c:auto val="1"/>
        <c:lblAlgn val="ctr"/>
        <c:lblOffset val="100"/>
        <c:noMultiLvlLbl val="0"/>
      </c:catAx>
      <c:valAx>
        <c:axId val="1416351024"/>
        <c:scaling>
          <c:orientation val="minMax"/>
        </c:scaling>
        <c:delete val="0"/>
        <c:axPos val="l"/>
        <c:majorGridlines/>
        <c:numFmt formatCode="0.00" sourceLinked="1"/>
        <c:majorTickMark val="none"/>
        <c:minorTickMark val="none"/>
        <c:tickLblPos val="nextTo"/>
        <c:crossAx val="1416345040"/>
        <c:crosses val="autoZero"/>
        <c:crossBetween val="between"/>
      </c:valAx>
    </c:plotArea>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2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'POR ACTIVIDAD'!$C$1</c:f>
              <c:strCache>
                <c:ptCount val="1"/>
                <c:pt idx="0">
                  <c:v>Dias Perdidos</c:v>
                </c:pt>
              </c:strCache>
            </c:strRef>
          </c:tx>
          <c:invertIfNegative val="0"/>
          <c:cat>
            <c:strRef>
              <c:f>'POR ACTIVIDAD'!$A$2:$A$7</c:f>
              <c:strCache>
                <c:ptCount val="6"/>
                <c:pt idx="0">
                  <c:v>Durante operación productiva</c:v>
                </c:pt>
                <c:pt idx="1">
                  <c:v>Mantenimiento</c:v>
                </c:pt>
                <c:pt idx="2">
                  <c:v>Trasladandose</c:v>
                </c:pt>
                <c:pt idx="3">
                  <c:v>proyectos</c:v>
                </c:pt>
                <c:pt idx="4">
                  <c:v>Manejando traspaleta/Montacarga</c:v>
                </c:pt>
                <c:pt idx="5">
                  <c:v>Limpiando equipo o instalaciones</c:v>
                </c:pt>
              </c:strCache>
            </c:strRef>
          </c:cat>
          <c:val>
            <c:numRef>
              <c:f>'POR ACTIVIDAD'!$C$2:$C$7</c:f>
              <c:numCache>
                <c:formatCode>General</c:formatCode>
                <c:ptCount val="6"/>
                <c:pt idx="0">
                  <c:v>63</c:v>
                </c:pt>
                <c:pt idx="1">
                  <c:v>52</c:v>
                </c:pt>
                <c:pt idx="2">
                  <c:v>20</c:v>
                </c:pt>
                <c:pt idx="3">
                  <c:v>15</c:v>
                </c:pt>
                <c:pt idx="4">
                  <c:v>9</c:v>
                </c:pt>
                <c:pt idx="5">
                  <c:v>8</c:v>
                </c:pt>
              </c:numCache>
            </c:numRef>
          </c:val>
          <c:extLst>
            <c:ext xmlns:c16="http://schemas.microsoft.com/office/drawing/2014/chart" uri="{C3380CC4-5D6E-409C-BE32-E72D297353CC}">
              <c16:uniqueId val="{00000000-AB6E-4023-972D-36D1B3AF386C}"/>
            </c:ext>
          </c:extLst>
        </c:ser>
        <c:ser>
          <c:idx val="1"/>
          <c:order val="1"/>
          <c:tx>
            <c:v>Accidentes</c:v>
          </c:tx>
          <c:spPr>
            <a:solidFill>
              <a:srgbClr val="FF0000"/>
            </a:solidFill>
            <a:ln>
              <a:solidFill>
                <a:srgbClr val="FF0000"/>
              </a:solidFill>
            </a:ln>
          </c:spPr>
          <c:invertIfNegative val="0"/>
          <c:dLbls>
            <c:dLbl>
              <c:idx val="12"/>
              <c:layout>
                <c:manualLayout>
                  <c:x val="-4.6788497683839083E-3"/>
                  <c:y val="-6.6537195417998279E-3"/>
                </c:manualLayout>
              </c:layout>
              <c:numFmt formatCode="#,##0" sourceLinked="0"/>
              <c:spPr/>
              <c:txPr>
                <a:bodyPr/>
                <a:lstStyle/>
                <a:p>
                  <a:pPr algn="ctr">
                    <a:defRPr lang="en-US" sz="900" b="1" i="0" u="none" strike="noStrike" kern="1200" baseline="0">
                      <a:solidFill>
                        <a:srgbClr val="FF0000"/>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6E-4023-972D-36D1B3AF386C}"/>
                </c:ext>
              </c:extLst>
            </c:dLbl>
            <c:numFmt formatCode="#,##0" sourceLinked="0"/>
            <c:spPr>
              <a:noFill/>
              <a:ln>
                <a:noFill/>
              </a:ln>
              <a:effectLst/>
            </c:spPr>
            <c:txPr>
              <a:bodyPr/>
              <a:lstStyle/>
              <a:p>
                <a:pPr>
                  <a:defRPr sz="900" b="1" baseline="0">
                    <a:solidFill>
                      <a:srgbClr val="FF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ACTIVIDAD'!$A$2:$A$7</c:f>
              <c:strCache>
                <c:ptCount val="6"/>
                <c:pt idx="0">
                  <c:v>Durante operación productiva</c:v>
                </c:pt>
                <c:pt idx="1">
                  <c:v>Mantenimiento</c:v>
                </c:pt>
                <c:pt idx="2">
                  <c:v>Trasladandose</c:v>
                </c:pt>
                <c:pt idx="3">
                  <c:v>proyectos</c:v>
                </c:pt>
                <c:pt idx="4">
                  <c:v>Manejando traspaleta/Montacarga</c:v>
                </c:pt>
                <c:pt idx="5">
                  <c:v>Limpiando equipo o instalaciones</c:v>
                </c:pt>
              </c:strCache>
            </c:strRef>
          </c:cat>
          <c:val>
            <c:numRef>
              <c:f>'POR ACTIVIDAD'!$B$2:$B$7</c:f>
              <c:numCache>
                <c:formatCode>General</c:formatCode>
                <c:ptCount val="6"/>
                <c:pt idx="0">
                  <c:v>4</c:v>
                </c:pt>
                <c:pt idx="1">
                  <c:v>2</c:v>
                </c:pt>
                <c:pt idx="2">
                  <c:v>1</c:v>
                </c:pt>
                <c:pt idx="3">
                  <c:v>1</c:v>
                </c:pt>
                <c:pt idx="4">
                  <c:v>1</c:v>
                </c:pt>
                <c:pt idx="5">
                  <c:v>2</c:v>
                </c:pt>
              </c:numCache>
            </c:numRef>
          </c:val>
          <c:extLst>
            <c:ext xmlns:c16="http://schemas.microsoft.com/office/drawing/2014/chart" uri="{C3380CC4-5D6E-409C-BE32-E72D297353CC}">
              <c16:uniqueId val="{00000002-AB6E-4023-972D-36D1B3AF386C}"/>
            </c:ext>
          </c:extLst>
        </c:ser>
        <c:dLbls>
          <c:showLegendKey val="0"/>
          <c:showVal val="0"/>
          <c:showCatName val="0"/>
          <c:showSerName val="0"/>
          <c:showPercent val="0"/>
          <c:showBubbleSize val="0"/>
        </c:dLbls>
        <c:gapWidth val="75"/>
        <c:axId val="1416353200"/>
        <c:axId val="1416346672"/>
      </c:barChart>
      <c:catAx>
        <c:axId val="1416353200"/>
        <c:scaling>
          <c:orientation val="minMax"/>
        </c:scaling>
        <c:delete val="0"/>
        <c:axPos val="l"/>
        <c:numFmt formatCode="General" sourceLinked="0"/>
        <c:majorTickMark val="none"/>
        <c:minorTickMark val="none"/>
        <c:tickLblPos val="nextTo"/>
        <c:crossAx val="1416346672"/>
        <c:crosses val="autoZero"/>
        <c:auto val="1"/>
        <c:lblAlgn val="ctr"/>
        <c:lblOffset val="100"/>
        <c:noMultiLvlLbl val="0"/>
      </c:catAx>
      <c:valAx>
        <c:axId val="1416346672"/>
        <c:scaling>
          <c:orientation val="minMax"/>
        </c:scaling>
        <c:delete val="0"/>
        <c:axPos val="b"/>
        <c:majorGridlines/>
        <c:numFmt formatCode="#,##0" sourceLinked="0"/>
        <c:majorTickMark val="none"/>
        <c:minorTickMark val="none"/>
        <c:tickLblPos val="nextTo"/>
        <c:spPr>
          <a:noFill/>
          <a:ln w="9525">
            <a:noFill/>
          </a:ln>
        </c:spPr>
        <c:crossAx val="1416353200"/>
        <c:crosses val="autoZero"/>
        <c:crossBetween val="between"/>
      </c:val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2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Dias perdidos</c:v>
          </c:tx>
          <c:invertIfNegative val="0"/>
          <c:cat>
            <c:strRef>
              <c:f>'POR ACTIVIDAD'!$A$31:$A$37</c:f>
              <c:strCache>
                <c:ptCount val="7"/>
                <c:pt idx="0">
                  <c:v>Corte</c:v>
                </c:pt>
                <c:pt idx="1">
                  <c:v>Golpe</c:v>
                </c:pt>
                <c:pt idx="2">
                  <c:v>Quemadura Electrica</c:v>
                </c:pt>
                <c:pt idx="3">
                  <c:v>Esguince</c:v>
                </c:pt>
                <c:pt idx="4">
                  <c:v>Fractura</c:v>
                </c:pt>
                <c:pt idx="5">
                  <c:v>Quemadura</c:v>
                </c:pt>
                <c:pt idx="6">
                  <c:v>Contacto S.Quimica</c:v>
                </c:pt>
              </c:strCache>
            </c:strRef>
          </c:cat>
          <c:val>
            <c:numRef>
              <c:f>'POR ACTIVIDAD'!$C$31:$C$37</c:f>
              <c:numCache>
                <c:formatCode>General</c:formatCode>
                <c:ptCount val="7"/>
                <c:pt idx="0">
                  <c:v>41</c:v>
                </c:pt>
                <c:pt idx="1">
                  <c:v>38</c:v>
                </c:pt>
                <c:pt idx="2">
                  <c:v>30</c:v>
                </c:pt>
                <c:pt idx="3">
                  <c:v>22</c:v>
                </c:pt>
                <c:pt idx="4">
                  <c:v>20</c:v>
                </c:pt>
                <c:pt idx="5">
                  <c:v>15</c:v>
                </c:pt>
                <c:pt idx="6">
                  <c:v>1</c:v>
                </c:pt>
              </c:numCache>
            </c:numRef>
          </c:val>
          <c:extLst>
            <c:ext xmlns:c16="http://schemas.microsoft.com/office/drawing/2014/chart" uri="{C3380CC4-5D6E-409C-BE32-E72D297353CC}">
              <c16:uniqueId val="{00000000-5128-4644-9717-E2E2DF25835D}"/>
            </c:ext>
          </c:extLst>
        </c:ser>
        <c:ser>
          <c:idx val="1"/>
          <c:order val="1"/>
          <c:tx>
            <c:v>Accidentes</c:v>
          </c:tx>
          <c:spPr>
            <a:solidFill>
              <a:srgbClr val="FF0000"/>
            </a:solidFill>
            <a:ln>
              <a:solidFill>
                <a:srgbClr val="FF0000"/>
              </a:solidFill>
            </a:ln>
          </c:spPr>
          <c:invertIfNegative val="0"/>
          <c:dLbls>
            <c:dLbl>
              <c:idx val="12"/>
              <c:layout>
                <c:manualLayout>
                  <c:x val="-4.6788497683839083E-3"/>
                  <c:y val="-6.6537195417998279E-3"/>
                </c:manualLayout>
              </c:layout>
              <c:numFmt formatCode="#,##0" sourceLinked="0"/>
              <c:spPr/>
              <c:txPr>
                <a:bodyPr/>
                <a:lstStyle/>
                <a:p>
                  <a:pPr algn="ctr">
                    <a:defRPr lang="en-US" sz="900" b="1" i="0" u="none" strike="noStrike" kern="1200" baseline="0">
                      <a:solidFill>
                        <a:srgbClr val="FF0000"/>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28-4644-9717-E2E2DF25835D}"/>
                </c:ext>
              </c:extLst>
            </c:dLbl>
            <c:numFmt formatCode="#,##0" sourceLinked="0"/>
            <c:spPr>
              <a:noFill/>
              <a:ln>
                <a:noFill/>
              </a:ln>
              <a:effectLst/>
            </c:spPr>
            <c:txPr>
              <a:bodyPr/>
              <a:lstStyle/>
              <a:p>
                <a:pPr>
                  <a:defRPr sz="900" b="1" baseline="0">
                    <a:solidFill>
                      <a:srgbClr val="FF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ACTIVIDAD'!$A$31:$A$37</c:f>
              <c:strCache>
                <c:ptCount val="7"/>
                <c:pt idx="0">
                  <c:v>Corte</c:v>
                </c:pt>
                <c:pt idx="1">
                  <c:v>Golpe</c:v>
                </c:pt>
                <c:pt idx="2">
                  <c:v>Quemadura Electrica</c:v>
                </c:pt>
                <c:pt idx="3">
                  <c:v>Esguince</c:v>
                </c:pt>
                <c:pt idx="4">
                  <c:v>Fractura</c:v>
                </c:pt>
                <c:pt idx="5">
                  <c:v>Quemadura</c:v>
                </c:pt>
                <c:pt idx="6">
                  <c:v>Contacto S.Quimica</c:v>
                </c:pt>
              </c:strCache>
            </c:strRef>
          </c:cat>
          <c:val>
            <c:numRef>
              <c:f>'POR ACTIVIDAD'!$B$31:$B$37</c:f>
              <c:numCache>
                <c:formatCode>General</c:formatCode>
                <c:ptCount val="7"/>
                <c:pt idx="0">
                  <c:v>3</c:v>
                </c:pt>
                <c:pt idx="1">
                  <c:v>3</c:v>
                </c:pt>
                <c:pt idx="2">
                  <c:v>1</c:v>
                </c:pt>
                <c:pt idx="3">
                  <c:v>1</c:v>
                </c:pt>
                <c:pt idx="4">
                  <c:v>1</c:v>
                </c:pt>
                <c:pt idx="5">
                  <c:v>1</c:v>
                </c:pt>
                <c:pt idx="6">
                  <c:v>1</c:v>
                </c:pt>
              </c:numCache>
            </c:numRef>
          </c:val>
          <c:extLst>
            <c:ext xmlns:c16="http://schemas.microsoft.com/office/drawing/2014/chart" uri="{C3380CC4-5D6E-409C-BE32-E72D297353CC}">
              <c16:uniqueId val="{00000002-5128-4644-9717-E2E2DF25835D}"/>
            </c:ext>
          </c:extLst>
        </c:ser>
        <c:dLbls>
          <c:showLegendKey val="0"/>
          <c:showVal val="0"/>
          <c:showCatName val="0"/>
          <c:showSerName val="0"/>
          <c:showPercent val="0"/>
          <c:showBubbleSize val="0"/>
        </c:dLbls>
        <c:gapWidth val="75"/>
        <c:axId val="1416354288"/>
        <c:axId val="1416351568"/>
      </c:barChart>
      <c:catAx>
        <c:axId val="1416354288"/>
        <c:scaling>
          <c:orientation val="minMax"/>
        </c:scaling>
        <c:delete val="0"/>
        <c:axPos val="l"/>
        <c:numFmt formatCode="General" sourceLinked="0"/>
        <c:majorTickMark val="none"/>
        <c:minorTickMark val="none"/>
        <c:tickLblPos val="nextTo"/>
        <c:crossAx val="1416351568"/>
        <c:crosses val="autoZero"/>
        <c:auto val="1"/>
        <c:lblAlgn val="ctr"/>
        <c:lblOffset val="100"/>
        <c:noMultiLvlLbl val="0"/>
      </c:catAx>
      <c:valAx>
        <c:axId val="1416351568"/>
        <c:scaling>
          <c:orientation val="minMax"/>
        </c:scaling>
        <c:delete val="0"/>
        <c:axPos val="b"/>
        <c:majorGridlines/>
        <c:numFmt formatCode="#,##0" sourceLinked="0"/>
        <c:majorTickMark val="none"/>
        <c:minorTickMark val="none"/>
        <c:tickLblPos val="nextTo"/>
        <c:spPr>
          <a:noFill/>
          <a:ln w="9525">
            <a:noFill/>
          </a:ln>
        </c:spPr>
        <c:crossAx val="1416354288"/>
        <c:crosses val="autoZero"/>
        <c:crossBetween val="between"/>
      </c:val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2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45897809899779"/>
          <c:y val="0"/>
          <c:w val="0.65996332067261843"/>
          <c:h val="0.76065844008304928"/>
        </c:manualLayout>
      </c:layout>
      <c:barChart>
        <c:barDir val="bar"/>
        <c:grouping val="clustered"/>
        <c:varyColors val="0"/>
        <c:ser>
          <c:idx val="0"/>
          <c:order val="0"/>
          <c:tx>
            <c:v>Dias perdidos</c:v>
          </c:tx>
          <c:invertIfNegative val="0"/>
          <c:cat>
            <c:strRef>
              <c:f>'POR ACTIVIDAD'!$A$53:$A$59</c:f>
              <c:strCache>
                <c:ptCount val="7"/>
                <c:pt idx="0">
                  <c:v>MANO </c:v>
                </c:pt>
                <c:pt idx="1">
                  <c:v>PIE</c:v>
                </c:pt>
                <c:pt idx="2">
                  <c:v>CUERPO</c:v>
                </c:pt>
                <c:pt idx="3">
                  <c:v>HOMBRO</c:v>
                </c:pt>
                <c:pt idx="4">
                  <c:v>PIERNA</c:v>
                </c:pt>
                <c:pt idx="5">
                  <c:v>CABEZA</c:v>
                </c:pt>
                <c:pt idx="6">
                  <c:v>OJO</c:v>
                </c:pt>
              </c:strCache>
            </c:strRef>
          </c:cat>
          <c:val>
            <c:numRef>
              <c:f>'POR ACTIVIDAD'!$C$53:$C$59</c:f>
              <c:numCache>
                <c:formatCode>General</c:formatCode>
                <c:ptCount val="7"/>
                <c:pt idx="0">
                  <c:v>63</c:v>
                </c:pt>
                <c:pt idx="1">
                  <c:v>31</c:v>
                </c:pt>
                <c:pt idx="2">
                  <c:v>30</c:v>
                </c:pt>
                <c:pt idx="3">
                  <c:v>20</c:v>
                </c:pt>
                <c:pt idx="4">
                  <c:v>15</c:v>
                </c:pt>
                <c:pt idx="5">
                  <c:v>7</c:v>
                </c:pt>
                <c:pt idx="6">
                  <c:v>1</c:v>
                </c:pt>
              </c:numCache>
            </c:numRef>
          </c:val>
          <c:extLst>
            <c:ext xmlns:c16="http://schemas.microsoft.com/office/drawing/2014/chart" uri="{C3380CC4-5D6E-409C-BE32-E72D297353CC}">
              <c16:uniqueId val="{00000000-A247-470A-9C32-5890F0E34CE0}"/>
            </c:ext>
          </c:extLst>
        </c:ser>
        <c:ser>
          <c:idx val="1"/>
          <c:order val="1"/>
          <c:tx>
            <c:v>Accidentes</c:v>
          </c:tx>
          <c:spPr>
            <a:solidFill>
              <a:srgbClr val="FF0000"/>
            </a:solidFill>
            <a:ln>
              <a:solidFill>
                <a:srgbClr val="FF0000"/>
              </a:solidFill>
            </a:ln>
          </c:spPr>
          <c:invertIfNegative val="0"/>
          <c:dLbls>
            <c:dLbl>
              <c:idx val="12"/>
              <c:layout>
                <c:manualLayout>
                  <c:x val="-4.6788497683839083E-3"/>
                  <c:y val="-6.6537195417998279E-3"/>
                </c:manualLayout>
              </c:layout>
              <c:numFmt formatCode="#,##0" sourceLinked="0"/>
              <c:spPr/>
              <c:txPr>
                <a:bodyPr/>
                <a:lstStyle/>
                <a:p>
                  <a:pPr algn="ctr">
                    <a:defRPr lang="en-US" sz="900" b="1" i="0" u="none" strike="noStrike" kern="1200" baseline="0">
                      <a:solidFill>
                        <a:srgbClr val="FF0000"/>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47-470A-9C32-5890F0E34CE0}"/>
                </c:ext>
              </c:extLst>
            </c:dLbl>
            <c:numFmt formatCode="#,##0" sourceLinked="0"/>
            <c:spPr>
              <a:noFill/>
              <a:ln>
                <a:noFill/>
              </a:ln>
              <a:effectLst/>
            </c:spPr>
            <c:txPr>
              <a:bodyPr/>
              <a:lstStyle/>
              <a:p>
                <a:pPr>
                  <a:defRPr sz="900" b="1" baseline="0">
                    <a:solidFill>
                      <a:srgbClr val="FF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ACTIVIDAD'!$A$53:$A$59</c:f>
              <c:strCache>
                <c:ptCount val="7"/>
                <c:pt idx="0">
                  <c:v>MANO </c:v>
                </c:pt>
                <c:pt idx="1">
                  <c:v>PIE</c:v>
                </c:pt>
                <c:pt idx="2">
                  <c:v>CUERPO</c:v>
                </c:pt>
                <c:pt idx="3">
                  <c:v>HOMBRO</c:v>
                </c:pt>
                <c:pt idx="4">
                  <c:v>PIERNA</c:v>
                </c:pt>
                <c:pt idx="5">
                  <c:v>CABEZA</c:v>
                </c:pt>
                <c:pt idx="6">
                  <c:v>OJO</c:v>
                </c:pt>
              </c:strCache>
            </c:strRef>
          </c:cat>
          <c:val>
            <c:numRef>
              <c:f>'POR ACTIVIDAD'!$B$53:$B$59</c:f>
              <c:numCache>
                <c:formatCode>General</c:formatCode>
                <c:ptCount val="7"/>
                <c:pt idx="0">
                  <c:v>4</c:v>
                </c:pt>
                <c:pt idx="1">
                  <c:v>2</c:v>
                </c:pt>
                <c:pt idx="2">
                  <c:v>1</c:v>
                </c:pt>
                <c:pt idx="3">
                  <c:v>1</c:v>
                </c:pt>
                <c:pt idx="4">
                  <c:v>1</c:v>
                </c:pt>
                <c:pt idx="5">
                  <c:v>1</c:v>
                </c:pt>
                <c:pt idx="6">
                  <c:v>1</c:v>
                </c:pt>
              </c:numCache>
            </c:numRef>
          </c:val>
          <c:extLst>
            <c:ext xmlns:c16="http://schemas.microsoft.com/office/drawing/2014/chart" uri="{C3380CC4-5D6E-409C-BE32-E72D297353CC}">
              <c16:uniqueId val="{00000002-A247-470A-9C32-5890F0E34CE0}"/>
            </c:ext>
          </c:extLst>
        </c:ser>
        <c:dLbls>
          <c:showLegendKey val="0"/>
          <c:showVal val="0"/>
          <c:showCatName val="0"/>
          <c:showSerName val="0"/>
          <c:showPercent val="0"/>
          <c:showBubbleSize val="0"/>
        </c:dLbls>
        <c:gapWidth val="75"/>
        <c:axId val="1416358640"/>
        <c:axId val="1416354832"/>
      </c:barChart>
      <c:catAx>
        <c:axId val="1416358640"/>
        <c:scaling>
          <c:orientation val="minMax"/>
        </c:scaling>
        <c:delete val="0"/>
        <c:axPos val="l"/>
        <c:numFmt formatCode="General" sourceLinked="1"/>
        <c:majorTickMark val="none"/>
        <c:minorTickMark val="none"/>
        <c:tickLblPos val="nextTo"/>
        <c:crossAx val="1416354832"/>
        <c:crosses val="autoZero"/>
        <c:auto val="1"/>
        <c:lblAlgn val="ctr"/>
        <c:lblOffset val="100"/>
        <c:noMultiLvlLbl val="0"/>
      </c:catAx>
      <c:valAx>
        <c:axId val="1416354832"/>
        <c:scaling>
          <c:orientation val="minMax"/>
        </c:scaling>
        <c:delete val="0"/>
        <c:axPos val="b"/>
        <c:majorGridlines/>
        <c:numFmt formatCode="#,##0" sourceLinked="0"/>
        <c:majorTickMark val="none"/>
        <c:minorTickMark val="none"/>
        <c:tickLblPos val="nextTo"/>
        <c:spPr>
          <a:noFill/>
          <a:ln w="9525">
            <a:noFill/>
          </a:ln>
        </c:spPr>
        <c:crossAx val="1416358640"/>
        <c:crosses val="autoZero"/>
        <c:crossBetween val="between"/>
      </c:val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2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1"/>
    </c:view3D>
    <c:floor>
      <c:thickness val="0"/>
    </c:floor>
    <c:sideWall>
      <c:thickness val="0"/>
    </c:sideWall>
    <c:backWall>
      <c:thickness val="0"/>
    </c:backWall>
    <c:plotArea>
      <c:layout>
        <c:manualLayout>
          <c:layoutTarget val="inner"/>
          <c:xMode val="edge"/>
          <c:yMode val="edge"/>
          <c:x val="6.1111111111111109E-2"/>
          <c:y val="0.15316163604549432"/>
          <c:w val="0.93888888888888888"/>
          <c:h val="0.60858960338291046"/>
        </c:manualLayout>
      </c:layout>
      <c:bar3DChart>
        <c:barDir val="col"/>
        <c:grouping val="clustered"/>
        <c:varyColors val="0"/>
        <c:ser>
          <c:idx val="0"/>
          <c:order val="0"/>
          <c:tx>
            <c:v>2014</c:v>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ACTIVIDAD'!$N$30:$N$34</c:f>
              <c:strCache>
                <c:ptCount val="5"/>
                <c:pt idx="0">
                  <c:v>Perdida Falange </c:v>
                </c:pt>
                <c:pt idx="1">
                  <c:v>Fractura</c:v>
                </c:pt>
                <c:pt idx="2">
                  <c:v>Atricción Faja y/o Polin</c:v>
                </c:pt>
                <c:pt idx="3">
                  <c:v>Atricción</c:v>
                </c:pt>
                <c:pt idx="4">
                  <c:v>Quemadura</c:v>
                </c:pt>
              </c:strCache>
            </c:strRef>
          </c:cat>
          <c:val>
            <c:numRef>
              <c:f>'POR ACTIVIDAD'!$O$30:$O$34</c:f>
              <c:numCache>
                <c:formatCode>General</c:formatCode>
                <c:ptCount val="5"/>
                <c:pt idx="0">
                  <c:v>3</c:v>
                </c:pt>
                <c:pt idx="1">
                  <c:v>2</c:v>
                </c:pt>
                <c:pt idx="2">
                  <c:v>6</c:v>
                </c:pt>
                <c:pt idx="3">
                  <c:v>5</c:v>
                </c:pt>
                <c:pt idx="4">
                  <c:v>5</c:v>
                </c:pt>
              </c:numCache>
            </c:numRef>
          </c:val>
          <c:extLst>
            <c:ext xmlns:c16="http://schemas.microsoft.com/office/drawing/2014/chart" uri="{C3380CC4-5D6E-409C-BE32-E72D297353CC}">
              <c16:uniqueId val="{00000000-459A-45D4-8031-2303886E76E1}"/>
            </c:ext>
          </c:extLst>
        </c:ser>
        <c:ser>
          <c:idx val="1"/>
          <c:order val="1"/>
          <c:tx>
            <c:v>2015</c:v>
          </c:tx>
          <c:spPr>
            <a:solidFill>
              <a:srgbClr val="FF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ACTIVIDAD'!$N$30:$N$34</c:f>
              <c:strCache>
                <c:ptCount val="5"/>
                <c:pt idx="0">
                  <c:v>Perdida Falange </c:v>
                </c:pt>
                <c:pt idx="1">
                  <c:v>Fractura</c:v>
                </c:pt>
                <c:pt idx="2">
                  <c:v>Atricción Faja y/o Polin</c:v>
                </c:pt>
                <c:pt idx="3">
                  <c:v>Atricción</c:v>
                </c:pt>
                <c:pt idx="4">
                  <c:v>Quemadura</c:v>
                </c:pt>
              </c:strCache>
            </c:strRef>
          </c:cat>
          <c:val>
            <c:numRef>
              <c:f>'POR ACTIVIDAD'!$P$30:$P$34</c:f>
              <c:numCache>
                <c:formatCode>General</c:formatCode>
                <c:ptCount val="5"/>
                <c:pt idx="0">
                  <c:v>3</c:v>
                </c:pt>
                <c:pt idx="1">
                  <c:v>1</c:v>
                </c:pt>
                <c:pt idx="2">
                  <c:v>0</c:v>
                </c:pt>
                <c:pt idx="3">
                  <c:v>1</c:v>
                </c:pt>
                <c:pt idx="4">
                  <c:v>1</c:v>
                </c:pt>
              </c:numCache>
            </c:numRef>
          </c:val>
          <c:extLst>
            <c:ext xmlns:c16="http://schemas.microsoft.com/office/drawing/2014/chart" uri="{C3380CC4-5D6E-409C-BE32-E72D297353CC}">
              <c16:uniqueId val="{00000001-459A-45D4-8031-2303886E76E1}"/>
            </c:ext>
          </c:extLst>
        </c:ser>
        <c:dLbls>
          <c:showLegendKey val="0"/>
          <c:showVal val="1"/>
          <c:showCatName val="0"/>
          <c:showSerName val="0"/>
          <c:showPercent val="0"/>
          <c:showBubbleSize val="0"/>
        </c:dLbls>
        <c:gapWidth val="150"/>
        <c:shape val="box"/>
        <c:axId val="1416365712"/>
        <c:axId val="1416352656"/>
        <c:axId val="0"/>
      </c:bar3DChart>
      <c:catAx>
        <c:axId val="1416365712"/>
        <c:scaling>
          <c:orientation val="minMax"/>
        </c:scaling>
        <c:delete val="0"/>
        <c:axPos val="b"/>
        <c:numFmt formatCode="General" sourceLinked="0"/>
        <c:majorTickMark val="none"/>
        <c:minorTickMark val="none"/>
        <c:tickLblPos val="nextTo"/>
        <c:crossAx val="1416352656"/>
        <c:crosses val="autoZero"/>
        <c:auto val="1"/>
        <c:lblAlgn val="ctr"/>
        <c:lblOffset val="100"/>
        <c:noMultiLvlLbl val="0"/>
      </c:catAx>
      <c:valAx>
        <c:axId val="1416352656"/>
        <c:scaling>
          <c:orientation val="minMax"/>
        </c:scaling>
        <c:delete val="1"/>
        <c:axPos val="l"/>
        <c:numFmt formatCode="General" sourceLinked="1"/>
        <c:majorTickMark val="none"/>
        <c:minorTickMark val="none"/>
        <c:tickLblPos val="nextTo"/>
        <c:crossAx val="1416365712"/>
        <c:crosses val="autoZero"/>
        <c:crossBetween val="between"/>
      </c:valAx>
    </c:plotArea>
    <c:legend>
      <c:legendPos val="t"/>
      <c:overlay val="0"/>
    </c:legend>
    <c:plotVisOnly val="1"/>
    <c:dispBlanksAs val="gap"/>
    <c:showDLblsOverMax val="0"/>
  </c:chart>
  <c:spPr>
    <a:ln>
      <a:noFill/>
    </a:ln>
  </c:spPr>
  <c:printSettings>
    <c:headerFooter/>
    <c:pageMargins b="0.75" l="0.7" r="0.7" t="0.75" header="0.3" footer="0.3"/>
    <c:pageSetup/>
  </c:printSettings>
</c:chartSpace>
</file>

<file path=xl/charts/chart2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1"/>
    </c:view3D>
    <c:floor>
      <c:thickness val="0"/>
    </c:floor>
    <c:sideWall>
      <c:thickness val="0"/>
    </c:sideWall>
    <c:backWall>
      <c:thickness val="0"/>
    </c:backWall>
    <c:plotArea>
      <c:layout>
        <c:manualLayout>
          <c:layoutTarget val="inner"/>
          <c:xMode val="edge"/>
          <c:yMode val="edge"/>
          <c:x val="6.1111111111111109E-2"/>
          <c:y val="0.15316163604549432"/>
          <c:w val="0.93888888888888888"/>
          <c:h val="0.60858960338291046"/>
        </c:manualLayout>
      </c:layout>
      <c:bar3DChart>
        <c:barDir val="col"/>
        <c:grouping val="clustered"/>
        <c:varyColors val="0"/>
        <c:ser>
          <c:idx val="0"/>
          <c:order val="0"/>
          <c:tx>
            <c:v>2014</c:v>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ACTIVIDAD'!$N$52:$N$59</c:f>
              <c:strCache>
                <c:ptCount val="8"/>
                <c:pt idx="0">
                  <c:v>MANO </c:v>
                </c:pt>
                <c:pt idx="1">
                  <c:v>PIERNA</c:v>
                </c:pt>
                <c:pt idx="2">
                  <c:v>BRAZO</c:v>
                </c:pt>
                <c:pt idx="3">
                  <c:v>PIE</c:v>
                </c:pt>
                <c:pt idx="4">
                  <c:v>CUERPO</c:v>
                </c:pt>
                <c:pt idx="5">
                  <c:v>CABEZA</c:v>
                </c:pt>
                <c:pt idx="6">
                  <c:v>AFECCIÓN RESPIRATORIA</c:v>
                </c:pt>
                <c:pt idx="7">
                  <c:v>OJO</c:v>
                </c:pt>
              </c:strCache>
            </c:strRef>
          </c:cat>
          <c:val>
            <c:numRef>
              <c:f>'POR ACTIVIDAD'!$O$52:$O$59</c:f>
              <c:numCache>
                <c:formatCode>General</c:formatCode>
                <c:ptCount val="8"/>
                <c:pt idx="0">
                  <c:v>30</c:v>
                </c:pt>
                <c:pt idx="1">
                  <c:v>9</c:v>
                </c:pt>
                <c:pt idx="2">
                  <c:v>7</c:v>
                </c:pt>
                <c:pt idx="3">
                  <c:v>6</c:v>
                </c:pt>
                <c:pt idx="4">
                  <c:v>3</c:v>
                </c:pt>
                <c:pt idx="5">
                  <c:v>9</c:v>
                </c:pt>
                <c:pt idx="7">
                  <c:v>2</c:v>
                </c:pt>
              </c:numCache>
            </c:numRef>
          </c:val>
          <c:extLst>
            <c:ext xmlns:c16="http://schemas.microsoft.com/office/drawing/2014/chart" uri="{C3380CC4-5D6E-409C-BE32-E72D297353CC}">
              <c16:uniqueId val="{00000000-3534-4211-BAB3-D9831355EAC2}"/>
            </c:ext>
          </c:extLst>
        </c:ser>
        <c:ser>
          <c:idx val="1"/>
          <c:order val="1"/>
          <c:tx>
            <c:v>2015</c:v>
          </c:tx>
          <c:spPr>
            <a:solidFill>
              <a:srgbClr val="FF0000"/>
            </a:solidFill>
          </c:spPr>
          <c:invertIfNegative val="0"/>
          <c:dLbls>
            <c:dLbl>
              <c:idx val="0"/>
              <c:layout>
                <c:manualLayout>
                  <c:x val="1.111111111111111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34-4211-BAB3-D9831355EAC2}"/>
                </c:ext>
              </c:extLst>
            </c:dLbl>
            <c:dLbl>
              <c:idx val="1"/>
              <c:layout>
                <c:manualLayout>
                  <c:x val="8.333333333333333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34-4211-BAB3-D9831355EAC2}"/>
                </c:ext>
              </c:extLst>
            </c:dLbl>
            <c:dLbl>
              <c:idx val="2"/>
              <c:layout>
                <c:manualLayout>
                  <c:x val="1.38888888888889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34-4211-BAB3-D9831355EAC2}"/>
                </c:ext>
              </c:extLst>
            </c:dLbl>
            <c:dLbl>
              <c:idx val="5"/>
              <c:layout>
                <c:manualLayout>
                  <c:x val="1.388888888888888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534-4211-BAB3-D9831355EAC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ACTIVIDAD'!$N$52:$N$59</c:f>
              <c:strCache>
                <c:ptCount val="8"/>
                <c:pt idx="0">
                  <c:v>MANO </c:v>
                </c:pt>
                <c:pt idx="1">
                  <c:v>PIERNA</c:v>
                </c:pt>
                <c:pt idx="2">
                  <c:v>BRAZO</c:v>
                </c:pt>
                <c:pt idx="3">
                  <c:v>PIE</c:v>
                </c:pt>
                <c:pt idx="4">
                  <c:v>CUERPO</c:v>
                </c:pt>
                <c:pt idx="5">
                  <c:v>CABEZA</c:v>
                </c:pt>
                <c:pt idx="6">
                  <c:v>AFECCIÓN RESPIRATORIA</c:v>
                </c:pt>
                <c:pt idx="7">
                  <c:v>OJO</c:v>
                </c:pt>
              </c:strCache>
            </c:strRef>
          </c:cat>
          <c:val>
            <c:numRef>
              <c:f>'POR ACTIVIDAD'!$P$52:$P$59</c:f>
              <c:numCache>
                <c:formatCode>General</c:formatCode>
                <c:ptCount val="8"/>
                <c:pt idx="0">
                  <c:v>4</c:v>
                </c:pt>
                <c:pt idx="1">
                  <c:v>4</c:v>
                </c:pt>
                <c:pt idx="2">
                  <c:v>1</c:v>
                </c:pt>
                <c:pt idx="3">
                  <c:v>1</c:v>
                </c:pt>
                <c:pt idx="4">
                  <c:v>1</c:v>
                </c:pt>
                <c:pt idx="5">
                  <c:v>1</c:v>
                </c:pt>
                <c:pt idx="6">
                  <c:v>1</c:v>
                </c:pt>
              </c:numCache>
            </c:numRef>
          </c:val>
          <c:extLst>
            <c:ext xmlns:c16="http://schemas.microsoft.com/office/drawing/2014/chart" uri="{C3380CC4-5D6E-409C-BE32-E72D297353CC}">
              <c16:uniqueId val="{00000005-3534-4211-BAB3-D9831355EAC2}"/>
            </c:ext>
          </c:extLst>
        </c:ser>
        <c:dLbls>
          <c:showLegendKey val="0"/>
          <c:showVal val="1"/>
          <c:showCatName val="0"/>
          <c:showSerName val="0"/>
          <c:showPercent val="0"/>
          <c:showBubbleSize val="0"/>
        </c:dLbls>
        <c:gapWidth val="150"/>
        <c:shape val="box"/>
        <c:axId val="1416355376"/>
        <c:axId val="1416355920"/>
        <c:axId val="0"/>
      </c:bar3DChart>
      <c:catAx>
        <c:axId val="1416355376"/>
        <c:scaling>
          <c:orientation val="minMax"/>
        </c:scaling>
        <c:delete val="0"/>
        <c:axPos val="b"/>
        <c:numFmt formatCode="General" sourceLinked="0"/>
        <c:majorTickMark val="none"/>
        <c:minorTickMark val="none"/>
        <c:tickLblPos val="nextTo"/>
        <c:crossAx val="1416355920"/>
        <c:crosses val="autoZero"/>
        <c:auto val="1"/>
        <c:lblAlgn val="ctr"/>
        <c:lblOffset val="100"/>
        <c:noMultiLvlLbl val="0"/>
      </c:catAx>
      <c:valAx>
        <c:axId val="1416355920"/>
        <c:scaling>
          <c:orientation val="minMax"/>
        </c:scaling>
        <c:delete val="1"/>
        <c:axPos val="l"/>
        <c:numFmt formatCode="General" sourceLinked="1"/>
        <c:majorTickMark val="none"/>
        <c:minorTickMark val="none"/>
        <c:tickLblPos val="nextTo"/>
        <c:crossAx val="1416355376"/>
        <c:crosses val="autoZero"/>
        <c:crossBetween val="between"/>
      </c:valAx>
    </c:plotArea>
    <c:legend>
      <c:legendPos val="t"/>
      <c:overlay val="0"/>
    </c:legend>
    <c:plotVisOnly val="1"/>
    <c:dispBlanksAs val="gap"/>
    <c:showDLblsOverMax val="0"/>
  </c:chart>
  <c:spPr>
    <a:ln>
      <a:noFill/>
    </a:ln>
  </c:spPr>
  <c:printSettings>
    <c:headerFooter/>
    <c:pageMargins b="0.75" l="0.7" r="0.7" t="0.75" header="0.3" footer="0.3"/>
    <c:pageSetup/>
  </c:printSettings>
</c:chartSpace>
</file>

<file path=xl/charts/chart2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1"/>
    </c:view3D>
    <c:floor>
      <c:thickness val="0"/>
    </c:floor>
    <c:sideWall>
      <c:thickness val="0"/>
    </c:sideWall>
    <c:backWall>
      <c:thickness val="0"/>
    </c:backWall>
    <c:plotArea>
      <c:layout>
        <c:manualLayout>
          <c:layoutTarget val="inner"/>
          <c:xMode val="edge"/>
          <c:yMode val="edge"/>
          <c:x val="6.1111111111111109E-2"/>
          <c:y val="5.9245396077714826E-2"/>
          <c:w val="0.93888888888888888"/>
          <c:h val="0.61200454418343175"/>
        </c:manualLayout>
      </c:layout>
      <c:bar3DChart>
        <c:barDir val="col"/>
        <c:grouping val="clustered"/>
        <c:varyColors val="0"/>
        <c:ser>
          <c:idx val="0"/>
          <c:order val="0"/>
          <c:tx>
            <c:v>2014</c:v>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ACTIVIDAD'!$N$3:$N$9</c:f>
              <c:strCache>
                <c:ptCount val="7"/>
                <c:pt idx="0">
                  <c:v>Durante operación productiva</c:v>
                </c:pt>
                <c:pt idx="1">
                  <c:v>Trasladandose</c:v>
                </c:pt>
                <c:pt idx="2">
                  <c:v>Proyectos</c:v>
                </c:pt>
                <c:pt idx="3">
                  <c:v>Calibrando/Regulando</c:v>
                </c:pt>
                <c:pt idx="4">
                  <c:v>Manipulación Materiales/Herramientas</c:v>
                </c:pt>
                <c:pt idx="5">
                  <c:v>Cargando/Descargando camión</c:v>
                </c:pt>
                <c:pt idx="6">
                  <c:v>Mantenimiento</c:v>
                </c:pt>
              </c:strCache>
            </c:strRef>
          </c:cat>
          <c:val>
            <c:numRef>
              <c:f>'POR ACTIVIDAD'!$O$3:$O$9</c:f>
              <c:numCache>
                <c:formatCode>General</c:formatCode>
                <c:ptCount val="7"/>
                <c:pt idx="0">
                  <c:v>12</c:v>
                </c:pt>
                <c:pt idx="1">
                  <c:v>7</c:v>
                </c:pt>
                <c:pt idx="2">
                  <c:v>7</c:v>
                </c:pt>
                <c:pt idx="3">
                  <c:v>5</c:v>
                </c:pt>
                <c:pt idx="4">
                  <c:v>5</c:v>
                </c:pt>
                <c:pt idx="5">
                  <c:v>4</c:v>
                </c:pt>
                <c:pt idx="6">
                  <c:v>3</c:v>
                </c:pt>
              </c:numCache>
            </c:numRef>
          </c:val>
          <c:extLst>
            <c:ext xmlns:c16="http://schemas.microsoft.com/office/drawing/2014/chart" uri="{C3380CC4-5D6E-409C-BE32-E72D297353CC}">
              <c16:uniqueId val="{00000000-C5B9-41E6-B32E-5E9B6F7AC846}"/>
            </c:ext>
          </c:extLst>
        </c:ser>
        <c:ser>
          <c:idx val="1"/>
          <c:order val="1"/>
          <c:tx>
            <c:v>2015</c:v>
          </c:tx>
          <c:spPr>
            <a:solidFill>
              <a:srgbClr val="FF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ACTIVIDAD'!$N$3:$N$9</c:f>
              <c:strCache>
                <c:ptCount val="7"/>
                <c:pt idx="0">
                  <c:v>Durante operación productiva</c:v>
                </c:pt>
                <c:pt idx="1">
                  <c:v>Trasladandose</c:v>
                </c:pt>
                <c:pt idx="2">
                  <c:v>Proyectos</c:v>
                </c:pt>
                <c:pt idx="3">
                  <c:v>Calibrando/Regulando</c:v>
                </c:pt>
                <c:pt idx="4">
                  <c:v>Manipulación Materiales/Herramientas</c:v>
                </c:pt>
                <c:pt idx="5">
                  <c:v>Cargando/Descargando camión</c:v>
                </c:pt>
                <c:pt idx="6">
                  <c:v>Mantenimiento</c:v>
                </c:pt>
              </c:strCache>
            </c:strRef>
          </c:cat>
          <c:val>
            <c:numRef>
              <c:f>'POR ACTIVIDAD'!$P$3:$P$9</c:f>
              <c:numCache>
                <c:formatCode>General</c:formatCode>
                <c:ptCount val="7"/>
                <c:pt idx="0">
                  <c:v>2</c:v>
                </c:pt>
                <c:pt idx="1">
                  <c:v>0</c:v>
                </c:pt>
                <c:pt idx="2">
                  <c:v>0</c:v>
                </c:pt>
                <c:pt idx="3">
                  <c:v>1</c:v>
                </c:pt>
                <c:pt idx="5">
                  <c:v>0</c:v>
                </c:pt>
                <c:pt idx="6">
                  <c:v>4</c:v>
                </c:pt>
              </c:numCache>
            </c:numRef>
          </c:val>
          <c:extLst>
            <c:ext xmlns:c16="http://schemas.microsoft.com/office/drawing/2014/chart" uri="{C3380CC4-5D6E-409C-BE32-E72D297353CC}">
              <c16:uniqueId val="{00000001-C5B9-41E6-B32E-5E9B6F7AC846}"/>
            </c:ext>
          </c:extLst>
        </c:ser>
        <c:dLbls>
          <c:showLegendKey val="0"/>
          <c:showVal val="1"/>
          <c:showCatName val="0"/>
          <c:showSerName val="0"/>
          <c:showPercent val="0"/>
          <c:showBubbleSize val="0"/>
        </c:dLbls>
        <c:gapWidth val="150"/>
        <c:shape val="box"/>
        <c:axId val="1416357552"/>
        <c:axId val="1416360272"/>
        <c:axId val="0"/>
      </c:bar3DChart>
      <c:catAx>
        <c:axId val="1416357552"/>
        <c:scaling>
          <c:orientation val="minMax"/>
        </c:scaling>
        <c:delete val="0"/>
        <c:axPos val="b"/>
        <c:numFmt formatCode="General" sourceLinked="0"/>
        <c:majorTickMark val="none"/>
        <c:minorTickMark val="none"/>
        <c:tickLblPos val="nextTo"/>
        <c:txPr>
          <a:bodyPr/>
          <a:lstStyle/>
          <a:p>
            <a:pPr>
              <a:defRPr sz="700"/>
            </a:pPr>
            <a:endParaRPr lang="es-PE"/>
          </a:p>
        </c:txPr>
        <c:crossAx val="1416360272"/>
        <c:crosses val="autoZero"/>
        <c:auto val="1"/>
        <c:lblAlgn val="ctr"/>
        <c:lblOffset val="100"/>
        <c:noMultiLvlLbl val="0"/>
      </c:catAx>
      <c:valAx>
        <c:axId val="1416360272"/>
        <c:scaling>
          <c:orientation val="minMax"/>
        </c:scaling>
        <c:delete val="1"/>
        <c:axPos val="l"/>
        <c:numFmt formatCode="General" sourceLinked="1"/>
        <c:majorTickMark val="none"/>
        <c:minorTickMark val="none"/>
        <c:tickLblPos val="nextTo"/>
        <c:crossAx val="1416357552"/>
        <c:crosses val="autoZero"/>
        <c:crossBetween val="between"/>
      </c:valAx>
    </c:plotArea>
    <c:legend>
      <c:legendPos val="t"/>
      <c:overlay val="0"/>
    </c:legend>
    <c:plotVisOnly val="1"/>
    <c:dispBlanksAs val="gap"/>
    <c:showDLblsOverMax val="0"/>
  </c:chart>
  <c:spPr>
    <a:ln>
      <a:noFill/>
    </a:ln>
  </c:spPr>
  <c:printSettings>
    <c:headerFooter/>
    <c:pageMargins b="0.75" l="0.7" r="0.7" t="0.75" header="0.3" footer="0.3"/>
    <c:pageSetup/>
  </c:printSettings>
</c:chartSpace>
</file>

<file path=xl/charts/chart2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Evaluación</a:t>
            </a:r>
            <a:r>
              <a:rPr lang="en-US" baseline="0"/>
              <a:t> total del SGSST - Sta.Amalia</a:t>
            </a:r>
            <a:endParaRPr lang="en-US"/>
          </a:p>
        </c:rich>
      </c:tx>
      <c:overlay val="0"/>
    </c:title>
    <c:autoTitleDeleted val="0"/>
    <c:plotArea>
      <c:layout/>
      <c:barChart>
        <c:barDir val="col"/>
        <c:grouping val="clustered"/>
        <c:varyColors val="0"/>
        <c:ser>
          <c:idx val="3"/>
          <c:order val="0"/>
          <c:tx>
            <c:v>TOTAL</c:v>
          </c:tx>
          <c:spPr>
            <a:solidFill>
              <a:schemeClr val="tx2">
                <a:lumMod val="60000"/>
                <a:lumOff val="40000"/>
              </a:schemeClr>
            </a:solidFill>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'EVALUACIONES - REASEG'!$B$5:$B$7</c:f>
              <c:numCache>
                <c:formatCode>General</c:formatCode>
                <c:ptCount val="3"/>
                <c:pt idx="0">
                  <c:v>2015</c:v>
                </c:pt>
                <c:pt idx="1">
                  <c:v>2014</c:v>
                </c:pt>
                <c:pt idx="2">
                  <c:v>2013</c:v>
                </c:pt>
              </c:numCache>
            </c:numRef>
          </c:cat>
          <c:val>
            <c:numRef>
              <c:f>'EVALUACIONES - REASEG'!$F$5:$F$7</c:f>
              <c:numCache>
                <c:formatCode>0%</c:formatCode>
                <c:ptCount val="3"/>
                <c:pt idx="0">
                  <c:v>0.74</c:v>
                </c:pt>
                <c:pt idx="1">
                  <c:v>0.52</c:v>
                </c:pt>
                <c:pt idx="2">
                  <c:v>0.45</c:v>
                </c:pt>
              </c:numCache>
            </c:numRef>
          </c:val>
          <c:extLst>
            <c:ext xmlns:c16="http://schemas.microsoft.com/office/drawing/2014/chart" uri="{C3380CC4-5D6E-409C-BE32-E72D297353CC}">
              <c16:uniqueId val="{00000000-6B77-4539-BA15-AE0B2F3A07BA}"/>
            </c:ext>
          </c:extLst>
        </c:ser>
        <c:dLbls>
          <c:dLblPos val="outEnd"/>
          <c:showLegendKey val="0"/>
          <c:showVal val="1"/>
          <c:showCatName val="0"/>
          <c:showSerName val="0"/>
          <c:showPercent val="0"/>
          <c:showBubbleSize val="0"/>
        </c:dLbls>
        <c:gapWidth val="150"/>
        <c:axId val="1416356464"/>
        <c:axId val="1416357008"/>
      </c:barChart>
      <c:catAx>
        <c:axId val="1416356464"/>
        <c:scaling>
          <c:orientation val="minMax"/>
        </c:scaling>
        <c:delete val="0"/>
        <c:axPos val="b"/>
        <c:numFmt formatCode="General" sourceLinked="1"/>
        <c:majorTickMark val="out"/>
        <c:minorTickMark val="none"/>
        <c:tickLblPos val="nextTo"/>
        <c:crossAx val="1416357008"/>
        <c:crosses val="autoZero"/>
        <c:auto val="1"/>
        <c:lblAlgn val="ctr"/>
        <c:lblOffset val="100"/>
        <c:noMultiLvlLbl val="0"/>
      </c:catAx>
      <c:valAx>
        <c:axId val="1416357008"/>
        <c:scaling>
          <c:orientation val="minMax"/>
        </c:scaling>
        <c:delete val="0"/>
        <c:axPos val="l"/>
        <c:majorGridlines/>
        <c:numFmt formatCode="0%" sourceLinked="1"/>
        <c:majorTickMark val="out"/>
        <c:minorTickMark val="none"/>
        <c:tickLblPos val="nextTo"/>
        <c:crossAx val="1416356464"/>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Evaluación</a:t>
            </a:r>
            <a:r>
              <a:rPr lang="en-US" baseline="0"/>
              <a:t> total del SGSST - Sta.Amalia</a:t>
            </a:r>
            <a:endParaRPr lang="en-US"/>
          </a:p>
        </c:rich>
      </c:tx>
      <c:overlay val="0"/>
    </c:title>
    <c:autoTitleDeleted val="0"/>
    <c:plotArea>
      <c:layout/>
      <c:barChart>
        <c:barDir val="col"/>
        <c:grouping val="clustered"/>
        <c:varyColors val="0"/>
        <c:ser>
          <c:idx val="0"/>
          <c:order val="1"/>
          <c:tx>
            <c:strRef>
              <c:f>'EVALUACIONES - REASEG'!$C$1:$E$1</c:f>
              <c:strCache>
                <c:ptCount val="3"/>
                <c:pt idx="0">
                  <c:v>SGSST</c:v>
                </c:pt>
                <c:pt idx="1">
                  <c:v>Sist.Emergencias</c:v>
                </c:pt>
                <c:pt idx="2">
                  <c:v>Orden y Limpieza</c:v>
                </c:pt>
              </c:strCache>
            </c:strRef>
          </c:tx>
          <c:spPr>
            <a:solidFill>
              <a:srgbClr val="FF0000"/>
            </a:solidFill>
          </c:spPr>
          <c:invertIfNegative val="0"/>
          <c:dPt>
            <c:idx val="0"/>
            <c:invertIfNegative val="0"/>
            <c:bubble3D val="0"/>
            <c:spPr>
              <a:solidFill>
                <a:srgbClr val="00B050"/>
              </a:solidFill>
            </c:spPr>
            <c:extLst>
              <c:ext xmlns:c16="http://schemas.microsoft.com/office/drawing/2014/chart" uri="{C3380CC4-5D6E-409C-BE32-E72D297353CC}">
                <c16:uniqueId val="{00000001-3475-4981-859E-161F8DBCF3E4}"/>
              </c:ext>
            </c:extLst>
          </c:dPt>
          <c:dPt>
            <c:idx val="1"/>
            <c:invertIfNegative val="0"/>
            <c:bubble3D val="0"/>
            <c:spPr>
              <a:solidFill>
                <a:srgbClr val="00B050"/>
              </a:solidFill>
            </c:spPr>
            <c:extLst>
              <c:ext xmlns:c16="http://schemas.microsoft.com/office/drawing/2014/chart" uri="{C3380CC4-5D6E-409C-BE32-E72D297353CC}">
                <c16:uniqueId val="{00000003-3475-4981-859E-161F8DBCF3E4}"/>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REASEG'!$C$1:$E$1</c:f>
              <c:strCache>
                <c:ptCount val="3"/>
                <c:pt idx="0">
                  <c:v>SGSST</c:v>
                </c:pt>
                <c:pt idx="1">
                  <c:v>Sist.Emergencias</c:v>
                </c:pt>
                <c:pt idx="2">
                  <c:v>Orden y Limpieza</c:v>
                </c:pt>
              </c:strCache>
            </c:strRef>
          </c:cat>
          <c:val>
            <c:numRef>
              <c:f>'EVALUACIONES - REASEG'!$C$5:$E$5</c:f>
              <c:numCache>
                <c:formatCode>0%</c:formatCode>
                <c:ptCount val="3"/>
                <c:pt idx="0">
                  <c:v>0.74</c:v>
                </c:pt>
                <c:pt idx="1">
                  <c:v>0.86</c:v>
                </c:pt>
                <c:pt idx="2">
                  <c:v>0.5</c:v>
                </c:pt>
              </c:numCache>
            </c:numRef>
          </c:val>
          <c:extLst>
            <c:ext xmlns:c16="http://schemas.microsoft.com/office/drawing/2014/chart" uri="{C3380CC4-5D6E-409C-BE32-E72D297353CC}">
              <c16:uniqueId val="{00000004-3475-4981-859E-161F8DBCF3E4}"/>
            </c:ext>
          </c:extLst>
        </c:ser>
        <c:ser>
          <c:idx val="3"/>
          <c:order val="0"/>
          <c:tx>
            <c:strRef>
              <c:f>'EVALUACIONES - REASEG'!$C$1:$E$1</c:f>
              <c:strCache>
                <c:ptCount val="3"/>
                <c:pt idx="0">
                  <c:v>SGSST</c:v>
                </c:pt>
                <c:pt idx="1">
                  <c:v>Sist.Emergencias</c:v>
                </c:pt>
                <c:pt idx="2">
                  <c:v>Orden y Limpieza</c:v>
                </c:pt>
              </c:strCache>
            </c:strRef>
          </c:tx>
          <c:spPr>
            <a:solidFill>
              <a:srgbClr val="FF0000"/>
            </a:solidFill>
          </c:spPr>
          <c:invertIfNegative val="0"/>
          <c:dPt>
            <c:idx val="0"/>
            <c:invertIfNegative val="0"/>
            <c:bubble3D val="0"/>
            <c:spPr>
              <a:solidFill>
                <a:srgbClr val="00B050"/>
              </a:solidFill>
            </c:spPr>
            <c:extLst>
              <c:ext xmlns:c16="http://schemas.microsoft.com/office/drawing/2014/chart" uri="{C3380CC4-5D6E-409C-BE32-E72D297353CC}">
                <c16:uniqueId val="{00000006-3475-4981-859E-161F8DBCF3E4}"/>
              </c:ext>
            </c:extLst>
          </c:dPt>
          <c:dPt>
            <c:idx val="1"/>
            <c:invertIfNegative val="0"/>
            <c:bubble3D val="0"/>
            <c:spPr>
              <a:solidFill>
                <a:srgbClr val="00B050"/>
              </a:solidFill>
            </c:spPr>
            <c:extLst>
              <c:ext xmlns:c16="http://schemas.microsoft.com/office/drawing/2014/chart" uri="{C3380CC4-5D6E-409C-BE32-E72D297353CC}">
                <c16:uniqueId val="{00000008-3475-4981-859E-161F8DBCF3E4}"/>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REASEG'!$C$1:$E$1</c:f>
              <c:strCache>
                <c:ptCount val="3"/>
                <c:pt idx="0">
                  <c:v>SGSST</c:v>
                </c:pt>
                <c:pt idx="1">
                  <c:v>Sist.Emergencias</c:v>
                </c:pt>
                <c:pt idx="2">
                  <c:v>Orden y Limpieza</c:v>
                </c:pt>
              </c:strCache>
            </c:strRef>
          </c:cat>
          <c:val>
            <c:numRef>
              <c:f>'EVALUACIONES - REASEG'!$C$5:$E$5</c:f>
              <c:numCache>
                <c:formatCode>0%</c:formatCode>
                <c:ptCount val="3"/>
                <c:pt idx="0">
                  <c:v>0.74</c:v>
                </c:pt>
                <c:pt idx="1">
                  <c:v>0.86</c:v>
                </c:pt>
                <c:pt idx="2">
                  <c:v>0.5</c:v>
                </c:pt>
              </c:numCache>
            </c:numRef>
          </c:val>
          <c:extLst>
            <c:ext xmlns:c16="http://schemas.microsoft.com/office/drawing/2014/chart" uri="{C3380CC4-5D6E-409C-BE32-E72D297353CC}">
              <c16:uniqueId val="{00000009-3475-4981-859E-161F8DBCF3E4}"/>
            </c:ext>
          </c:extLst>
        </c:ser>
        <c:dLbls>
          <c:dLblPos val="outEnd"/>
          <c:showLegendKey val="0"/>
          <c:showVal val="1"/>
          <c:showCatName val="0"/>
          <c:showSerName val="0"/>
          <c:showPercent val="0"/>
          <c:showBubbleSize val="0"/>
        </c:dLbls>
        <c:gapWidth val="150"/>
        <c:axId val="1416358096"/>
        <c:axId val="1416366256"/>
      </c:barChart>
      <c:catAx>
        <c:axId val="1416358096"/>
        <c:scaling>
          <c:orientation val="minMax"/>
        </c:scaling>
        <c:delete val="0"/>
        <c:axPos val="b"/>
        <c:numFmt formatCode="General" sourceLinked="1"/>
        <c:majorTickMark val="out"/>
        <c:minorTickMark val="none"/>
        <c:tickLblPos val="nextTo"/>
        <c:crossAx val="1416366256"/>
        <c:crosses val="autoZero"/>
        <c:auto val="1"/>
        <c:lblAlgn val="ctr"/>
        <c:lblOffset val="100"/>
        <c:noMultiLvlLbl val="0"/>
      </c:catAx>
      <c:valAx>
        <c:axId val="1416366256"/>
        <c:scaling>
          <c:orientation val="minMax"/>
        </c:scaling>
        <c:delete val="0"/>
        <c:axPos val="l"/>
        <c:majorGridlines/>
        <c:numFmt formatCode="0%" sourceLinked="1"/>
        <c:majorTickMark val="out"/>
        <c:minorTickMark val="none"/>
        <c:tickLblPos val="nextTo"/>
        <c:crossAx val="1416358096"/>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2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SGSST</c:v>
          </c:tx>
          <c:spPr>
            <a:solidFill>
              <a:srgbClr val="FFC000"/>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REASEG'!$H$2:$H$7</c:f>
              <c:strCache>
                <c:ptCount val="6"/>
                <c:pt idx="0">
                  <c:v>Perú</c:v>
                </c:pt>
                <c:pt idx="1">
                  <c:v>Ecuador</c:v>
                </c:pt>
                <c:pt idx="2">
                  <c:v>Brasil</c:v>
                </c:pt>
                <c:pt idx="3">
                  <c:v>Argentina</c:v>
                </c:pt>
                <c:pt idx="4">
                  <c:v>Chile</c:v>
                </c:pt>
                <c:pt idx="5">
                  <c:v>Bolivia</c:v>
                </c:pt>
              </c:strCache>
            </c:strRef>
          </c:cat>
          <c:val>
            <c:numRef>
              <c:f>'EVALUACIONES - REASEG'!$I$2:$I$7</c:f>
              <c:numCache>
                <c:formatCode>0%</c:formatCode>
                <c:ptCount val="6"/>
                <c:pt idx="0">
                  <c:v>0.88</c:v>
                </c:pt>
                <c:pt idx="1">
                  <c:v>0.63</c:v>
                </c:pt>
                <c:pt idx="2">
                  <c:v>0.96</c:v>
                </c:pt>
                <c:pt idx="3">
                  <c:v>0.77</c:v>
                </c:pt>
                <c:pt idx="4">
                  <c:v>0.55000000000000004</c:v>
                </c:pt>
                <c:pt idx="5">
                  <c:v>0.69</c:v>
                </c:pt>
              </c:numCache>
            </c:numRef>
          </c:val>
          <c:extLst>
            <c:ext xmlns:c16="http://schemas.microsoft.com/office/drawing/2014/chart" uri="{C3380CC4-5D6E-409C-BE32-E72D297353CC}">
              <c16:uniqueId val="{00000000-8D83-4BD3-9173-BC30807CB20D}"/>
            </c:ext>
          </c:extLst>
        </c:ser>
        <c:ser>
          <c:idx val="1"/>
          <c:order val="1"/>
          <c:tx>
            <c:v>SIST.EMERG</c:v>
          </c:tx>
          <c:spPr>
            <a:solidFill>
              <a:srgbClr val="00B0F0"/>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REASEG'!$H$2:$H$7</c:f>
              <c:strCache>
                <c:ptCount val="6"/>
                <c:pt idx="0">
                  <c:v>Perú</c:v>
                </c:pt>
                <c:pt idx="1">
                  <c:v>Ecuador</c:v>
                </c:pt>
                <c:pt idx="2">
                  <c:v>Brasil</c:v>
                </c:pt>
                <c:pt idx="3">
                  <c:v>Argentina</c:v>
                </c:pt>
                <c:pt idx="4">
                  <c:v>Chile</c:v>
                </c:pt>
                <c:pt idx="5">
                  <c:v>Bolivia</c:v>
                </c:pt>
              </c:strCache>
            </c:strRef>
          </c:cat>
          <c:val>
            <c:numRef>
              <c:f>'EVALUACIONES - REASEG'!$J$2:$J$7</c:f>
              <c:numCache>
                <c:formatCode>0%</c:formatCode>
                <c:ptCount val="6"/>
                <c:pt idx="0">
                  <c:v>0.9</c:v>
                </c:pt>
                <c:pt idx="1">
                  <c:v>0.74</c:v>
                </c:pt>
                <c:pt idx="2">
                  <c:v>0.96</c:v>
                </c:pt>
                <c:pt idx="3">
                  <c:v>0.93</c:v>
                </c:pt>
                <c:pt idx="4">
                  <c:v>0.67</c:v>
                </c:pt>
                <c:pt idx="5">
                  <c:v>0.9</c:v>
                </c:pt>
              </c:numCache>
            </c:numRef>
          </c:val>
          <c:extLst>
            <c:ext xmlns:c16="http://schemas.microsoft.com/office/drawing/2014/chart" uri="{C3380CC4-5D6E-409C-BE32-E72D297353CC}">
              <c16:uniqueId val="{00000001-8D83-4BD3-9173-BC30807CB20D}"/>
            </c:ext>
          </c:extLst>
        </c:ser>
        <c:ser>
          <c:idx val="2"/>
          <c:order val="2"/>
          <c:tx>
            <c:v>ORD Y LIMP</c:v>
          </c:tx>
          <c:spPr>
            <a:solidFill>
              <a:srgbClr val="00B050"/>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REASEG'!$H$2:$H$7</c:f>
              <c:strCache>
                <c:ptCount val="6"/>
                <c:pt idx="0">
                  <c:v>Perú</c:v>
                </c:pt>
                <c:pt idx="1">
                  <c:v>Ecuador</c:v>
                </c:pt>
                <c:pt idx="2">
                  <c:v>Brasil</c:v>
                </c:pt>
                <c:pt idx="3">
                  <c:v>Argentina</c:v>
                </c:pt>
                <c:pt idx="4">
                  <c:v>Chile</c:v>
                </c:pt>
                <c:pt idx="5">
                  <c:v>Bolivia</c:v>
                </c:pt>
              </c:strCache>
            </c:strRef>
          </c:cat>
          <c:val>
            <c:numRef>
              <c:f>'EVALUACIONES - REASEG'!$K$2:$K$7</c:f>
              <c:numCache>
                <c:formatCode>0%</c:formatCode>
                <c:ptCount val="6"/>
                <c:pt idx="0">
                  <c:v>0.7</c:v>
                </c:pt>
                <c:pt idx="1">
                  <c:v>0.6</c:v>
                </c:pt>
                <c:pt idx="2">
                  <c:v>0.75</c:v>
                </c:pt>
                <c:pt idx="3">
                  <c:v>0.6</c:v>
                </c:pt>
                <c:pt idx="4">
                  <c:v>0.65</c:v>
                </c:pt>
                <c:pt idx="5">
                  <c:v>0.7</c:v>
                </c:pt>
              </c:numCache>
            </c:numRef>
          </c:val>
          <c:extLst>
            <c:ext xmlns:c16="http://schemas.microsoft.com/office/drawing/2014/chart" uri="{C3380CC4-5D6E-409C-BE32-E72D297353CC}">
              <c16:uniqueId val="{00000002-8D83-4BD3-9173-BC30807CB20D}"/>
            </c:ext>
          </c:extLst>
        </c:ser>
        <c:ser>
          <c:idx val="3"/>
          <c:order val="3"/>
          <c:tx>
            <c:v>TOTAL</c:v>
          </c:tx>
          <c:spPr>
            <a:solidFill>
              <a:srgbClr val="FF0000"/>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REASEG'!$H$2:$H$7</c:f>
              <c:strCache>
                <c:ptCount val="6"/>
                <c:pt idx="0">
                  <c:v>Perú</c:v>
                </c:pt>
                <c:pt idx="1">
                  <c:v>Ecuador</c:v>
                </c:pt>
                <c:pt idx="2">
                  <c:v>Brasil</c:v>
                </c:pt>
                <c:pt idx="3">
                  <c:v>Argentina</c:v>
                </c:pt>
                <c:pt idx="4">
                  <c:v>Chile</c:v>
                </c:pt>
                <c:pt idx="5">
                  <c:v>Bolivia</c:v>
                </c:pt>
              </c:strCache>
            </c:strRef>
          </c:cat>
          <c:val>
            <c:numRef>
              <c:f>'EVALUACIONES - REASEG'!$L$2:$L$7</c:f>
              <c:numCache>
                <c:formatCode>0%</c:formatCode>
                <c:ptCount val="6"/>
                <c:pt idx="0">
                  <c:v>0.85</c:v>
                </c:pt>
                <c:pt idx="1">
                  <c:v>0.67</c:v>
                </c:pt>
                <c:pt idx="2">
                  <c:v>0.91</c:v>
                </c:pt>
                <c:pt idx="3">
                  <c:v>0.8</c:v>
                </c:pt>
                <c:pt idx="4">
                  <c:v>0.62</c:v>
                </c:pt>
                <c:pt idx="5">
                  <c:v>0.78</c:v>
                </c:pt>
              </c:numCache>
            </c:numRef>
          </c:val>
          <c:extLst>
            <c:ext xmlns:c16="http://schemas.microsoft.com/office/drawing/2014/chart" uri="{C3380CC4-5D6E-409C-BE32-E72D297353CC}">
              <c16:uniqueId val="{00000003-8D83-4BD3-9173-BC30807CB20D}"/>
            </c:ext>
          </c:extLst>
        </c:ser>
        <c:dLbls>
          <c:showLegendKey val="0"/>
          <c:showVal val="1"/>
          <c:showCatName val="0"/>
          <c:showSerName val="0"/>
          <c:showPercent val="0"/>
          <c:showBubbleSize val="0"/>
        </c:dLbls>
        <c:gapWidth val="75"/>
        <c:axId val="1416359184"/>
        <c:axId val="1416361360"/>
      </c:barChart>
      <c:catAx>
        <c:axId val="1416359184"/>
        <c:scaling>
          <c:orientation val="minMax"/>
        </c:scaling>
        <c:delete val="0"/>
        <c:axPos val="b"/>
        <c:numFmt formatCode="General" sourceLinked="0"/>
        <c:majorTickMark val="none"/>
        <c:minorTickMark val="none"/>
        <c:tickLblPos val="nextTo"/>
        <c:crossAx val="1416361360"/>
        <c:crosses val="autoZero"/>
        <c:auto val="1"/>
        <c:lblAlgn val="ctr"/>
        <c:lblOffset val="100"/>
        <c:noMultiLvlLbl val="0"/>
      </c:catAx>
      <c:valAx>
        <c:axId val="1416361360"/>
        <c:scaling>
          <c:orientation val="minMax"/>
        </c:scaling>
        <c:delete val="0"/>
        <c:axPos val="l"/>
        <c:numFmt formatCode="0%" sourceLinked="1"/>
        <c:majorTickMark val="none"/>
        <c:minorTickMark val="none"/>
        <c:tickLblPos val="nextTo"/>
        <c:crossAx val="1416359184"/>
        <c:crosses val="autoZero"/>
        <c:crossBetween val="between"/>
      </c:valAx>
    </c:plotArea>
    <c:legend>
      <c:legendPos val="b"/>
      <c:overlay val="0"/>
      <c:txPr>
        <a:bodyPr/>
        <a:lstStyle/>
        <a:p>
          <a:pPr>
            <a:defRPr sz="800"/>
          </a:pPr>
          <a:endParaRPr lang="es-PE"/>
        </a:p>
      </c:txPr>
    </c:legend>
    <c:plotVisOnly val="1"/>
    <c:dispBlanksAs val="gap"/>
    <c:showDLblsOverMax val="0"/>
  </c:chart>
  <c:spPr>
    <a:ln>
      <a:noFill/>
    </a:ln>
  </c:spPr>
  <c:printSettings>
    <c:headerFooter/>
    <c:pageMargins b="0.75" l="0.7" r="0.7" t="0.75" header="0.3" footer="0.3"/>
    <c:pageSetup/>
  </c:printSettings>
</c:chartSpace>
</file>

<file path=xl/charts/chart2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960020805544034E-2"/>
          <c:y val="4.3035227625300834E-2"/>
          <c:w val="0.91407431274075657"/>
          <c:h val="0.74339899205890003"/>
        </c:manualLayout>
      </c:layout>
      <c:barChart>
        <c:barDir val="col"/>
        <c:grouping val="clustered"/>
        <c:varyColors val="0"/>
        <c:ser>
          <c:idx val="4"/>
          <c:order val="0"/>
          <c:tx>
            <c:strRef>
              <c:f>'EVALUACIONES - REASEG'!$U$6</c:f>
              <c:strCache>
                <c:ptCount val="1"/>
                <c:pt idx="0">
                  <c:v>2016</c:v>
                </c:pt>
              </c:strCache>
            </c:strRef>
          </c:tx>
          <c:spPr>
            <a:solidFill>
              <a:srgbClr val="002060"/>
            </a:solidFill>
          </c:spPr>
          <c:invertIfNegative val="0"/>
          <c:dLbls>
            <c:dLbl>
              <c:idx val="0"/>
              <c:layout>
                <c:manualLayout>
                  <c:x val="-2.3511430257692682E-3"/>
                  <c:y val="-7.447947002863615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09-458B-8E4E-19D0739EA5FD}"/>
                </c:ext>
              </c:extLst>
            </c:dLbl>
            <c:numFmt formatCode="#,##0.0" sourceLinked="0"/>
            <c:spPr>
              <a:noFill/>
              <a:ln>
                <a:noFill/>
              </a:ln>
              <a:effectLst/>
            </c:spPr>
            <c:txPr>
              <a:bodyPr/>
              <a:lstStyle/>
              <a:p>
                <a:pPr>
                  <a:defRPr sz="800" b="0">
                    <a:solidFill>
                      <a:sysClr val="windowText" lastClr="00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REASEG'!$V$2:$AA$2</c:f>
              <c:strCache>
                <c:ptCount val="6"/>
                <c:pt idx="0">
                  <c:v>PERU</c:v>
                </c:pt>
                <c:pt idx="1">
                  <c:v>ECUADOR</c:v>
                </c:pt>
                <c:pt idx="2">
                  <c:v>BRASIL</c:v>
                </c:pt>
                <c:pt idx="3">
                  <c:v>ARGENTINA</c:v>
                </c:pt>
                <c:pt idx="4">
                  <c:v>CHILE</c:v>
                </c:pt>
                <c:pt idx="5">
                  <c:v>TOTAL</c:v>
                </c:pt>
              </c:strCache>
            </c:strRef>
          </c:cat>
          <c:val>
            <c:numRef>
              <c:f>'EVALUACIONES - REASEG'!$V$6:$AA$6</c:f>
              <c:numCache>
                <c:formatCode>General</c:formatCode>
                <c:ptCount val="6"/>
                <c:pt idx="0" formatCode="0.0">
                  <c:v>4.5999999999999996</c:v>
                </c:pt>
                <c:pt idx="1">
                  <c:v>10</c:v>
                </c:pt>
                <c:pt idx="2">
                  <c:v>1.6</c:v>
                </c:pt>
                <c:pt idx="3">
                  <c:v>8.6</c:v>
                </c:pt>
                <c:pt idx="4" formatCode="0.0">
                  <c:v>8</c:v>
                </c:pt>
                <c:pt idx="5">
                  <c:v>5.2</c:v>
                </c:pt>
              </c:numCache>
            </c:numRef>
          </c:val>
          <c:extLst>
            <c:ext xmlns:c16="http://schemas.microsoft.com/office/drawing/2014/chart" uri="{C3380CC4-5D6E-409C-BE32-E72D297353CC}">
              <c16:uniqueId val="{00000002-5E09-458B-8E4E-19D0739EA5FD}"/>
            </c:ext>
          </c:extLst>
        </c:ser>
        <c:ser>
          <c:idx val="5"/>
          <c:order val="1"/>
          <c:tx>
            <c:v>2017</c:v>
          </c:tx>
          <c:invertIfNegative val="0"/>
          <c:dLbls>
            <c:dLbl>
              <c:idx val="2"/>
              <c:layout>
                <c:manualLayout>
                  <c:x val="0"/>
                  <c:y val="1.62502539102173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09-458B-8E4E-19D0739EA5FD}"/>
                </c:ext>
              </c:extLst>
            </c:dLbl>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REASEG'!$V$2:$AA$2</c:f>
              <c:strCache>
                <c:ptCount val="6"/>
                <c:pt idx="0">
                  <c:v>PERU</c:v>
                </c:pt>
                <c:pt idx="1">
                  <c:v>ECUADOR</c:v>
                </c:pt>
                <c:pt idx="2">
                  <c:v>BRASIL</c:v>
                </c:pt>
                <c:pt idx="3">
                  <c:v>ARGENTINA</c:v>
                </c:pt>
                <c:pt idx="4">
                  <c:v>CHILE</c:v>
                </c:pt>
                <c:pt idx="5">
                  <c:v>TOTAL</c:v>
                </c:pt>
              </c:strCache>
            </c:strRef>
          </c:cat>
          <c:val>
            <c:numRef>
              <c:f>'EVALUACIONES - REASEG'!$V$7:$AA$7</c:f>
              <c:numCache>
                <c:formatCode>0.0</c:formatCode>
                <c:ptCount val="6"/>
                <c:pt idx="0">
                  <c:v>4.4000000000000004</c:v>
                </c:pt>
                <c:pt idx="1">
                  <c:v>8.5895525272610929</c:v>
                </c:pt>
                <c:pt idx="2">
                  <c:v>1.5995913577278125</c:v>
                </c:pt>
                <c:pt idx="3">
                  <c:v>10.112961783117422</c:v>
                </c:pt>
                <c:pt idx="4">
                  <c:v>5.1404103075507486</c:v>
                </c:pt>
                <c:pt idx="5" formatCode="General">
                  <c:v>4.7</c:v>
                </c:pt>
              </c:numCache>
            </c:numRef>
          </c:val>
          <c:extLst>
            <c:ext xmlns:c16="http://schemas.microsoft.com/office/drawing/2014/chart" uri="{C3380CC4-5D6E-409C-BE32-E72D297353CC}">
              <c16:uniqueId val="{00000004-5E09-458B-8E4E-19D0739EA5FD}"/>
            </c:ext>
          </c:extLst>
        </c:ser>
        <c:ser>
          <c:idx val="3"/>
          <c:order val="2"/>
          <c:tx>
            <c:v>2018</c:v>
          </c:tx>
          <c:spPr>
            <a:solidFill>
              <a:srgbClr val="00B05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REASEG'!$V$2:$AA$2</c:f>
              <c:strCache>
                <c:ptCount val="6"/>
                <c:pt idx="0">
                  <c:v>PERU</c:v>
                </c:pt>
                <c:pt idx="1">
                  <c:v>ECUADOR</c:v>
                </c:pt>
                <c:pt idx="2">
                  <c:v>BRASIL</c:v>
                </c:pt>
                <c:pt idx="3">
                  <c:v>ARGENTINA</c:v>
                </c:pt>
                <c:pt idx="4">
                  <c:v>CHILE</c:v>
                </c:pt>
                <c:pt idx="5">
                  <c:v>TOTAL</c:v>
                </c:pt>
              </c:strCache>
            </c:strRef>
          </c:cat>
          <c:val>
            <c:numRef>
              <c:f>'EVALUACIONES - REASEG'!$V$8:$AA$8</c:f>
              <c:numCache>
                <c:formatCode>General</c:formatCode>
                <c:ptCount val="6"/>
                <c:pt idx="0">
                  <c:v>4.3</c:v>
                </c:pt>
                <c:pt idx="1">
                  <c:v>1.7</c:v>
                </c:pt>
                <c:pt idx="2">
                  <c:v>2.2000000000000002</c:v>
                </c:pt>
                <c:pt idx="3">
                  <c:v>5.2</c:v>
                </c:pt>
                <c:pt idx="4">
                  <c:v>14.4</c:v>
                </c:pt>
                <c:pt idx="5">
                  <c:v>4.8</c:v>
                </c:pt>
              </c:numCache>
            </c:numRef>
          </c:val>
          <c:extLst>
            <c:ext xmlns:c16="http://schemas.microsoft.com/office/drawing/2014/chart" uri="{C3380CC4-5D6E-409C-BE32-E72D297353CC}">
              <c16:uniqueId val="{00000005-5E09-458B-8E4E-19D0739EA5FD}"/>
            </c:ext>
          </c:extLst>
        </c:ser>
        <c:ser>
          <c:idx val="0"/>
          <c:order val="3"/>
          <c:tx>
            <c:v>2019</c:v>
          </c:tx>
          <c:spPr>
            <a:solidFill>
              <a:srgbClr val="FF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'EVALUACIONES - REASEG'!$V$9:$AA$9</c:f>
              <c:numCache>
                <c:formatCode>0.0</c:formatCode>
                <c:ptCount val="6"/>
                <c:pt idx="0">
                  <c:v>3.703675064513702</c:v>
                </c:pt>
                <c:pt idx="1">
                  <c:v>1.6653312558124764</c:v>
                </c:pt>
                <c:pt idx="2">
                  <c:v>0</c:v>
                </c:pt>
                <c:pt idx="3">
                  <c:v>0</c:v>
                </c:pt>
                <c:pt idx="4">
                  <c:v>3.1624553303184593</c:v>
                </c:pt>
                <c:pt idx="5">
                  <c:v>0</c:v>
                </c:pt>
              </c:numCache>
            </c:numRef>
          </c:val>
          <c:extLst>
            <c:ext xmlns:c16="http://schemas.microsoft.com/office/drawing/2014/chart" uri="{C3380CC4-5D6E-409C-BE32-E72D297353CC}">
              <c16:uniqueId val="{00000000-BD3F-4868-AD2B-C70371EEE1CB}"/>
            </c:ext>
          </c:extLst>
        </c:ser>
        <c:dLbls>
          <c:showLegendKey val="0"/>
          <c:showVal val="1"/>
          <c:showCatName val="0"/>
          <c:showSerName val="0"/>
          <c:showPercent val="0"/>
          <c:showBubbleSize val="0"/>
        </c:dLbls>
        <c:gapWidth val="75"/>
        <c:axId val="1416361904"/>
        <c:axId val="1416363536"/>
      </c:barChart>
      <c:catAx>
        <c:axId val="1416361904"/>
        <c:scaling>
          <c:orientation val="minMax"/>
        </c:scaling>
        <c:delete val="0"/>
        <c:axPos val="b"/>
        <c:numFmt formatCode="General" sourceLinked="1"/>
        <c:majorTickMark val="none"/>
        <c:minorTickMark val="none"/>
        <c:tickLblPos val="nextTo"/>
        <c:crossAx val="1416363536"/>
        <c:crosses val="autoZero"/>
        <c:auto val="1"/>
        <c:lblAlgn val="ctr"/>
        <c:lblOffset val="100"/>
        <c:noMultiLvlLbl val="0"/>
      </c:catAx>
      <c:valAx>
        <c:axId val="1416363536"/>
        <c:scaling>
          <c:orientation val="minMax"/>
        </c:scaling>
        <c:delete val="0"/>
        <c:axPos val="l"/>
        <c:numFmt formatCode="0.0" sourceLinked="1"/>
        <c:majorTickMark val="none"/>
        <c:minorTickMark val="none"/>
        <c:tickLblPos val="nextTo"/>
        <c:crossAx val="1416361904"/>
        <c:crosses val="autoZero"/>
        <c:crossBetween val="between"/>
      </c:val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2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3541280375848079E-2"/>
          <c:y val="4.5187300305410544E-2"/>
          <c:w val="0.88729819212125149"/>
          <c:h val="0.75483481231512728"/>
        </c:manualLayout>
      </c:layout>
      <c:barChart>
        <c:barDir val="col"/>
        <c:grouping val="clustered"/>
        <c:varyColors val="0"/>
        <c:ser>
          <c:idx val="4"/>
          <c:order val="0"/>
          <c:tx>
            <c:v>2016</c:v>
          </c:tx>
          <c:spPr>
            <a:solidFill>
              <a:srgbClr val="002060"/>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REASEG'!$AC$2:$AH$2</c:f>
              <c:strCache>
                <c:ptCount val="6"/>
                <c:pt idx="0">
                  <c:v>PERU</c:v>
                </c:pt>
                <c:pt idx="1">
                  <c:v>ECUADOR</c:v>
                </c:pt>
                <c:pt idx="2">
                  <c:v>BRASIL</c:v>
                </c:pt>
                <c:pt idx="3">
                  <c:v>ARGENTINA</c:v>
                </c:pt>
                <c:pt idx="4">
                  <c:v>CHILE</c:v>
                </c:pt>
                <c:pt idx="5">
                  <c:v>TOTAL</c:v>
                </c:pt>
              </c:strCache>
            </c:strRef>
          </c:cat>
          <c:val>
            <c:numRef>
              <c:f>'EVALUACIONES - REASEG'!$AC$6:$AH$6</c:f>
              <c:numCache>
                <c:formatCode>General</c:formatCode>
                <c:ptCount val="6"/>
                <c:pt idx="0">
                  <c:v>468</c:v>
                </c:pt>
                <c:pt idx="1">
                  <c:v>271</c:v>
                </c:pt>
                <c:pt idx="2">
                  <c:v>670</c:v>
                </c:pt>
                <c:pt idx="3">
                  <c:v>303</c:v>
                </c:pt>
                <c:pt idx="4">
                  <c:v>213</c:v>
                </c:pt>
                <c:pt idx="5">
                  <c:v>485</c:v>
                </c:pt>
              </c:numCache>
            </c:numRef>
          </c:val>
          <c:extLst>
            <c:ext xmlns:c16="http://schemas.microsoft.com/office/drawing/2014/chart" uri="{C3380CC4-5D6E-409C-BE32-E72D297353CC}">
              <c16:uniqueId val="{00000002-8A95-4321-93A8-363567A8E182}"/>
            </c:ext>
          </c:extLst>
        </c:ser>
        <c:ser>
          <c:idx val="3"/>
          <c:order val="1"/>
          <c:tx>
            <c:strRef>
              <c:f>'EVALUACIONES - REASEG'!$U$7</c:f>
              <c:strCache>
                <c:ptCount val="1"/>
                <c:pt idx="0">
                  <c:v>2017</c:v>
                </c:pt>
              </c:strCache>
            </c:strRef>
          </c:tx>
          <c:spPr>
            <a:solidFill>
              <a:schemeClr val="accent6">
                <a:lumMod val="75000"/>
              </a:schemeClr>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REASEG'!$AC$2:$AH$2</c:f>
              <c:strCache>
                <c:ptCount val="6"/>
                <c:pt idx="0">
                  <c:v>PERU</c:v>
                </c:pt>
                <c:pt idx="1">
                  <c:v>ECUADOR</c:v>
                </c:pt>
                <c:pt idx="2">
                  <c:v>BRASIL</c:v>
                </c:pt>
                <c:pt idx="3">
                  <c:v>ARGENTINA</c:v>
                </c:pt>
                <c:pt idx="4">
                  <c:v>CHILE</c:v>
                </c:pt>
                <c:pt idx="5">
                  <c:v>TOTAL</c:v>
                </c:pt>
              </c:strCache>
            </c:strRef>
          </c:cat>
          <c:val>
            <c:numRef>
              <c:f>'EVALUACIONES - REASEG'!$AC$7:$AH$7</c:f>
              <c:numCache>
                <c:formatCode>0</c:formatCode>
                <c:ptCount val="6"/>
                <c:pt idx="0">
                  <c:v>107.36528809163552</c:v>
                </c:pt>
                <c:pt idx="1">
                  <c:v>354.31904174952007</c:v>
                </c:pt>
                <c:pt idx="2">
                  <c:v>97.57507282139656</c:v>
                </c:pt>
                <c:pt idx="3">
                  <c:v>339.34605094460682</c:v>
                </c:pt>
                <c:pt idx="4">
                  <c:v>11.994290717618414</c:v>
                </c:pt>
                <c:pt idx="5">
                  <c:v>129.07069282418166</c:v>
                </c:pt>
              </c:numCache>
            </c:numRef>
          </c:val>
          <c:extLst>
            <c:ext xmlns:c16="http://schemas.microsoft.com/office/drawing/2014/chart" uri="{C3380CC4-5D6E-409C-BE32-E72D297353CC}">
              <c16:uniqueId val="{00000003-8A95-4321-93A8-363567A8E182}"/>
            </c:ext>
          </c:extLst>
        </c:ser>
        <c:ser>
          <c:idx val="5"/>
          <c:order val="2"/>
          <c:tx>
            <c:v>2018</c:v>
          </c:tx>
          <c:spPr>
            <a:solidFill>
              <a:srgbClr val="00B05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REASEG'!$AC$2:$AH$2</c:f>
              <c:strCache>
                <c:ptCount val="6"/>
                <c:pt idx="0">
                  <c:v>PERU</c:v>
                </c:pt>
                <c:pt idx="1">
                  <c:v>ECUADOR</c:v>
                </c:pt>
                <c:pt idx="2">
                  <c:v>BRASIL</c:v>
                </c:pt>
                <c:pt idx="3">
                  <c:v>ARGENTINA</c:v>
                </c:pt>
                <c:pt idx="4">
                  <c:v>CHILE</c:v>
                </c:pt>
                <c:pt idx="5">
                  <c:v>TOTAL</c:v>
                </c:pt>
              </c:strCache>
            </c:strRef>
          </c:cat>
          <c:val>
            <c:numRef>
              <c:f>'EVALUACIONES - REASEG'!$AC$8:$AH$8</c:f>
              <c:numCache>
                <c:formatCode>General</c:formatCode>
                <c:ptCount val="6"/>
                <c:pt idx="0">
                  <c:v>446</c:v>
                </c:pt>
                <c:pt idx="1">
                  <c:v>255</c:v>
                </c:pt>
                <c:pt idx="2">
                  <c:v>259</c:v>
                </c:pt>
                <c:pt idx="3">
                  <c:v>130</c:v>
                </c:pt>
                <c:pt idx="4">
                  <c:v>43</c:v>
                </c:pt>
                <c:pt idx="5">
                  <c:v>185</c:v>
                </c:pt>
              </c:numCache>
            </c:numRef>
          </c:val>
          <c:extLst>
            <c:ext xmlns:c16="http://schemas.microsoft.com/office/drawing/2014/chart" uri="{C3380CC4-5D6E-409C-BE32-E72D297353CC}">
              <c16:uniqueId val="{00000004-8A95-4321-93A8-363567A8E182}"/>
            </c:ext>
          </c:extLst>
        </c:ser>
        <c:ser>
          <c:idx val="0"/>
          <c:order val="3"/>
          <c:tx>
            <c:v>2019</c:v>
          </c:tx>
          <c:spPr>
            <a:solidFill>
              <a:srgbClr val="FF0000"/>
            </a:solidFill>
          </c:spPr>
          <c:invertIfNegative val="0"/>
          <c:dLbls>
            <c:dLbl>
              <c:idx val="0"/>
              <c:layout>
                <c:manualLayout>
                  <c:x val="1.7468336920007984E-2"/>
                  <c:y val="1.2771392081736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3C-4D72-9FA9-97EBBFD8D01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'EVALUACIONES - REASEG'!$AC$2:$AH$2</c:f>
              <c:strCache>
                <c:ptCount val="6"/>
                <c:pt idx="0">
                  <c:v>PERU</c:v>
                </c:pt>
                <c:pt idx="1">
                  <c:v>ECUADOR</c:v>
                </c:pt>
                <c:pt idx="2">
                  <c:v>BRASIL</c:v>
                </c:pt>
                <c:pt idx="3">
                  <c:v>ARGENTINA</c:v>
                </c:pt>
                <c:pt idx="4">
                  <c:v>CHILE</c:v>
                </c:pt>
                <c:pt idx="5">
                  <c:v>TOTAL</c:v>
                </c:pt>
              </c:strCache>
            </c:strRef>
          </c:cat>
          <c:val>
            <c:numRef>
              <c:f>'EVALUACIONES - REASEG'!$AC$9:$AH$9</c:f>
              <c:numCache>
                <c:formatCode>0</c:formatCode>
                <c:ptCount val="6"/>
                <c:pt idx="0">
                  <c:v>108.67640832158776</c:v>
                </c:pt>
                <c:pt idx="1">
                  <c:v>28.310631348812098</c:v>
                </c:pt>
                <c:pt idx="2">
                  <c:v>0</c:v>
                </c:pt>
                <c:pt idx="3">
                  <c:v>0</c:v>
                </c:pt>
                <c:pt idx="4">
                  <c:v>32.67870507995741</c:v>
                </c:pt>
                <c:pt idx="5">
                  <c:v>0</c:v>
                </c:pt>
              </c:numCache>
            </c:numRef>
          </c:val>
          <c:extLst>
            <c:ext xmlns:c16="http://schemas.microsoft.com/office/drawing/2014/chart" uri="{C3380CC4-5D6E-409C-BE32-E72D297353CC}">
              <c16:uniqueId val="{00000000-A84F-4DE6-8BCB-7C96B9985B21}"/>
            </c:ext>
          </c:extLst>
        </c:ser>
        <c:dLbls>
          <c:showLegendKey val="0"/>
          <c:showVal val="1"/>
          <c:showCatName val="0"/>
          <c:showSerName val="0"/>
          <c:showPercent val="0"/>
          <c:showBubbleSize val="0"/>
        </c:dLbls>
        <c:gapWidth val="75"/>
        <c:axId val="1416341232"/>
        <c:axId val="1416366800"/>
      </c:barChart>
      <c:catAx>
        <c:axId val="1416341232"/>
        <c:scaling>
          <c:orientation val="minMax"/>
        </c:scaling>
        <c:delete val="0"/>
        <c:axPos val="b"/>
        <c:numFmt formatCode="General" sourceLinked="1"/>
        <c:majorTickMark val="none"/>
        <c:minorTickMark val="none"/>
        <c:tickLblPos val="nextTo"/>
        <c:crossAx val="1416366800"/>
        <c:crosses val="autoZero"/>
        <c:auto val="1"/>
        <c:lblAlgn val="ctr"/>
        <c:lblOffset val="100"/>
        <c:noMultiLvlLbl val="0"/>
      </c:catAx>
      <c:valAx>
        <c:axId val="1416366800"/>
        <c:scaling>
          <c:orientation val="minMax"/>
          <c:max val="1000"/>
        </c:scaling>
        <c:delete val="0"/>
        <c:axPos val="l"/>
        <c:numFmt formatCode="General" sourceLinked="1"/>
        <c:majorTickMark val="none"/>
        <c:minorTickMark val="none"/>
        <c:tickLblPos val="nextTo"/>
        <c:crossAx val="1416341232"/>
        <c:crosses val="autoZero"/>
        <c:crossBetween val="between"/>
      </c:valAx>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2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074986936148781E-2"/>
          <c:y val="3.7860254680441158E-2"/>
          <c:w val="0.89262864989893909"/>
          <c:h val="0.7116007813601305"/>
        </c:manualLayout>
      </c:layout>
      <c:barChart>
        <c:barDir val="col"/>
        <c:grouping val="clustered"/>
        <c:varyColors val="0"/>
        <c:ser>
          <c:idx val="0"/>
          <c:order val="0"/>
          <c:tx>
            <c:strRef>
              <c:f>'EVALUACIONES - REASEG'!$AI$3</c:f>
              <c:strCache>
                <c:ptCount val="1"/>
                <c:pt idx="0">
                  <c:v>LIDERAZGO Y PARTICIPACION</c:v>
                </c:pt>
              </c:strCache>
            </c:strRef>
          </c:tx>
          <c:spPr>
            <a:solidFill>
              <a:srgbClr val="FFC000"/>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REASEG'!$AJ$2:$AO$2</c:f>
              <c:strCache>
                <c:ptCount val="6"/>
                <c:pt idx="0">
                  <c:v>ALICORP</c:v>
                </c:pt>
                <c:pt idx="1">
                  <c:v>TEAL</c:v>
                </c:pt>
                <c:pt idx="2">
                  <c:v>PAITA</c:v>
                </c:pt>
                <c:pt idx="3">
                  <c:v>VITAPRO</c:v>
                </c:pt>
                <c:pt idx="4">
                  <c:v>ECUADOR</c:v>
                </c:pt>
                <c:pt idx="5">
                  <c:v>BRASIL</c:v>
                </c:pt>
              </c:strCache>
            </c:strRef>
          </c:cat>
          <c:val>
            <c:numRef>
              <c:f>'EVALUACIONES - REASEG'!$AJ$3:$AO$3</c:f>
              <c:numCache>
                <c:formatCode>0%</c:formatCode>
                <c:ptCount val="6"/>
                <c:pt idx="0">
                  <c:v>0.63</c:v>
                </c:pt>
                <c:pt idx="1">
                  <c:v>0.68571428571428572</c:v>
                </c:pt>
                <c:pt idx="2">
                  <c:v>0.89</c:v>
                </c:pt>
                <c:pt idx="3">
                  <c:v>0.38293650793650785</c:v>
                </c:pt>
                <c:pt idx="4">
                  <c:v>0.41865079365079366</c:v>
                </c:pt>
                <c:pt idx="5">
                  <c:v>0.52</c:v>
                </c:pt>
              </c:numCache>
            </c:numRef>
          </c:val>
          <c:extLst>
            <c:ext xmlns:c16="http://schemas.microsoft.com/office/drawing/2014/chart" uri="{C3380CC4-5D6E-409C-BE32-E72D297353CC}">
              <c16:uniqueId val="{00000000-B640-4353-8AB1-1910D6C57D47}"/>
            </c:ext>
          </c:extLst>
        </c:ser>
        <c:ser>
          <c:idx val="1"/>
          <c:order val="1"/>
          <c:tx>
            <c:strRef>
              <c:f>'EVALUACIONES - REASEG'!$AI$4</c:f>
              <c:strCache>
                <c:ptCount val="1"/>
                <c:pt idx="0">
                  <c:v>COMPETENCIA</c:v>
                </c:pt>
              </c:strCache>
            </c:strRef>
          </c:tx>
          <c:spPr>
            <a:solidFill>
              <a:srgbClr val="00B0F0"/>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REASEG'!$AJ$2:$AO$2</c:f>
              <c:strCache>
                <c:ptCount val="6"/>
                <c:pt idx="0">
                  <c:v>ALICORP</c:v>
                </c:pt>
                <c:pt idx="1">
                  <c:v>TEAL</c:v>
                </c:pt>
                <c:pt idx="2">
                  <c:v>PAITA</c:v>
                </c:pt>
                <c:pt idx="3">
                  <c:v>VITAPRO</c:v>
                </c:pt>
                <c:pt idx="4">
                  <c:v>ECUADOR</c:v>
                </c:pt>
                <c:pt idx="5">
                  <c:v>BRASIL</c:v>
                </c:pt>
              </c:strCache>
            </c:strRef>
          </c:cat>
          <c:val>
            <c:numRef>
              <c:f>'EVALUACIONES - REASEG'!$AJ$4:$AO$4</c:f>
              <c:numCache>
                <c:formatCode>0%</c:formatCode>
                <c:ptCount val="6"/>
                <c:pt idx="0">
                  <c:v>0.86</c:v>
                </c:pt>
                <c:pt idx="1">
                  <c:v>0.65954545454545466</c:v>
                </c:pt>
                <c:pt idx="2">
                  <c:v>0.67</c:v>
                </c:pt>
                <c:pt idx="3">
                  <c:v>0.74897727272727266</c:v>
                </c:pt>
                <c:pt idx="4">
                  <c:v>0.60125000000000006</c:v>
                </c:pt>
                <c:pt idx="5">
                  <c:v>0.77</c:v>
                </c:pt>
              </c:numCache>
            </c:numRef>
          </c:val>
          <c:extLst>
            <c:ext xmlns:c16="http://schemas.microsoft.com/office/drawing/2014/chart" uri="{C3380CC4-5D6E-409C-BE32-E72D297353CC}">
              <c16:uniqueId val="{00000001-B640-4353-8AB1-1910D6C57D47}"/>
            </c:ext>
          </c:extLst>
        </c:ser>
        <c:ser>
          <c:idx val="2"/>
          <c:order val="2"/>
          <c:tx>
            <c:strRef>
              <c:f>'EVALUACIONES - REASEG'!$AI$5</c:f>
              <c:strCache>
                <c:ptCount val="1"/>
                <c:pt idx="0">
                  <c:v>CULTURA</c:v>
                </c:pt>
              </c:strCache>
            </c:strRef>
          </c:tx>
          <c:spPr>
            <a:solidFill>
              <a:srgbClr val="00B050"/>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REASEG'!$AJ$2:$AO$2</c:f>
              <c:strCache>
                <c:ptCount val="6"/>
                <c:pt idx="0">
                  <c:v>ALICORP</c:v>
                </c:pt>
                <c:pt idx="1">
                  <c:v>TEAL</c:v>
                </c:pt>
                <c:pt idx="2">
                  <c:v>PAITA</c:v>
                </c:pt>
                <c:pt idx="3">
                  <c:v>VITAPRO</c:v>
                </c:pt>
                <c:pt idx="4">
                  <c:v>ECUADOR</c:v>
                </c:pt>
                <c:pt idx="5">
                  <c:v>BRASIL</c:v>
                </c:pt>
              </c:strCache>
            </c:strRef>
          </c:cat>
          <c:val>
            <c:numRef>
              <c:f>'EVALUACIONES - REASEG'!$AJ$5:$AO$5</c:f>
              <c:numCache>
                <c:formatCode>0%</c:formatCode>
                <c:ptCount val="6"/>
                <c:pt idx="0">
                  <c:v>0.53</c:v>
                </c:pt>
                <c:pt idx="1">
                  <c:v>0.46875</c:v>
                </c:pt>
                <c:pt idx="2">
                  <c:v>0.63</c:v>
                </c:pt>
                <c:pt idx="3">
                  <c:v>0.34375</c:v>
                </c:pt>
                <c:pt idx="4">
                  <c:v>0.25</c:v>
                </c:pt>
                <c:pt idx="5">
                  <c:v>0.57999999999999996</c:v>
                </c:pt>
              </c:numCache>
            </c:numRef>
          </c:val>
          <c:extLst>
            <c:ext xmlns:c16="http://schemas.microsoft.com/office/drawing/2014/chart" uri="{C3380CC4-5D6E-409C-BE32-E72D297353CC}">
              <c16:uniqueId val="{00000002-B640-4353-8AB1-1910D6C57D47}"/>
            </c:ext>
          </c:extLst>
        </c:ser>
        <c:ser>
          <c:idx val="3"/>
          <c:order val="3"/>
          <c:tx>
            <c:strRef>
              <c:f>'EVALUACIONES - REASEG'!$AI$6</c:f>
              <c:strCache>
                <c:ptCount val="1"/>
                <c:pt idx="0">
                  <c:v>COMPLIANCE</c:v>
                </c:pt>
              </c:strCache>
            </c:strRef>
          </c:tx>
          <c:spPr>
            <a:solidFill>
              <a:schemeClr val="bg1">
                <a:lumMod val="75000"/>
              </a:schemeClr>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REASEG'!$AJ$2:$AO$2</c:f>
              <c:strCache>
                <c:ptCount val="6"/>
                <c:pt idx="0">
                  <c:v>ALICORP</c:v>
                </c:pt>
                <c:pt idx="1">
                  <c:v>TEAL</c:v>
                </c:pt>
                <c:pt idx="2">
                  <c:v>PAITA</c:v>
                </c:pt>
                <c:pt idx="3">
                  <c:v>VITAPRO</c:v>
                </c:pt>
                <c:pt idx="4">
                  <c:v>ECUADOR</c:v>
                </c:pt>
                <c:pt idx="5">
                  <c:v>BRASIL</c:v>
                </c:pt>
              </c:strCache>
            </c:strRef>
          </c:cat>
          <c:val>
            <c:numRef>
              <c:f>'EVALUACIONES - REASEG'!$AJ$6:$AO$6</c:f>
              <c:numCache>
                <c:formatCode>0%</c:formatCode>
                <c:ptCount val="6"/>
                <c:pt idx="0">
                  <c:v>0.88</c:v>
                </c:pt>
                <c:pt idx="1">
                  <c:v>0.72433347902097911</c:v>
                </c:pt>
                <c:pt idx="2">
                  <c:v>0.87</c:v>
                </c:pt>
                <c:pt idx="3">
                  <c:v>0.91304632867132862</c:v>
                </c:pt>
                <c:pt idx="4">
                  <c:v>0.76640859140859141</c:v>
                </c:pt>
                <c:pt idx="5">
                  <c:v>0.89</c:v>
                </c:pt>
              </c:numCache>
            </c:numRef>
          </c:val>
          <c:extLst>
            <c:ext xmlns:c16="http://schemas.microsoft.com/office/drawing/2014/chart" uri="{C3380CC4-5D6E-409C-BE32-E72D297353CC}">
              <c16:uniqueId val="{00000003-B640-4353-8AB1-1910D6C57D47}"/>
            </c:ext>
          </c:extLst>
        </c:ser>
        <c:ser>
          <c:idx val="4"/>
          <c:order val="4"/>
          <c:tx>
            <c:strRef>
              <c:f>'EVALUACIONES - REASEG'!$AI$7</c:f>
              <c:strCache>
                <c:ptCount val="1"/>
                <c:pt idx="0">
                  <c:v>SEGURIDAD EN PROCESOS</c:v>
                </c:pt>
              </c:strCache>
            </c:strRef>
          </c:tx>
          <c:invertIfNegative val="0"/>
          <c:dLbls>
            <c:spPr>
              <a:noFill/>
              <a:ln>
                <a:noFill/>
              </a:ln>
              <a:effectLst/>
            </c:spPr>
            <c:txPr>
              <a:bodyPr wrap="square" lIns="38100" tIns="19050" rIns="38100" bIns="19050" anchor="ctr">
                <a:spAutoFit/>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'EVALUACIONES - REASEG'!$AJ$2:$AO$2</c:f>
              <c:strCache>
                <c:ptCount val="6"/>
                <c:pt idx="0">
                  <c:v>ALICORP</c:v>
                </c:pt>
                <c:pt idx="1">
                  <c:v>TEAL</c:v>
                </c:pt>
                <c:pt idx="2">
                  <c:v>PAITA</c:v>
                </c:pt>
                <c:pt idx="3">
                  <c:v>VITAPRO</c:v>
                </c:pt>
                <c:pt idx="4">
                  <c:v>ECUADOR</c:v>
                </c:pt>
                <c:pt idx="5">
                  <c:v>BRASIL</c:v>
                </c:pt>
              </c:strCache>
            </c:strRef>
          </c:cat>
          <c:val>
            <c:numRef>
              <c:f>'EVALUACIONES - REASEG'!$AJ$7:$AO$7</c:f>
              <c:numCache>
                <c:formatCode>0%</c:formatCode>
                <c:ptCount val="6"/>
                <c:pt idx="0">
                  <c:v>0.78</c:v>
                </c:pt>
                <c:pt idx="1">
                  <c:v>0.64371212121212118</c:v>
                </c:pt>
                <c:pt idx="2">
                  <c:v>0.92</c:v>
                </c:pt>
                <c:pt idx="3">
                  <c:v>0.7645292207792207</c:v>
                </c:pt>
                <c:pt idx="4">
                  <c:v>0.55132575757575764</c:v>
                </c:pt>
                <c:pt idx="5">
                  <c:v>0.86</c:v>
                </c:pt>
              </c:numCache>
            </c:numRef>
          </c:val>
          <c:extLst>
            <c:ext xmlns:c16="http://schemas.microsoft.com/office/drawing/2014/chart" uri="{C3380CC4-5D6E-409C-BE32-E72D297353CC}">
              <c16:uniqueId val="{00000004-B640-4353-8AB1-1910D6C57D47}"/>
            </c:ext>
          </c:extLst>
        </c:ser>
        <c:ser>
          <c:idx val="5"/>
          <c:order val="5"/>
          <c:tx>
            <c:strRef>
              <c:f>'EVALUACIONES - REASEG'!$AI$8</c:f>
              <c:strCache>
                <c:ptCount val="1"/>
                <c:pt idx="0">
                  <c:v>DISEÑO SEGURO Y SALUDABLE</c:v>
                </c:pt>
              </c:strCache>
            </c:strRef>
          </c:tx>
          <c:invertIfNegative val="0"/>
          <c:dLbls>
            <c:spPr>
              <a:noFill/>
              <a:ln>
                <a:noFill/>
              </a:ln>
              <a:effectLst/>
            </c:spPr>
            <c:txPr>
              <a:bodyPr wrap="square" lIns="38100" tIns="19050" rIns="38100" bIns="19050" anchor="ctr">
                <a:spAutoFit/>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'EVALUACIONES - REASEG'!$AJ$2:$AO$2</c:f>
              <c:strCache>
                <c:ptCount val="6"/>
                <c:pt idx="0">
                  <c:v>ALICORP</c:v>
                </c:pt>
                <c:pt idx="1">
                  <c:v>TEAL</c:v>
                </c:pt>
                <c:pt idx="2">
                  <c:v>PAITA</c:v>
                </c:pt>
                <c:pt idx="3">
                  <c:v>VITAPRO</c:v>
                </c:pt>
                <c:pt idx="4">
                  <c:v>ECUADOR</c:v>
                </c:pt>
                <c:pt idx="5">
                  <c:v>BRASIL</c:v>
                </c:pt>
              </c:strCache>
            </c:strRef>
          </c:cat>
          <c:val>
            <c:numRef>
              <c:f>'EVALUACIONES - REASEG'!$AJ$8:$AO$8</c:f>
              <c:numCache>
                <c:formatCode>0%</c:formatCode>
                <c:ptCount val="6"/>
                <c:pt idx="0">
                  <c:v>0.76</c:v>
                </c:pt>
                <c:pt idx="1">
                  <c:v>0.67869047619047607</c:v>
                </c:pt>
                <c:pt idx="2">
                  <c:v>0.86</c:v>
                </c:pt>
                <c:pt idx="3">
                  <c:v>0.66374999999999984</c:v>
                </c:pt>
                <c:pt idx="4">
                  <c:v>0.47236111111111112</c:v>
                </c:pt>
                <c:pt idx="5">
                  <c:v>0.68</c:v>
                </c:pt>
              </c:numCache>
            </c:numRef>
          </c:val>
          <c:extLst>
            <c:ext xmlns:c16="http://schemas.microsoft.com/office/drawing/2014/chart" uri="{C3380CC4-5D6E-409C-BE32-E72D297353CC}">
              <c16:uniqueId val="{00000005-B640-4353-8AB1-1910D6C57D47}"/>
            </c:ext>
          </c:extLst>
        </c:ser>
        <c:ser>
          <c:idx val="6"/>
          <c:order val="6"/>
          <c:tx>
            <c:strRef>
              <c:f>'EVALUACIONES - REASEG'!$AI$9</c:f>
              <c:strCache>
                <c:ptCount val="1"/>
                <c:pt idx="0">
                  <c:v>% EVALUACION TOTAL</c:v>
                </c:pt>
              </c:strCache>
            </c:strRef>
          </c:tx>
          <c:spPr>
            <a:solidFill>
              <a:srgbClr val="FF0000"/>
            </a:solidFill>
          </c:spPr>
          <c:invertIfNegative val="0"/>
          <c:dLbls>
            <c:dLbl>
              <c:idx val="0"/>
              <c:layout>
                <c:manualLayout>
                  <c:x val="1.3111168427067577E-2"/>
                  <c:y val="6.82011935208866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640-4353-8AB1-1910D6C57D47}"/>
                </c:ext>
              </c:extLst>
            </c:dLbl>
            <c:dLbl>
              <c:idx val="1"/>
              <c:layout>
                <c:manualLayout>
                  <c:x val="8.740778951378385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640-4353-8AB1-1910D6C57D47}"/>
                </c:ext>
              </c:extLst>
            </c:dLbl>
            <c:dLbl>
              <c:idx val="2"/>
              <c:layout>
                <c:manualLayout>
                  <c:x val="1.0925973689222981E-2"/>
                  <c:y val="-1.5629259631328893E-17"/>
                </c:manualLayout>
              </c:layout>
              <c:showLegendKey val="0"/>
              <c:showVal val="1"/>
              <c:showCatName val="0"/>
              <c:showSerName val="0"/>
              <c:showPercent val="0"/>
              <c:showBubbleSize val="0"/>
              <c:extLst>
                <c:ext xmlns:c15="http://schemas.microsoft.com/office/drawing/2012/chart" uri="{CE6537A1-D6FC-4f65-9D91-7224C49458BB}">
                  <c15:layout>
                    <c:manualLayout>
                      <c:w val="5.3384307445543483E-2"/>
                      <c:h val="5.1850091628572001E-2"/>
                    </c:manualLayout>
                  </c15:layout>
                </c:ext>
                <c:ext xmlns:c16="http://schemas.microsoft.com/office/drawing/2014/chart" uri="{C3380CC4-5D6E-409C-BE32-E72D297353CC}">
                  <c16:uniqueId val="{00000009-B640-4353-8AB1-1910D6C57D47}"/>
                </c:ext>
              </c:extLst>
            </c:dLbl>
            <c:dLbl>
              <c:idx val="3"/>
              <c:layout>
                <c:manualLayout>
                  <c:x val="8.7407789513783852E-3"/>
                  <c:y val="-3.125851926265778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640-4353-8AB1-1910D6C57D47}"/>
                </c:ext>
              </c:extLst>
            </c:dLbl>
            <c:spPr>
              <a:noFill/>
              <a:ln>
                <a:noFill/>
              </a:ln>
              <a:effectLst/>
            </c:spPr>
            <c:txPr>
              <a:bodyPr wrap="square" lIns="38100" tIns="19050" rIns="38100" bIns="19050" anchor="ctr">
                <a:spAutoFit/>
              </a:bodyPr>
              <a:lstStyle/>
              <a:p>
                <a:pPr>
                  <a:defRPr sz="1000" b="1">
                    <a:solidFill>
                      <a:srgbClr val="FF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'EVALUACIONES - REASEG'!$AJ$2:$AO$2</c:f>
              <c:strCache>
                <c:ptCount val="6"/>
                <c:pt idx="0">
                  <c:v>ALICORP</c:v>
                </c:pt>
                <c:pt idx="1">
                  <c:v>TEAL</c:v>
                </c:pt>
                <c:pt idx="2">
                  <c:v>PAITA</c:v>
                </c:pt>
                <c:pt idx="3">
                  <c:v>VITAPRO</c:v>
                </c:pt>
                <c:pt idx="4">
                  <c:v>ECUADOR</c:v>
                </c:pt>
                <c:pt idx="5">
                  <c:v>BRASIL</c:v>
                </c:pt>
              </c:strCache>
            </c:strRef>
          </c:cat>
          <c:val>
            <c:numRef>
              <c:f>'EVALUACIONES - REASEG'!$AJ$9:$AO$9</c:f>
              <c:numCache>
                <c:formatCode>0%</c:formatCode>
                <c:ptCount val="6"/>
                <c:pt idx="0">
                  <c:v>0.74</c:v>
                </c:pt>
                <c:pt idx="1">
                  <c:v>0.64024368339993343</c:v>
                </c:pt>
                <c:pt idx="2">
                  <c:v>0.81</c:v>
                </c:pt>
                <c:pt idx="3">
                  <c:v>0.64079786879786882</c:v>
                </c:pt>
                <c:pt idx="4">
                  <c:v>0.50587408424908431</c:v>
                </c:pt>
                <c:pt idx="5">
                  <c:v>0.72</c:v>
                </c:pt>
              </c:numCache>
            </c:numRef>
          </c:val>
          <c:extLst>
            <c:ext xmlns:c16="http://schemas.microsoft.com/office/drawing/2014/chart" uri="{C3380CC4-5D6E-409C-BE32-E72D297353CC}">
              <c16:uniqueId val="{00000006-B640-4353-8AB1-1910D6C57D47}"/>
            </c:ext>
          </c:extLst>
        </c:ser>
        <c:dLbls>
          <c:showLegendKey val="0"/>
          <c:showVal val="1"/>
          <c:showCatName val="0"/>
          <c:showSerName val="0"/>
          <c:showPercent val="0"/>
          <c:showBubbleSize val="0"/>
        </c:dLbls>
        <c:gapWidth val="75"/>
        <c:axId val="1416340688"/>
        <c:axId val="1416367344"/>
      </c:barChart>
      <c:catAx>
        <c:axId val="1416340688"/>
        <c:scaling>
          <c:orientation val="minMax"/>
        </c:scaling>
        <c:delete val="0"/>
        <c:axPos val="b"/>
        <c:numFmt formatCode="General" sourceLinked="0"/>
        <c:majorTickMark val="none"/>
        <c:minorTickMark val="none"/>
        <c:tickLblPos val="nextTo"/>
        <c:txPr>
          <a:bodyPr/>
          <a:lstStyle/>
          <a:p>
            <a:pPr>
              <a:defRPr sz="800"/>
            </a:pPr>
            <a:endParaRPr lang="es-PE"/>
          </a:p>
        </c:txPr>
        <c:crossAx val="1416367344"/>
        <c:crosses val="autoZero"/>
        <c:auto val="1"/>
        <c:lblAlgn val="ctr"/>
        <c:lblOffset val="100"/>
        <c:noMultiLvlLbl val="0"/>
      </c:catAx>
      <c:valAx>
        <c:axId val="1416367344"/>
        <c:scaling>
          <c:orientation val="minMax"/>
        </c:scaling>
        <c:delete val="0"/>
        <c:axPos val="l"/>
        <c:numFmt formatCode="0%" sourceLinked="1"/>
        <c:majorTickMark val="none"/>
        <c:minorTickMark val="none"/>
        <c:tickLblPos val="nextTo"/>
        <c:crossAx val="1416340688"/>
        <c:crosses val="autoZero"/>
        <c:crossBetween val="between"/>
      </c:valAx>
    </c:plotArea>
    <c:legend>
      <c:legendPos val="b"/>
      <c:layout>
        <c:manualLayout>
          <c:xMode val="edge"/>
          <c:yMode val="edge"/>
          <c:x val="0.14336219568367259"/>
          <c:y val="0.82437521396781921"/>
          <c:w val="0.8137943945109285"/>
          <c:h val="0.15516442797591479"/>
        </c:manualLayout>
      </c:layout>
      <c:overlay val="0"/>
      <c:txPr>
        <a:bodyPr/>
        <a:lstStyle/>
        <a:p>
          <a:pPr>
            <a:defRPr sz="700"/>
          </a:pPr>
          <a:endParaRPr lang="es-PE"/>
        </a:p>
      </c:txPr>
    </c:legend>
    <c:plotVisOnly val="1"/>
    <c:dispBlanksAs val="gap"/>
    <c:showDLblsOverMax val="0"/>
  </c:chart>
  <c:spPr>
    <a:ln>
      <a:noFill/>
    </a:ln>
  </c:spPr>
  <c:printSettings>
    <c:headerFooter/>
    <c:pageMargins b="0.75" l="0.7" r="0.7" t="0.75" header="0.3" footer="0.3"/>
    <c:pageSetup/>
  </c:printSettings>
</c:chartSpace>
</file>

<file path=xl/charts/chart2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074986936148781E-2"/>
          <c:y val="3.7860254680441158E-2"/>
          <c:w val="0.89262864989893909"/>
          <c:h val="0.7116007813601305"/>
        </c:manualLayout>
      </c:layout>
      <c:barChart>
        <c:barDir val="col"/>
        <c:grouping val="clustered"/>
        <c:varyColors val="0"/>
        <c:ser>
          <c:idx val="0"/>
          <c:order val="0"/>
          <c:tx>
            <c:strRef>
              <c:f>'EVALUACIONES - REASEG'!$AT$3</c:f>
              <c:strCache>
                <c:ptCount val="1"/>
                <c:pt idx="0">
                  <c:v>EXPERIENCIAS ANTERIORES</c:v>
                </c:pt>
              </c:strCache>
            </c:strRef>
          </c:tx>
          <c:spPr>
            <a:solidFill>
              <a:srgbClr val="FFC000"/>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REASEG'!$AU$2:$AY$2</c:f>
              <c:strCache>
                <c:ptCount val="5"/>
                <c:pt idx="0">
                  <c:v>COPSA</c:v>
                </c:pt>
                <c:pt idx="2">
                  <c:v>GALLETERA</c:v>
                </c:pt>
                <c:pt idx="4">
                  <c:v>MOL.FAUCETT</c:v>
                </c:pt>
              </c:strCache>
            </c:strRef>
          </c:cat>
          <c:val>
            <c:numRef>
              <c:f>'EVALUACIONES - REASEG'!$AU$3:$AY$3</c:f>
              <c:numCache>
                <c:formatCode>0%</c:formatCode>
                <c:ptCount val="5"/>
                <c:pt idx="0">
                  <c:v>0.67</c:v>
                </c:pt>
                <c:pt idx="2">
                  <c:v>0.77</c:v>
                </c:pt>
                <c:pt idx="4">
                  <c:v>0.78</c:v>
                </c:pt>
              </c:numCache>
            </c:numRef>
          </c:val>
          <c:extLst>
            <c:ext xmlns:c16="http://schemas.microsoft.com/office/drawing/2014/chart" uri="{C3380CC4-5D6E-409C-BE32-E72D297353CC}">
              <c16:uniqueId val="{00000000-26A0-4429-BB28-BAEF4D364B63}"/>
            </c:ext>
          </c:extLst>
        </c:ser>
        <c:ser>
          <c:idx val="1"/>
          <c:order val="1"/>
          <c:tx>
            <c:strRef>
              <c:f>'EVALUACIONES - REASEG'!$AT$4</c:f>
              <c:strCache>
                <c:ptCount val="1"/>
                <c:pt idx="0">
                  <c:v>CONOCIMIENTO SOBRE SEGURIDAD</c:v>
                </c:pt>
              </c:strCache>
            </c:strRef>
          </c:tx>
          <c:spPr>
            <a:solidFill>
              <a:srgbClr val="00B0F0"/>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REASEG'!$AU$2:$AY$2</c:f>
              <c:strCache>
                <c:ptCount val="5"/>
                <c:pt idx="0">
                  <c:v>COPSA</c:v>
                </c:pt>
                <c:pt idx="2">
                  <c:v>GALLETERA</c:v>
                </c:pt>
                <c:pt idx="4">
                  <c:v>MOL.FAUCETT</c:v>
                </c:pt>
              </c:strCache>
            </c:strRef>
          </c:cat>
          <c:val>
            <c:numRef>
              <c:f>'EVALUACIONES - REASEG'!$AU$4:$AY$4</c:f>
              <c:numCache>
                <c:formatCode>0%</c:formatCode>
                <c:ptCount val="5"/>
                <c:pt idx="0">
                  <c:v>0.56999999999999995</c:v>
                </c:pt>
                <c:pt idx="2">
                  <c:v>0.6</c:v>
                </c:pt>
                <c:pt idx="4">
                  <c:v>0.61</c:v>
                </c:pt>
              </c:numCache>
            </c:numRef>
          </c:val>
          <c:extLst>
            <c:ext xmlns:c16="http://schemas.microsoft.com/office/drawing/2014/chart" uri="{C3380CC4-5D6E-409C-BE32-E72D297353CC}">
              <c16:uniqueId val="{00000001-26A0-4429-BB28-BAEF4D364B63}"/>
            </c:ext>
          </c:extLst>
        </c:ser>
        <c:ser>
          <c:idx val="2"/>
          <c:order val="2"/>
          <c:tx>
            <c:strRef>
              <c:f>'EVALUACIONES - REASEG'!$AT$5</c:f>
              <c:strCache>
                <c:ptCount val="1"/>
                <c:pt idx="0">
                  <c:v>DESEMPEÑO EN MATERIA DE SEGURIDAD</c:v>
                </c:pt>
              </c:strCache>
            </c:strRef>
          </c:tx>
          <c:spPr>
            <a:solidFill>
              <a:srgbClr val="00B050"/>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REASEG'!$AU$2:$AY$2</c:f>
              <c:strCache>
                <c:ptCount val="5"/>
                <c:pt idx="0">
                  <c:v>COPSA</c:v>
                </c:pt>
                <c:pt idx="2">
                  <c:v>GALLETERA</c:v>
                </c:pt>
                <c:pt idx="4">
                  <c:v>MOL.FAUCETT</c:v>
                </c:pt>
              </c:strCache>
            </c:strRef>
          </c:cat>
          <c:val>
            <c:numRef>
              <c:f>'EVALUACIONES - REASEG'!$AU$5:$AY$5</c:f>
              <c:numCache>
                <c:formatCode>0%</c:formatCode>
                <c:ptCount val="5"/>
                <c:pt idx="0">
                  <c:v>0.64</c:v>
                </c:pt>
                <c:pt idx="2">
                  <c:v>0.44</c:v>
                </c:pt>
                <c:pt idx="4">
                  <c:v>0.51</c:v>
                </c:pt>
              </c:numCache>
            </c:numRef>
          </c:val>
          <c:extLst>
            <c:ext xmlns:c16="http://schemas.microsoft.com/office/drawing/2014/chart" uri="{C3380CC4-5D6E-409C-BE32-E72D297353CC}">
              <c16:uniqueId val="{00000002-26A0-4429-BB28-BAEF4D364B63}"/>
            </c:ext>
          </c:extLst>
        </c:ser>
        <c:ser>
          <c:idx val="3"/>
          <c:order val="3"/>
          <c:tx>
            <c:strRef>
              <c:f>'EVALUACIONES - REASEG'!$AT$6</c:f>
              <c:strCache>
                <c:ptCount val="1"/>
                <c:pt idx="0">
                  <c:v>TOLERANCIA AL ESTRÉS</c:v>
                </c:pt>
              </c:strCache>
            </c:strRef>
          </c:tx>
          <c:spPr>
            <a:solidFill>
              <a:schemeClr val="bg1">
                <a:lumMod val="75000"/>
              </a:schemeClr>
            </a:solidFill>
          </c:spPr>
          <c:invertIfNegative val="0"/>
          <c:dLbls>
            <c:spPr>
              <a:noFill/>
              <a:ln>
                <a:noFill/>
              </a:ln>
              <a:effectLst/>
            </c:spPr>
            <c:txPr>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REASEG'!$AU$2:$AY$2</c:f>
              <c:strCache>
                <c:ptCount val="5"/>
                <c:pt idx="0">
                  <c:v>COPSA</c:v>
                </c:pt>
                <c:pt idx="2">
                  <c:v>GALLETERA</c:v>
                </c:pt>
                <c:pt idx="4">
                  <c:v>MOL.FAUCETT</c:v>
                </c:pt>
              </c:strCache>
            </c:strRef>
          </c:cat>
          <c:val>
            <c:numRef>
              <c:f>'EVALUACIONES - REASEG'!$AU$6:$AY$6</c:f>
              <c:numCache>
                <c:formatCode>0%</c:formatCode>
                <c:ptCount val="5"/>
                <c:pt idx="0">
                  <c:v>0.56999999999999995</c:v>
                </c:pt>
                <c:pt idx="2">
                  <c:v>0.5</c:v>
                </c:pt>
                <c:pt idx="4">
                  <c:v>0.57999999999999996</c:v>
                </c:pt>
              </c:numCache>
            </c:numRef>
          </c:val>
          <c:extLst>
            <c:ext xmlns:c16="http://schemas.microsoft.com/office/drawing/2014/chart" uri="{C3380CC4-5D6E-409C-BE32-E72D297353CC}">
              <c16:uniqueId val="{00000003-26A0-4429-BB28-BAEF4D364B63}"/>
            </c:ext>
          </c:extLst>
        </c:ser>
        <c:ser>
          <c:idx val="4"/>
          <c:order val="4"/>
          <c:tx>
            <c:strRef>
              <c:f>'EVALUACIONES - REASEG'!$AT$7</c:f>
              <c:strCache>
                <c:ptCount val="1"/>
                <c:pt idx="0">
                  <c:v>CAPACIDAD DE EVITAR RIESGOS</c:v>
                </c:pt>
              </c:strCache>
            </c:strRef>
          </c:tx>
          <c:invertIfNegative val="0"/>
          <c:dLbls>
            <c:spPr>
              <a:noFill/>
              <a:ln>
                <a:noFill/>
              </a:ln>
              <a:effectLst/>
            </c:spPr>
            <c:txPr>
              <a:bodyPr wrap="square" lIns="38100" tIns="19050" rIns="38100" bIns="19050" anchor="ctr">
                <a:spAutoFit/>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'EVALUACIONES - REASEG'!$AU$2:$AY$2</c:f>
              <c:strCache>
                <c:ptCount val="5"/>
                <c:pt idx="0">
                  <c:v>COPSA</c:v>
                </c:pt>
                <c:pt idx="2">
                  <c:v>GALLETERA</c:v>
                </c:pt>
                <c:pt idx="4">
                  <c:v>MOL.FAUCETT</c:v>
                </c:pt>
              </c:strCache>
            </c:strRef>
          </c:cat>
          <c:val>
            <c:numRef>
              <c:f>'EVALUACIONES - REASEG'!$AU$7:$AY$7</c:f>
              <c:numCache>
                <c:formatCode>0%</c:formatCode>
                <c:ptCount val="5"/>
                <c:pt idx="0">
                  <c:v>0.62</c:v>
                </c:pt>
                <c:pt idx="2">
                  <c:v>0.5</c:v>
                </c:pt>
                <c:pt idx="4">
                  <c:v>0.56999999999999995</c:v>
                </c:pt>
              </c:numCache>
            </c:numRef>
          </c:val>
          <c:extLst>
            <c:ext xmlns:c16="http://schemas.microsoft.com/office/drawing/2014/chart" uri="{C3380CC4-5D6E-409C-BE32-E72D297353CC}">
              <c16:uniqueId val="{00000004-26A0-4429-BB28-BAEF4D364B63}"/>
            </c:ext>
          </c:extLst>
        </c:ser>
        <c:ser>
          <c:idx val="5"/>
          <c:order val="5"/>
          <c:tx>
            <c:strRef>
              <c:f>'EVALUACIONES - REASEG'!$AT$8</c:f>
              <c:strCache>
                <c:ptCount val="1"/>
                <c:pt idx="0">
                  <c:v>NIVEL COMPROMISO</c:v>
                </c:pt>
              </c:strCache>
            </c:strRef>
          </c:tx>
          <c:invertIfNegative val="0"/>
          <c:dLbls>
            <c:spPr>
              <a:noFill/>
              <a:ln>
                <a:noFill/>
              </a:ln>
              <a:effectLst/>
            </c:spPr>
            <c:txPr>
              <a:bodyPr wrap="square" lIns="38100" tIns="19050" rIns="38100" bIns="19050" anchor="ctr">
                <a:spAutoFit/>
              </a:bodyPr>
              <a:lstStyle/>
              <a:p>
                <a:pPr>
                  <a:defRPr sz="800"/>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'EVALUACIONES - REASEG'!$AU$2:$AY$2</c:f>
              <c:strCache>
                <c:ptCount val="5"/>
                <c:pt idx="0">
                  <c:v>COPSA</c:v>
                </c:pt>
                <c:pt idx="2">
                  <c:v>GALLETERA</c:v>
                </c:pt>
                <c:pt idx="4">
                  <c:v>MOL.FAUCETT</c:v>
                </c:pt>
              </c:strCache>
            </c:strRef>
          </c:cat>
          <c:val>
            <c:numRef>
              <c:f>'EVALUACIONES - REASEG'!$AU$8:$AY$8</c:f>
              <c:numCache>
                <c:formatCode>0%</c:formatCode>
                <c:ptCount val="5"/>
                <c:pt idx="0">
                  <c:v>0.51</c:v>
                </c:pt>
                <c:pt idx="2">
                  <c:v>0.46</c:v>
                </c:pt>
                <c:pt idx="4">
                  <c:v>0.48</c:v>
                </c:pt>
              </c:numCache>
            </c:numRef>
          </c:val>
          <c:extLst>
            <c:ext xmlns:c16="http://schemas.microsoft.com/office/drawing/2014/chart" uri="{C3380CC4-5D6E-409C-BE32-E72D297353CC}">
              <c16:uniqueId val="{00000005-26A0-4429-BB28-BAEF4D364B63}"/>
            </c:ext>
          </c:extLst>
        </c:ser>
        <c:ser>
          <c:idx val="6"/>
          <c:order val="6"/>
          <c:tx>
            <c:strRef>
              <c:f>'EVALUACIONES - REASEG'!$AT$9</c:f>
              <c:strCache>
                <c:ptCount val="1"/>
                <c:pt idx="0">
                  <c:v>% EVALUACION TOTAL</c:v>
                </c:pt>
              </c:strCache>
            </c:strRef>
          </c:tx>
          <c:spPr>
            <a:solidFill>
              <a:srgbClr val="FF0000"/>
            </a:solidFill>
          </c:spPr>
          <c:invertIfNegative val="0"/>
          <c:dLbls>
            <c:dLbl>
              <c:idx val="0"/>
              <c:layout>
                <c:manualLayout>
                  <c:x val="1.3111168427067577E-2"/>
                  <c:y val="6.82011935208866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A0-4429-BB28-BAEF4D364B63}"/>
                </c:ext>
              </c:extLst>
            </c:dLbl>
            <c:dLbl>
              <c:idx val="1"/>
              <c:layout>
                <c:manualLayout>
                  <c:x val="8.740778951378385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A0-4429-BB28-BAEF4D364B63}"/>
                </c:ext>
              </c:extLst>
            </c:dLbl>
            <c:dLbl>
              <c:idx val="2"/>
              <c:layout>
                <c:manualLayout>
                  <c:x val="1.0925973689222981E-2"/>
                  <c:y val="-1.5629259631328893E-17"/>
                </c:manualLayout>
              </c:layout>
              <c:showLegendKey val="0"/>
              <c:showVal val="1"/>
              <c:showCatName val="0"/>
              <c:showSerName val="0"/>
              <c:showPercent val="0"/>
              <c:showBubbleSize val="0"/>
              <c:extLst>
                <c:ext xmlns:c15="http://schemas.microsoft.com/office/drawing/2012/chart" uri="{CE6537A1-D6FC-4f65-9D91-7224C49458BB}">
                  <c15:layout>
                    <c:manualLayout>
                      <c:w val="5.3384307445543483E-2"/>
                      <c:h val="5.1850091628572001E-2"/>
                    </c:manualLayout>
                  </c15:layout>
                </c:ext>
                <c:ext xmlns:c16="http://schemas.microsoft.com/office/drawing/2014/chart" uri="{C3380CC4-5D6E-409C-BE32-E72D297353CC}">
                  <c16:uniqueId val="{00000008-26A0-4429-BB28-BAEF4D364B63}"/>
                </c:ext>
              </c:extLst>
            </c:dLbl>
            <c:dLbl>
              <c:idx val="3"/>
              <c:layout>
                <c:manualLayout>
                  <c:x val="8.7407789513783852E-3"/>
                  <c:y val="-3.125851926265778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A0-4429-BB28-BAEF4D364B63}"/>
                </c:ext>
              </c:extLst>
            </c:dLbl>
            <c:spPr>
              <a:noFill/>
              <a:ln>
                <a:noFill/>
              </a:ln>
              <a:effectLst/>
            </c:spPr>
            <c:txPr>
              <a:bodyPr wrap="square" lIns="38100" tIns="19050" rIns="38100" bIns="19050" anchor="ctr">
                <a:spAutoFit/>
              </a:bodyPr>
              <a:lstStyle/>
              <a:p>
                <a:pPr>
                  <a:defRPr sz="1000" b="1">
                    <a:solidFill>
                      <a:srgbClr val="FF0000"/>
                    </a:solidFill>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'EVALUACIONES - REASEG'!$AU$2:$AY$2</c:f>
              <c:strCache>
                <c:ptCount val="5"/>
                <c:pt idx="0">
                  <c:v>COPSA</c:v>
                </c:pt>
                <c:pt idx="2">
                  <c:v>GALLETERA</c:v>
                </c:pt>
                <c:pt idx="4">
                  <c:v>MOL.FAUCETT</c:v>
                </c:pt>
              </c:strCache>
            </c:strRef>
          </c:cat>
          <c:val>
            <c:numRef>
              <c:f>'EVALUACIONES - REASEG'!$AU$9:$AY$9</c:f>
              <c:numCache>
                <c:formatCode>0%</c:formatCode>
                <c:ptCount val="5"/>
                <c:pt idx="2">
                  <c:v>0.55000000000000004</c:v>
                </c:pt>
                <c:pt idx="4">
                  <c:v>0.6</c:v>
                </c:pt>
              </c:numCache>
            </c:numRef>
          </c:val>
          <c:extLst>
            <c:ext xmlns:c16="http://schemas.microsoft.com/office/drawing/2014/chart" uri="{C3380CC4-5D6E-409C-BE32-E72D297353CC}">
              <c16:uniqueId val="{0000000A-26A0-4429-BB28-BAEF4D364B63}"/>
            </c:ext>
          </c:extLst>
        </c:ser>
        <c:dLbls>
          <c:showLegendKey val="0"/>
          <c:showVal val="1"/>
          <c:showCatName val="0"/>
          <c:showSerName val="0"/>
          <c:showPercent val="0"/>
          <c:showBubbleSize val="0"/>
        </c:dLbls>
        <c:gapWidth val="75"/>
        <c:axId val="1416367888"/>
        <c:axId val="1416368976"/>
      </c:barChart>
      <c:catAx>
        <c:axId val="1416367888"/>
        <c:scaling>
          <c:orientation val="minMax"/>
        </c:scaling>
        <c:delete val="0"/>
        <c:axPos val="b"/>
        <c:numFmt formatCode="General" sourceLinked="0"/>
        <c:majorTickMark val="none"/>
        <c:minorTickMark val="none"/>
        <c:tickLblPos val="nextTo"/>
        <c:txPr>
          <a:bodyPr/>
          <a:lstStyle/>
          <a:p>
            <a:pPr>
              <a:defRPr sz="800"/>
            </a:pPr>
            <a:endParaRPr lang="es-PE"/>
          </a:p>
        </c:txPr>
        <c:crossAx val="1416368976"/>
        <c:crosses val="autoZero"/>
        <c:auto val="1"/>
        <c:lblAlgn val="ctr"/>
        <c:lblOffset val="100"/>
        <c:noMultiLvlLbl val="0"/>
      </c:catAx>
      <c:valAx>
        <c:axId val="1416368976"/>
        <c:scaling>
          <c:orientation val="minMax"/>
        </c:scaling>
        <c:delete val="0"/>
        <c:axPos val="l"/>
        <c:numFmt formatCode="0%" sourceLinked="1"/>
        <c:majorTickMark val="none"/>
        <c:minorTickMark val="none"/>
        <c:tickLblPos val="nextTo"/>
        <c:crossAx val="1416367888"/>
        <c:crosses val="autoZero"/>
        <c:crossBetween val="between"/>
      </c:valAx>
    </c:plotArea>
    <c:legend>
      <c:legendPos val="b"/>
      <c:layout>
        <c:manualLayout>
          <c:xMode val="edge"/>
          <c:yMode val="edge"/>
          <c:x val="0.14336219568367259"/>
          <c:y val="0.82437521396781921"/>
          <c:w val="0.8137943945109285"/>
          <c:h val="0.15516442797591479"/>
        </c:manualLayout>
      </c:layout>
      <c:overlay val="0"/>
      <c:txPr>
        <a:bodyPr/>
        <a:lstStyle/>
        <a:p>
          <a:pPr>
            <a:defRPr sz="700"/>
          </a:pPr>
          <a:endParaRPr lang="es-PE"/>
        </a:p>
      </c:txPr>
    </c:legend>
    <c:plotVisOnly val="1"/>
    <c:dispBlanksAs val="gap"/>
    <c:showDLblsOverMax val="0"/>
  </c:chart>
  <c:spPr>
    <a:ln>
      <a:noFill/>
    </a:ln>
  </c:spPr>
  <c:printSettings>
    <c:headerFooter/>
    <c:pageMargins b="0.75" l="0.7" r="0.7" t="0.75" header="0.3" footer="0.3"/>
    <c:pageSetup/>
  </c:printSettings>
</c:chartSpace>
</file>

<file path=xl/charts/chart2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SALSAS (149)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PE"/>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8835-41EE-8D48-905DC5D772FF}"/>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2-8835-41EE-8D48-905DC5D772FF}"/>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8835-41EE-8D48-905DC5D772FF}"/>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4-8835-41EE-8D48-905DC5D772FF}"/>
              </c:ext>
            </c:extLst>
          </c:dPt>
          <c:dLbls>
            <c:dLbl>
              <c:idx val="1"/>
              <c:layout>
                <c:manualLayout>
                  <c:x val="-0.27257349081364829"/>
                  <c:y val="-0.1703382910469524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835-41EE-8D48-905DC5D772FF}"/>
                </c:ext>
              </c:extLst>
            </c:dLbl>
            <c:dLbl>
              <c:idx val="2"/>
              <c:layout>
                <c:manualLayout>
                  <c:x val="0.25909076990376201"/>
                  <c:y val="3.212051618547685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35-41EE-8D48-905DC5D772FF}"/>
                </c:ext>
              </c:extLst>
            </c:dLbl>
            <c:dLbl>
              <c:idx val="3"/>
              <c:layout>
                <c:manualLayout>
                  <c:x val="-0.2055555555555556"/>
                  <c:y val="5.1881743948673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835-41EE-8D48-905DC5D772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REASEG'!$AU$11:$AU$14</c:f>
              <c:numCache>
                <c:formatCode>0%</c:formatCode>
                <c:ptCount val="4"/>
                <c:pt idx="0">
                  <c:v>0.01</c:v>
                </c:pt>
                <c:pt idx="1">
                  <c:v>0.54</c:v>
                </c:pt>
                <c:pt idx="2">
                  <c:v>0.45</c:v>
                </c:pt>
                <c:pt idx="3">
                  <c:v>0</c:v>
                </c:pt>
              </c:numCache>
            </c:numRef>
          </c:val>
          <c:extLst>
            <c:ext xmlns:c16="http://schemas.microsoft.com/office/drawing/2014/chart" uri="{C3380CC4-5D6E-409C-BE32-E72D297353CC}">
              <c16:uniqueId val="{00000000-8835-41EE-8D48-905DC5D772FF}"/>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GALLETERIA (280)</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PE"/>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5703-408F-A43E-44077B653EE6}"/>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5703-408F-A43E-44077B653EE6}"/>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5703-408F-A43E-44077B653EE6}"/>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5703-408F-A43E-44077B653EE6}"/>
              </c:ext>
            </c:extLst>
          </c:dPt>
          <c:dLbls>
            <c:dLbl>
              <c:idx val="1"/>
              <c:layout>
                <c:manualLayout>
                  <c:x val="-0.27158158355205597"/>
                  <c:y val="-0.2565893846602507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703-408F-A43E-44077B653EE6}"/>
                </c:ext>
              </c:extLst>
            </c:dLbl>
            <c:dLbl>
              <c:idx val="3"/>
              <c:layout>
                <c:manualLayout>
                  <c:x val="-0.2055555555555556"/>
                  <c:y val="5.1881743948673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703-408F-A43E-44077B653E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REASEG'!$AW$11:$AW$14</c:f>
              <c:numCache>
                <c:formatCode>0%</c:formatCode>
                <c:ptCount val="4"/>
                <c:pt idx="0">
                  <c:v>0.05</c:v>
                </c:pt>
                <c:pt idx="1">
                  <c:v>0.62</c:v>
                </c:pt>
                <c:pt idx="2">
                  <c:v>0.32</c:v>
                </c:pt>
                <c:pt idx="3">
                  <c:v>0.01</c:v>
                </c:pt>
              </c:numCache>
            </c:numRef>
          </c:val>
          <c:extLst>
            <c:ext xmlns:c16="http://schemas.microsoft.com/office/drawing/2014/chart" uri="{C3380CC4-5D6E-409C-BE32-E72D297353CC}">
              <c16:uniqueId val="{00000008-5703-408F-A43E-44077B653EE6}"/>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MOL.FAUCETT (74)</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PE"/>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7888-4265-8853-06EC0A2A5937}"/>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7888-4265-8853-06EC0A2A5937}"/>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7888-4265-8853-06EC0A2A5937}"/>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7888-4265-8853-06EC0A2A5937}"/>
              </c:ext>
            </c:extLst>
          </c:dPt>
          <c:dLbls>
            <c:dLbl>
              <c:idx val="1"/>
              <c:layout>
                <c:manualLayout>
                  <c:x val="-0.27158168335754157"/>
                  <c:y val="-0.1362190142898805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88-4265-8853-06EC0A2A5937}"/>
                </c:ext>
              </c:extLst>
            </c:dLbl>
            <c:dLbl>
              <c:idx val="2"/>
              <c:layout>
                <c:manualLayout>
                  <c:x val="0.26702054060919267"/>
                  <c:y val="-0.1053420406565524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888-4265-8853-06EC0A2A5937}"/>
                </c:ext>
              </c:extLst>
            </c:dLbl>
            <c:dLbl>
              <c:idx val="3"/>
              <c:layout>
                <c:manualLayout>
                  <c:x val="-0.2055555555555556"/>
                  <c:y val="5.1881743948673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888-4265-8853-06EC0A2A593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REASEG'!$AY$11:$AY$14</c:f>
              <c:numCache>
                <c:formatCode>0%</c:formatCode>
                <c:ptCount val="4"/>
                <c:pt idx="0">
                  <c:v>0.03</c:v>
                </c:pt>
                <c:pt idx="1">
                  <c:v>0.47</c:v>
                </c:pt>
                <c:pt idx="2">
                  <c:v>0.49</c:v>
                </c:pt>
                <c:pt idx="3">
                  <c:v>0.01</c:v>
                </c:pt>
              </c:numCache>
            </c:numRef>
          </c:val>
          <c:extLst>
            <c:ext xmlns:c16="http://schemas.microsoft.com/office/drawing/2014/chart" uri="{C3380CC4-5D6E-409C-BE32-E72D297353CC}">
              <c16:uniqueId val="{00000008-7888-4265-8853-06EC0A2A593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baseline="0"/>
              <a:t>ALICORP </a:t>
            </a:r>
            <a:r>
              <a:rPr lang="es-PE"/>
              <a:t>(1886)</a:t>
            </a:r>
          </a:p>
        </c:rich>
      </c:tx>
      <c:layout>
        <c:manualLayout>
          <c:xMode val="edge"/>
          <c:yMode val="edge"/>
          <c:x val="0.38876681753363507"/>
          <c:y val="2.746005617167149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498312710911136E-2"/>
          <c:y val="0.22688257122573602"/>
          <c:w val="0.95050618672665921"/>
          <c:h val="0.7731174287742640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7888-4265-8853-06EC0A2A5937}"/>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7888-4265-8853-06EC0A2A5937}"/>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7888-4265-8853-06EC0A2A5937}"/>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7888-4265-8853-06EC0A2A5937}"/>
              </c:ext>
            </c:extLst>
          </c:dPt>
          <c:dLbls>
            <c:dLbl>
              <c:idx val="0"/>
              <c:layout>
                <c:manualLayout>
                  <c:x val="9.9605324924935484E-2"/>
                  <c:y val="4.11455372370665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88-4265-8853-06EC0A2A5937}"/>
                </c:ext>
              </c:extLst>
            </c:dLbl>
            <c:dLbl>
              <c:idx val="1"/>
              <c:layout>
                <c:manualLayout>
                  <c:x val="-0.26040760652949879"/>
                  <c:y val="-0.1145989778226547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88-4265-8853-06EC0A2A5937}"/>
                </c:ext>
              </c:extLst>
            </c:dLbl>
            <c:dLbl>
              <c:idx val="2"/>
              <c:layout>
                <c:manualLayout>
                  <c:x val="0.25958158773460405"/>
                  <c:y val="-0.11684860235491105"/>
                </c:manualLayout>
              </c:layout>
              <c:tx>
                <c:rich>
                  <a:bodyPr/>
                  <a:lstStyle/>
                  <a:p>
                    <a:fld id="{74DB86D3-6C84-40D5-AED4-09F6737020F4}" type="CATEGORYNAME">
                      <a:rPr lang="en-US"/>
                      <a:pPr/>
                      <a:t>[NOMBRE DE CATEGORÍA]</a:t>
                    </a:fld>
                    <a:r>
                      <a:rPr lang="en-US" baseline="0"/>
                      <a:t>
50%</a:t>
                    </a: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888-4265-8853-06EC0A2A5937}"/>
                </c:ext>
              </c:extLst>
            </c:dLbl>
            <c:dLbl>
              <c:idx val="3"/>
              <c:layout>
                <c:manualLayout>
                  <c:x val="-0.11774408120244811"/>
                  <c:y val="4.655623248170744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888-4265-8853-06EC0A2A5937}"/>
                </c:ext>
              </c:extLst>
            </c:dLbl>
            <c:spPr>
              <a:noFill/>
              <a:ln>
                <a:noFill/>
              </a:ln>
              <a:effectLst/>
            </c:sp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REASEG'!$CG$11:$CG$14</c:f>
              <c:numCache>
                <c:formatCode>0%</c:formatCode>
                <c:ptCount val="4"/>
                <c:pt idx="0">
                  <c:v>2.432131495227996E-2</c:v>
                </c:pt>
                <c:pt idx="1">
                  <c:v>0.45589077412513251</c:v>
                </c:pt>
                <c:pt idx="2">
                  <c:v>0.49811770943796396</c:v>
                </c:pt>
                <c:pt idx="3">
                  <c:v>2.1670201484623543E-2</c:v>
                </c:pt>
              </c:numCache>
            </c:numRef>
          </c:val>
          <c:extLst>
            <c:ext xmlns:c16="http://schemas.microsoft.com/office/drawing/2014/chart" uri="{C3380CC4-5D6E-409C-BE32-E72D297353CC}">
              <c16:uniqueId val="{00000008-7888-4265-8853-06EC0A2A593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FIDEERIA (89)</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7888-4265-8853-06EC0A2A5937}"/>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7888-4265-8853-06EC0A2A5937}"/>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7888-4265-8853-06EC0A2A5937}"/>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7888-4265-8853-06EC0A2A5937}"/>
              </c:ext>
            </c:extLst>
          </c:dPt>
          <c:dLbls>
            <c:dLbl>
              <c:idx val="0"/>
              <c:layout>
                <c:manualLayout>
                  <c:x val="0.12200655287216615"/>
                  <c:y val="1.65616797900262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88-4265-8853-06EC0A2A5937}"/>
                </c:ext>
              </c:extLst>
            </c:dLbl>
            <c:dLbl>
              <c:idx val="1"/>
              <c:layout>
                <c:manualLayout>
                  <c:x val="-0.21565326146312247"/>
                  <c:y val="3.97069116360454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88-4265-8853-06EC0A2A5937}"/>
                </c:ext>
              </c:extLst>
            </c:dLbl>
            <c:dLbl>
              <c:idx val="3"/>
              <c:layout>
                <c:manualLayout>
                  <c:x val="-0.2055555555555556"/>
                  <c:y val="5.1881743948673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888-4265-8853-06EC0A2A59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REASEG'!$BA$11:$BA$14</c:f>
              <c:numCache>
                <c:formatCode>0%</c:formatCode>
                <c:ptCount val="4"/>
                <c:pt idx="0">
                  <c:v>0.02</c:v>
                </c:pt>
                <c:pt idx="1">
                  <c:v>0.4</c:v>
                </c:pt>
                <c:pt idx="2">
                  <c:v>0.56000000000000005</c:v>
                </c:pt>
                <c:pt idx="3">
                  <c:v>0.02</c:v>
                </c:pt>
              </c:numCache>
            </c:numRef>
          </c:val>
          <c:extLst>
            <c:ext xmlns:c16="http://schemas.microsoft.com/office/drawing/2014/chart" uri="{C3380CC4-5D6E-409C-BE32-E72D297353CC}">
              <c16:uniqueId val="{00000008-7888-4265-8853-06EC0A2A593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DETERGENTES (85)</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7888-4265-8853-06EC0A2A5937}"/>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7888-4265-8853-06EC0A2A5937}"/>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7888-4265-8853-06EC0A2A5937}"/>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7888-4265-8853-06EC0A2A5937}"/>
              </c:ext>
            </c:extLst>
          </c:dPt>
          <c:dLbls>
            <c:dLbl>
              <c:idx val="0"/>
              <c:layout>
                <c:manualLayout>
                  <c:x val="0.14974475326148609"/>
                  <c:y val="4.428623505395158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88-4265-8853-06EC0A2A5937}"/>
                </c:ext>
              </c:extLst>
            </c:dLbl>
            <c:dLbl>
              <c:idx val="1"/>
              <c:layout>
                <c:manualLayout>
                  <c:x val="-0.18763382030450959"/>
                  <c:y val="6.74846894138232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88-4265-8853-06EC0A2A5937}"/>
                </c:ext>
              </c:extLst>
            </c:dLbl>
            <c:dLbl>
              <c:idx val="2"/>
              <c:layout>
                <c:manualLayout>
                  <c:x val="0.30663802305483229"/>
                  <c:y val="-0.1980941965587635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888-4265-8853-06EC0A2A5937}"/>
                </c:ext>
              </c:extLst>
            </c:dLbl>
            <c:dLbl>
              <c:idx val="3"/>
              <c:layout>
                <c:manualLayout>
                  <c:x val="-0.2055555555555556"/>
                  <c:y val="5.1881743948673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888-4265-8853-06EC0A2A59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REASEG'!$BC$11:$BC$14</c:f>
              <c:numCache>
                <c:formatCode>0%</c:formatCode>
                <c:ptCount val="4"/>
                <c:pt idx="0">
                  <c:v>0</c:v>
                </c:pt>
                <c:pt idx="1">
                  <c:v>0.35</c:v>
                </c:pt>
                <c:pt idx="2">
                  <c:v>0.62</c:v>
                </c:pt>
                <c:pt idx="3">
                  <c:v>0.03</c:v>
                </c:pt>
              </c:numCache>
            </c:numRef>
          </c:val>
          <c:extLst>
            <c:ext xmlns:c16="http://schemas.microsoft.com/office/drawing/2014/chart" uri="{C3380CC4-5D6E-409C-BE32-E72D297353CC}">
              <c16:uniqueId val="{00000008-7888-4265-8853-06EC0A2A593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JABONERIA (29)</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1496301643757222"/>
          <c:w val="0.95225546776569092"/>
          <c:h val="0.7724605867375431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7888-4265-8853-06EC0A2A5937}"/>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7888-4265-8853-06EC0A2A5937}"/>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7888-4265-8853-06EC0A2A5937}"/>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7888-4265-8853-06EC0A2A5937}"/>
              </c:ext>
            </c:extLst>
          </c:dPt>
          <c:dLbls>
            <c:dLbl>
              <c:idx val="1"/>
              <c:layout>
                <c:manualLayout>
                  <c:x val="-0.27158168335754157"/>
                  <c:y val="-0.1362190142898805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88-4265-8853-06EC0A2A5937}"/>
                </c:ext>
              </c:extLst>
            </c:dLbl>
            <c:dLbl>
              <c:idx val="3"/>
              <c:layout>
                <c:manualLayout>
                  <c:x val="-0.2055555555555556"/>
                  <c:y val="5.1881743948673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888-4265-8853-06EC0A2A59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REASEG'!$BE$11:$BE$14</c:f>
              <c:numCache>
                <c:formatCode>0%</c:formatCode>
                <c:ptCount val="4"/>
                <c:pt idx="0">
                  <c:v>0.03</c:v>
                </c:pt>
                <c:pt idx="1">
                  <c:v>0.52</c:v>
                </c:pt>
                <c:pt idx="2">
                  <c:v>0.45</c:v>
                </c:pt>
                <c:pt idx="3">
                  <c:v>0</c:v>
                </c:pt>
              </c:numCache>
            </c:numRef>
          </c:val>
          <c:extLst>
            <c:ext xmlns:c16="http://schemas.microsoft.com/office/drawing/2014/chart" uri="{C3380CC4-5D6E-409C-BE32-E72D297353CC}">
              <c16:uniqueId val="{00000008-7888-4265-8853-06EC0A2A593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CDC (112)</a:t>
            </a:r>
          </a:p>
        </c:rich>
      </c:tx>
      <c:layout>
        <c:manualLayout>
          <c:xMode val="edge"/>
          <c:yMode val="edge"/>
          <c:x val="0.46726428881429194"/>
          <c:y val="4.075088279396534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582649472450177E-2"/>
          <c:y val="0.23393518518518519"/>
          <c:w val="0.94841735052754983"/>
          <c:h val="0.76606481481481481"/>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7888-4265-8853-06EC0A2A5937}"/>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7888-4265-8853-06EC0A2A5937}"/>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7888-4265-8853-06EC0A2A5937}"/>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7888-4265-8853-06EC0A2A5937}"/>
              </c:ext>
            </c:extLst>
          </c:dPt>
          <c:dLbls>
            <c:dLbl>
              <c:idx val="0"/>
              <c:layout>
                <c:manualLayout>
                  <c:x val="8.4608912074967013E-2"/>
                  <c:y val="2.106827377303251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88-4265-8853-06EC0A2A5937}"/>
                </c:ext>
              </c:extLst>
            </c:dLbl>
            <c:dLbl>
              <c:idx val="1"/>
              <c:layout>
                <c:manualLayout>
                  <c:x val="-0.25358387288203155"/>
                  <c:y val="1.238198536542298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88-4265-8853-06EC0A2A5937}"/>
                </c:ext>
              </c:extLst>
            </c:dLbl>
            <c:dLbl>
              <c:idx val="2"/>
              <c:layout>
                <c:manualLayout>
                  <c:x val="0.278708803131892"/>
                  <c:y val="-0.126581964303886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888-4265-8853-06EC0A2A5937}"/>
                </c:ext>
              </c:extLst>
            </c:dLbl>
            <c:dLbl>
              <c:idx val="3"/>
              <c:layout>
                <c:manualLayout>
                  <c:x val="-0.2055555555555556"/>
                  <c:y val="5.1881743948673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888-4265-8853-06EC0A2A59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REASEG'!$BG$11:$BG$14</c:f>
              <c:numCache>
                <c:formatCode>0%</c:formatCode>
                <c:ptCount val="4"/>
                <c:pt idx="0">
                  <c:v>0.01</c:v>
                </c:pt>
                <c:pt idx="1">
                  <c:v>0.44</c:v>
                </c:pt>
                <c:pt idx="2">
                  <c:v>0.55000000000000004</c:v>
                </c:pt>
                <c:pt idx="3">
                  <c:v>0</c:v>
                </c:pt>
              </c:numCache>
            </c:numRef>
          </c:val>
          <c:extLst>
            <c:ext xmlns:c16="http://schemas.microsoft.com/office/drawing/2014/chart" uri="{C3380CC4-5D6E-409C-BE32-E72D297353CC}">
              <c16:uniqueId val="{00000008-7888-4265-8853-06EC0A2A593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APT FIDEERIA (43)</a:t>
            </a:r>
          </a:p>
        </c:rich>
      </c:tx>
      <c:layout>
        <c:manualLayout>
          <c:xMode val="edge"/>
          <c:yMode val="edge"/>
          <c:x val="0.34577950909711908"/>
          <c:y val="2.7241770715096481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'EVALUACIONES - REASEG'!$BI$11:$BI$14</c:f>
              <c:strCache>
                <c:ptCount val="4"/>
                <c:pt idx="0">
                  <c:v>0%</c:v>
                </c:pt>
                <c:pt idx="1">
                  <c:v>44%</c:v>
                </c:pt>
                <c:pt idx="2">
                  <c:v>56%</c:v>
                </c:pt>
                <c:pt idx="3">
                  <c:v>0%</c:v>
                </c:pt>
              </c:strCache>
            </c:strRef>
          </c:tx>
          <c:explosion val="1"/>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7888-4265-8853-06EC0A2A5937}"/>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7888-4265-8853-06EC0A2A5937}"/>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7888-4265-8853-06EC0A2A5937}"/>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7888-4265-8853-06EC0A2A5937}"/>
              </c:ext>
            </c:extLst>
          </c:dPt>
          <c:dLbls>
            <c:dLbl>
              <c:idx val="1"/>
              <c:layout>
                <c:manualLayout>
                  <c:x val="-0.27158168335754157"/>
                  <c:y val="-0.1362190142898805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88-4265-8853-06EC0A2A5937}"/>
                </c:ext>
              </c:extLst>
            </c:dLbl>
            <c:dLbl>
              <c:idx val="3"/>
              <c:layout>
                <c:manualLayout>
                  <c:x val="-0.2055555555555556"/>
                  <c:y val="5.1881743948673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888-4265-8853-06EC0A2A59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REASEG'!$BG$11:$BG$14</c:f>
              <c:numCache>
                <c:formatCode>0%</c:formatCode>
                <c:ptCount val="4"/>
                <c:pt idx="0">
                  <c:v>0.01</c:v>
                </c:pt>
                <c:pt idx="1">
                  <c:v>0.44</c:v>
                </c:pt>
                <c:pt idx="2">
                  <c:v>0.55000000000000004</c:v>
                </c:pt>
                <c:pt idx="3">
                  <c:v>0</c:v>
                </c:pt>
              </c:numCache>
            </c:numRef>
          </c:val>
          <c:extLst>
            <c:ext xmlns:c16="http://schemas.microsoft.com/office/drawing/2014/chart" uri="{C3380CC4-5D6E-409C-BE32-E72D297353CC}">
              <c16:uniqueId val="{00000008-7888-4265-8853-06EC0A2A593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SIDSUR+MOL.AQP (174)</a:t>
            </a:r>
          </a:p>
        </c:rich>
      </c:tx>
      <c:layout>
        <c:manualLayout>
          <c:xMode val="edge"/>
          <c:yMode val="edge"/>
          <c:x val="0.34577950909711908"/>
          <c:y val="2.7241770715096481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C9B1-40AA-ACFC-C164FEA057ED}"/>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C9B1-40AA-ACFC-C164FEA057ED}"/>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C9B1-40AA-ACFC-C164FEA057ED}"/>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C9B1-40AA-ACFC-C164FEA057ED}"/>
              </c:ext>
            </c:extLst>
          </c:dPt>
          <c:dLbls>
            <c:dLbl>
              <c:idx val="0"/>
              <c:layout>
                <c:manualLayout>
                  <c:x val="0.15151009406356436"/>
                  <c:y val="5.82283464566929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9B1-40AA-ACFC-C164FEA057ED}"/>
                </c:ext>
              </c:extLst>
            </c:dLbl>
            <c:dLbl>
              <c:idx val="1"/>
              <c:layout>
                <c:manualLayout>
                  <c:x val="-0.17752347902142823"/>
                  <c:y val="-0.105667471075050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9B1-40AA-ACFC-C164FEA057ED}"/>
                </c:ext>
              </c:extLst>
            </c:dLbl>
            <c:dLbl>
              <c:idx val="2"/>
              <c:layout>
                <c:manualLayout>
                  <c:x val="0.185725360569689"/>
                  <c:y val="-0.179792423397476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9B1-40AA-ACFC-C164FEA057ED}"/>
                </c:ext>
              </c:extLst>
            </c:dLbl>
            <c:dLbl>
              <c:idx val="3"/>
              <c:layout>
                <c:manualLayout>
                  <c:x val="-7.9727798925796511E-2"/>
                  <c:y val="4.75340636768229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9B1-40AA-ACFC-C164FEA057E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REASEG'!$BK$11:$BK$14</c:f>
              <c:numCache>
                <c:formatCode>0%</c:formatCode>
                <c:ptCount val="4"/>
                <c:pt idx="0">
                  <c:v>4.5977011494252873E-2</c:v>
                </c:pt>
                <c:pt idx="1">
                  <c:v>0.41954022988505746</c:v>
                </c:pt>
                <c:pt idx="2">
                  <c:v>0.47126436781609193</c:v>
                </c:pt>
                <c:pt idx="3">
                  <c:v>6.3218390804597707E-2</c:v>
                </c:pt>
              </c:numCache>
            </c:numRef>
          </c:val>
          <c:extLst>
            <c:ext xmlns:c16="http://schemas.microsoft.com/office/drawing/2014/chart" uri="{C3380CC4-5D6E-409C-BE32-E72D297353CC}">
              <c16:uniqueId val="{00000008-C9B1-40AA-ACFC-C164FEA057ED}"/>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COPSA (432)</a:t>
            </a:r>
          </a:p>
        </c:rich>
      </c:tx>
      <c:layout>
        <c:manualLayout>
          <c:xMode val="edge"/>
          <c:yMode val="edge"/>
          <c:x val="0.34577950909711908"/>
          <c:y val="2.7241770715096481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FF0E-4C8D-A8E1-67BD9A16D3D2}"/>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FF0E-4C8D-A8E1-67BD9A16D3D2}"/>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FF0E-4C8D-A8E1-67BD9A16D3D2}"/>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FF0E-4C8D-A8E1-67BD9A16D3D2}"/>
              </c:ext>
            </c:extLst>
          </c:dPt>
          <c:dLbls>
            <c:dLbl>
              <c:idx val="0"/>
              <c:layout>
                <c:manualLayout>
                  <c:x val="0.15151009406356436"/>
                  <c:y val="5.82283464566929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0E-4C8D-A8E1-67BD9A16D3D2}"/>
                </c:ext>
              </c:extLst>
            </c:dLbl>
            <c:dLbl>
              <c:idx val="1"/>
              <c:layout>
                <c:manualLayout>
                  <c:x val="-0.279538412281511"/>
                  <c:y val="-0.162683702761569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0E-4C8D-A8E1-67BD9A16D3D2}"/>
                </c:ext>
              </c:extLst>
            </c:dLbl>
            <c:dLbl>
              <c:idx val="2"/>
              <c:layout>
                <c:manualLayout>
                  <c:x val="0.25587295213184497"/>
                  <c:y val="4.90192270972292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0E-4C8D-A8E1-67BD9A16D3D2}"/>
                </c:ext>
              </c:extLst>
            </c:dLbl>
            <c:dLbl>
              <c:idx val="3"/>
              <c:layout>
                <c:manualLayout>
                  <c:x val="-7.9727801082066757E-2"/>
                  <c:y val="8.8635591327902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F0E-4C8D-A8E1-67BD9A16D3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REASEG'!$AU$11:$AU$14</c:f>
              <c:numCache>
                <c:formatCode>0%</c:formatCode>
                <c:ptCount val="4"/>
                <c:pt idx="0">
                  <c:v>0.01</c:v>
                </c:pt>
                <c:pt idx="1">
                  <c:v>0.54</c:v>
                </c:pt>
                <c:pt idx="2">
                  <c:v>0.45</c:v>
                </c:pt>
                <c:pt idx="3">
                  <c:v>0</c:v>
                </c:pt>
              </c:numCache>
            </c:numRef>
          </c:val>
          <c:extLst>
            <c:ext xmlns:c16="http://schemas.microsoft.com/office/drawing/2014/chart" uri="{C3380CC4-5D6E-409C-BE32-E72D297353CC}">
              <c16:uniqueId val="{00000008-FF0E-4C8D-A8E1-67BD9A16D3D2}"/>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MOL.CALLAO (121)</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PE"/>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0B3F-4679-8297-7886F7910A70}"/>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0B3F-4679-8297-7886F7910A70}"/>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0B3F-4679-8297-7886F7910A70}"/>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0B3F-4679-8297-7886F7910A70}"/>
              </c:ext>
            </c:extLst>
          </c:dPt>
          <c:dLbls>
            <c:dLbl>
              <c:idx val="0"/>
              <c:layout>
                <c:manualLayout>
                  <c:x val="0.12098929076291966"/>
                  <c:y val="3.922018446212257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B3F-4679-8297-7886F7910A70}"/>
                </c:ext>
              </c:extLst>
            </c:dLbl>
            <c:dLbl>
              <c:idx val="1"/>
              <c:layout>
                <c:manualLayout>
                  <c:x val="-0.23750451118841809"/>
                  <c:y val="5.2909114890997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3F-4679-8297-7886F7910A70}"/>
                </c:ext>
              </c:extLst>
            </c:dLbl>
            <c:dLbl>
              <c:idx val="2"/>
              <c:layout>
                <c:manualLayout>
                  <c:x val="0.25562953830026919"/>
                  <c:y val="-0.1371662243981862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3F-4679-8297-7886F7910A70}"/>
                </c:ext>
              </c:extLst>
            </c:dLbl>
            <c:dLbl>
              <c:idx val="3"/>
              <c:layout>
                <c:manualLayout>
                  <c:x val="-0.17999774459212678"/>
                  <c:y val="4.73786896723316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2"/>
                      </a:solidFill>
                      <a:latin typeface="+mn-lt"/>
                      <a:ea typeface="+mn-ea"/>
                      <a:cs typeface="+mn-cs"/>
                    </a:defRPr>
                  </a:pPr>
                  <a:endParaRPr lang="es-PE"/>
                </a:p>
              </c:txPr>
              <c:dLblPos val="bestFit"/>
              <c:showLegendKey val="0"/>
              <c:showVal val="0"/>
              <c:showCatName val="1"/>
              <c:showSerName val="0"/>
              <c:showPercent val="1"/>
              <c:showBubbleSize val="0"/>
              <c:extLst>
                <c:ext xmlns:c15="http://schemas.microsoft.com/office/drawing/2012/chart" uri="{CE6537A1-D6FC-4f65-9D91-7224C49458BB}">
                  <c15:layout>
                    <c:manualLayout>
                      <c:w val="0.2425152284752026"/>
                      <c:h val="0.22434216404733101"/>
                    </c:manualLayout>
                  </c15:layout>
                </c:ext>
                <c:ext xmlns:c16="http://schemas.microsoft.com/office/drawing/2014/chart" uri="{C3380CC4-5D6E-409C-BE32-E72D297353CC}">
                  <c16:uniqueId val="{00000007-0B3F-4679-8297-7886F7910A7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REASEG'!$BM$11:$BM$14</c:f>
              <c:numCache>
                <c:formatCode>0%</c:formatCode>
                <c:ptCount val="4"/>
                <c:pt idx="0">
                  <c:v>0.01</c:v>
                </c:pt>
                <c:pt idx="1">
                  <c:v>0.43</c:v>
                </c:pt>
                <c:pt idx="2">
                  <c:v>0.54</c:v>
                </c:pt>
                <c:pt idx="3">
                  <c:v>0.02</c:v>
                </c:pt>
              </c:numCache>
            </c:numRef>
          </c:val>
          <c:extLst>
            <c:ext xmlns:c16="http://schemas.microsoft.com/office/drawing/2014/chart" uri="{C3380CC4-5D6E-409C-BE32-E72D297353CC}">
              <c16:uniqueId val="{00000008-0B3F-4679-8297-7886F7910A70}"/>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MOL.STA ROSA (40)</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PE"/>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64F5-455F-A01E-8759485315DF}"/>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64F5-455F-A01E-8759485315DF}"/>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64F5-455F-A01E-8759485315DF}"/>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64F5-455F-A01E-8759485315DF}"/>
              </c:ext>
            </c:extLst>
          </c:dPt>
          <c:dLbls>
            <c:dLbl>
              <c:idx val="0"/>
              <c:layout>
                <c:manualLayout>
                  <c:x val="0.12098929076291966"/>
                  <c:y val="3.922018446212257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F5-455F-A01E-8759485315DF}"/>
                </c:ext>
              </c:extLst>
            </c:dLbl>
            <c:dLbl>
              <c:idx val="1"/>
              <c:layout>
                <c:manualLayout>
                  <c:x val="-0.23750451118841809"/>
                  <c:y val="5.2909114890997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F5-455F-A01E-8759485315DF}"/>
                </c:ext>
              </c:extLst>
            </c:dLbl>
            <c:dLbl>
              <c:idx val="2"/>
              <c:layout>
                <c:manualLayout>
                  <c:x val="0.25562953830026919"/>
                  <c:y val="-0.1371662243981862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4F5-455F-A01E-8759485315DF}"/>
                </c:ext>
              </c:extLst>
            </c:dLbl>
            <c:dLbl>
              <c:idx val="3"/>
              <c:layout>
                <c:manualLayout>
                  <c:x val="-0.30778670251468287"/>
                  <c:y val="4.287545899242210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2"/>
                      </a:solidFill>
                      <a:latin typeface="+mn-lt"/>
                      <a:ea typeface="+mn-ea"/>
                      <a:cs typeface="+mn-cs"/>
                    </a:defRPr>
                  </a:pPr>
                  <a:endParaRPr lang="es-PE"/>
                </a:p>
              </c:txPr>
              <c:dLblPos val="bestFit"/>
              <c:showLegendKey val="0"/>
              <c:showVal val="0"/>
              <c:showCatName val="1"/>
              <c:showSerName val="0"/>
              <c:showPercent val="1"/>
              <c:showBubbleSize val="0"/>
              <c:extLst>
                <c:ext xmlns:c15="http://schemas.microsoft.com/office/drawing/2012/chart" uri="{CE6537A1-D6FC-4f65-9D91-7224C49458BB}">
                  <c15:layout>
                    <c:manualLayout>
                      <c:w val="0.27091279621234582"/>
                      <c:h val="0.22434216404733101"/>
                    </c:manualLayout>
                  </c15:layout>
                </c:ext>
                <c:ext xmlns:c16="http://schemas.microsoft.com/office/drawing/2014/chart" uri="{C3380CC4-5D6E-409C-BE32-E72D297353CC}">
                  <c16:uniqueId val="{00000007-64F5-455F-A01E-8759485315D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REASEG'!$BO$11:$BO$14</c:f>
              <c:numCache>
                <c:formatCode>0%</c:formatCode>
                <c:ptCount val="4"/>
                <c:pt idx="0">
                  <c:v>0</c:v>
                </c:pt>
                <c:pt idx="1">
                  <c:v>0.4</c:v>
                </c:pt>
                <c:pt idx="2">
                  <c:v>0.6</c:v>
                </c:pt>
                <c:pt idx="3">
                  <c:v>0</c:v>
                </c:pt>
              </c:numCache>
            </c:numRef>
          </c:val>
          <c:extLst>
            <c:ext xmlns:c16="http://schemas.microsoft.com/office/drawing/2014/chart" uri="{C3380CC4-5D6E-409C-BE32-E72D297353CC}">
              <c16:uniqueId val="{00000008-64F5-455F-A01E-8759485315DF}"/>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MOL.LIMA (235)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PE"/>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D195-4385-801C-CDBC78ACA768}"/>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D195-4385-801C-CDBC78ACA768}"/>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D195-4385-801C-CDBC78ACA768}"/>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D195-4385-801C-CDBC78ACA768}"/>
              </c:ext>
            </c:extLst>
          </c:dPt>
          <c:dLbls>
            <c:dLbl>
              <c:idx val="0"/>
              <c:layout>
                <c:manualLayout>
                  <c:x val="0.12098929076291966"/>
                  <c:y val="3.922018446212257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195-4385-801C-CDBC78ACA768}"/>
                </c:ext>
              </c:extLst>
            </c:dLbl>
            <c:dLbl>
              <c:idx val="1"/>
              <c:layout>
                <c:manualLayout>
                  <c:x val="-0.23750451118841809"/>
                  <c:y val="5.2909114890997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95-4385-801C-CDBC78ACA768}"/>
                </c:ext>
              </c:extLst>
            </c:dLbl>
            <c:dLbl>
              <c:idx val="2"/>
              <c:layout>
                <c:manualLayout>
                  <c:x val="0.25562953830026919"/>
                  <c:y val="-0.1371662243981862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195-4385-801C-CDBC78ACA768}"/>
                </c:ext>
              </c:extLst>
            </c:dLbl>
            <c:dLbl>
              <c:idx val="3"/>
              <c:layout>
                <c:manualLayout>
                  <c:x val="-0.17715798781841241"/>
                  <c:y val="6.088785250135600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2"/>
                      </a:solidFill>
                      <a:latin typeface="+mn-lt"/>
                      <a:ea typeface="+mn-ea"/>
                      <a:cs typeface="+mn-cs"/>
                    </a:defRPr>
                  </a:pPr>
                  <a:endParaRPr lang="es-PE"/>
                </a:p>
              </c:txPr>
              <c:dLblPos val="bestFit"/>
              <c:showLegendKey val="0"/>
              <c:showVal val="0"/>
              <c:showCatName val="1"/>
              <c:showSerName val="0"/>
              <c:showPercent val="1"/>
              <c:showBubbleSize val="0"/>
              <c:extLst>
                <c:ext xmlns:c15="http://schemas.microsoft.com/office/drawing/2012/chart" uri="{CE6537A1-D6FC-4f65-9D91-7224C49458BB}">
                  <c15:layout>
                    <c:manualLayout>
                      <c:w val="0.24819474202263131"/>
                      <c:h val="0.25136048970537972"/>
                    </c:manualLayout>
                  </c15:layout>
                </c:ext>
                <c:ext xmlns:c16="http://schemas.microsoft.com/office/drawing/2014/chart" uri="{C3380CC4-5D6E-409C-BE32-E72D297353CC}">
                  <c16:uniqueId val="{00000007-D195-4385-801C-CDBC78ACA76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REASEG'!$CI$11:$CI$14</c:f>
              <c:numCache>
                <c:formatCode>0%</c:formatCode>
                <c:ptCount val="4"/>
                <c:pt idx="0">
                  <c:v>1.3702127659574468E-2</c:v>
                </c:pt>
                <c:pt idx="1">
                  <c:v>0.43736170212765957</c:v>
                </c:pt>
                <c:pt idx="2">
                  <c:v>0.53727659574468078</c:v>
                </c:pt>
                <c:pt idx="3">
                  <c:v>1.1659574468085108E-2</c:v>
                </c:pt>
              </c:numCache>
            </c:numRef>
          </c:val>
          <c:extLst>
            <c:ext xmlns:c16="http://schemas.microsoft.com/office/drawing/2014/chart" uri="{C3380CC4-5D6E-409C-BE32-E72D297353CC}">
              <c16:uniqueId val="{00000008-D195-4385-801C-CDBC78ACA768}"/>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GLOBAL (94)</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PE"/>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2E47-49F7-936C-5DA78BD64FA4}"/>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2E47-49F7-936C-5DA78BD64FA4}"/>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2E47-49F7-936C-5DA78BD64FA4}"/>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2E47-49F7-936C-5DA78BD64FA4}"/>
              </c:ext>
            </c:extLst>
          </c:dPt>
          <c:dLbls>
            <c:dLbl>
              <c:idx val="0"/>
              <c:layout>
                <c:manualLayout>
                  <c:x val="-0.15521965369191168"/>
                  <c:y val="0.1157721071599272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s-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E47-49F7-936C-5DA78BD64FA4}"/>
                </c:ext>
              </c:extLst>
            </c:dLbl>
            <c:dLbl>
              <c:idx val="1"/>
              <c:layout>
                <c:manualLayout>
                  <c:x val="-0.25375208318763115"/>
                  <c:y val="-0.280316901558269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E47-49F7-936C-5DA78BD64FA4}"/>
                </c:ext>
              </c:extLst>
            </c:dLbl>
            <c:dLbl>
              <c:idx val="2"/>
              <c:layout>
                <c:manualLayout>
                  <c:x val="0.24208985724301099"/>
                  <c:y val="6.096816376083742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E47-49F7-936C-5DA78BD64FA4}"/>
                </c:ext>
              </c:extLst>
            </c:dLbl>
            <c:dLbl>
              <c:idx val="3"/>
              <c:layout>
                <c:manualLayout>
                  <c:x val="-0.23131655752497698"/>
                  <c:y val="2.0360187610714852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2"/>
                      </a:solidFill>
                      <a:latin typeface="+mn-lt"/>
                      <a:ea typeface="+mn-ea"/>
                      <a:cs typeface="+mn-cs"/>
                    </a:defRPr>
                  </a:pPr>
                  <a:endParaRPr lang="es-PE"/>
                </a:p>
              </c:txPr>
              <c:dLblPos val="bestFit"/>
              <c:showLegendKey val="0"/>
              <c:showVal val="0"/>
              <c:showCatName val="1"/>
              <c:showSerName val="0"/>
              <c:showPercent val="1"/>
              <c:showBubbleSize val="0"/>
              <c:extLst>
                <c:ext xmlns:c15="http://schemas.microsoft.com/office/drawing/2012/chart" uri="{CE6537A1-D6FC-4f65-9D91-7224C49458BB}">
                  <c15:layout>
                    <c:manualLayout>
                      <c:w val="0.24819474202263131"/>
                      <c:h val="0.25136048970537972"/>
                    </c:manualLayout>
                  </c15:layout>
                </c:ext>
                <c:ext xmlns:c16="http://schemas.microsoft.com/office/drawing/2014/chart" uri="{C3380CC4-5D6E-409C-BE32-E72D297353CC}">
                  <c16:uniqueId val="{00000007-2E47-49F7-936C-5DA78BD64FA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REASEG'!$CO$11:$CO$14</c:f>
              <c:numCache>
                <c:formatCode>0%</c:formatCode>
                <c:ptCount val="4"/>
                <c:pt idx="0">
                  <c:v>0.15957446808510639</c:v>
                </c:pt>
                <c:pt idx="1">
                  <c:v>0.43617021276595747</c:v>
                </c:pt>
                <c:pt idx="2">
                  <c:v>0.38297872340425532</c:v>
                </c:pt>
                <c:pt idx="3">
                  <c:v>2.1276595744680851E-2</c:v>
                </c:pt>
              </c:numCache>
            </c:numRef>
          </c:val>
          <c:extLst>
            <c:ext xmlns:c16="http://schemas.microsoft.com/office/drawing/2014/chart" uri="{C3380CC4-5D6E-409C-BE32-E72D297353CC}">
              <c16:uniqueId val="{00000008-2E47-49F7-936C-5DA78BD64FA4}"/>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GLOBAL - ÑAÑA (86)</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PE"/>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4A87-4F97-B972-094570E5BD1F}"/>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4A87-4F97-B972-094570E5BD1F}"/>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4A87-4F97-B972-094570E5BD1F}"/>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4A87-4F97-B972-094570E5BD1F}"/>
              </c:ext>
            </c:extLst>
          </c:dPt>
          <c:dLbls>
            <c:dLbl>
              <c:idx val="0"/>
              <c:layout>
                <c:manualLayout>
                  <c:x val="-0.15792758438935534"/>
                  <c:y val="0.1292812699889515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s-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A87-4F97-B972-094570E5BD1F}"/>
                </c:ext>
              </c:extLst>
            </c:dLbl>
            <c:dLbl>
              <c:idx val="1"/>
              <c:layout>
                <c:manualLayout>
                  <c:x val="-0.25375208318763115"/>
                  <c:y val="-0.280316901558269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A87-4F97-B972-094570E5BD1F}"/>
                </c:ext>
              </c:extLst>
            </c:dLbl>
            <c:dLbl>
              <c:idx val="2"/>
              <c:layout>
                <c:manualLayout>
                  <c:x val="0.24208985724301099"/>
                  <c:y val="6.096816376083742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A87-4F97-B972-094570E5BD1F}"/>
                </c:ext>
              </c:extLst>
            </c:dLbl>
            <c:dLbl>
              <c:idx val="3"/>
              <c:layout>
                <c:manualLayout>
                  <c:x val="-0.23131655752497698"/>
                  <c:y val="2.0360187610714852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2"/>
                      </a:solidFill>
                      <a:latin typeface="+mn-lt"/>
                      <a:ea typeface="+mn-ea"/>
                      <a:cs typeface="+mn-cs"/>
                    </a:defRPr>
                  </a:pPr>
                  <a:endParaRPr lang="es-PE"/>
                </a:p>
              </c:txPr>
              <c:dLblPos val="bestFit"/>
              <c:showLegendKey val="0"/>
              <c:showVal val="0"/>
              <c:showCatName val="1"/>
              <c:showSerName val="0"/>
              <c:showPercent val="1"/>
              <c:showBubbleSize val="0"/>
              <c:extLst>
                <c:ext xmlns:c15="http://schemas.microsoft.com/office/drawing/2012/chart" uri="{CE6537A1-D6FC-4f65-9D91-7224C49458BB}">
                  <c15:layout>
                    <c:manualLayout>
                      <c:w val="0.24819474202263131"/>
                      <c:h val="0.25136048970537972"/>
                    </c:manualLayout>
                  </c15:layout>
                </c:ext>
                <c:ext xmlns:c16="http://schemas.microsoft.com/office/drawing/2014/chart" uri="{C3380CC4-5D6E-409C-BE32-E72D297353CC}">
                  <c16:uniqueId val="{00000007-4A87-4F97-B972-094570E5BD1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REASEG'!$CK$11:$CK$14</c:f>
              <c:numCache>
                <c:formatCode>0%</c:formatCode>
                <c:ptCount val="4"/>
                <c:pt idx="0">
                  <c:v>0.1744186046511628</c:v>
                </c:pt>
                <c:pt idx="1">
                  <c:v>0.45348837209302323</c:v>
                </c:pt>
                <c:pt idx="2">
                  <c:v>0.36046511627906974</c:v>
                </c:pt>
                <c:pt idx="3">
                  <c:v>1.1627906976744186E-2</c:v>
                </c:pt>
              </c:numCache>
            </c:numRef>
          </c:val>
          <c:extLst>
            <c:ext xmlns:c16="http://schemas.microsoft.com/office/drawing/2014/chart" uri="{C3380CC4-5D6E-409C-BE32-E72D297353CC}">
              <c16:uniqueId val="{00000008-4A87-4F97-B972-094570E5BD1F}"/>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GLOBAL - CAJAMARQUILLA (8)</a:t>
            </a:r>
          </a:p>
        </c:rich>
      </c:tx>
      <c:layout>
        <c:manualLayout>
          <c:xMode val="edge"/>
          <c:yMode val="edge"/>
          <c:x val="0.28462462536738298"/>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PE"/>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9574475343757941E-2"/>
          <c:y val="0.20502406120182617"/>
          <c:w val="0.94042552465624207"/>
          <c:h val="0.77246066741646657"/>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3089-40AD-A6E3-1B52B14D7812}"/>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3089-40AD-A6E3-1B52B14D7812}"/>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3089-40AD-A6E3-1B52B14D7812}"/>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3089-40AD-A6E3-1B52B14D7812}"/>
              </c:ext>
            </c:extLst>
          </c:dPt>
          <c:dLbls>
            <c:dLbl>
              <c:idx val="0"/>
              <c:layout>
                <c:manualLayout>
                  <c:x val="-0.21750205973311318"/>
                  <c:y val="3.0214075909439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s-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089-40AD-A6E3-1B52B14D7812}"/>
                </c:ext>
              </c:extLst>
            </c:dLbl>
            <c:dLbl>
              <c:idx val="1"/>
              <c:layout>
                <c:manualLayout>
                  <c:x val="-0.21584105342342141"/>
                  <c:y val="6.24265151182069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089-40AD-A6E3-1B52B14D7812}"/>
                </c:ext>
              </c:extLst>
            </c:dLbl>
            <c:dLbl>
              <c:idx val="2"/>
              <c:layout>
                <c:manualLayout>
                  <c:x val="0.28541674840210768"/>
                  <c:y val="-0.2656802023041455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089-40AD-A6E3-1B52B14D7812}"/>
                </c:ext>
              </c:extLst>
            </c:dLbl>
            <c:dLbl>
              <c:idx val="3"/>
              <c:layout>
                <c:manualLayout>
                  <c:x val="0.17125252242678352"/>
                  <c:y val="0.18697319583534849"/>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2"/>
                      </a:solidFill>
                      <a:latin typeface="+mn-lt"/>
                      <a:ea typeface="+mn-ea"/>
                      <a:cs typeface="+mn-cs"/>
                    </a:defRPr>
                  </a:pPr>
                  <a:endParaRPr lang="es-PE"/>
                </a:p>
              </c:txPr>
              <c:dLblPos val="bestFit"/>
              <c:showLegendKey val="0"/>
              <c:showVal val="0"/>
              <c:showCatName val="1"/>
              <c:showSerName val="0"/>
              <c:showPercent val="1"/>
              <c:showBubbleSize val="0"/>
              <c:extLst>
                <c:ext xmlns:c15="http://schemas.microsoft.com/office/drawing/2012/chart" uri="{CE6537A1-D6FC-4f65-9D91-7224C49458BB}">
                  <c15:layout>
                    <c:manualLayout>
                      <c:w val="0.24819474202263131"/>
                      <c:h val="0.25136048970537972"/>
                    </c:manualLayout>
                  </c15:layout>
                </c:ext>
                <c:ext xmlns:c16="http://schemas.microsoft.com/office/drawing/2014/chart" uri="{C3380CC4-5D6E-409C-BE32-E72D297353CC}">
                  <c16:uniqueId val="{00000007-3089-40AD-A6E3-1B52B14D781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REASEG'!$CM$11:$CM$14</c:f>
              <c:numCache>
                <c:formatCode>0%</c:formatCode>
                <c:ptCount val="4"/>
                <c:pt idx="0">
                  <c:v>0</c:v>
                </c:pt>
                <c:pt idx="1">
                  <c:v>0.25</c:v>
                </c:pt>
                <c:pt idx="2">
                  <c:v>0.625</c:v>
                </c:pt>
                <c:pt idx="3">
                  <c:v>0.125</c:v>
                </c:pt>
              </c:numCache>
            </c:numRef>
          </c:val>
          <c:extLst>
            <c:ext xmlns:c16="http://schemas.microsoft.com/office/drawing/2014/chart" uri="{C3380CC4-5D6E-409C-BE32-E72D297353CC}">
              <c16:uniqueId val="{00000008-3089-40AD-A6E3-1B52B14D7812}"/>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baseline="0"/>
              <a:t>DISTRIBUCION (562)</a:t>
            </a:r>
            <a:endParaRPr lang="es-PE"/>
          </a:p>
        </c:rich>
      </c:tx>
      <c:layout>
        <c:manualLayout>
          <c:xMode val="edge"/>
          <c:yMode val="edge"/>
          <c:x val="0.38876681753363507"/>
          <c:y val="4.5420283460469113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498312710911136E-2"/>
          <c:y val="0.22688257122573602"/>
          <c:w val="0.95050618672665921"/>
          <c:h val="0.7731174287742640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4D8A-4015-97F5-D88DEF0AC988}"/>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4D8A-4015-97F5-D88DEF0AC988}"/>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4D8A-4015-97F5-D88DEF0AC988}"/>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4D8A-4015-97F5-D88DEF0AC988}"/>
              </c:ext>
            </c:extLst>
          </c:dPt>
          <c:dLbls>
            <c:dLbl>
              <c:idx val="0"/>
              <c:layout>
                <c:manualLayout>
                  <c:x val="9.9605324924935484E-2"/>
                  <c:y val="4.11455372370665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D8A-4015-97F5-D88DEF0AC988}"/>
                </c:ext>
              </c:extLst>
            </c:dLbl>
            <c:dLbl>
              <c:idx val="1"/>
              <c:layout>
                <c:manualLayout>
                  <c:x val="-0.20641439225076255"/>
                  <c:y val="7.39834087097202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D8A-4015-97F5-D88DEF0AC988}"/>
                </c:ext>
              </c:extLst>
            </c:dLbl>
            <c:dLbl>
              <c:idx val="2"/>
              <c:layout>
                <c:manualLayout>
                  <c:x val="0.2798290568009707"/>
                  <c:y val="-0.2207890607416547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D8A-4015-97F5-D88DEF0AC988}"/>
                </c:ext>
              </c:extLst>
            </c:dLbl>
            <c:dLbl>
              <c:idx val="3"/>
              <c:layout>
                <c:manualLayout>
                  <c:x val="-0.11774408120244811"/>
                  <c:y val="4.655623248170744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D8A-4015-97F5-D88DEF0AC988}"/>
                </c:ext>
              </c:extLst>
            </c:dLbl>
            <c:spPr>
              <a:noFill/>
              <a:ln>
                <a:noFill/>
              </a:ln>
              <a:effectLst/>
            </c:sp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REASEG'!$CU$11:$CU$14</c:f>
              <c:numCache>
                <c:formatCode>0%</c:formatCode>
                <c:ptCount val="4"/>
                <c:pt idx="0">
                  <c:v>2.6690391459074734E-2</c:v>
                </c:pt>
                <c:pt idx="1">
                  <c:v>0.3487544483985765</c:v>
                </c:pt>
                <c:pt idx="2">
                  <c:v>0.59252669039145911</c:v>
                </c:pt>
                <c:pt idx="3">
                  <c:v>3.2028469750889681E-2</c:v>
                </c:pt>
              </c:numCache>
            </c:numRef>
          </c:val>
          <c:extLst>
            <c:ext xmlns:c16="http://schemas.microsoft.com/office/drawing/2014/chart" uri="{C3380CC4-5D6E-409C-BE32-E72D297353CC}">
              <c16:uniqueId val="{00000008-4D8A-4015-97F5-D88DEF0AC988}"/>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baseline="0"/>
              <a:t>CD PIURA (10)</a:t>
            </a:r>
            <a:endParaRPr lang="es-PE"/>
          </a:p>
        </c:rich>
      </c:tx>
      <c:layout>
        <c:manualLayout>
          <c:xMode val="edge"/>
          <c:yMode val="edge"/>
          <c:x val="0.38876681753363507"/>
          <c:y val="4.5420283460469113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498312710911136E-2"/>
          <c:y val="0.22688257122573602"/>
          <c:w val="0.95050618672665921"/>
          <c:h val="0.7731174287742640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F3D1-407C-A85C-C07BF0A6F6FE}"/>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F3D1-407C-A85C-C07BF0A6F6FE}"/>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F3D1-407C-A85C-C07BF0A6F6FE}"/>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F3D1-407C-A85C-C07BF0A6F6FE}"/>
              </c:ext>
            </c:extLst>
          </c:dPt>
          <c:dLbls>
            <c:dLbl>
              <c:idx val="0"/>
              <c:layout>
                <c:manualLayout>
                  <c:x val="9.9605324924935484E-2"/>
                  <c:y val="4.11455372370665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3D1-407C-A85C-C07BF0A6F6FE}"/>
                </c:ext>
              </c:extLst>
            </c:dLbl>
            <c:dLbl>
              <c:idx val="1"/>
              <c:layout>
                <c:manualLayout>
                  <c:x val="-0.21541323082646166"/>
                  <c:y val="9.194363599851788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D1-407C-A85C-C07BF0A6F6FE}"/>
                </c:ext>
              </c:extLst>
            </c:dLbl>
            <c:dLbl>
              <c:idx val="2"/>
              <c:layout>
                <c:manualLayout>
                  <c:x val="0.1763419926839854"/>
                  <c:y val="-0.282980704776289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3D1-407C-A85C-C07BF0A6F6FE}"/>
                </c:ext>
              </c:extLst>
            </c:dLbl>
            <c:dLbl>
              <c:idx val="3"/>
              <c:layout>
                <c:manualLayout>
                  <c:x val="0.1274752663791042"/>
                  <c:y val="0.13635736892569558"/>
                </c:manualLayout>
              </c:layout>
              <c:spPr>
                <a:noFill/>
                <a:ln>
                  <a:noFill/>
                </a:ln>
                <a:effectLst/>
              </c:spPr>
              <c:txPr>
                <a:bodyPr wrap="square" lIns="38100" tIns="19050" rIns="38100" bIns="19050" anchor="ctr">
                  <a:spAutoFit/>
                </a:bodyPr>
                <a:lstStyle/>
                <a:p>
                  <a:pPr>
                    <a:defRPr>
                      <a:solidFill>
                        <a:sysClr val="windowText" lastClr="000000"/>
                      </a:solidFill>
                    </a:defRPr>
                  </a:pPr>
                  <a:endParaRPr lang="es-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3D1-407C-A85C-C07BF0A6F6FE}"/>
                </c:ext>
              </c:extLst>
            </c:dLbl>
            <c:spPr>
              <a:noFill/>
              <a:ln>
                <a:noFill/>
              </a:ln>
              <a:effectLst/>
            </c:sp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REASEG'!$BU$11:$BU$14</c:f>
              <c:numCache>
                <c:formatCode>0%</c:formatCode>
                <c:ptCount val="4"/>
                <c:pt idx="0">
                  <c:v>0</c:v>
                </c:pt>
                <c:pt idx="1">
                  <c:v>0.3</c:v>
                </c:pt>
                <c:pt idx="2">
                  <c:v>0.5</c:v>
                </c:pt>
                <c:pt idx="3">
                  <c:v>0.2</c:v>
                </c:pt>
              </c:numCache>
            </c:numRef>
          </c:val>
          <c:extLst>
            <c:ext xmlns:c16="http://schemas.microsoft.com/office/drawing/2014/chart" uri="{C3380CC4-5D6E-409C-BE32-E72D297353CC}">
              <c16:uniqueId val="{00000008-F3D1-407C-A85C-C07BF0A6F6FE}"/>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baseline="0"/>
              <a:t>CD CHICLAYO (13)</a:t>
            </a:r>
            <a:endParaRPr lang="es-PE"/>
          </a:p>
        </c:rich>
      </c:tx>
      <c:layout>
        <c:manualLayout>
          <c:xMode val="edge"/>
          <c:yMode val="edge"/>
          <c:x val="0.38876681753363507"/>
          <c:y val="4.5420283460469113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498312710911136E-2"/>
          <c:y val="0.22688257122573602"/>
          <c:w val="0.95050618672665921"/>
          <c:h val="0.7731174287742640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2648-4038-95EE-8584DF88EBA3}"/>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2648-4038-95EE-8584DF88EBA3}"/>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2648-4038-95EE-8584DF88EBA3}"/>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2648-4038-95EE-8584DF88EBA3}"/>
              </c:ext>
            </c:extLst>
          </c:dPt>
          <c:dLbls>
            <c:dLbl>
              <c:idx val="0"/>
              <c:layout>
                <c:manualLayout>
                  <c:x val="9.9605324924935484E-2"/>
                  <c:y val="4.11455372370665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648-4038-95EE-8584DF88EBA3}"/>
                </c:ext>
              </c:extLst>
            </c:dLbl>
            <c:dLbl>
              <c:idx val="1"/>
              <c:layout>
                <c:manualLayout>
                  <c:x val="-0.18391716783433576"/>
                  <c:y val="6.0513238243122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648-4038-95EE-8584DF88EBA3}"/>
                </c:ext>
              </c:extLst>
            </c:dLbl>
            <c:dLbl>
              <c:idx val="2"/>
              <c:layout>
                <c:manualLayout>
                  <c:x val="0.26858046287521148"/>
                  <c:y val="-0.2156298524432980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648-4038-95EE-8584DF88EBA3}"/>
                </c:ext>
              </c:extLst>
            </c:dLbl>
            <c:dLbl>
              <c:idx val="3"/>
              <c:layout>
                <c:manualLayout>
                  <c:x val="-0.20323339503821869"/>
                  <c:y val="6.0026402948305656E-2"/>
                </c:manualLayout>
              </c:layout>
              <c:spPr>
                <a:noFill/>
                <a:ln>
                  <a:noFill/>
                </a:ln>
                <a:effectLst/>
              </c:spPr>
              <c:txPr>
                <a:bodyPr wrap="square" lIns="38100" tIns="19050" rIns="38100" bIns="19050" anchor="ctr">
                  <a:spAutoFit/>
                </a:bodyPr>
                <a:lstStyle/>
                <a:p>
                  <a:pPr>
                    <a:defRPr>
                      <a:solidFill>
                        <a:sysClr val="windowText" lastClr="000000"/>
                      </a:solidFill>
                    </a:defRPr>
                  </a:pPr>
                  <a:endParaRPr lang="es-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648-4038-95EE-8584DF88EBA3}"/>
                </c:ext>
              </c:extLst>
            </c:dLbl>
            <c:spPr>
              <a:noFill/>
              <a:ln>
                <a:noFill/>
              </a:ln>
              <a:effectLst/>
            </c:sp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REASEG'!$BW$11:$BW$14</c:f>
              <c:numCache>
                <c:formatCode>0%</c:formatCode>
                <c:ptCount val="4"/>
                <c:pt idx="0">
                  <c:v>0</c:v>
                </c:pt>
                <c:pt idx="1">
                  <c:v>0.30769230769230771</c:v>
                </c:pt>
                <c:pt idx="2">
                  <c:v>0.69230769230769229</c:v>
                </c:pt>
                <c:pt idx="3">
                  <c:v>0</c:v>
                </c:pt>
              </c:numCache>
            </c:numRef>
          </c:val>
          <c:extLst>
            <c:ext xmlns:c16="http://schemas.microsoft.com/office/drawing/2014/chart" uri="{C3380CC4-5D6E-409C-BE32-E72D297353CC}">
              <c16:uniqueId val="{00000008-2648-4038-95EE-8584DF88EBA3}"/>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baseline="0"/>
              <a:t>CD TRUJILLO (16)</a:t>
            </a:r>
            <a:endParaRPr lang="es-PE"/>
          </a:p>
        </c:rich>
      </c:tx>
      <c:layout>
        <c:manualLayout>
          <c:xMode val="edge"/>
          <c:yMode val="edge"/>
          <c:x val="0.38876681753363507"/>
          <c:y val="4.5420283460469113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498312710911136E-2"/>
          <c:y val="0.22688257122573602"/>
          <c:w val="0.95050618672665921"/>
          <c:h val="0.7731174287742640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7ECF-4021-B835-E5620E87E5AC}"/>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7ECF-4021-B835-E5620E87E5AC}"/>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7ECF-4021-B835-E5620E87E5AC}"/>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7ECF-4021-B835-E5620E87E5AC}"/>
              </c:ext>
            </c:extLst>
          </c:dPt>
          <c:dLbls>
            <c:dLbl>
              <c:idx val="0"/>
              <c:layout>
                <c:manualLayout>
                  <c:x val="9.9605324924935484E-2"/>
                  <c:y val="4.11455372370665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ECF-4021-B835-E5620E87E5AC}"/>
                </c:ext>
              </c:extLst>
            </c:dLbl>
            <c:dLbl>
              <c:idx val="1"/>
              <c:layout>
                <c:manualLayout>
                  <c:x val="-0.18391716783433576"/>
                  <c:y val="6.0513238243122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ECF-4021-B835-E5620E87E5AC}"/>
                </c:ext>
              </c:extLst>
            </c:dLbl>
            <c:dLbl>
              <c:idx val="2"/>
              <c:layout>
                <c:manualLayout>
                  <c:x val="0.26858046287521148"/>
                  <c:y val="-0.2156298524432980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ECF-4021-B835-E5620E87E5AC}"/>
                </c:ext>
              </c:extLst>
            </c:dLbl>
            <c:dLbl>
              <c:idx val="3"/>
              <c:layout>
                <c:manualLayout>
                  <c:x val="-0.20323339503821869"/>
                  <c:y val="6.0026402948305656E-2"/>
                </c:manualLayout>
              </c:layout>
              <c:spPr>
                <a:noFill/>
                <a:ln>
                  <a:noFill/>
                </a:ln>
                <a:effectLst/>
              </c:spPr>
              <c:txPr>
                <a:bodyPr wrap="square" lIns="38100" tIns="19050" rIns="38100" bIns="19050" anchor="ctr">
                  <a:spAutoFit/>
                </a:bodyPr>
                <a:lstStyle/>
                <a:p>
                  <a:pPr>
                    <a:defRPr>
                      <a:solidFill>
                        <a:sysClr val="windowText" lastClr="000000"/>
                      </a:solidFill>
                    </a:defRPr>
                  </a:pPr>
                  <a:endParaRPr lang="es-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ECF-4021-B835-E5620E87E5AC}"/>
                </c:ext>
              </c:extLst>
            </c:dLbl>
            <c:spPr>
              <a:noFill/>
              <a:ln>
                <a:noFill/>
              </a:ln>
              <a:effectLst/>
            </c:sp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REASEG'!$BY$11:$BY$14</c:f>
              <c:numCache>
                <c:formatCode>0%</c:formatCode>
                <c:ptCount val="4"/>
                <c:pt idx="0">
                  <c:v>6.25E-2</c:v>
                </c:pt>
                <c:pt idx="1">
                  <c:v>0.375</c:v>
                </c:pt>
                <c:pt idx="2">
                  <c:v>0.5625</c:v>
                </c:pt>
                <c:pt idx="3">
                  <c:v>0</c:v>
                </c:pt>
              </c:numCache>
            </c:numRef>
          </c:val>
          <c:extLst>
            <c:ext xmlns:c16="http://schemas.microsoft.com/office/drawing/2014/chart" uri="{C3380CC4-5D6E-409C-BE32-E72D297353CC}">
              <c16:uniqueId val="{00000008-7ECF-4021-B835-E5620E87E5AC}"/>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baseline="0"/>
              <a:t>CD CUZCO (11)</a:t>
            </a:r>
            <a:endParaRPr lang="es-PE"/>
          </a:p>
        </c:rich>
      </c:tx>
      <c:layout>
        <c:manualLayout>
          <c:xMode val="edge"/>
          <c:yMode val="edge"/>
          <c:x val="0.38876681753363507"/>
          <c:y val="4.5420283460469113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498312710911136E-2"/>
          <c:y val="0.22688257122573602"/>
          <c:w val="0.95050618672665921"/>
          <c:h val="0.7731174287742640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5F7E-4627-BC96-B04A219F56D7}"/>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5F7E-4627-BC96-B04A219F56D7}"/>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5F7E-4627-BC96-B04A219F56D7}"/>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5F7E-4627-BC96-B04A219F56D7}"/>
              </c:ext>
            </c:extLst>
          </c:dPt>
          <c:dLbls>
            <c:dLbl>
              <c:idx val="0"/>
              <c:layout>
                <c:manualLayout>
                  <c:x val="9.9605324924935484E-2"/>
                  <c:y val="4.11455372370665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F7E-4627-BC96-B04A219F56D7}"/>
                </c:ext>
              </c:extLst>
            </c:dLbl>
            <c:dLbl>
              <c:idx val="1"/>
              <c:layout>
                <c:manualLayout>
                  <c:x val="-0.18391716783433576"/>
                  <c:y val="6.0513238243122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7E-4627-BC96-B04A219F56D7}"/>
                </c:ext>
              </c:extLst>
            </c:dLbl>
            <c:dLbl>
              <c:idx val="2"/>
              <c:layout>
                <c:manualLayout>
                  <c:x val="0.26858046287521148"/>
                  <c:y val="-0.2156298524432980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F7E-4627-BC96-B04A219F56D7}"/>
                </c:ext>
              </c:extLst>
            </c:dLbl>
            <c:dLbl>
              <c:idx val="3"/>
              <c:layout>
                <c:manualLayout>
                  <c:x val="-0.20323339503821869"/>
                  <c:y val="6.0026402948305656E-2"/>
                </c:manualLayout>
              </c:layout>
              <c:spPr>
                <a:noFill/>
                <a:ln>
                  <a:noFill/>
                </a:ln>
                <a:effectLst/>
              </c:spPr>
              <c:txPr>
                <a:bodyPr wrap="square" lIns="38100" tIns="19050" rIns="38100" bIns="19050" anchor="ctr">
                  <a:spAutoFit/>
                </a:bodyPr>
                <a:lstStyle/>
                <a:p>
                  <a:pPr>
                    <a:defRPr>
                      <a:solidFill>
                        <a:sysClr val="windowText" lastClr="000000"/>
                      </a:solidFill>
                    </a:defRPr>
                  </a:pPr>
                  <a:endParaRPr lang="es-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F7E-4627-BC96-B04A219F56D7}"/>
                </c:ext>
              </c:extLst>
            </c:dLbl>
            <c:spPr>
              <a:noFill/>
              <a:ln>
                <a:noFill/>
              </a:ln>
              <a:effectLst/>
            </c:sp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REASEG'!$CC$11:$CC$14</c:f>
              <c:numCache>
                <c:formatCode>0%</c:formatCode>
                <c:ptCount val="4"/>
                <c:pt idx="0">
                  <c:v>0</c:v>
                </c:pt>
                <c:pt idx="1">
                  <c:v>0.36363636363636365</c:v>
                </c:pt>
                <c:pt idx="2">
                  <c:v>0.63636363636363635</c:v>
                </c:pt>
                <c:pt idx="3">
                  <c:v>0</c:v>
                </c:pt>
              </c:numCache>
            </c:numRef>
          </c:val>
          <c:extLst>
            <c:ext xmlns:c16="http://schemas.microsoft.com/office/drawing/2014/chart" uri="{C3380CC4-5D6E-409C-BE32-E72D297353CC}">
              <c16:uniqueId val="{00000008-5F7E-4627-BC96-B04A219F56D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baseline="0"/>
              <a:t>DIST.PROV (122)</a:t>
            </a:r>
            <a:endParaRPr lang="es-PE"/>
          </a:p>
        </c:rich>
      </c:tx>
      <c:layout>
        <c:manualLayout>
          <c:xMode val="edge"/>
          <c:yMode val="edge"/>
          <c:x val="0.38876681753363507"/>
          <c:y val="4.5420283460469113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498312710911136E-2"/>
          <c:y val="0.22688257122573602"/>
          <c:w val="0.95050618672665921"/>
          <c:h val="0.7731174287742640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DB27-4AB7-A7F8-D7BCD4377CD6}"/>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DB27-4AB7-A7F8-D7BCD4377CD6}"/>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DB27-4AB7-A7F8-D7BCD4377CD6}"/>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DB27-4AB7-A7F8-D7BCD4377CD6}"/>
              </c:ext>
            </c:extLst>
          </c:dPt>
          <c:dLbls>
            <c:dLbl>
              <c:idx val="0"/>
              <c:layout>
                <c:manualLayout>
                  <c:x val="9.9605324924935484E-2"/>
                  <c:y val="4.11455372370665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27-4AB7-A7F8-D7BCD4377CD6}"/>
                </c:ext>
              </c:extLst>
            </c:dLbl>
            <c:dLbl>
              <c:idx val="1"/>
              <c:layout>
                <c:manualLayout>
                  <c:x val="-0.18391716783433576"/>
                  <c:y val="6.0513238243122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27-4AB7-A7F8-D7BCD4377CD6}"/>
                </c:ext>
              </c:extLst>
            </c:dLbl>
            <c:dLbl>
              <c:idx val="2"/>
              <c:layout>
                <c:manualLayout>
                  <c:x val="0.26858046287521148"/>
                  <c:y val="-0.2156298524432980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27-4AB7-A7F8-D7BCD4377CD6}"/>
                </c:ext>
              </c:extLst>
            </c:dLbl>
            <c:dLbl>
              <c:idx val="3"/>
              <c:layout>
                <c:manualLayout>
                  <c:x val="-3.9003923722133162E-2"/>
                  <c:y val="5.1046289303906825E-2"/>
                </c:manualLayout>
              </c:layout>
              <c:spPr>
                <a:noFill/>
                <a:ln>
                  <a:noFill/>
                </a:ln>
                <a:effectLst/>
              </c:spPr>
              <c:txPr>
                <a:bodyPr wrap="square" lIns="38100" tIns="19050" rIns="38100" bIns="19050" anchor="ctr">
                  <a:spAutoFit/>
                </a:bodyPr>
                <a:lstStyle/>
                <a:p>
                  <a:pPr>
                    <a:defRPr>
                      <a:solidFill>
                        <a:sysClr val="windowText" lastClr="000000"/>
                      </a:solidFill>
                    </a:defRPr>
                  </a:pPr>
                  <a:endParaRPr lang="es-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B27-4AB7-A7F8-D7BCD4377CD6}"/>
                </c:ext>
              </c:extLst>
            </c:dLbl>
            <c:spPr>
              <a:noFill/>
              <a:ln>
                <a:noFill/>
              </a:ln>
              <a:effectLst/>
            </c:sp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REASEG'!$CS$11:$CS$14</c:f>
              <c:numCache>
                <c:formatCode>0%</c:formatCode>
                <c:ptCount val="4"/>
                <c:pt idx="0">
                  <c:v>8.1967213114754103E-3</c:v>
                </c:pt>
                <c:pt idx="1">
                  <c:v>0.27049180327868855</c:v>
                </c:pt>
                <c:pt idx="2">
                  <c:v>0.67213114754098358</c:v>
                </c:pt>
                <c:pt idx="3">
                  <c:v>4.9180327868852458E-2</c:v>
                </c:pt>
              </c:numCache>
            </c:numRef>
          </c:val>
          <c:extLst>
            <c:ext xmlns:c16="http://schemas.microsoft.com/office/drawing/2014/chart" uri="{C3380CC4-5D6E-409C-BE32-E72D297353CC}">
              <c16:uniqueId val="{00000008-DB27-4AB7-A7F8-D7BCD4377CD6}"/>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baseline="0"/>
              <a:t>DIST.LIMA (440)</a:t>
            </a:r>
            <a:endParaRPr lang="es-PE"/>
          </a:p>
        </c:rich>
      </c:tx>
      <c:layout>
        <c:manualLayout>
          <c:xMode val="edge"/>
          <c:yMode val="edge"/>
          <c:x val="0.40901428660000178"/>
          <c:y val="5.1971523847504778E-4"/>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498312710911136E-2"/>
          <c:y val="0.22688257122573602"/>
          <c:w val="0.95050618672665921"/>
          <c:h val="0.7731174287742640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FF81-47F7-87F2-362CF7A6DB77}"/>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FF81-47F7-87F2-362CF7A6DB77}"/>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FF81-47F7-87F2-362CF7A6DB77}"/>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FF81-47F7-87F2-362CF7A6DB77}"/>
              </c:ext>
            </c:extLst>
          </c:dPt>
          <c:dLbls>
            <c:dLbl>
              <c:idx val="0"/>
              <c:layout>
                <c:manualLayout>
                  <c:x val="9.9605324924935484E-2"/>
                  <c:y val="4.11455372370665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81-47F7-87F2-362CF7A6DB77}"/>
                </c:ext>
              </c:extLst>
            </c:dLbl>
            <c:dLbl>
              <c:idx val="1"/>
              <c:layout>
                <c:manualLayout>
                  <c:x val="-0.18391716783433576"/>
                  <c:y val="6.0513238243122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81-47F7-87F2-362CF7A6DB77}"/>
                </c:ext>
              </c:extLst>
            </c:dLbl>
            <c:dLbl>
              <c:idx val="2"/>
              <c:layout>
                <c:manualLayout>
                  <c:x val="0.26858046287521148"/>
                  <c:y val="-0.2156298524432980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81-47F7-87F2-362CF7A6DB77}"/>
                </c:ext>
              </c:extLst>
            </c:dLbl>
            <c:dLbl>
              <c:idx val="3"/>
              <c:layout>
                <c:manualLayout>
                  <c:x val="-3.9003923722133162E-2"/>
                  <c:y val="5.1046289303906825E-2"/>
                </c:manualLayout>
              </c:layout>
              <c:spPr>
                <a:noFill/>
                <a:ln>
                  <a:noFill/>
                </a:ln>
                <a:effectLst/>
              </c:spPr>
              <c:txPr>
                <a:bodyPr wrap="square" lIns="38100" tIns="19050" rIns="38100" bIns="19050" anchor="ctr">
                  <a:spAutoFit/>
                </a:bodyPr>
                <a:lstStyle/>
                <a:p>
                  <a:pPr>
                    <a:defRPr>
                      <a:solidFill>
                        <a:sysClr val="windowText" lastClr="000000"/>
                      </a:solidFill>
                    </a:defRPr>
                  </a:pPr>
                  <a:endParaRPr lang="es-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F81-47F7-87F2-362CF7A6DB77}"/>
                </c:ext>
              </c:extLst>
            </c:dLbl>
            <c:spPr>
              <a:noFill/>
              <a:ln>
                <a:noFill/>
              </a:ln>
              <a:effectLst/>
            </c:sp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REASEG'!$CQ$11:$CQ$14</c:f>
              <c:numCache>
                <c:formatCode>0%</c:formatCode>
                <c:ptCount val="4"/>
                <c:pt idx="0">
                  <c:v>3.1818181818181815E-2</c:v>
                </c:pt>
                <c:pt idx="1">
                  <c:v>0.37045454545454548</c:v>
                </c:pt>
                <c:pt idx="2">
                  <c:v>0.57045454545454544</c:v>
                </c:pt>
                <c:pt idx="3">
                  <c:v>2.7272727272727271E-2</c:v>
                </c:pt>
              </c:numCache>
            </c:numRef>
          </c:val>
          <c:extLst>
            <c:ext xmlns:c16="http://schemas.microsoft.com/office/drawing/2014/chart" uri="{C3380CC4-5D6E-409C-BE32-E72D297353CC}">
              <c16:uniqueId val="{00000008-FF81-47F7-87F2-362CF7A6DB7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baseline="0"/>
              <a:t>DET&amp;JAB </a:t>
            </a:r>
            <a:r>
              <a:rPr lang="es-PE"/>
              <a:t>(114)</a:t>
            </a:r>
          </a:p>
        </c:rich>
      </c:tx>
      <c:layout>
        <c:manualLayout>
          <c:xMode val="edge"/>
          <c:yMode val="edge"/>
          <c:x val="0.38876681753363507"/>
          <c:y val="2.746005617167149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498312710911136E-2"/>
          <c:y val="0.22688257122573602"/>
          <c:w val="0.95050618672665921"/>
          <c:h val="0.7731174287742640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8759-4D81-BDE0-E0A6960C85B2}"/>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8759-4D81-BDE0-E0A6960C85B2}"/>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8759-4D81-BDE0-E0A6960C85B2}"/>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8759-4D81-BDE0-E0A6960C85B2}"/>
              </c:ext>
            </c:extLst>
          </c:dPt>
          <c:dLbls>
            <c:dLbl>
              <c:idx val="0"/>
              <c:layout>
                <c:manualLayout>
                  <c:x val="9.9605324924935484E-2"/>
                  <c:y val="4.11455372370665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759-4D81-BDE0-E0A6960C85B2}"/>
                </c:ext>
              </c:extLst>
            </c:dLbl>
            <c:dLbl>
              <c:idx val="1"/>
              <c:layout>
                <c:manualLayout>
                  <c:x val="-0.19966519933039875"/>
                  <c:y val="6.50032950653214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759-4D81-BDE0-E0A6960C85B2}"/>
                </c:ext>
              </c:extLst>
            </c:dLbl>
            <c:dLbl>
              <c:idx val="2"/>
              <c:layout>
                <c:manualLayout>
                  <c:x val="0.25958158773460405"/>
                  <c:y val="-0.1168486023549110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759-4D81-BDE0-E0A6960C85B2}"/>
                </c:ext>
              </c:extLst>
            </c:dLbl>
            <c:dLbl>
              <c:idx val="3"/>
              <c:layout>
                <c:manualLayout>
                  <c:x val="-0.11774408120244811"/>
                  <c:y val="4.655623248170744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759-4D81-BDE0-E0A6960C85B2}"/>
                </c:ext>
              </c:extLst>
            </c:dLbl>
            <c:spPr>
              <a:noFill/>
              <a:ln>
                <a:noFill/>
              </a:ln>
              <a:effectLst/>
            </c:sp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REASEG'!$CW$11:$CW$14</c:f>
              <c:numCache>
                <c:formatCode>0%</c:formatCode>
                <c:ptCount val="4"/>
                <c:pt idx="0">
                  <c:v>7.6315789473684207E-3</c:v>
                </c:pt>
                <c:pt idx="1">
                  <c:v>0.39324561403508773</c:v>
                </c:pt>
                <c:pt idx="2">
                  <c:v>0.57675438596491224</c:v>
                </c:pt>
                <c:pt idx="3">
                  <c:v>2.2368421052631579E-2</c:v>
                </c:pt>
              </c:numCache>
            </c:numRef>
          </c:val>
          <c:extLst>
            <c:ext xmlns:c16="http://schemas.microsoft.com/office/drawing/2014/chart" uri="{C3380CC4-5D6E-409C-BE32-E72D297353CC}">
              <c16:uniqueId val="{00000008-8759-4D81-BDE0-E0A6960C85B2}"/>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baseline="0"/>
              <a:t>CD HUACHIPA (72)</a:t>
            </a:r>
            <a:endParaRPr lang="es-PE"/>
          </a:p>
        </c:rich>
      </c:tx>
      <c:layout>
        <c:manualLayout>
          <c:xMode val="edge"/>
          <c:yMode val="edge"/>
          <c:x val="0.38876681753363507"/>
          <c:y val="4.5420283460469113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498312710911136E-2"/>
          <c:y val="0.22688257122573602"/>
          <c:w val="0.95050618672665921"/>
          <c:h val="0.7731174287742640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5C3B-4506-99B1-29A82E881834}"/>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5C3B-4506-99B1-29A82E881834}"/>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5C3B-4506-99B1-29A82E881834}"/>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5C3B-4506-99B1-29A82E881834}"/>
              </c:ext>
            </c:extLst>
          </c:dPt>
          <c:dLbls>
            <c:dLbl>
              <c:idx val="0"/>
              <c:layout>
                <c:manualLayout>
                  <c:x val="9.9605324924935484E-2"/>
                  <c:y val="4.11455372370665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C3B-4506-99B1-29A82E881834}"/>
                </c:ext>
              </c:extLst>
            </c:dLbl>
            <c:dLbl>
              <c:idx val="1"/>
              <c:layout>
                <c:manualLayout>
                  <c:x val="-0.18391716783433576"/>
                  <c:y val="6.0513238243122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C3B-4506-99B1-29A82E881834}"/>
                </c:ext>
              </c:extLst>
            </c:dLbl>
            <c:dLbl>
              <c:idx val="2"/>
              <c:layout>
                <c:manualLayout>
                  <c:x val="0.26858046287521148"/>
                  <c:y val="-0.2156298524432980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C3B-4506-99B1-29A82E881834}"/>
                </c:ext>
              </c:extLst>
            </c:dLbl>
            <c:dLbl>
              <c:idx val="3"/>
              <c:layout>
                <c:manualLayout>
                  <c:x val="-3.9003923722133162E-2"/>
                  <c:y val="5.1046289303906825E-2"/>
                </c:manualLayout>
              </c:layout>
              <c:spPr>
                <a:noFill/>
                <a:ln>
                  <a:noFill/>
                </a:ln>
                <a:effectLst/>
              </c:spPr>
              <c:txPr>
                <a:bodyPr wrap="square" lIns="38100" tIns="19050" rIns="38100" bIns="19050" anchor="ctr">
                  <a:spAutoFit/>
                </a:bodyPr>
                <a:lstStyle/>
                <a:p>
                  <a:pPr>
                    <a:defRPr>
                      <a:solidFill>
                        <a:sysClr val="windowText" lastClr="000000"/>
                      </a:solidFill>
                    </a:defRPr>
                  </a:pPr>
                  <a:endParaRPr lang="es-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C3B-4506-99B1-29A82E881834}"/>
                </c:ext>
              </c:extLst>
            </c:dLbl>
            <c:spPr>
              <a:noFill/>
              <a:ln>
                <a:noFill/>
              </a:ln>
              <a:effectLst/>
            </c:sp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REASEG'!$BS$11:$BS$14</c:f>
              <c:numCache>
                <c:formatCode>0%</c:formatCode>
                <c:ptCount val="4"/>
                <c:pt idx="0">
                  <c:v>8.3333333333333329E-2</c:v>
                </c:pt>
                <c:pt idx="1">
                  <c:v>0.31944444444444442</c:v>
                </c:pt>
                <c:pt idx="2">
                  <c:v>0.54166666666666663</c:v>
                </c:pt>
                <c:pt idx="3">
                  <c:v>5.5555555555555552E-2</c:v>
                </c:pt>
              </c:numCache>
            </c:numRef>
          </c:val>
          <c:extLst>
            <c:ext xmlns:c16="http://schemas.microsoft.com/office/drawing/2014/chart" uri="{C3380CC4-5D6E-409C-BE32-E72D297353CC}">
              <c16:uniqueId val="{00000008-5C3B-4506-99B1-29A82E881834}"/>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baseline="0"/>
              <a:t>CD AGUSTINO (18)</a:t>
            </a:r>
            <a:endParaRPr lang="es-PE"/>
          </a:p>
        </c:rich>
      </c:tx>
      <c:layout>
        <c:manualLayout>
          <c:xMode val="edge"/>
          <c:yMode val="edge"/>
          <c:x val="0.38876681753363507"/>
          <c:y val="4.5420283460469113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498312710911136E-2"/>
          <c:y val="0.22688257122573602"/>
          <c:w val="0.95050618672665921"/>
          <c:h val="0.7731174287742640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28C6-465F-9077-F245811D122E}"/>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28C6-465F-9077-F245811D122E}"/>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28C6-465F-9077-F245811D122E}"/>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28C6-465F-9077-F245811D122E}"/>
              </c:ext>
            </c:extLst>
          </c:dPt>
          <c:dLbls>
            <c:dLbl>
              <c:idx val="0"/>
              <c:layout>
                <c:manualLayout>
                  <c:x val="5.6860668007050301E-2"/>
                  <c:y val="4.11455372370664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8C6-465F-9077-F245811D122E}"/>
                </c:ext>
              </c:extLst>
            </c:dLbl>
            <c:dLbl>
              <c:idx val="1"/>
              <c:layout>
                <c:manualLayout>
                  <c:x val="-0.24240985624828393"/>
                  <c:y val="-0.2807310802440328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C6-465F-9077-F245811D122E}"/>
                </c:ext>
              </c:extLst>
            </c:dLbl>
            <c:dLbl>
              <c:idx val="2"/>
              <c:layout>
                <c:manualLayout>
                  <c:x val="0.243833556238541"/>
                  <c:y val="5.377355688866643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8C6-465F-9077-F245811D122E}"/>
                </c:ext>
              </c:extLst>
            </c:dLbl>
            <c:dLbl>
              <c:idx val="3"/>
              <c:layout>
                <c:manualLayout>
                  <c:x val="-0.15823901933518156"/>
                  <c:y val="3.3086062015109219E-2"/>
                </c:manualLayout>
              </c:layout>
              <c:spPr>
                <a:noFill/>
                <a:ln>
                  <a:noFill/>
                </a:ln>
                <a:effectLst/>
              </c:spPr>
              <c:txPr>
                <a:bodyPr wrap="square" lIns="38100" tIns="19050" rIns="38100" bIns="19050" anchor="ctr">
                  <a:spAutoFit/>
                </a:bodyPr>
                <a:lstStyle/>
                <a:p>
                  <a:pPr>
                    <a:defRPr>
                      <a:solidFill>
                        <a:sysClr val="windowText" lastClr="000000"/>
                      </a:solidFill>
                    </a:defRPr>
                  </a:pPr>
                  <a:endParaRPr lang="es-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8C6-465F-9077-F245811D122E}"/>
                </c:ext>
              </c:extLst>
            </c:dLbl>
            <c:spPr>
              <a:noFill/>
              <a:ln>
                <a:noFill/>
              </a:ln>
              <a:effectLst/>
            </c:sp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REASEG'!$BQ$11:$BQ$14</c:f>
              <c:numCache>
                <c:formatCode>0%</c:formatCode>
                <c:ptCount val="4"/>
                <c:pt idx="0">
                  <c:v>0.1111111111111111</c:v>
                </c:pt>
                <c:pt idx="1">
                  <c:v>0.5</c:v>
                </c:pt>
                <c:pt idx="2">
                  <c:v>0.3888888888888889</c:v>
                </c:pt>
                <c:pt idx="3">
                  <c:v>0</c:v>
                </c:pt>
              </c:numCache>
            </c:numRef>
          </c:val>
          <c:extLst>
            <c:ext xmlns:c16="http://schemas.microsoft.com/office/drawing/2014/chart" uri="{C3380CC4-5D6E-409C-BE32-E72D297353CC}">
              <c16:uniqueId val="{00000008-28C6-465F-9077-F245811D122E}"/>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baseline="0"/>
              <a:t>CDA (64)</a:t>
            </a:r>
            <a:endParaRPr lang="es-PE"/>
          </a:p>
        </c:rich>
      </c:tx>
      <c:layout>
        <c:manualLayout>
          <c:xMode val="edge"/>
          <c:yMode val="edge"/>
          <c:x val="0.46750697501395005"/>
          <c:y val="1.8479942527272676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498312710911136E-2"/>
          <c:y val="0.22688257122573602"/>
          <c:w val="0.95050618672665921"/>
          <c:h val="0.77311742877426404"/>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F7FC-4F35-A4C4-56C811E9D257}"/>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F7FC-4F35-A4C4-56C811E9D257}"/>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F7FC-4F35-A4C4-56C811E9D257}"/>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F7FC-4F35-A4C4-56C811E9D257}"/>
              </c:ext>
            </c:extLst>
          </c:dPt>
          <c:dLbls>
            <c:dLbl>
              <c:idx val="0"/>
              <c:layout>
                <c:manualLayout>
                  <c:x val="9.9605324924935484E-2"/>
                  <c:y val="4.11455372370665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FC-4F35-A4C4-56C811E9D257}"/>
                </c:ext>
              </c:extLst>
            </c:dLbl>
            <c:dLbl>
              <c:idx val="1"/>
              <c:layout>
                <c:manualLayout>
                  <c:x val="-0.15242110484220969"/>
                  <c:y val="0.1143939201095149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7FC-4F35-A4C4-56C811E9D257}"/>
                </c:ext>
              </c:extLst>
            </c:dLbl>
            <c:dLbl>
              <c:idx val="2"/>
              <c:layout>
                <c:manualLayout>
                  <c:x val="0.2190866496018706"/>
                  <c:y val="-0.3503315571092802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7FC-4F35-A4C4-56C811E9D257}"/>
                </c:ext>
              </c:extLst>
            </c:dLbl>
            <c:dLbl>
              <c:idx val="3"/>
              <c:layout>
                <c:manualLayout>
                  <c:x val="-3.9003923722133162E-2"/>
                  <c:y val="5.1046289303906825E-2"/>
                </c:manualLayout>
              </c:layout>
              <c:spPr>
                <a:noFill/>
                <a:ln>
                  <a:noFill/>
                </a:ln>
                <a:effectLst/>
              </c:spPr>
              <c:txPr>
                <a:bodyPr wrap="square" lIns="38100" tIns="19050" rIns="38100" bIns="19050" anchor="ctr">
                  <a:spAutoFit/>
                </a:bodyPr>
                <a:lstStyle/>
                <a:p>
                  <a:pPr>
                    <a:defRPr>
                      <a:solidFill>
                        <a:sysClr val="windowText" lastClr="000000"/>
                      </a:solidFill>
                    </a:defRPr>
                  </a:pPr>
                  <a:endParaRPr lang="es-PE"/>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7FC-4F35-A4C4-56C811E9D257}"/>
                </c:ext>
              </c:extLst>
            </c:dLbl>
            <c:spPr>
              <a:noFill/>
              <a:ln>
                <a:noFill/>
              </a:ln>
              <a:effectLst/>
            </c:sp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REASEG'!$CB$11:$CB$14</c:f>
              <c:numCache>
                <c:formatCode>General</c:formatCode>
                <c:ptCount val="4"/>
                <c:pt idx="0">
                  <c:v>0</c:v>
                </c:pt>
                <c:pt idx="1">
                  <c:v>13</c:v>
                </c:pt>
                <c:pt idx="2">
                  <c:v>48</c:v>
                </c:pt>
                <c:pt idx="3">
                  <c:v>3</c:v>
                </c:pt>
              </c:numCache>
            </c:numRef>
          </c:val>
          <c:extLst>
            <c:ext xmlns:c16="http://schemas.microsoft.com/office/drawing/2014/chart" uri="{C3380CC4-5D6E-409C-BE32-E72D297353CC}">
              <c16:uniqueId val="{00000008-F7FC-4F35-A4C4-56C811E9D25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s-PE" sz="1800"/>
              <a:t>EVALUACION</a:t>
            </a:r>
            <a:r>
              <a:rPr lang="es-PE" sz="1800" baseline="0"/>
              <a:t> GENERAL DEL SGSST PERU + PAISES </a:t>
            </a:r>
            <a:endParaRPr lang="es-PE" sz="1800"/>
          </a:p>
        </c:rich>
      </c:tx>
      <c:layout>
        <c:manualLayout>
          <c:xMode val="edge"/>
          <c:yMode val="edge"/>
          <c:x val="0.251921044607956"/>
          <c:y val="4.9932137277263172E-2"/>
        </c:manualLayout>
      </c:layout>
      <c:overlay val="0"/>
    </c:title>
    <c:autoTitleDeleted val="0"/>
    <c:plotArea>
      <c:layout>
        <c:manualLayout>
          <c:layoutTarget val="inner"/>
          <c:xMode val="edge"/>
          <c:yMode val="edge"/>
          <c:x val="5.8670555125993389E-2"/>
          <c:y val="0.1491834782334451"/>
          <c:w val="0.89745603674540686"/>
          <c:h val="0.7211245990084576"/>
        </c:manualLayout>
      </c:layout>
      <c:barChart>
        <c:barDir val="col"/>
        <c:grouping val="clustered"/>
        <c:varyColors val="0"/>
        <c:ser>
          <c:idx val="1"/>
          <c:order val="0"/>
          <c:spPr>
            <a:solidFill>
              <a:srgbClr val="00B050"/>
            </a:solidFill>
            <a:ln>
              <a:noFill/>
            </a:ln>
          </c:spPr>
          <c:invertIfNegative val="0"/>
          <c:dPt>
            <c:idx val="0"/>
            <c:invertIfNegative val="0"/>
            <c:bubble3D val="0"/>
            <c:spPr>
              <a:solidFill>
                <a:srgbClr val="FFFF00"/>
              </a:solidFill>
              <a:ln>
                <a:noFill/>
              </a:ln>
            </c:spPr>
            <c:extLst>
              <c:ext xmlns:c16="http://schemas.microsoft.com/office/drawing/2014/chart" uri="{C3380CC4-5D6E-409C-BE32-E72D297353CC}">
                <c16:uniqueId val="{00000001-641B-40C7-B136-11922E14A10F}"/>
              </c:ext>
            </c:extLst>
          </c:dPt>
          <c:dPt>
            <c:idx val="1"/>
            <c:invertIfNegative val="0"/>
            <c:bubble3D val="0"/>
            <c:extLst>
              <c:ext xmlns:c16="http://schemas.microsoft.com/office/drawing/2014/chart" uri="{C3380CC4-5D6E-409C-BE32-E72D297353CC}">
                <c16:uniqueId val="{00000002-641B-40C7-B136-11922E14A10F}"/>
              </c:ext>
            </c:extLst>
          </c:dPt>
          <c:dPt>
            <c:idx val="2"/>
            <c:invertIfNegative val="0"/>
            <c:bubble3D val="0"/>
            <c:spPr>
              <a:solidFill>
                <a:srgbClr val="FFFF00"/>
              </a:solidFill>
              <a:ln>
                <a:noFill/>
              </a:ln>
            </c:spPr>
            <c:extLst>
              <c:ext xmlns:c16="http://schemas.microsoft.com/office/drawing/2014/chart" uri="{C3380CC4-5D6E-409C-BE32-E72D297353CC}">
                <c16:uniqueId val="{00000004-641B-40C7-B136-11922E14A10F}"/>
              </c:ext>
            </c:extLst>
          </c:dPt>
          <c:dPt>
            <c:idx val="3"/>
            <c:invertIfNegative val="0"/>
            <c:bubble3D val="0"/>
            <c:extLst>
              <c:ext xmlns:c16="http://schemas.microsoft.com/office/drawing/2014/chart" uri="{C3380CC4-5D6E-409C-BE32-E72D297353CC}">
                <c16:uniqueId val="{00000005-641B-40C7-B136-11922E14A10F}"/>
              </c:ext>
            </c:extLst>
          </c:dPt>
          <c:dPt>
            <c:idx val="4"/>
            <c:invertIfNegative val="0"/>
            <c:bubble3D val="0"/>
            <c:extLst>
              <c:ext xmlns:c16="http://schemas.microsoft.com/office/drawing/2014/chart" uri="{C3380CC4-5D6E-409C-BE32-E72D297353CC}">
                <c16:uniqueId val="{00000006-641B-40C7-B136-11922E14A10F}"/>
              </c:ext>
            </c:extLst>
          </c:dPt>
          <c:dPt>
            <c:idx val="5"/>
            <c:invertIfNegative val="0"/>
            <c:bubble3D val="0"/>
            <c:spPr>
              <a:solidFill>
                <a:srgbClr val="FFFF00"/>
              </a:solidFill>
              <a:ln>
                <a:noFill/>
              </a:ln>
            </c:spPr>
            <c:extLst>
              <c:ext xmlns:c16="http://schemas.microsoft.com/office/drawing/2014/chart" uri="{C3380CC4-5D6E-409C-BE32-E72D297353CC}">
                <c16:uniqueId val="{00000008-641B-40C7-B136-11922E14A10F}"/>
              </c:ext>
            </c:extLst>
          </c:dPt>
          <c:dPt>
            <c:idx val="6"/>
            <c:invertIfNegative val="0"/>
            <c:bubble3D val="0"/>
            <c:spPr>
              <a:solidFill>
                <a:srgbClr val="FFFF00"/>
              </a:solidFill>
              <a:ln>
                <a:noFill/>
              </a:ln>
            </c:spPr>
            <c:extLst>
              <c:ext xmlns:c16="http://schemas.microsoft.com/office/drawing/2014/chart" uri="{C3380CC4-5D6E-409C-BE32-E72D297353CC}">
                <c16:uniqueId val="{0000000A-641B-40C7-B136-11922E14A10F}"/>
              </c:ext>
            </c:extLst>
          </c:dPt>
          <c:dPt>
            <c:idx val="7"/>
            <c:invertIfNegative val="0"/>
            <c:bubble3D val="0"/>
            <c:extLst>
              <c:ext xmlns:c16="http://schemas.microsoft.com/office/drawing/2014/chart" uri="{C3380CC4-5D6E-409C-BE32-E72D297353CC}">
                <c16:uniqueId val="{0000000B-641B-40C7-B136-11922E14A10F}"/>
              </c:ext>
            </c:extLst>
          </c:dPt>
          <c:dLbls>
            <c:dLbl>
              <c:idx val="6"/>
              <c:layout>
                <c:manualLayout>
                  <c:x val="-1.1154441428690598E-16"/>
                  <c:y val="-3.20427236315086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41B-40C7-B136-11922E14A10F}"/>
                </c:ext>
              </c:extLst>
            </c:dLbl>
            <c:spPr>
              <a:noFill/>
              <a:ln>
                <a:noFill/>
              </a:ln>
              <a:effectLst/>
            </c:spPr>
            <c:txPr>
              <a:bodyPr/>
              <a:lstStyle/>
              <a:p>
                <a:pPr>
                  <a:defRPr sz="1200" b="1" i="0" u="none" strike="noStrike" baseline="0">
                    <a:solidFill>
                      <a:srgbClr val="000000"/>
                    </a:solidFill>
                    <a:latin typeface="Calibri"/>
                    <a:ea typeface="Calibri"/>
                    <a:cs typeface="Calibri"/>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[13]Graficos!$B$2:$B$8</c:f>
              <c:strCache>
                <c:ptCount val="7"/>
                <c:pt idx="0">
                  <c:v>LIDERAZGO Y PARTICIPACION</c:v>
                </c:pt>
                <c:pt idx="1">
                  <c:v>COMPETENCIA</c:v>
                </c:pt>
                <c:pt idx="2">
                  <c:v>CULTURA</c:v>
                </c:pt>
                <c:pt idx="3">
                  <c:v>COMPLIANCE</c:v>
                </c:pt>
                <c:pt idx="4">
                  <c:v>SEGURIDAD EN LOS PROCESOS</c:v>
                </c:pt>
                <c:pt idx="5">
                  <c:v>DISEÑO SEGURO Y SALUDABLE</c:v>
                </c:pt>
                <c:pt idx="6">
                  <c:v>% TOTAL DE CUMPLIMIENTO</c:v>
                </c:pt>
              </c:strCache>
            </c:strRef>
          </c:cat>
          <c:val>
            <c:numRef>
              <c:f>'EVALUACIONES - REASEG'!$AK$39:$AK$45</c:f>
              <c:numCache>
                <c:formatCode>0%</c:formatCode>
                <c:ptCount val="7"/>
                <c:pt idx="0">
                  <c:v>0.66</c:v>
                </c:pt>
                <c:pt idx="1">
                  <c:v>0.69</c:v>
                </c:pt>
                <c:pt idx="2">
                  <c:v>0.55000000000000004</c:v>
                </c:pt>
                <c:pt idx="3">
                  <c:v>0.82</c:v>
                </c:pt>
                <c:pt idx="4">
                  <c:v>0.7</c:v>
                </c:pt>
                <c:pt idx="5">
                  <c:v>0.69</c:v>
                </c:pt>
                <c:pt idx="6">
                  <c:v>0.67</c:v>
                </c:pt>
              </c:numCache>
            </c:numRef>
          </c:val>
          <c:extLst>
            <c:ext xmlns:c16="http://schemas.microsoft.com/office/drawing/2014/chart" uri="{C3380CC4-5D6E-409C-BE32-E72D297353CC}">
              <c16:uniqueId val="{0000000C-641B-40C7-B136-11922E14A10F}"/>
            </c:ext>
          </c:extLst>
        </c:ser>
        <c:dLbls>
          <c:showLegendKey val="0"/>
          <c:showVal val="0"/>
          <c:showCatName val="0"/>
          <c:showSerName val="0"/>
          <c:showPercent val="0"/>
          <c:showBubbleSize val="0"/>
        </c:dLbls>
        <c:gapWidth val="150"/>
        <c:axId val="194132992"/>
        <c:axId val="194134784"/>
      </c:barChart>
      <c:catAx>
        <c:axId val="19413299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PE"/>
          </a:p>
        </c:txPr>
        <c:crossAx val="194134784"/>
        <c:crosses val="autoZero"/>
        <c:auto val="1"/>
        <c:lblAlgn val="ctr"/>
        <c:lblOffset val="100"/>
        <c:noMultiLvlLbl val="0"/>
      </c:catAx>
      <c:valAx>
        <c:axId val="19413478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PE"/>
          </a:p>
        </c:txPr>
        <c:crossAx val="194132992"/>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s-PE"/>
    </a:p>
  </c:txPr>
  <c:printSettings>
    <c:headerFooter/>
    <c:pageMargins b="0.75000000000000089" l="0.70000000000000062" r="0.70000000000000062" t="0.75000000000000089" header="0.30000000000000032" footer="0.30000000000000032"/>
    <c:pageSetup/>
  </c:printSettings>
</c:chartSpace>
</file>

<file path=xl/charts/chart2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s-PE" sz="1800"/>
              <a:t>EVALUACION</a:t>
            </a:r>
            <a:r>
              <a:rPr lang="es-PE" sz="1800" baseline="0"/>
              <a:t> GENERAL DEL SGSST POR PLANTAS </a:t>
            </a:r>
            <a:endParaRPr lang="es-PE" sz="1800"/>
          </a:p>
        </c:rich>
      </c:tx>
      <c:layout>
        <c:manualLayout>
          <c:xMode val="edge"/>
          <c:yMode val="edge"/>
          <c:x val="0.3430820137213379"/>
          <c:y val="5.2602420024599729E-2"/>
        </c:manualLayout>
      </c:layout>
      <c:overlay val="0"/>
    </c:title>
    <c:autoTitleDeleted val="0"/>
    <c:plotArea>
      <c:layout>
        <c:manualLayout>
          <c:layoutTarget val="inner"/>
          <c:xMode val="edge"/>
          <c:yMode val="edge"/>
          <c:x val="7.4319408261575945E-2"/>
          <c:y val="0.15452393217202987"/>
          <c:w val="0.89745603674540686"/>
          <c:h val="0.77719941549362392"/>
        </c:manualLayout>
      </c:layout>
      <c:barChart>
        <c:barDir val="col"/>
        <c:grouping val="clustered"/>
        <c:varyColors val="0"/>
        <c:ser>
          <c:idx val="1"/>
          <c:order val="0"/>
          <c:spPr>
            <a:solidFill>
              <a:srgbClr val="00B050"/>
            </a:solidFill>
            <a:ln>
              <a:noFill/>
            </a:ln>
          </c:spPr>
          <c:invertIfNegative val="0"/>
          <c:dPt>
            <c:idx val="0"/>
            <c:invertIfNegative val="0"/>
            <c:bubble3D val="0"/>
            <c:spPr>
              <a:solidFill>
                <a:srgbClr val="FFFF00"/>
              </a:solidFill>
              <a:ln>
                <a:noFill/>
              </a:ln>
            </c:spPr>
            <c:extLst>
              <c:ext xmlns:c16="http://schemas.microsoft.com/office/drawing/2014/chart" uri="{C3380CC4-5D6E-409C-BE32-E72D297353CC}">
                <c16:uniqueId val="{00000001-4E77-4C92-84D4-2E260CB23314}"/>
              </c:ext>
            </c:extLst>
          </c:dPt>
          <c:dPt>
            <c:idx val="1"/>
            <c:invertIfNegative val="0"/>
            <c:bubble3D val="0"/>
            <c:spPr>
              <a:solidFill>
                <a:srgbClr val="FFFF00"/>
              </a:solidFill>
              <a:ln>
                <a:noFill/>
              </a:ln>
            </c:spPr>
            <c:extLst>
              <c:ext xmlns:c16="http://schemas.microsoft.com/office/drawing/2014/chart" uri="{C3380CC4-5D6E-409C-BE32-E72D297353CC}">
                <c16:uniqueId val="{00000002-4E77-4C92-84D4-2E260CB23314}"/>
              </c:ext>
            </c:extLst>
          </c:dPt>
          <c:dPt>
            <c:idx val="2"/>
            <c:invertIfNegative val="0"/>
            <c:bubble3D val="0"/>
            <c:extLst>
              <c:ext xmlns:c16="http://schemas.microsoft.com/office/drawing/2014/chart" uri="{C3380CC4-5D6E-409C-BE32-E72D297353CC}">
                <c16:uniqueId val="{00000004-4E77-4C92-84D4-2E260CB23314}"/>
              </c:ext>
            </c:extLst>
          </c:dPt>
          <c:dPt>
            <c:idx val="3"/>
            <c:invertIfNegative val="0"/>
            <c:bubble3D val="0"/>
            <c:spPr>
              <a:solidFill>
                <a:srgbClr val="FFFF00"/>
              </a:solidFill>
              <a:ln>
                <a:noFill/>
              </a:ln>
            </c:spPr>
            <c:extLst>
              <c:ext xmlns:c16="http://schemas.microsoft.com/office/drawing/2014/chart" uri="{C3380CC4-5D6E-409C-BE32-E72D297353CC}">
                <c16:uniqueId val="{00000005-4E77-4C92-84D4-2E260CB23314}"/>
              </c:ext>
            </c:extLst>
          </c:dPt>
          <c:dPt>
            <c:idx val="4"/>
            <c:invertIfNegative val="0"/>
            <c:bubble3D val="0"/>
            <c:extLst>
              <c:ext xmlns:c16="http://schemas.microsoft.com/office/drawing/2014/chart" uri="{C3380CC4-5D6E-409C-BE32-E72D297353CC}">
                <c16:uniqueId val="{00000006-4E77-4C92-84D4-2E260CB23314}"/>
              </c:ext>
            </c:extLst>
          </c:dPt>
          <c:dPt>
            <c:idx val="5"/>
            <c:invertIfNegative val="0"/>
            <c:bubble3D val="0"/>
            <c:extLst>
              <c:ext xmlns:c16="http://schemas.microsoft.com/office/drawing/2014/chart" uri="{C3380CC4-5D6E-409C-BE32-E72D297353CC}">
                <c16:uniqueId val="{00000008-4E77-4C92-84D4-2E260CB23314}"/>
              </c:ext>
            </c:extLst>
          </c:dPt>
          <c:dPt>
            <c:idx val="6"/>
            <c:invertIfNegative val="0"/>
            <c:bubble3D val="0"/>
            <c:spPr>
              <a:solidFill>
                <a:srgbClr val="FFFF00"/>
              </a:solidFill>
              <a:ln>
                <a:noFill/>
              </a:ln>
            </c:spPr>
            <c:extLst>
              <c:ext xmlns:c16="http://schemas.microsoft.com/office/drawing/2014/chart" uri="{C3380CC4-5D6E-409C-BE32-E72D297353CC}">
                <c16:uniqueId val="{0000000A-4E77-4C92-84D4-2E260CB23314}"/>
              </c:ext>
            </c:extLst>
          </c:dPt>
          <c:dPt>
            <c:idx val="7"/>
            <c:invertIfNegative val="0"/>
            <c:bubble3D val="0"/>
            <c:spPr>
              <a:solidFill>
                <a:srgbClr val="FFFF00"/>
              </a:solidFill>
              <a:ln>
                <a:noFill/>
              </a:ln>
            </c:spPr>
            <c:extLst>
              <c:ext xmlns:c16="http://schemas.microsoft.com/office/drawing/2014/chart" uri="{C3380CC4-5D6E-409C-BE32-E72D297353CC}">
                <c16:uniqueId val="{0000000B-4E77-4C92-84D4-2E260CB23314}"/>
              </c:ext>
            </c:extLst>
          </c:dPt>
          <c:dPt>
            <c:idx val="8"/>
            <c:invertIfNegative val="0"/>
            <c:bubble3D val="0"/>
            <c:spPr>
              <a:solidFill>
                <a:srgbClr val="FFFF00"/>
              </a:solidFill>
              <a:ln>
                <a:noFill/>
              </a:ln>
            </c:spPr>
            <c:extLst>
              <c:ext xmlns:c16="http://schemas.microsoft.com/office/drawing/2014/chart" uri="{C3380CC4-5D6E-409C-BE32-E72D297353CC}">
                <c16:uniqueId val="{0000000D-390F-45A9-9F41-FA974A11D992}"/>
              </c:ext>
            </c:extLst>
          </c:dPt>
          <c:dPt>
            <c:idx val="9"/>
            <c:invertIfNegative val="0"/>
            <c:bubble3D val="0"/>
            <c:spPr>
              <a:solidFill>
                <a:srgbClr val="FFFF00"/>
              </a:solidFill>
              <a:ln>
                <a:noFill/>
              </a:ln>
            </c:spPr>
            <c:extLst>
              <c:ext xmlns:c16="http://schemas.microsoft.com/office/drawing/2014/chart" uri="{C3380CC4-5D6E-409C-BE32-E72D297353CC}">
                <c16:uniqueId val="{00000015-FEF5-4EA2-9A17-B4D2B5977562}"/>
              </c:ext>
            </c:extLst>
          </c:dPt>
          <c:dPt>
            <c:idx val="10"/>
            <c:invertIfNegative val="0"/>
            <c:bubble3D val="0"/>
            <c:spPr>
              <a:solidFill>
                <a:srgbClr val="FFFF00"/>
              </a:solidFill>
              <a:ln>
                <a:noFill/>
              </a:ln>
            </c:spPr>
            <c:extLst>
              <c:ext xmlns:c16="http://schemas.microsoft.com/office/drawing/2014/chart" uri="{C3380CC4-5D6E-409C-BE32-E72D297353CC}">
                <c16:uniqueId val="{00000014-FEF5-4EA2-9A17-B4D2B5977562}"/>
              </c:ext>
            </c:extLst>
          </c:dPt>
          <c:dPt>
            <c:idx val="11"/>
            <c:invertIfNegative val="0"/>
            <c:bubble3D val="0"/>
            <c:spPr>
              <a:solidFill>
                <a:srgbClr val="FFFF00"/>
              </a:solidFill>
              <a:ln>
                <a:noFill/>
              </a:ln>
            </c:spPr>
            <c:extLst>
              <c:ext xmlns:c16="http://schemas.microsoft.com/office/drawing/2014/chart" uri="{C3380CC4-5D6E-409C-BE32-E72D297353CC}">
                <c16:uniqueId val="{00000011-FEF5-4EA2-9A17-B4D2B5977562}"/>
              </c:ext>
            </c:extLst>
          </c:dPt>
          <c:dPt>
            <c:idx val="12"/>
            <c:invertIfNegative val="0"/>
            <c:bubble3D val="0"/>
            <c:spPr>
              <a:solidFill>
                <a:srgbClr val="FFFF00"/>
              </a:solidFill>
              <a:ln>
                <a:noFill/>
              </a:ln>
            </c:spPr>
            <c:extLst>
              <c:ext xmlns:c16="http://schemas.microsoft.com/office/drawing/2014/chart" uri="{C3380CC4-5D6E-409C-BE32-E72D297353CC}">
                <c16:uniqueId val="{00000010-FEF5-4EA2-9A17-B4D2B5977562}"/>
              </c:ext>
            </c:extLst>
          </c:dPt>
          <c:dPt>
            <c:idx val="13"/>
            <c:invertIfNegative val="0"/>
            <c:bubble3D val="0"/>
            <c:spPr>
              <a:solidFill>
                <a:srgbClr val="FFFF00"/>
              </a:solidFill>
              <a:ln>
                <a:noFill/>
              </a:ln>
            </c:spPr>
            <c:extLst>
              <c:ext xmlns:c16="http://schemas.microsoft.com/office/drawing/2014/chart" uri="{C3380CC4-5D6E-409C-BE32-E72D297353CC}">
                <c16:uniqueId val="{0000000F-FEF5-4EA2-9A17-B4D2B5977562}"/>
              </c:ext>
            </c:extLst>
          </c:dPt>
          <c:dPt>
            <c:idx val="14"/>
            <c:invertIfNegative val="0"/>
            <c:bubble3D val="0"/>
            <c:spPr>
              <a:solidFill>
                <a:srgbClr val="FFFF00"/>
              </a:solidFill>
              <a:ln>
                <a:noFill/>
              </a:ln>
            </c:spPr>
            <c:extLst>
              <c:ext xmlns:c16="http://schemas.microsoft.com/office/drawing/2014/chart" uri="{C3380CC4-5D6E-409C-BE32-E72D297353CC}">
                <c16:uniqueId val="{00000013-FEF5-4EA2-9A17-B4D2B5977562}"/>
              </c:ext>
            </c:extLst>
          </c:dPt>
          <c:dPt>
            <c:idx val="15"/>
            <c:invertIfNegative val="0"/>
            <c:bubble3D val="0"/>
            <c:spPr>
              <a:solidFill>
                <a:srgbClr val="FFFF00"/>
              </a:solidFill>
              <a:ln>
                <a:noFill/>
              </a:ln>
            </c:spPr>
            <c:extLst>
              <c:ext xmlns:c16="http://schemas.microsoft.com/office/drawing/2014/chart" uri="{C3380CC4-5D6E-409C-BE32-E72D297353CC}">
                <c16:uniqueId val="{00000012-FEF5-4EA2-9A17-B4D2B5977562}"/>
              </c:ext>
            </c:extLst>
          </c:dPt>
          <c:dLbls>
            <c:dLbl>
              <c:idx val="0"/>
              <c:layout>
                <c:manualLayout>
                  <c:x val="-3.541215707717536E-3"/>
                  <c:y val="2.4032042723631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77-4C92-84D4-2E260CB23314}"/>
                </c:ext>
              </c:extLst>
            </c:dLbl>
            <c:dLbl>
              <c:idx val="11"/>
              <c:layout>
                <c:manualLayout>
                  <c:x val="0"/>
                  <c:y val="-2.13618157543391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EF5-4EA2-9A17-B4D2B5977562}"/>
                </c:ext>
              </c:extLst>
            </c:dLbl>
            <c:dLbl>
              <c:idx val="13"/>
              <c:layout>
                <c:manualLayout>
                  <c:x val="-3.8791904037992851E-3"/>
                  <c:y val="-2.67022696929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EF5-4EA2-9A17-B4D2B5977562}"/>
                </c:ext>
              </c:extLst>
            </c:dLbl>
            <c:dLbl>
              <c:idx val="15"/>
              <c:layout>
                <c:manualLayout>
                  <c:x val="0"/>
                  <c:y val="5.34045393858477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EF5-4EA2-9A17-B4D2B5977562}"/>
                </c:ext>
              </c:extLst>
            </c:dLbl>
            <c:spPr>
              <a:noFill/>
              <a:ln>
                <a:noFill/>
              </a:ln>
              <a:effectLst/>
            </c:spPr>
            <c:txPr>
              <a:bodyPr/>
              <a:lstStyle/>
              <a:p>
                <a:pPr>
                  <a:defRPr sz="1400" b="1" i="0" u="none" strike="noStrike" baseline="0">
                    <a:solidFill>
                      <a:srgbClr val="000000"/>
                    </a:solidFill>
                    <a:latin typeface="Calibri"/>
                    <a:ea typeface="Calibri"/>
                    <a:cs typeface="Calibri"/>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'EVALUACIONES - REASEG'!$X$38:$AM$38</c:f>
              <c:strCache>
                <c:ptCount val="16"/>
                <c:pt idx="0">
                  <c:v>GALLETERA</c:v>
                </c:pt>
                <c:pt idx="1">
                  <c:v>FIDEERIA</c:v>
                </c:pt>
                <c:pt idx="2">
                  <c:v>COPSA</c:v>
                </c:pt>
                <c:pt idx="3">
                  <c:v>MOLINOS LIMA</c:v>
                </c:pt>
                <c:pt idx="4">
                  <c:v>DISTRIBUCION</c:v>
                </c:pt>
                <c:pt idx="5">
                  <c:v>SIDSUR</c:v>
                </c:pt>
                <c:pt idx="6">
                  <c:v>DET&amp;JAB</c:v>
                </c:pt>
                <c:pt idx="7">
                  <c:v>ALICORP</c:v>
                </c:pt>
                <c:pt idx="8">
                  <c:v>MB-LIMA</c:v>
                </c:pt>
                <c:pt idx="9">
                  <c:v>MB-CALLAO</c:v>
                </c:pt>
                <c:pt idx="10">
                  <c:v>MB-PAITA</c:v>
                </c:pt>
                <c:pt idx="11">
                  <c:v>ITDC</c:v>
                </c:pt>
                <c:pt idx="12">
                  <c:v>VITAPRO</c:v>
                </c:pt>
                <c:pt idx="13">
                  <c:v>PERU</c:v>
                </c:pt>
                <c:pt idx="14">
                  <c:v>ECUADOR</c:v>
                </c:pt>
                <c:pt idx="15">
                  <c:v>TOTAL</c:v>
                </c:pt>
              </c:strCache>
            </c:strRef>
          </c:cat>
          <c:val>
            <c:numRef>
              <c:f>'EVALUACIONES - REASEG'!$X$45:$AM$45</c:f>
              <c:numCache>
                <c:formatCode>0%</c:formatCode>
                <c:ptCount val="16"/>
                <c:pt idx="0">
                  <c:v>0.65</c:v>
                </c:pt>
                <c:pt idx="1">
                  <c:v>0.68</c:v>
                </c:pt>
                <c:pt idx="2">
                  <c:v>0.7</c:v>
                </c:pt>
                <c:pt idx="3">
                  <c:v>0.69</c:v>
                </c:pt>
                <c:pt idx="4">
                  <c:v>0.76</c:v>
                </c:pt>
                <c:pt idx="5">
                  <c:v>0.7</c:v>
                </c:pt>
                <c:pt idx="6">
                  <c:v>0.6</c:v>
                </c:pt>
                <c:pt idx="7">
                  <c:v>0.68285714285714294</c:v>
                </c:pt>
                <c:pt idx="8">
                  <c:v>0.60573004448329448</c:v>
                </c:pt>
                <c:pt idx="9">
                  <c:v>0.69499186446886441</c:v>
                </c:pt>
                <c:pt idx="10">
                  <c:v>0.68646907439782434</c:v>
                </c:pt>
                <c:pt idx="13">
                  <c:v>0.67</c:v>
                </c:pt>
                <c:pt idx="14">
                  <c:v>0.61644708066933074</c:v>
                </c:pt>
                <c:pt idx="15">
                  <c:v>0.64</c:v>
                </c:pt>
              </c:numCache>
            </c:numRef>
          </c:val>
          <c:extLst>
            <c:ext xmlns:c16="http://schemas.microsoft.com/office/drawing/2014/chart" uri="{C3380CC4-5D6E-409C-BE32-E72D297353CC}">
              <c16:uniqueId val="{0000000C-4E77-4C92-84D4-2E260CB23314}"/>
            </c:ext>
          </c:extLst>
        </c:ser>
        <c:dLbls>
          <c:showLegendKey val="0"/>
          <c:showVal val="0"/>
          <c:showCatName val="0"/>
          <c:showSerName val="0"/>
          <c:showPercent val="0"/>
          <c:showBubbleSize val="0"/>
        </c:dLbls>
        <c:gapWidth val="150"/>
        <c:axId val="194132992"/>
        <c:axId val="194134784"/>
      </c:barChart>
      <c:catAx>
        <c:axId val="19413299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PE"/>
          </a:p>
        </c:txPr>
        <c:crossAx val="194134784"/>
        <c:crosses val="autoZero"/>
        <c:auto val="1"/>
        <c:lblAlgn val="ctr"/>
        <c:lblOffset val="100"/>
        <c:noMultiLvlLbl val="0"/>
      </c:catAx>
      <c:valAx>
        <c:axId val="194134784"/>
        <c:scaling>
          <c:orientation val="minMax"/>
          <c:max val="1"/>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PE"/>
          </a:p>
        </c:txPr>
        <c:crossAx val="194132992"/>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s-PE"/>
    </a:p>
  </c:txPr>
  <c:printSettings>
    <c:headerFooter/>
    <c:pageMargins b="0.75000000000000089" l="0.70000000000000062" r="0.70000000000000062" t="0.75000000000000089" header="0.30000000000000032" footer="0.30000000000000032"/>
    <c:pageSetup/>
  </c:printSettings>
</c:chartSpace>
</file>

<file path=xl/charts/chart2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a:t>ZONA</a:t>
            </a:r>
            <a:r>
              <a:rPr lang="es-PE" baseline="0"/>
              <a:t> RIESGO</a:t>
            </a:r>
            <a:endParaRPr lang="es-P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'EVALUACIONES - REASEG'!$BA$125:$BA$132</c:f>
              <c:strCache>
                <c:ptCount val="8"/>
                <c:pt idx="0">
                  <c:v>COPSA</c:v>
                </c:pt>
                <c:pt idx="1">
                  <c:v>GALLETERIA</c:v>
                </c:pt>
                <c:pt idx="2">
                  <c:v>FIDEERIA</c:v>
                </c:pt>
                <c:pt idx="3">
                  <c:v>MOL LIMA</c:v>
                </c:pt>
                <c:pt idx="4">
                  <c:v>DET&amp;JAB</c:v>
                </c:pt>
                <c:pt idx="5">
                  <c:v>SIDSUR</c:v>
                </c:pt>
                <c:pt idx="6">
                  <c:v>DISTRIBUCION</c:v>
                </c:pt>
                <c:pt idx="7">
                  <c:v>ALICORP</c:v>
                </c:pt>
              </c:strCache>
            </c:strRef>
          </c:cat>
          <c:val>
            <c:numRef>
              <c:f>'EVALUACIONES - REASEG'!$BC$125:$BC$132</c:f>
              <c:numCache>
                <c:formatCode>0%</c:formatCode>
                <c:ptCount val="8"/>
                <c:pt idx="0">
                  <c:v>0.01</c:v>
                </c:pt>
                <c:pt idx="1">
                  <c:v>0.05</c:v>
                </c:pt>
                <c:pt idx="2">
                  <c:v>0.02</c:v>
                </c:pt>
                <c:pt idx="3">
                  <c:v>1.3702127659574468E-2</c:v>
                </c:pt>
                <c:pt idx="4">
                  <c:v>7.6315789473684207E-3</c:v>
                </c:pt>
                <c:pt idx="5">
                  <c:v>4.5977011494252873E-2</c:v>
                </c:pt>
                <c:pt idx="6">
                  <c:v>2.6690391459074734E-2</c:v>
                </c:pt>
                <c:pt idx="7">
                  <c:v>2.432131495227996E-2</c:v>
                </c:pt>
              </c:numCache>
            </c:numRef>
          </c:val>
          <c:extLst>
            <c:ext xmlns:c16="http://schemas.microsoft.com/office/drawing/2014/chart" uri="{C3380CC4-5D6E-409C-BE32-E72D297353CC}">
              <c16:uniqueId val="{00000000-5087-4057-B913-428836F668C2}"/>
            </c:ext>
          </c:extLst>
        </c:ser>
        <c:dLbls>
          <c:showLegendKey val="0"/>
          <c:showVal val="0"/>
          <c:showCatName val="0"/>
          <c:showSerName val="0"/>
          <c:showPercent val="0"/>
          <c:showBubbleSize val="0"/>
        </c:dLbls>
        <c:gapWidth val="219"/>
        <c:overlap val="-27"/>
        <c:axId val="1915041632"/>
        <c:axId val="1915041216"/>
      </c:barChart>
      <c:catAx>
        <c:axId val="191504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15041216"/>
        <c:crosses val="autoZero"/>
        <c:auto val="1"/>
        <c:lblAlgn val="ctr"/>
        <c:lblOffset val="100"/>
        <c:noMultiLvlLbl val="0"/>
      </c:catAx>
      <c:valAx>
        <c:axId val="1915041216"/>
        <c:scaling>
          <c:orientation val="minMax"/>
          <c:max val="0.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15041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a:t>ZONA</a:t>
            </a:r>
            <a:r>
              <a:rPr lang="es-PE" baseline="0"/>
              <a:t> CONTROL</a:t>
            </a:r>
            <a:endParaRPr lang="es-P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'EVALUACIONES - REASEG'!$BA$125:$BA$132</c:f>
              <c:strCache>
                <c:ptCount val="8"/>
                <c:pt idx="0">
                  <c:v>COPSA</c:v>
                </c:pt>
                <c:pt idx="1">
                  <c:v>GALLETERIA</c:v>
                </c:pt>
                <c:pt idx="2">
                  <c:v>FIDEERIA</c:v>
                </c:pt>
                <c:pt idx="3">
                  <c:v>MOL LIMA</c:v>
                </c:pt>
                <c:pt idx="4">
                  <c:v>DET&amp;JAB</c:v>
                </c:pt>
                <c:pt idx="5">
                  <c:v>SIDSUR</c:v>
                </c:pt>
                <c:pt idx="6">
                  <c:v>DISTRIBUCION</c:v>
                </c:pt>
                <c:pt idx="7">
                  <c:v>ALICORP</c:v>
                </c:pt>
              </c:strCache>
            </c:strRef>
          </c:cat>
          <c:val>
            <c:numRef>
              <c:f>'EVALUACIONES - REASEG'!$BD$125:$BD$132</c:f>
              <c:numCache>
                <c:formatCode>0%</c:formatCode>
                <c:ptCount val="8"/>
                <c:pt idx="0">
                  <c:v>0.54</c:v>
                </c:pt>
                <c:pt idx="1">
                  <c:v>0.62</c:v>
                </c:pt>
                <c:pt idx="2">
                  <c:v>0.4</c:v>
                </c:pt>
                <c:pt idx="3">
                  <c:v>0.43736170212765957</c:v>
                </c:pt>
                <c:pt idx="4">
                  <c:v>0.39324561403508773</c:v>
                </c:pt>
                <c:pt idx="5">
                  <c:v>0.41954022988505746</c:v>
                </c:pt>
                <c:pt idx="6">
                  <c:v>0.3487544483985765</c:v>
                </c:pt>
                <c:pt idx="7">
                  <c:v>0.45589077412513251</c:v>
                </c:pt>
              </c:numCache>
            </c:numRef>
          </c:val>
          <c:extLst>
            <c:ext xmlns:c16="http://schemas.microsoft.com/office/drawing/2014/chart" uri="{C3380CC4-5D6E-409C-BE32-E72D297353CC}">
              <c16:uniqueId val="{00000000-597D-45FE-9508-86E610333D6F}"/>
            </c:ext>
          </c:extLst>
        </c:ser>
        <c:dLbls>
          <c:showLegendKey val="0"/>
          <c:showVal val="0"/>
          <c:showCatName val="0"/>
          <c:showSerName val="0"/>
          <c:showPercent val="0"/>
          <c:showBubbleSize val="0"/>
        </c:dLbls>
        <c:gapWidth val="219"/>
        <c:overlap val="-27"/>
        <c:axId val="1915041632"/>
        <c:axId val="1915041216"/>
      </c:barChart>
      <c:catAx>
        <c:axId val="191504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15041216"/>
        <c:crosses val="autoZero"/>
        <c:auto val="1"/>
        <c:lblAlgn val="ctr"/>
        <c:lblOffset val="100"/>
        <c:noMultiLvlLbl val="0"/>
      </c:catAx>
      <c:valAx>
        <c:axId val="1915041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15041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a:t>ZONA</a:t>
            </a:r>
            <a:r>
              <a:rPr lang="es-PE" baseline="0"/>
              <a:t> SEGURIDAD</a:t>
            </a:r>
            <a:endParaRPr lang="es-P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'EVALUACIONES - REASEG'!$BA$125:$BA$132</c:f>
              <c:strCache>
                <c:ptCount val="8"/>
                <c:pt idx="0">
                  <c:v>COPSA</c:v>
                </c:pt>
                <c:pt idx="1">
                  <c:v>GALLETERIA</c:v>
                </c:pt>
                <c:pt idx="2">
                  <c:v>FIDEERIA</c:v>
                </c:pt>
                <c:pt idx="3">
                  <c:v>MOL LIMA</c:v>
                </c:pt>
                <c:pt idx="4">
                  <c:v>DET&amp;JAB</c:v>
                </c:pt>
                <c:pt idx="5">
                  <c:v>SIDSUR</c:v>
                </c:pt>
                <c:pt idx="6">
                  <c:v>DISTRIBUCION</c:v>
                </c:pt>
                <c:pt idx="7">
                  <c:v>ALICORP</c:v>
                </c:pt>
              </c:strCache>
            </c:strRef>
          </c:cat>
          <c:val>
            <c:numRef>
              <c:f>'EVALUACIONES - REASEG'!$BE$125:$BE$132</c:f>
              <c:numCache>
                <c:formatCode>0%</c:formatCode>
                <c:ptCount val="8"/>
                <c:pt idx="0">
                  <c:v>0.45</c:v>
                </c:pt>
                <c:pt idx="1">
                  <c:v>0.32</c:v>
                </c:pt>
                <c:pt idx="2">
                  <c:v>0.56000000000000005</c:v>
                </c:pt>
                <c:pt idx="3">
                  <c:v>0.53727659574468078</c:v>
                </c:pt>
                <c:pt idx="4">
                  <c:v>0.57675438596491224</c:v>
                </c:pt>
                <c:pt idx="5">
                  <c:v>0.47126436781609193</c:v>
                </c:pt>
                <c:pt idx="6">
                  <c:v>0.59252669039145911</c:v>
                </c:pt>
                <c:pt idx="7">
                  <c:v>0.49811770943796396</c:v>
                </c:pt>
              </c:numCache>
            </c:numRef>
          </c:val>
          <c:extLst>
            <c:ext xmlns:c16="http://schemas.microsoft.com/office/drawing/2014/chart" uri="{C3380CC4-5D6E-409C-BE32-E72D297353CC}">
              <c16:uniqueId val="{00000000-4AB4-476E-A194-4E7D09F51DC0}"/>
            </c:ext>
          </c:extLst>
        </c:ser>
        <c:dLbls>
          <c:showLegendKey val="0"/>
          <c:showVal val="0"/>
          <c:showCatName val="0"/>
          <c:showSerName val="0"/>
          <c:showPercent val="0"/>
          <c:showBubbleSize val="0"/>
        </c:dLbls>
        <c:gapWidth val="219"/>
        <c:overlap val="-27"/>
        <c:axId val="1915041632"/>
        <c:axId val="1915041216"/>
      </c:barChart>
      <c:catAx>
        <c:axId val="191504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15041216"/>
        <c:crosses val="autoZero"/>
        <c:auto val="1"/>
        <c:lblAlgn val="ctr"/>
        <c:lblOffset val="100"/>
        <c:noMultiLvlLbl val="0"/>
      </c:catAx>
      <c:valAx>
        <c:axId val="1915041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15041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a:t>ZONA</a:t>
            </a:r>
            <a:r>
              <a:rPr lang="es-PE" baseline="0"/>
              <a:t> INDEPENDIENTE</a:t>
            </a:r>
            <a:endParaRPr lang="es-P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'EVALUACIONES - REASEG'!$BA$125:$BA$132</c:f>
              <c:strCache>
                <c:ptCount val="8"/>
                <c:pt idx="0">
                  <c:v>COPSA</c:v>
                </c:pt>
                <c:pt idx="1">
                  <c:v>GALLETERIA</c:v>
                </c:pt>
                <c:pt idx="2">
                  <c:v>FIDEERIA</c:v>
                </c:pt>
                <c:pt idx="3">
                  <c:v>MOL LIMA</c:v>
                </c:pt>
                <c:pt idx="4">
                  <c:v>DET&amp;JAB</c:v>
                </c:pt>
                <c:pt idx="5">
                  <c:v>SIDSUR</c:v>
                </c:pt>
                <c:pt idx="6">
                  <c:v>DISTRIBUCION</c:v>
                </c:pt>
                <c:pt idx="7">
                  <c:v>ALICORP</c:v>
                </c:pt>
              </c:strCache>
            </c:strRef>
          </c:cat>
          <c:val>
            <c:numRef>
              <c:f>'EVALUACIONES - REASEG'!$BF$125:$BF$132</c:f>
              <c:numCache>
                <c:formatCode>0%</c:formatCode>
                <c:ptCount val="8"/>
                <c:pt idx="0">
                  <c:v>0</c:v>
                </c:pt>
                <c:pt idx="1">
                  <c:v>0.01</c:v>
                </c:pt>
                <c:pt idx="2">
                  <c:v>0.02</c:v>
                </c:pt>
                <c:pt idx="3">
                  <c:v>1.1659574468085108E-2</c:v>
                </c:pt>
                <c:pt idx="4">
                  <c:v>2.2368421052631579E-2</c:v>
                </c:pt>
                <c:pt idx="5">
                  <c:v>6.3218390804597707E-2</c:v>
                </c:pt>
                <c:pt idx="6">
                  <c:v>3.2028469750889681E-2</c:v>
                </c:pt>
                <c:pt idx="7">
                  <c:v>2.1670201484623543E-2</c:v>
                </c:pt>
              </c:numCache>
            </c:numRef>
          </c:val>
          <c:extLst>
            <c:ext xmlns:c16="http://schemas.microsoft.com/office/drawing/2014/chart" uri="{C3380CC4-5D6E-409C-BE32-E72D297353CC}">
              <c16:uniqueId val="{00000000-68FC-4A55-8AE3-AF3941154951}"/>
            </c:ext>
          </c:extLst>
        </c:ser>
        <c:dLbls>
          <c:showLegendKey val="0"/>
          <c:showVal val="0"/>
          <c:showCatName val="0"/>
          <c:showSerName val="0"/>
          <c:showPercent val="0"/>
          <c:showBubbleSize val="0"/>
        </c:dLbls>
        <c:gapWidth val="219"/>
        <c:overlap val="-27"/>
        <c:axId val="1915041632"/>
        <c:axId val="1915041216"/>
      </c:barChart>
      <c:catAx>
        <c:axId val="191504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15041216"/>
        <c:crosses val="autoZero"/>
        <c:auto val="1"/>
        <c:lblAlgn val="ctr"/>
        <c:lblOffset val="100"/>
        <c:noMultiLvlLbl val="0"/>
      </c:catAx>
      <c:valAx>
        <c:axId val="1915041216"/>
        <c:scaling>
          <c:orientation val="minMax"/>
          <c:max val="0.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915041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a:t>PARTI</a:t>
            </a:r>
            <a:r>
              <a:rPr lang="es-PE" baseline="0"/>
              <a:t>CIPACIÓN - ALICORP (1886)</a:t>
            </a:r>
            <a:endParaRPr lang="es-PE"/>
          </a:p>
        </c:rich>
      </c:tx>
      <c:layout>
        <c:manualLayout>
          <c:xMode val="edge"/>
          <c:yMode val="edge"/>
          <c:x val="0.35768977969059396"/>
          <c:y val="6.5868242768559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pieChart>
        <c:varyColors val="1"/>
        <c:ser>
          <c:idx val="0"/>
          <c:order val="0"/>
          <c:dPt>
            <c:idx val="0"/>
            <c:bubble3D val="0"/>
            <c:spPr>
              <a:solidFill>
                <a:srgbClr val="FFFF00"/>
              </a:solidFill>
              <a:ln w="19050">
                <a:solidFill>
                  <a:schemeClr val="lt1"/>
                </a:solidFill>
              </a:ln>
              <a:effectLst/>
            </c:spPr>
            <c:extLst>
              <c:ext xmlns:c16="http://schemas.microsoft.com/office/drawing/2014/chart" uri="{C3380CC4-5D6E-409C-BE32-E72D297353CC}">
                <c16:uniqueId val="{00000002-0E2B-4BCC-B608-2CD0DF3CC7E1}"/>
              </c:ext>
            </c:extLst>
          </c:dPt>
          <c:dPt>
            <c:idx val="1"/>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3-0E2B-4BCC-B608-2CD0DF3CC7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0E2B-4BCC-B608-2CD0DF3CC7E1}"/>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4-0E2B-4BCC-B608-2CD0DF3CC7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8-0E2B-4BCC-B608-2CD0DF3CC7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0E2B-4BCC-B608-2CD0DF3CC7E1}"/>
              </c:ext>
            </c:extLst>
          </c:dPt>
          <c:dPt>
            <c:idx val="6"/>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5-0E2B-4BCC-B608-2CD0DF3CC7E1}"/>
              </c:ext>
            </c:extLst>
          </c:dPt>
          <c:dLbls>
            <c:dLbl>
              <c:idx val="0"/>
              <c:layout>
                <c:manualLayout>
                  <c:x val="-0.12919034535086632"/>
                  <c:y val="0.15102074558890233"/>
                </c:manualLayout>
              </c:layout>
              <c:tx>
                <c:rich>
                  <a:bodyPr/>
                  <a:lstStyle/>
                  <a:p>
                    <a:fld id="{287AA869-06F6-44A1-B9B7-548F946473ED}" type="CATEGORYNAME">
                      <a:rPr lang="en-US"/>
                      <a:pPr/>
                      <a:t>[NOMBRE DE CATEGORÍA]</a:t>
                    </a:fld>
                    <a:r>
                      <a:rPr lang="en-US" baseline="0"/>
                      <a:t>; </a:t>
                    </a:r>
                    <a:fld id="{5C159FE5-0069-4D97-AC23-A255759B9BF6}" type="VALUE">
                      <a:rPr lang="en-US" baseline="0"/>
                      <a:pPr/>
                      <a:t>[VALOR]</a:t>
                    </a:fld>
                    <a:r>
                      <a:rPr lang="en-US" baseline="0"/>
                      <a:t>; </a:t>
                    </a:r>
                  </a:p>
                  <a:p>
                    <a:fld id="{16C8EFA5-6A5E-4266-9100-BDD3F788F625}" type="PERCENTAGE">
                      <a:rPr lang="en-US" baseline="0"/>
                      <a:pPr/>
                      <a:t>[PORCENTAJE]</a:t>
                    </a:fld>
                    <a:endParaRPr lang="es-PE"/>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E2B-4BCC-B608-2CD0DF3CC7E1}"/>
                </c:ext>
              </c:extLst>
            </c:dLbl>
            <c:dLbl>
              <c:idx val="1"/>
              <c:layout>
                <c:manualLayout>
                  <c:x val="-0.21789509891693518"/>
                  <c:y val="-9.2884280923419008E-2"/>
                </c:manualLayout>
              </c:layout>
              <c:tx>
                <c:rich>
                  <a:bodyPr/>
                  <a:lstStyle/>
                  <a:p>
                    <a:fld id="{62819482-DA4C-4969-A9E7-C749BBA1A795}" type="CATEGORYNAME">
                      <a:rPr lang="en-US"/>
                      <a:pPr/>
                      <a:t>[NOMBRE DE CATEGORÍA]</a:t>
                    </a:fld>
                    <a:r>
                      <a:rPr lang="en-US" baseline="0"/>
                      <a:t>; </a:t>
                    </a:r>
                    <a:fld id="{70D9222A-3806-4396-8BCF-5E14FB51E930}" type="VALUE">
                      <a:rPr lang="en-US" baseline="0"/>
                      <a:pPr/>
                      <a:t>[VALOR]</a:t>
                    </a:fld>
                    <a:r>
                      <a:rPr lang="en-US" baseline="0"/>
                      <a:t>; </a:t>
                    </a:r>
                  </a:p>
                  <a:p>
                    <a:fld id="{635658AB-DD34-4B81-BAFF-52C9466A0A36}" type="PERCENTAGE">
                      <a:rPr lang="en-US" baseline="0"/>
                      <a:pPr/>
                      <a:t>[PORCENTAJE]</a:t>
                    </a:fld>
                    <a:endParaRPr lang="es-PE"/>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E2B-4BCC-B608-2CD0DF3CC7E1}"/>
                </c:ext>
              </c:extLst>
            </c:dLbl>
            <c:dLbl>
              <c:idx val="2"/>
              <c:layout>
                <c:manualLayout>
                  <c:x val="-7.1778519971551519E-2"/>
                  <c:y val="-0.10719473726678604"/>
                </c:manualLayout>
              </c:layout>
              <c:tx>
                <c:rich>
                  <a:bodyPr/>
                  <a:lstStyle/>
                  <a:p>
                    <a:fld id="{7C5DC265-F2C1-49FA-A740-153334DF2D9F}" type="CATEGORYNAME">
                      <a:rPr lang="en-US"/>
                      <a:pPr/>
                      <a:t>[NOMBRE DE CATEGORÍA]</a:t>
                    </a:fld>
                    <a:r>
                      <a:rPr lang="en-US" baseline="0"/>
                      <a:t>; </a:t>
                    </a:r>
                    <a:fld id="{E4BC7AFF-1B1B-4D48-BA1F-BA928036D680}" type="VALUE">
                      <a:rPr lang="en-US" baseline="0"/>
                      <a:pPr/>
                      <a:t>[VALOR]</a:t>
                    </a:fld>
                    <a:r>
                      <a:rPr lang="en-US" baseline="0"/>
                      <a:t>; </a:t>
                    </a:r>
                  </a:p>
                  <a:p>
                    <a:fld id="{567FB65A-5D5A-4A5B-9D88-FC3F9B0D16DC}" type="PERCENTAGE">
                      <a:rPr lang="en-US" baseline="0"/>
                      <a:pPr/>
                      <a:t>[PORCENTAJE]</a:t>
                    </a:fld>
                    <a:endParaRPr lang="es-PE"/>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0E2B-4BCC-B608-2CD0DF3CC7E1}"/>
                </c:ext>
              </c:extLst>
            </c:dLbl>
            <c:dLbl>
              <c:idx val="3"/>
              <c:layout>
                <c:manualLayout>
                  <c:x val="-2.03126669208833E-2"/>
                  <c:y val="-0.14173223891359363"/>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fld id="{E24BB7E8-EE97-41ED-8DF5-57E9D72A2C59}" type="CATEGORYNAME">
                      <a:rPr lang="en-US">
                        <a:solidFill>
                          <a:schemeClr val="bg1"/>
                        </a:solidFill>
                      </a:rPr>
                      <a:pPr>
                        <a:defRPr sz="1200">
                          <a:solidFill>
                            <a:schemeClr val="bg1"/>
                          </a:solidFill>
                        </a:defRPr>
                      </a:pPr>
                      <a:t>[NOMBRE DE CATEGORÍA]</a:t>
                    </a:fld>
                    <a:r>
                      <a:rPr lang="en-US" baseline="0">
                        <a:solidFill>
                          <a:schemeClr val="bg1"/>
                        </a:solidFill>
                      </a:rPr>
                      <a:t>; </a:t>
                    </a:r>
                    <a:fld id="{39339F6E-23B9-48C3-BF71-F5199258D933}" type="VALUE">
                      <a:rPr lang="en-US" baseline="0">
                        <a:solidFill>
                          <a:schemeClr val="bg1"/>
                        </a:solidFill>
                      </a:rPr>
                      <a:pPr>
                        <a:defRPr sz="1200">
                          <a:solidFill>
                            <a:schemeClr val="bg1"/>
                          </a:solidFill>
                        </a:defRPr>
                      </a:pPr>
                      <a:t>[VALOR]</a:t>
                    </a:fld>
                    <a:r>
                      <a:rPr lang="en-US" baseline="0">
                        <a:solidFill>
                          <a:schemeClr val="bg1"/>
                        </a:solidFill>
                      </a:rPr>
                      <a:t>;</a:t>
                    </a:r>
                  </a:p>
                  <a:p>
                    <a:pPr>
                      <a:defRPr sz="1200">
                        <a:solidFill>
                          <a:schemeClr val="bg1"/>
                        </a:solidFill>
                      </a:defRPr>
                    </a:pPr>
                    <a:r>
                      <a:rPr lang="en-US" baseline="0">
                        <a:solidFill>
                          <a:schemeClr val="bg1"/>
                        </a:solidFill>
                      </a:rPr>
                      <a:t> </a:t>
                    </a:r>
                    <a:fld id="{82A135A1-D515-449D-92FD-A7D517891DB0}" type="PERCENTAGE">
                      <a:rPr lang="en-US" baseline="0">
                        <a:solidFill>
                          <a:schemeClr val="bg1"/>
                        </a:solidFill>
                      </a:rPr>
                      <a:pPr>
                        <a:defRPr sz="1200">
                          <a:solidFill>
                            <a:schemeClr val="bg1"/>
                          </a:solidFill>
                        </a:defRPr>
                      </a:pPr>
                      <a:t>[PORCENTAJE]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s-PE"/>
                </a:p>
              </c:txPr>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E2B-4BCC-B608-2CD0DF3CC7E1}"/>
                </c:ext>
              </c:extLst>
            </c:dLbl>
            <c:dLbl>
              <c:idx val="4"/>
              <c:tx>
                <c:rich>
                  <a:bodyPr/>
                  <a:lstStyle/>
                  <a:p>
                    <a:fld id="{AE08B2C5-7760-422C-AF8E-34AC973DEE5C}" type="CATEGORYNAME">
                      <a:rPr lang="en-US"/>
                      <a:pPr/>
                      <a:t>[NOMBRE DE CATEGORÍA]</a:t>
                    </a:fld>
                    <a:r>
                      <a:rPr lang="en-US" baseline="0"/>
                      <a:t>; </a:t>
                    </a:r>
                    <a:fld id="{885BA077-5C05-4A43-8D0E-2C048F40DBD5}" type="VALUE">
                      <a:rPr lang="en-US" baseline="0"/>
                      <a:pPr/>
                      <a:t>[VALOR]</a:t>
                    </a:fld>
                    <a:r>
                      <a:rPr lang="en-US" baseline="0"/>
                      <a:t>; </a:t>
                    </a:r>
                  </a:p>
                  <a:p>
                    <a:fld id="{DC2EB7E6-DFC4-44CA-9B4D-75793140E7FD}" type="PERCENTAGE">
                      <a:rPr lang="en-US" baseline="0"/>
                      <a:pPr/>
                      <a:t>[PORCENTAJE]</a:t>
                    </a:fld>
                    <a:endParaRPr lang="es-PE"/>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0E2B-4BCC-B608-2CD0DF3CC7E1}"/>
                </c:ext>
              </c:extLst>
            </c:dLbl>
            <c:dLbl>
              <c:idx val="5"/>
              <c:tx>
                <c:rich>
                  <a:bodyPr/>
                  <a:lstStyle/>
                  <a:p>
                    <a:fld id="{424616CD-DCB5-4DAB-ADFF-1A2A288625AB}" type="CATEGORYNAME">
                      <a:rPr lang="en-US"/>
                      <a:pPr/>
                      <a:t>[NOMBRE DE CATEGORÍA]</a:t>
                    </a:fld>
                    <a:r>
                      <a:rPr lang="en-US" baseline="0"/>
                      <a:t>; </a:t>
                    </a:r>
                    <a:fld id="{6C387825-32F4-4B43-91D3-75A6267A124F}" type="VALUE">
                      <a:rPr lang="en-US" baseline="0"/>
                      <a:pPr/>
                      <a:t>[VALOR]</a:t>
                    </a:fld>
                    <a:r>
                      <a:rPr lang="en-US" baseline="0"/>
                      <a:t>; </a:t>
                    </a:r>
                  </a:p>
                  <a:p>
                    <a:fld id="{336AFA20-C128-4351-B6E4-CAEC4B269F42}" type="PERCENTAGE">
                      <a:rPr lang="en-US" baseline="0"/>
                      <a:pPr/>
                      <a:t>[PORCENTAJE]</a:t>
                    </a:fld>
                    <a:endParaRPr lang="es-PE"/>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E2B-4BCC-B608-2CD0DF3CC7E1}"/>
                </c:ext>
              </c:extLst>
            </c:dLbl>
            <c:dLbl>
              <c:idx val="6"/>
              <c:layout>
                <c:manualLayout>
                  <c:x val="0.21227121674396601"/>
                  <c:y val="0.10600878143202999"/>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fld id="{CE8EDE3D-B87A-4BE1-8171-40EFD17CB080}" type="CATEGORYNAME">
                      <a:rPr lang="en-US">
                        <a:solidFill>
                          <a:schemeClr val="bg1"/>
                        </a:solidFill>
                      </a:rPr>
                      <a:pPr>
                        <a:defRPr sz="1200">
                          <a:solidFill>
                            <a:schemeClr val="bg1"/>
                          </a:solidFill>
                        </a:defRPr>
                      </a:pPr>
                      <a:t>[NOMBRE DE CATEGORÍA]</a:t>
                    </a:fld>
                    <a:r>
                      <a:rPr lang="en-US" baseline="0">
                        <a:solidFill>
                          <a:schemeClr val="bg1"/>
                        </a:solidFill>
                      </a:rPr>
                      <a:t>; </a:t>
                    </a:r>
                    <a:fld id="{E770D156-135C-4405-9A6B-1649202BF1D6}" type="VALUE">
                      <a:rPr lang="en-US" baseline="0">
                        <a:solidFill>
                          <a:schemeClr val="bg1"/>
                        </a:solidFill>
                      </a:rPr>
                      <a:pPr>
                        <a:defRPr sz="1200">
                          <a:solidFill>
                            <a:schemeClr val="bg1"/>
                          </a:solidFill>
                        </a:defRPr>
                      </a:pPr>
                      <a:t>[VALOR]</a:t>
                    </a:fld>
                    <a:r>
                      <a:rPr lang="en-US" baseline="0">
                        <a:solidFill>
                          <a:schemeClr val="bg1"/>
                        </a:solidFill>
                      </a:rPr>
                      <a:t>; </a:t>
                    </a:r>
                  </a:p>
                  <a:p>
                    <a:pPr>
                      <a:defRPr sz="1200">
                        <a:solidFill>
                          <a:schemeClr val="bg1"/>
                        </a:solidFill>
                      </a:defRPr>
                    </a:pPr>
                    <a:fld id="{13C0CBDA-4756-4E62-9B20-371F538D6589}" type="PERCENTAGE">
                      <a:rPr lang="en-US" baseline="0">
                        <a:solidFill>
                          <a:schemeClr val="bg1"/>
                        </a:solidFill>
                      </a:rPr>
                      <a:pPr>
                        <a:defRPr sz="1200">
                          <a:solidFill>
                            <a:schemeClr val="bg1"/>
                          </a:solidFill>
                        </a:defRPr>
                      </a:pPr>
                      <a:t>[PORCENTAJE]</a:t>
                    </a:fld>
                    <a:endParaRPr lang="es-PE"/>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s-PE"/>
                </a:p>
              </c:txPr>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E2B-4BCC-B608-2CD0DF3CC7E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'EVALUACIONES - REASEG'!$BA$125:$BA$131</c:f>
              <c:strCache>
                <c:ptCount val="7"/>
                <c:pt idx="0">
                  <c:v>COPSA</c:v>
                </c:pt>
                <c:pt idx="1">
                  <c:v>GALLETERIA</c:v>
                </c:pt>
                <c:pt idx="2">
                  <c:v>FIDEERIA</c:v>
                </c:pt>
                <c:pt idx="3">
                  <c:v>MOL LIMA</c:v>
                </c:pt>
                <c:pt idx="4">
                  <c:v>DET&amp;JAB</c:v>
                </c:pt>
                <c:pt idx="5">
                  <c:v>SIDSUR</c:v>
                </c:pt>
                <c:pt idx="6">
                  <c:v>DISTRIBUCION</c:v>
                </c:pt>
              </c:strCache>
            </c:strRef>
          </c:cat>
          <c:val>
            <c:numRef>
              <c:f>'EVALUACIONES - REASEG'!$BB$125:$BB$131</c:f>
              <c:numCache>
                <c:formatCode>0</c:formatCode>
                <c:ptCount val="7"/>
                <c:pt idx="0">
                  <c:v>432</c:v>
                </c:pt>
                <c:pt idx="1">
                  <c:v>280</c:v>
                </c:pt>
                <c:pt idx="2">
                  <c:v>89</c:v>
                </c:pt>
                <c:pt idx="3">
                  <c:v>235</c:v>
                </c:pt>
                <c:pt idx="4">
                  <c:v>114</c:v>
                </c:pt>
                <c:pt idx="5">
                  <c:v>174</c:v>
                </c:pt>
                <c:pt idx="6">
                  <c:v>562</c:v>
                </c:pt>
              </c:numCache>
            </c:numRef>
          </c:val>
          <c:extLst>
            <c:ext xmlns:c16="http://schemas.microsoft.com/office/drawing/2014/chart" uri="{C3380CC4-5D6E-409C-BE32-E72D297353CC}">
              <c16:uniqueId val="{00000000-0E2B-4BCC-B608-2CD0DF3CC7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MB-CALLAO (37)</a:t>
            </a:r>
          </a:p>
        </c:rich>
      </c:tx>
      <c:layout>
        <c:manualLayout>
          <c:xMode val="edge"/>
          <c:yMode val="edge"/>
          <c:x val="0.38627441254882511"/>
          <c:y val="3.1744771047974567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1"/>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35F7-4567-A782-6D5F6ED7681A}"/>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35F7-4567-A782-6D5F6ED7681A}"/>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35F7-4567-A782-6D5F6ED7681A}"/>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35F7-4567-A782-6D5F6ED7681A}"/>
              </c:ext>
            </c:extLst>
          </c:dPt>
          <c:dLbls>
            <c:dLbl>
              <c:idx val="1"/>
              <c:layout>
                <c:manualLayout>
                  <c:x val="-0.27158168335754157"/>
                  <c:y val="-0.1362190142898805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F7-4567-A782-6D5F6ED7681A}"/>
                </c:ext>
              </c:extLst>
            </c:dLbl>
            <c:dLbl>
              <c:idx val="3"/>
              <c:layout>
                <c:manualLayout>
                  <c:x val="-0.2055555555555556"/>
                  <c:y val="5.1881743948673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5F7-4567-A782-6D5F6ED768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REASEG'!$DA$11:$DA$14</c:f>
              <c:numCache>
                <c:formatCode>0%</c:formatCode>
                <c:ptCount val="4"/>
                <c:pt idx="0">
                  <c:v>2.7027027027027029E-2</c:v>
                </c:pt>
                <c:pt idx="1">
                  <c:v>0.56756756756756754</c:v>
                </c:pt>
                <c:pt idx="2">
                  <c:v>0.40540540540540543</c:v>
                </c:pt>
                <c:pt idx="3">
                  <c:v>0</c:v>
                </c:pt>
              </c:numCache>
            </c:numRef>
          </c:val>
          <c:extLst>
            <c:ext xmlns:c16="http://schemas.microsoft.com/office/drawing/2014/chart" uri="{C3380CC4-5D6E-409C-BE32-E72D297353CC}">
              <c16:uniqueId val="{00000008-35F7-4567-A782-6D5F6ED7681A}"/>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MB-LIMA (265)</a:t>
            </a:r>
          </a:p>
        </c:rich>
      </c:tx>
      <c:layout>
        <c:manualLayout>
          <c:xMode val="edge"/>
          <c:yMode val="edge"/>
          <c:x val="0.38627441254882511"/>
          <c:y val="3.1744771047974567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1"/>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2383-44DF-9AA2-6029B21AA0FF}"/>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2383-44DF-9AA2-6029B21AA0FF}"/>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2383-44DF-9AA2-6029B21AA0FF}"/>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2383-44DF-9AA2-6029B21AA0FF}"/>
              </c:ext>
            </c:extLst>
          </c:dPt>
          <c:dLbls>
            <c:dLbl>
              <c:idx val="0"/>
              <c:layout>
                <c:manualLayout>
                  <c:x val="9.0770647708995414E-3"/>
                  <c:y val="9.7888374536720269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383-44DF-9AA2-6029B21AA0FF}"/>
                </c:ext>
              </c:extLst>
            </c:dLbl>
            <c:dLbl>
              <c:idx val="1"/>
              <c:layout>
                <c:manualLayout>
                  <c:x val="-0.20620803283011666"/>
                  <c:y val="3.775752005015425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383-44DF-9AA2-6029B21AA0FF}"/>
                </c:ext>
              </c:extLst>
            </c:dLbl>
            <c:dLbl>
              <c:idx val="2"/>
              <c:layout>
                <c:manualLayout>
                  <c:x val="0.23275421047671621"/>
                  <c:y val="-0.1269892347768441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383-44DF-9AA2-6029B21AA0FF}"/>
                </c:ext>
              </c:extLst>
            </c:dLbl>
            <c:dLbl>
              <c:idx val="3"/>
              <c:layout>
                <c:manualLayout>
                  <c:x val="-0.2055555555555556"/>
                  <c:y val="5.18817439486730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383-44DF-9AA2-6029B21AA0F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REASEG'!$CY$11:$CY$14</c:f>
              <c:numCache>
                <c:formatCode>0%</c:formatCode>
                <c:ptCount val="4"/>
                <c:pt idx="0">
                  <c:v>0.01</c:v>
                </c:pt>
                <c:pt idx="1">
                  <c:v>0.44</c:v>
                </c:pt>
                <c:pt idx="2">
                  <c:v>0.55000000000000004</c:v>
                </c:pt>
                <c:pt idx="3">
                  <c:v>0</c:v>
                </c:pt>
              </c:numCache>
            </c:numRef>
          </c:val>
          <c:extLst>
            <c:ext xmlns:c16="http://schemas.microsoft.com/office/drawing/2014/chart" uri="{C3380CC4-5D6E-409C-BE32-E72D297353CC}">
              <c16:uniqueId val="{00000008-2383-44DF-9AA2-6029B21AA0FF}"/>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INBALNOR (210)</a:t>
            </a:r>
          </a:p>
        </c:rich>
      </c:tx>
      <c:layout>
        <c:manualLayout>
          <c:xMode val="edge"/>
          <c:yMode val="edge"/>
          <c:x val="0.37118815942753192"/>
          <c:y val="1.4688225406227487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1"/>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4603-464D-B01D-49A061E55392}"/>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4603-464D-B01D-49A061E55392}"/>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4603-464D-B01D-49A061E55392}"/>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4603-464D-B01D-49A061E55392}"/>
              </c:ext>
            </c:extLst>
          </c:dPt>
          <c:dLbls>
            <c:dLbl>
              <c:idx val="0"/>
              <c:layout>
                <c:manualLayout>
                  <c:x val="8.5795763666874317E-2"/>
                  <c:y val="3.707928789115193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603-464D-B01D-49A061E55392}"/>
                </c:ext>
              </c:extLst>
            </c:dLbl>
            <c:dLbl>
              <c:idx val="1"/>
              <c:layout>
                <c:manualLayout>
                  <c:x val="-0.22883734061483613"/>
                  <c:y val="5.82253578782641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03-464D-B01D-49A061E55392}"/>
                </c:ext>
              </c:extLst>
            </c:dLbl>
            <c:dLbl>
              <c:idx val="2"/>
              <c:layout>
                <c:manualLayout>
                  <c:x val="0.25984028420668337"/>
                  <c:y val="-0.2240430479994972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603-464D-B01D-49A061E55392}"/>
                </c:ext>
              </c:extLst>
            </c:dLbl>
            <c:dLbl>
              <c:idx val="3"/>
              <c:layout>
                <c:manualLayout>
                  <c:x val="-2.5778206650125979E-2"/>
                  <c:y val="6.211559009958327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0885223675759832"/>
                      <c:h val="0.21013646836859515"/>
                    </c:manualLayout>
                  </c15:layout>
                </c:ext>
                <c:ext xmlns:c16="http://schemas.microsoft.com/office/drawing/2014/chart" uri="{C3380CC4-5D6E-409C-BE32-E72D297353CC}">
                  <c16:uniqueId val="{00000007-4603-464D-B01D-49A061E5539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REASEG'!$DE$11:$DE$14</c:f>
              <c:numCache>
                <c:formatCode>0%</c:formatCode>
                <c:ptCount val="4"/>
                <c:pt idx="0">
                  <c:v>4.7619047619047623E-3</c:v>
                </c:pt>
                <c:pt idx="1">
                  <c:v>0.37619047619047619</c:v>
                </c:pt>
                <c:pt idx="2">
                  <c:v>0.580952380952381</c:v>
                </c:pt>
                <c:pt idx="3">
                  <c:v>3.8095238095238099E-2</c:v>
                </c:pt>
              </c:numCache>
            </c:numRef>
          </c:val>
          <c:extLst>
            <c:ext xmlns:c16="http://schemas.microsoft.com/office/drawing/2014/chart" uri="{C3380CC4-5D6E-409C-BE32-E72D297353CC}">
              <c16:uniqueId val="{00000008-4603-464D-B01D-49A061E55392}"/>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MB-PAITA (34)</a:t>
            </a:r>
          </a:p>
        </c:rich>
      </c:tx>
      <c:layout>
        <c:manualLayout>
          <c:xMode val="edge"/>
          <c:yMode val="edge"/>
          <c:x val="0.38627441254882511"/>
          <c:y val="3.1744771047974567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1"/>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78A7-4DCB-9D5D-AA7FEEA4A0A0}"/>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78A7-4DCB-9D5D-AA7FEEA4A0A0}"/>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78A7-4DCB-9D5D-AA7FEEA4A0A0}"/>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78A7-4DCB-9D5D-AA7FEEA4A0A0}"/>
              </c:ext>
            </c:extLst>
          </c:dPt>
          <c:dLbls>
            <c:dLbl>
              <c:idx val="0"/>
              <c:layout>
                <c:manualLayout>
                  <c:x val="-3.494772887277934E-3"/>
                  <c:y val="4.731320680520689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A7-4DCB-9D5D-AA7FEEA4A0A0}"/>
                </c:ext>
              </c:extLst>
            </c:dLbl>
            <c:dLbl>
              <c:idx val="1"/>
              <c:layout>
                <c:manualLayout>
                  <c:x val="-0.20369366529848115"/>
                  <c:y val="-8.504950691850524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A7-4DCB-9D5D-AA7FEEA4A0A0}"/>
                </c:ext>
              </c:extLst>
            </c:dLbl>
            <c:dLbl>
              <c:idx val="2"/>
              <c:layout>
                <c:manualLayout>
                  <c:x val="0.22269674035017417"/>
                  <c:y val="-0.229328423917393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8A7-4DCB-9D5D-AA7FEEA4A0A0}"/>
                </c:ext>
              </c:extLst>
            </c:dLbl>
            <c:dLbl>
              <c:idx val="3"/>
              <c:layout>
                <c:manualLayout>
                  <c:x val="0.1062260887607375"/>
                  <c:y val="9.622865314643314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8A7-4DCB-9D5D-AA7FEEA4A0A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REASEG'!$DC$11:$DC$14</c:f>
              <c:numCache>
                <c:formatCode>0%</c:formatCode>
                <c:ptCount val="4"/>
                <c:pt idx="0">
                  <c:v>5.8823529411764705E-2</c:v>
                </c:pt>
                <c:pt idx="1">
                  <c:v>0.38235294117647056</c:v>
                </c:pt>
                <c:pt idx="2">
                  <c:v>0.47058823529411764</c:v>
                </c:pt>
                <c:pt idx="3">
                  <c:v>8.8235294117647065E-2</c:v>
                </c:pt>
              </c:numCache>
            </c:numRef>
          </c:val>
          <c:extLst>
            <c:ext xmlns:c16="http://schemas.microsoft.com/office/drawing/2014/chart" uri="{C3380CC4-5D6E-409C-BE32-E72D297353CC}">
              <c16:uniqueId val="{00000008-78A7-4DCB-9D5D-AA7FEEA4A0A0}"/>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VITAPRO</a:t>
            </a:r>
            <a:r>
              <a:rPr lang="es-PE" baseline="0"/>
              <a:t> (145)</a:t>
            </a:r>
            <a:endParaRPr lang="es-PE"/>
          </a:p>
        </c:rich>
      </c:tx>
      <c:layout>
        <c:manualLayout>
          <c:xMode val="edge"/>
          <c:yMode val="edge"/>
          <c:x val="0.46726428881429194"/>
          <c:y val="4.075088279396534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582649472450177E-2"/>
          <c:y val="0.23393518518518519"/>
          <c:w val="0.94841735052754983"/>
          <c:h val="0.76606481481481481"/>
        </c:manualLayout>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A2DD-4FA5-8DCF-0B8954E81C8D}"/>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A2DD-4FA5-8DCF-0B8954E81C8D}"/>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A2DD-4FA5-8DCF-0B8954E81C8D}"/>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A2DD-4FA5-8DCF-0B8954E81C8D}"/>
              </c:ext>
            </c:extLst>
          </c:dPt>
          <c:dLbls>
            <c:dLbl>
              <c:idx val="0"/>
              <c:layout>
                <c:manualLayout>
                  <c:x val="8.4608912074967013E-2"/>
                  <c:y val="2.106827377303251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DD-4FA5-8DCF-0B8954E81C8D}"/>
                </c:ext>
              </c:extLst>
            </c:dLbl>
            <c:dLbl>
              <c:idx val="1"/>
              <c:layout>
                <c:manualLayout>
                  <c:x val="-0.25358387288203155"/>
                  <c:y val="1.238198536542298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DD-4FA5-8DCF-0B8954E81C8D}"/>
                </c:ext>
              </c:extLst>
            </c:dLbl>
            <c:dLbl>
              <c:idx val="2"/>
              <c:layout>
                <c:manualLayout>
                  <c:x val="0.278708803131892"/>
                  <c:y val="-0.126581964303886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2DD-4FA5-8DCF-0B8954E81C8D}"/>
                </c:ext>
              </c:extLst>
            </c:dLbl>
            <c:dLbl>
              <c:idx val="3"/>
              <c:layout>
                <c:manualLayout>
                  <c:x val="2.3915750688644193E-2"/>
                  <c:y val="3.18416360279613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2DD-4FA5-8DCF-0B8954E81C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#REF!</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A2DD-4FA5-8DCF-0B8954E81C8D}"/>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BOLIVIA (319)</a:t>
            </a:r>
          </a:p>
        </c:rich>
      </c:tx>
      <c:layout>
        <c:manualLayout>
          <c:xMode val="edge"/>
          <c:yMode val="edge"/>
          <c:x val="0.37118815942753192"/>
          <c:y val="1.4688225406227487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01E5-4CC9-BBAD-D4C1D5C4BEDE}"/>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01E5-4CC9-BBAD-D4C1D5C4BEDE}"/>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01E5-4CC9-BBAD-D4C1D5C4BEDE}"/>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01E5-4CC9-BBAD-D4C1D5C4BEDE}"/>
              </c:ext>
            </c:extLst>
          </c:dPt>
          <c:dLbls>
            <c:dLbl>
              <c:idx val="0"/>
              <c:layout>
                <c:manualLayout>
                  <c:x val="-3.4893877851629347E-2"/>
                  <c:y val="1.66114500630420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1E5-4CC9-BBAD-D4C1D5C4BEDE}"/>
                </c:ext>
              </c:extLst>
            </c:dLbl>
            <c:dLbl>
              <c:idx val="1"/>
              <c:layout>
                <c:manualLayout>
                  <c:x val="-0.16094941726067774"/>
                  <c:y val="-0.3547758556872385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1E5-4CC9-BBAD-D4C1D5C4BEDE}"/>
                </c:ext>
              </c:extLst>
            </c:dLbl>
            <c:dLbl>
              <c:idx val="2"/>
              <c:layout>
                <c:manualLayout>
                  <c:x val="0.2045241985107025"/>
                  <c:y val="0.130073378004434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1E5-4CC9-BBAD-D4C1D5C4BEDE}"/>
                </c:ext>
              </c:extLst>
            </c:dLbl>
            <c:dLbl>
              <c:idx val="3"/>
              <c:layout>
                <c:manualLayout>
                  <c:x val="-0.28475806240858192"/>
                  <c:y val="5.188167118552832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0885223675759832"/>
                      <c:h val="0.21013646836859515"/>
                    </c:manualLayout>
                  </c15:layout>
                </c:ext>
                <c:ext xmlns:c16="http://schemas.microsoft.com/office/drawing/2014/chart" uri="{C3380CC4-5D6E-409C-BE32-E72D297353CC}">
                  <c16:uniqueId val="{00000007-01E5-4CC9-BBAD-D4C1D5C4BED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#REF!</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01E5-4CC9-BBAD-D4C1D5C4BEDE}"/>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HONDURAS (35)</a:t>
            </a:r>
          </a:p>
        </c:rich>
      </c:tx>
      <c:layout>
        <c:manualLayout>
          <c:xMode val="edge"/>
          <c:yMode val="edge"/>
          <c:x val="0.37118815942753192"/>
          <c:y val="1.4688225406227487E-2"/>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B7E8-43F2-A94E-6E34BC230820}"/>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B7E8-43F2-A94E-6E34BC230820}"/>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B7E8-43F2-A94E-6E34BC230820}"/>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B7E8-43F2-A94E-6E34BC230820}"/>
              </c:ext>
            </c:extLst>
          </c:dPt>
          <c:dLbls>
            <c:dLbl>
              <c:idx val="0"/>
              <c:layout>
                <c:manualLayout>
                  <c:x val="-3.4893877851629347E-2"/>
                  <c:y val="1.66114500630420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7E8-43F2-A94E-6E34BC230820}"/>
                </c:ext>
              </c:extLst>
            </c:dLbl>
            <c:dLbl>
              <c:idx val="1"/>
              <c:layout>
                <c:manualLayout>
                  <c:x val="-0.26152411852609764"/>
                  <c:y val="4.26163483765673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7E8-43F2-A94E-6E34BC230820}"/>
                </c:ext>
              </c:extLst>
            </c:dLbl>
            <c:dLbl>
              <c:idx val="2"/>
              <c:layout>
                <c:manualLayout>
                  <c:x val="0.24978281408014141"/>
                  <c:y val="-0.1564763515891047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7E8-43F2-A94E-6E34BC230820}"/>
                </c:ext>
              </c:extLst>
            </c:dLbl>
            <c:dLbl>
              <c:idx val="3"/>
              <c:layout>
                <c:manualLayout>
                  <c:x val="-0.28475806240858192"/>
                  <c:y val="5.188167118552832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0885223675759832"/>
                      <c:h val="0.21013646836859515"/>
                    </c:manualLayout>
                  </c15:layout>
                </c:ext>
                <c:ext xmlns:c16="http://schemas.microsoft.com/office/drawing/2014/chart" uri="{C3380CC4-5D6E-409C-BE32-E72D297353CC}">
                  <c16:uniqueId val="{00000007-B7E8-43F2-A94E-6E34BC23082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#REF!</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8-B7E8-43F2-A94E-6E34BC230820}"/>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PE"/>
              <a:t>ITDC (666)</a:t>
            </a:r>
          </a:p>
        </c:rich>
      </c:tx>
      <c:layout>
        <c:manualLayout>
          <c:xMode val="edge"/>
          <c:yMode val="edge"/>
          <c:x val="0.41896114252860628"/>
          <c:y val="4.4543064921725266E-3"/>
        </c:manualLayout>
      </c:layout>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1"/>
          <c:dPt>
            <c:idx val="0"/>
            <c:bubble3D val="0"/>
            <c:spPr>
              <a:solidFill>
                <a:srgbClr val="FF00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228C-4A91-9AC1-26D7F0D0D427}"/>
              </c:ext>
            </c:extLst>
          </c:dPt>
          <c:dPt>
            <c:idx val="1"/>
            <c:bubble3D val="0"/>
            <c:spPr>
              <a:solidFill>
                <a:srgbClr val="FFFF0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228C-4A91-9AC1-26D7F0D0D427}"/>
              </c:ext>
            </c:extLst>
          </c:dPt>
          <c:dPt>
            <c:idx val="2"/>
            <c:bubble3D val="0"/>
            <c:spPr>
              <a:solidFill>
                <a:srgbClr val="92D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228C-4A91-9AC1-26D7F0D0D427}"/>
              </c:ext>
            </c:extLst>
          </c:dPt>
          <c:dPt>
            <c:idx val="3"/>
            <c:bubble3D val="0"/>
            <c:spPr>
              <a:solidFill>
                <a:srgbClr val="00B050"/>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228C-4A91-9AC1-26D7F0D0D427}"/>
              </c:ext>
            </c:extLst>
          </c:dPt>
          <c:dLbls>
            <c:dLbl>
              <c:idx val="0"/>
              <c:layout>
                <c:manualLayout>
                  <c:x val="-8.1544700703152714E-3"/>
                  <c:y val="1.6300134786890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8C-4A91-9AC1-26D7F0D0D427}"/>
                </c:ext>
              </c:extLst>
            </c:dLbl>
            <c:dLbl>
              <c:idx val="1"/>
              <c:layout>
                <c:manualLayout>
                  <c:x val="-0.26906722112100406"/>
                  <c:y val="-0.2146791464965347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28C-4A91-9AC1-26D7F0D0D427}"/>
                </c:ext>
              </c:extLst>
            </c:dLbl>
            <c:dLbl>
              <c:idx val="2"/>
              <c:layout>
                <c:manualLayout>
                  <c:x val="0.25219046947795393"/>
                  <c:y val="5.83220563246961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28C-4A91-9AC1-26D7F0D0D427}"/>
                </c:ext>
              </c:extLst>
            </c:dLbl>
            <c:dLbl>
              <c:idx val="3"/>
              <c:layout>
                <c:manualLayout>
                  <c:x val="-0.14521066440281202"/>
                  <c:y val="4.847036488084333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28C-4A91-9AC1-26D7F0D0D42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2"/>
                    </a:solidFill>
                    <a:latin typeface="+mn-lt"/>
                    <a:ea typeface="+mn-ea"/>
                    <a:cs typeface="+mn-cs"/>
                  </a:defRPr>
                </a:pPr>
                <a:endParaRPr lang="es-PE"/>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'EVALUACIONES - REASEG'!$AT$11:$AT$14</c:f>
              <c:strCache>
                <c:ptCount val="4"/>
                <c:pt idx="0">
                  <c:v>ZONA RIESGO</c:v>
                </c:pt>
                <c:pt idx="1">
                  <c:v>ZONA CONTROL</c:v>
                </c:pt>
                <c:pt idx="2">
                  <c:v>ZONA SEGURIDAD</c:v>
                </c:pt>
                <c:pt idx="3">
                  <c:v>ZONA INDEPENDIENTE</c:v>
                </c:pt>
              </c:strCache>
            </c:strRef>
          </c:cat>
          <c:val>
            <c:numRef>
              <c:f>'EVALUACIONES - REASEG'!$DM$11:$DM$14</c:f>
              <c:numCache>
                <c:formatCode>0%</c:formatCode>
                <c:ptCount val="4"/>
                <c:pt idx="0">
                  <c:v>4.8048048048048048E-2</c:v>
                </c:pt>
                <c:pt idx="1">
                  <c:v>0.60360360360360366</c:v>
                </c:pt>
                <c:pt idx="2">
                  <c:v>0.34684684684684686</c:v>
                </c:pt>
                <c:pt idx="3">
                  <c:v>1.5015015015015015E-3</c:v>
                </c:pt>
              </c:numCache>
            </c:numRef>
          </c:val>
          <c:extLst>
            <c:ext xmlns:c16="http://schemas.microsoft.com/office/drawing/2014/chart" uri="{C3380CC4-5D6E-409C-BE32-E72D297353CC}">
              <c16:uniqueId val="{00000008-228C-4A91-9AC1-26D7F0D0D427}"/>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CANTIDAD</a:t>
            </a:r>
            <a:r>
              <a:rPr lang="es-PE" sz="1050" b="0" baseline="0"/>
              <a:t> DE ACCIDENTES POR ACTIVIDAD QUE SE REALIZABA</a:t>
            </a:r>
            <a:endParaRPr lang="es-PE" sz="1050" b="0"/>
          </a:p>
        </c:rich>
      </c:tx>
      <c:layout>
        <c:manualLayout>
          <c:xMode val="edge"/>
          <c:yMode val="edge"/>
          <c:x val="0.32183551847437425"/>
          <c:y val="2.8340080971659919E-2"/>
        </c:manualLayout>
      </c:layout>
      <c:overlay val="0"/>
    </c:title>
    <c:autoTitleDeleted val="0"/>
    <c:plotArea>
      <c:layout/>
      <c:barChart>
        <c:barDir val="col"/>
        <c:grouping val="clustered"/>
        <c:varyColors val="0"/>
        <c:ser>
          <c:idx val="0"/>
          <c:order val="0"/>
          <c:tx>
            <c:v>Dias</c:v>
          </c:tx>
          <c:invertIfNegative val="0"/>
          <c:dLbls>
            <c:dLbl>
              <c:idx val="4"/>
              <c:layout>
                <c:manualLayout>
                  <c:x val="0"/>
                  <c:y val="4.18734916614588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51-4F11-AE75-581A7DDEE4F6}"/>
                </c:ext>
              </c:extLst>
            </c:dLbl>
            <c:spPr>
              <a:noFill/>
              <a:ln>
                <a:noFill/>
              </a:ln>
              <a:effectLst/>
            </c:spPr>
            <c:txPr>
              <a:bodyPr/>
              <a:lstStyle/>
              <a:p>
                <a:pPr>
                  <a:defRPr sz="1050" b="1">
                    <a:solidFill>
                      <a:schemeClr val="tx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'ESTADISTICA A JUlIO'!$F$1:$F$11</c:f>
              <c:strCache>
                <c:ptCount val="11"/>
                <c:pt idx="0">
                  <c:v>Durante operación productiva</c:v>
                </c:pt>
                <c:pt idx="1">
                  <c:v>Trasladandose a pie</c:v>
                </c:pt>
                <c:pt idx="2">
                  <c:v>carga/descarga de camión</c:v>
                </c:pt>
                <c:pt idx="3">
                  <c:v>Mantenimiento</c:v>
                </c:pt>
                <c:pt idx="4">
                  <c:v>Otros</c:v>
                </c:pt>
                <c:pt idx="5">
                  <c:v>Limpiando instalaciones</c:v>
                </c:pt>
                <c:pt idx="6">
                  <c:v>Manejando traspaleta/Montacarga</c:v>
                </c:pt>
                <c:pt idx="7">
                  <c:v>Maniobras de equipos</c:v>
                </c:pt>
                <c:pt idx="8">
                  <c:v>proyectos</c:v>
                </c:pt>
                <c:pt idx="9">
                  <c:v>Limpiando equipo</c:v>
                </c:pt>
                <c:pt idx="10">
                  <c:v>Calibrando/Regulando</c:v>
                </c:pt>
              </c:strCache>
            </c:strRef>
          </c:cat>
          <c:val>
            <c:numRef>
              <c:f>'ESTADISTICA A JUlIO'!$H$1:$H$11</c:f>
              <c:numCache>
                <c:formatCode>General</c:formatCode>
                <c:ptCount val="11"/>
                <c:pt idx="0">
                  <c:v>246</c:v>
                </c:pt>
                <c:pt idx="1">
                  <c:v>49</c:v>
                </c:pt>
                <c:pt idx="2">
                  <c:v>141</c:v>
                </c:pt>
                <c:pt idx="3">
                  <c:v>93</c:v>
                </c:pt>
                <c:pt idx="4">
                  <c:v>8</c:v>
                </c:pt>
                <c:pt idx="5">
                  <c:v>15</c:v>
                </c:pt>
                <c:pt idx="6">
                  <c:v>124</c:v>
                </c:pt>
                <c:pt idx="7">
                  <c:v>20</c:v>
                </c:pt>
                <c:pt idx="8">
                  <c:v>1</c:v>
                </c:pt>
                <c:pt idx="9">
                  <c:v>15</c:v>
                </c:pt>
                <c:pt idx="10">
                  <c:v>3</c:v>
                </c:pt>
              </c:numCache>
            </c:numRef>
          </c:val>
          <c:extLst>
            <c:ext xmlns:c16="http://schemas.microsoft.com/office/drawing/2014/chart" uri="{C3380CC4-5D6E-409C-BE32-E72D297353CC}">
              <c16:uniqueId val="{00000001-8651-4F11-AE75-581A7DDEE4F6}"/>
            </c:ext>
          </c:extLst>
        </c:ser>
        <c:dLbls>
          <c:showLegendKey val="0"/>
          <c:showVal val="0"/>
          <c:showCatName val="0"/>
          <c:showSerName val="0"/>
          <c:showPercent val="0"/>
          <c:showBubbleSize val="0"/>
        </c:dLbls>
        <c:gapWidth val="75"/>
        <c:overlap val="-25"/>
        <c:axId val="1416371696"/>
        <c:axId val="1416342320"/>
      </c:barChart>
      <c:lineChart>
        <c:grouping val="standard"/>
        <c:varyColors val="0"/>
        <c:ser>
          <c:idx val="1"/>
          <c:order val="1"/>
          <c:tx>
            <c:v>Cantidad</c:v>
          </c:tx>
          <c:spPr>
            <a:ln>
              <a:solidFill>
                <a:srgbClr val="FF0000"/>
              </a:solidFill>
            </a:ln>
          </c:spPr>
          <c:marker>
            <c:symbol val="none"/>
          </c:marker>
          <c:dLbls>
            <c:dLbl>
              <c:idx val="6"/>
              <c:layout>
                <c:manualLayout>
                  <c:x val="-2.2986611740473738E-2"/>
                  <c:y val="-0.109137529137529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51-4F11-AE75-581A7DDEE4F6}"/>
                </c:ext>
              </c:extLst>
            </c:dLbl>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51-4F11-AE75-581A7DDEE4F6}"/>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51-4F11-AE75-581A7DDEE4F6}"/>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'ESTADISTICA A JUlIO'!$F$1:$F$7</c:f>
              <c:strCache>
                <c:ptCount val="7"/>
                <c:pt idx="0">
                  <c:v>Durante operación productiva</c:v>
                </c:pt>
                <c:pt idx="1">
                  <c:v>Trasladandose a pie</c:v>
                </c:pt>
                <c:pt idx="2">
                  <c:v>carga/descarga de camión</c:v>
                </c:pt>
                <c:pt idx="3">
                  <c:v>Mantenimiento</c:v>
                </c:pt>
                <c:pt idx="4">
                  <c:v>Otros</c:v>
                </c:pt>
                <c:pt idx="5">
                  <c:v>Limpiando instalaciones</c:v>
                </c:pt>
                <c:pt idx="6">
                  <c:v>Manejando traspaleta/Montacarga</c:v>
                </c:pt>
              </c:strCache>
            </c:strRef>
          </c:cat>
          <c:val>
            <c:numRef>
              <c:f>'ESTADISTICA A JUlIO'!$G$1:$G$11</c:f>
              <c:numCache>
                <c:formatCode>General</c:formatCode>
                <c:ptCount val="11"/>
                <c:pt idx="0">
                  <c:v>21</c:v>
                </c:pt>
                <c:pt idx="1">
                  <c:v>8</c:v>
                </c:pt>
                <c:pt idx="2">
                  <c:v>4</c:v>
                </c:pt>
                <c:pt idx="3">
                  <c:v>3</c:v>
                </c:pt>
                <c:pt idx="4">
                  <c:v>3</c:v>
                </c:pt>
                <c:pt idx="5">
                  <c:v>3</c:v>
                </c:pt>
                <c:pt idx="6">
                  <c:v>2</c:v>
                </c:pt>
                <c:pt idx="7">
                  <c:v>1</c:v>
                </c:pt>
                <c:pt idx="8">
                  <c:v>1</c:v>
                </c:pt>
                <c:pt idx="9">
                  <c:v>1</c:v>
                </c:pt>
                <c:pt idx="10">
                  <c:v>1</c:v>
                </c:pt>
              </c:numCache>
            </c:numRef>
          </c:val>
          <c:smooth val="0"/>
          <c:extLst>
            <c:ext xmlns:c16="http://schemas.microsoft.com/office/drawing/2014/chart" uri="{C3380CC4-5D6E-409C-BE32-E72D297353CC}">
              <c16:uniqueId val="{00000005-8651-4F11-AE75-581A7DDEE4F6}"/>
            </c:ext>
          </c:extLst>
        </c:ser>
        <c:dLbls>
          <c:showLegendKey val="0"/>
          <c:showVal val="0"/>
          <c:showCatName val="0"/>
          <c:showSerName val="0"/>
          <c:showPercent val="0"/>
          <c:showBubbleSize val="0"/>
        </c:dLbls>
        <c:marker val="1"/>
        <c:smooth val="0"/>
        <c:axId val="1422030224"/>
        <c:axId val="1416342864"/>
      </c:lineChart>
      <c:catAx>
        <c:axId val="1416371696"/>
        <c:scaling>
          <c:orientation val="minMax"/>
        </c:scaling>
        <c:delete val="0"/>
        <c:axPos val="b"/>
        <c:numFmt formatCode="General" sourceLinked="1"/>
        <c:majorTickMark val="none"/>
        <c:minorTickMark val="none"/>
        <c:tickLblPos val="nextTo"/>
        <c:txPr>
          <a:bodyPr/>
          <a:lstStyle/>
          <a:p>
            <a:pPr>
              <a:defRPr sz="700"/>
            </a:pPr>
            <a:endParaRPr lang="es-PE"/>
          </a:p>
        </c:txPr>
        <c:crossAx val="1416342320"/>
        <c:crosses val="autoZero"/>
        <c:auto val="1"/>
        <c:lblAlgn val="ctr"/>
        <c:lblOffset val="100"/>
        <c:noMultiLvlLbl val="0"/>
      </c:catAx>
      <c:valAx>
        <c:axId val="1416342320"/>
        <c:scaling>
          <c:orientation val="minMax"/>
        </c:scaling>
        <c:delete val="0"/>
        <c:axPos val="l"/>
        <c:majorGridlines/>
        <c:numFmt formatCode="#,##0" sourceLinked="0"/>
        <c:majorTickMark val="none"/>
        <c:minorTickMark val="none"/>
        <c:tickLblPos val="nextTo"/>
        <c:spPr>
          <a:noFill/>
          <a:ln w="9525">
            <a:noFill/>
          </a:ln>
        </c:spPr>
        <c:crossAx val="1416371696"/>
        <c:crosses val="autoZero"/>
        <c:crossBetween val="between"/>
      </c:valAx>
      <c:valAx>
        <c:axId val="1416342864"/>
        <c:scaling>
          <c:orientation val="minMax"/>
        </c:scaling>
        <c:delete val="0"/>
        <c:axPos val="r"/>
        <c:numFmt formatCode="#,##0" sourceLinked="0"/>
        <c:majorTickMark val="out"/>
        <c:minorTickMark val="none"/>
        <c:tickLblPos val="nextTo"/>
        <c:crossAx val="1422030224"/>
        <c:crosses val="max"/>
        <c:crossBetween val="between"/>
      </c:valAx>
      <c:catAx>
        <c:axId val="1422030224"/>
        <c:scaling>
          <c:orientation val="minMax"/>
        </c:scaling>
        <c:delete val="1"/>
        <c:axPos val="b"/>
        <c:numFmt formatCode="General" sourceLinked="1"/>
        <c:majorTickMark val="out"/>
        <c:minorTickMark val="none"/>
        <c:tickLblPos val="nextTo"/>
        <c:crossAx val="1416342864"/>
        <c:crosses val="autoZero"/>
        <c:auto val="1"/>
        <c:lblAlgn val="ctr"/>
        <c:lblOffset val="100"/>
        <c:noMultiLvlLbl val="0"/>
      </c:catAx>
    </c:plotArea>
    <c:legend>
      <c:legendPos val="b"/>
      <c:layout>
        <c:manualLayout>
          <c:xMode val="edge"/>
          <c:yMode val="edge"/>
          <c:x val="1.8762493782436898E-2"/>
          <c:y val="2.8004399247664898E-2"/>
          <c:w val="0.29024598087336817"/>
          <c:h val="7.3210175651120535E-2"/>
        </c:manualLayout>
      </c:layout>
      <c:overlay val="0"/>
    </c:legend>
    <c:plotVisOnly val="1"/>
    <c:dispBlanksAs val="gap"/>
    <c:showDLblsOverMax val="0"/>
  </c:chart>
  <c:spPr>
    <a:ln>
      <a:noFill/>
    </a:ln>
  </c:spPr>
  <c:printSettings>
    <c:headerFooter/>
    <c:pageMargins b="0.75" l="0.7" r="0.7" t="0.75" header="0.3" footer="0.3"/>
    <c:pageSetup/>
  </c:printSettings>
</c:chartSpace>
</file>

<file path=xl/charts/chart2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CONSECUENCIA</a:t>
            </a:r>
            <a:r>
              <a:rPr lang="es-PE" sz="1050" b="0" baseline="0"/>
              <a:t> DE LOS ACCIDENTES INCAPACITANTES</a:t>
            </a:r>
            <a:endParaRPr lang="es-PE" sz="1050" b="0"/>
          </a:p>
        </c:rich>
      </c:tx>
      <c:layout>
        <c:manualLayout>
          <c:xMode val="edge"/>
          <c:yMode val="edge"/>
          <c:x val="0.37189511323003577"/>
          <c:y val="2.4291497975708502E-2"/>
        </c:manualLayout>
      </c:layout>
      <c:overlay val="0"/>
    </c:title>
    <c:autoTitleDeleted val="0"/>
    <c:plotArea>
      <c:layout/>
      <c:barChart>
        <c:barDir val="col"/>
        <c:grouping val="clustered"/>
        <c:varyColors val="0"/>
        <c:ser>
          <c:idx val="0"/>
          <c:order val="0"/>
          <c:tx>
            <c:v>Dias</c:v>
          </c:tx>
          <c:invertIfNegative val="0"/>
          <c:dLbls>
            <c:dLbl>
              <c:idx val="3"/>
              <c:spPr/>
              <c:txPr>
                <a:bodyPr/>
                <a:lstStyle/>
                <a:p>
                  <a:pPr>
                    <a:defRPr sz="1050" b="1">
                      <a:solidFill>
                        <a:sysClr val="windowText" lastClr="000000"/>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0-B404-437D-B969-FB67806452BE}"/>
                </c:ext>
              </c:extLst>
            </c:dLbl>
            <c:dLbl>
              <c:idx val="4"/>
              <c:layout>
                <c:manualLayout>
                  <c:x val="0"/>
                  <c:y val="5.4019254678185545E-2"/>
                </c:manualLayout>
              </c:layout>
              <c:spPr/>
              <c:txPr>
                <a:bodyPr/>
                <a:lstStyle/>
                <a:p>
                  <a:pPr>
                    <a:defRPr sz="1050" b="1">
                      <a:solidFill>
                        <a:schemeClr val="tx1"/>
                      </a:solidFill>
                    </a:defRPr>
                  </a:pPr>
                  <a:endParaRPr lang="es-PE"/>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0F-4945-A829-2DAC45F0EF9E}"/>
                </c:ext>
              </c:extLst>
            </c:dLbl>
            <c:dLbl>
              <c:idx val="5"/>
              <c:layout>
                <c:manualLayout>
                  <c:x val="0"/>
                  <c:y val="6.23628422965347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0F-4945-A829-2DAC45F0EF9E}"/>
                </c:ext>
              </c:extLst>
            </c:dLbl>
            <c:dLbl>
              <c:idx val="6"/>
              <c:spPr/>
              <c:txPr>
                <a:bodyPr/>
                <a:lstStyle/>
                <a:p>
                  <a:pPr>
                    <a:defRPr sz="1050" b="1">
                      <a:solidFill>
                        <a:sysClr val="windowText" lastClr="000000"/>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1-B404-437D-B969-FB67806452BE}"/>
                </c:ext>
              </c:extLst>
            </c:dLbl>
            <c:dLbl>
              <c:idx val="7"/>
              <c:spPr/>
              <c:txPr>
                <a:bodyPr/>
                <a:lstStyle/>
                <a:p>
                  <a:pPr>
                    <a:defRPr sz="1050" b="1">
                      <a:solidFill>
                        <a:schemeClr val="tx1"/>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2-B404-437D-B969-FB67806452BE}"/>
                </c:ext>
              </c:extLst>
            </c:dLbl>
            <c:dLbl>
              <c:idx val="8"/>
              <c:spPr/>
              <c:txPr>
                <a:bodyPr/>
                <a:lstStyle/>
                <a:p>
                  <a:pPr>
                    <a:defRPr sz="1050" b="1">
                      <a:solidFill>
                        <a:sysClr val="windowText" lastClr="000000"/>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3-B404-437D-B969-FB67806452BE}"/>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'ESTADISTICA A JUlIO'!$F$24:$F$32</c:f>
              <c:strCache>
                <c:ptCount val="9"/>
                <c:pt idx="0">
                  <c:v>Golpe</c:v>
                </c:pt>
                <c:pt idx="1">
                  <c:v>Corte</c:v>
                </c:pt>
                <c:pt idx="2">
                  <c:v>Atricción</c:v>
                </c:pt>
                <c:pt idx="3">
                  <c:v>Fractura</c:v>
                </c:pt>
                <c:pt idx="4">
                  <c:v>Caida</c:v>
                </c:pt>
                <c:pt idx="5">
                  <c:v>Esgunce</c:v>
                </c:pt>
                <c:pt idx="6">
                  <c:v>Materia extraña al ojo</c:v>
                </c:pt>
                <c:pt idx="7">
                  <c:v>Quemadura</c:v>
                </c:pt>
                <c:pt idx="8">
                  <c:v>ESTIRAMIENTO</c:v>
                </c:pt>
              </c:strCache>
            </c:strRef>
          </c:cat>
          <c:val>
            <c:numRef>
              <c:f>'ESTADISTICA A JUlIO'!$H$24:$H$32</c:f>
              <c:numCache>
                <c:formatCode>General</c:formatCode>
                <c:ptCount val="9"/>
                <c:pt idx="0">
                  <c:v>131</c:v>
                </c:pt>
                <c:pt idx="1">
                  <c:v>40</c:v>
                </c:pt>
                <c:pt idx="2">
                  <c:v>58</c:v>
                </c:pt>
                <c:pt idx="3">
                  <c:v>386</c:v>
                </c:pt>
                <c:pt idx="4">
                  <c:v>11</c:v>
                </c:pt>
                <c:pt idx="5">
                  <c:v>36</c:v>
                </c:pt>
                <c:pt idx="6">
                  <c:v>3</c:v>
                </c:pt>
                <c:pt idx="7">
                  <c:v>20</c:v>
                </c:pt>
                <c:pt idx="8">
                  <c:v>30</c:v>
                </c:pt>
              </c:numCache>
            </c:numRef>
          </c:val>
          <c:extLst>
            <c:ext xmlns:c16="http://schemas.microsoft.com/office/drawing/2014/chart" uri="{C3380CC4-5D6E-409C-BE32-E72D297353CC}">
              <c16:uniqueId val="{00000006-360F-4945-A829-2DAC45F0EF9E}"/>
            </c:ext>
          </c:extLst>
        </c:ser>
        <c:dLbls>
          <c:showLegendKey val="0"/>
          <c:showVal val="0"/>
          <c:showCatName val="0"/>
          <c:showSerName val="0"/>
          <c:showPercent val="0"/>
          <c:showBubbleSize val="0"/>
        </c:dLbls>
        <c:gapWidth val="75"/>
        <c:overlap val="-25"/>
        <c:axId val="1422023152"/>
        <c:axId val="1422029680"/>
      </c:barChart>
      <c:lineChart>
        <c:grouping val="standard"/>
        <c:varyColors val="0"/>
        <c:ser>
          <c:idx val="1"/>
          <c:order val="1"/>
          <c:tx>
            <c:v>Cantidad</c:v>
          </c:tx>
          <c:spPr>
            <a:ln>
              <a:solidFill>
                <a:srgbClr val="FF0000"/>
              </a:solidFill>
            </a:ln>
          </c:spPr>
          <c:marker>
            <c:symbol val="none"/>
          </c:marker>
          <c:dLbls>
            <c:dLbl>
              <c:idx val="8"/>
              <c:layout>
                <c:manualLayout>
                  <c:x val="-2.1835518474374253E-2"/>
                  <c:y val="-0.106923076923076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0F-4945-A829-2DAC45F0EF9E}"/>
                </c:ext>
              </c:extLst>
            </c:dLbl>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60F-4945-A829-2DAC45F0EF9E}"/>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60F-4945-A829-2DAC45F0EF9E}"/>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'ESTADISTICA A JUlIO'!$F$24:$F$32</c:f>
              <c:strCache>
                <c:ptCount val="9"/>
                <c:pt idx="0">
                  <c:v>Golpe</c:v>
                </c:pt>
                <c:pt idx="1">
                  <c:v>Corte</c:v>
                </c:pt>
                <c:pt idx="2">
                  <c:v>Atricción</c:v>
                </c:pt>
                <c:pt idx="3">
                  <c:v>Fractura</c:v>
                </c:pt>
                <c:pt idx="4">
                  <c:v>Caida</c:v>
                </c:pt>
                <c:pt idx="5">
                  <c:v>Esgunce</c:v>
                </c:pt>
                <c:pt idx="6">
                  <c:v>Materia extraña al ojo</c:v>
                </c:pt>
                <c:pt idx="7">
                  <c:v>Quemadura</c:v>
                </c:pt>
                <c:pt idx="8">
                  <c:v>ESTIRAMIENTO</c:v>
                </c:pt>
              </c:strCache>
            </c:strRef>
          </c:cat>
          <c:val>
            <c:numRef>
              <c:f>'ESTADISTICA A JUlIO'!$G$24:$G$32</c:f>
              <c:numCache>
                <c:formatCode>General</c:formatCode>
                <c:ptCount val="9"/>
                <c:pt idx="0">
                  <c:v>15</c:v>
                </c:pt>
                <c:pt idx="1">
                  <c:v>8</c:v>
                </c:pt>
                <c:pt idx="2">
                  <c:v>7</c:v>
                </c:pt>
                <c:pt idx="3">
                  <c:v>6</c:v>
                </c:pt>
                <c:pt idx="4">
                  <c:v>4</c:v>
                </c:pt>
                <c:pt idx="5">
                  <c:v>3</c:v>
                </c:pt>
                <c:pt idx="6">
                  <c:v>2</c:v>
                </c:pt>
                <c:pt idx="7">
                  <c:v>2</c:v>
                </c:pt>
                <c:pt idx="8">
                  <c:v>1</c:v>
                </c:pt>
              </c:numCache>
            </c:numRef>
          </c:val>
          <c:smooth val="0"/>
          <c:extLst>
            <c:ext xmlns:c16="http://schemas.microsoft.com/office/drawing/2014/chart" uri="{C3380CC4-5D6E-409C-BE32-E72D297353CC}">
              <c16:uniqueId val="{0000000A-360F-4945-A829-2DAC45F0EF9E}"/>
            </c:ext>
          </c:extLst>
        </c:ser>
        <c:dLbls>
          <c:showLegendKey val="0"/>
          <c:showVal val="0"/>
          <c:showCatName val="0"/>
          <c:showSerName val="0"/>
          <c:showPercent val="0"/>
          <c:showBubbleSize val="0"/>
        </c:dLbls>
        <c:marker val="1"/>
        <c:smooth val="0"/>
        <c:axId val="1422013360"/>
        <c:axId val="1422024240"/>
      </c:lineChart>
      <c:catAx>
        <c:axId val="1422023152"/>
        <c:scaling>
          <c:orientation val="minMax"/>
        </c:scaling>
        <c:delete val="0"/>
        <c:axPos val="b"/>
        <c:numFmt formatCode="General" sourceLinked="1"/>
        <c:majorTickMark val="none"/>
        <c:minorTickMark val="none"/>
        <c:tickLblPos val="nextTo"/>
        <c:txPr>
          <a:bodyPr/>
          <a:lstStyle/>
          <a:p>
            <a:pPr>
              <a:defRPr sz="800"/>
            </a:pPr>
            <a:endParaRPr lang="es-PE"/>
          </a:p>
        </c:txPr>
        <c:crossAx val="1422029680"/>
        <c:crosses val="autoZero"/>
        <c:auto val="1"/>
        <c:lblAlgn val="ctr"/>
        <c:lblOffset val="100"/>
        <c:noMultiLvlLbl val="0"/>
      </c:catAx>
      <c:valAx>
        <c:axId val="1422029680"/>
        <c:scaling>
          <c:orientation val="minMax"/>
        </c:scaling>
        <c:delete val="0"/>
        <c:axPos val="l"/>
        <c:majorGridlines/>
        <c:numFmt formatCode="#,##0" sourceLinked="0"/>
        <c:majorTickMark val="none"/>
        <c:minorTickMark val="none"/>
        <c:tickLblPos val="nextTo"/>
        <c:spPr>
          <a:noFill/>
          <a:ln w="9525">
            <a:noFill/>
          </a:ln>
        </c:spPr>
        <c:crossAx val="1422023152"/>
        <c:crosses val="autoZero"/>
        <c:crossBetween val="between"/>
      </c:valAx>
      <c:valAx>
        <c:axId val="1422024240"/>
        <c:scaling>
          <c:orientation val="minMax"/>
        </c:scaling>
        <c:delete val="0"/>
        <c:axPos val="r"/>
        <c:numFmt formatCode="#,##0" sourceLinked="0"/>
        <c:majorTickMark val="out"/>
        <c:minorTickMark val="none"/>
        <c:tickLblPos val="nextTo"/>
        <c:crossAx val="1422013360"/>
        <c:crosses val="max"/>
        <c:crossBetween val="between"/>
      </c:valAx>
      <c:catAx>
        <c:axId val="1422013360"/>
        <c:scaling>
          <c:orientation val="minMax"/>
        </c:scaling>
        <c:delete val="1"/>
        <c:axPos val="b"/>
        <c:numFmt formatCode="General" sourceLinked="1"/>
        <c:majorTickMark val="out"/>
        <c:minorTickMark val="none"/>
        <c:tickLblPos val="nextTo"/>
        <c:crossAx val="1422024240"/>
        <c:crosses val="autoZero"/>
        <c:auto val="1"/>
        <c:lblAlgn val="ctr"/>
        <c:lblOffset val="100"/>
        <c:noMultiLvlLbl val="0"/>
      </c:catAx>
    </c:plotArea>
    <c:legend>
      <c:legendPos val="b"/>
      <c:layout>
        <c:manualLayout>
          <c:xMode val="edge"/>
          <c:yMode val="edge"/>
          <c:x val="1.8762493782436898E-2"/>
          <c:y val="2.8004399247664898E-2"/>
          <c:w val="0.29024598087336817"/>
          <c:h val="7.3210175651120535E-2"/>
        </c:manualLayout>
      </c:layout>
      <c:overlay val="0"/>
    </c:legend>
    <c:plotVisOnly val="1"/>
    <c:dispBlanksAs val="gap"/>
    <c:showDLblsOverMax val="0"/>
  </c:chart>
  <c:spPr>
    <a:ln>
      <a:noFill/>
    </a:ln>
  </c:spPr>
  <c:printSettings>
    <c:headerFooter/>
    <c:pageMargins b="0.75" l="0.7" r="0.7" t="0.75" header="0.3" footer="0.3"/>
    <c:pageSetup/>
  </c:printSettings>
</c:chartSpace>
</file>

<file path=xl/charts/chart2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0"/>
            </a:pPr>
            <a:r>
              <a:rPr lang="es-PE" sz="1050" b="0"/>
              <a:t>PARTES DEL</a:t>
            </a:r>
            <a:r>
              <a:rPr lang="es-PE" sz="1050" b="0" baseline="0"/>
              <a:t> CUERPO AFECTADA</a:t>
            </a:r>
            <a:endParaRPr lang="es-PE" sz="1050" b="0"/>
          </a:p>
        </c:rich>
      </c:tx>
      <c:layout>
        <c:manualLayout>
          <c:xMode val="edge"/>
          <c:yMode val="edge"/>
          <c:x val="0.37904648390941598"/>
          <c:y val="4.4534412955465584E-2"/>
        </c:manualLayout>
      </c:layout>
      <c:overlay val="0"/>
    </c:title>
    <c:autoTitleDeleted val="0"/>
    <c:plotArea>
      <c:layout/>
      <c:barChart>
        <c:barDir val="col"/>
        <c:grouping val="clustered"/>
        <c:varyColors val="0"/>
        <c:ser>
          <c:idx val="0"/>
          <c:order val="0"/>
          <c:tx>
            <c:v>Dias</c:v>
          </c:tx>
          <c:invertIfNegative val="0"/>
          <c:dLbls>
            <c:dLbl>
              <c:idx val="1"/>
              <c:layout>
                <c:manualLayout>
                  <c:x val="2.3837902264600714E-3"/>
                  <c:y val="0.4014364499984060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F6-41EA-B01E-A6C52D8D7B8F}"/>
                </c:ext>
              </c:extLst>
            </c:dLbl>
            <c:dLbl>
              <c:idx val="3"/>
              <c:layout>
                <c:manualLayout>
                  <c:x val="-2.3837902264600714E-3"/>
                  <c:y val="4.70515477063342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F6-41EA-B01E-A6C52D8D7B8F}"/>
                </c:ext>
              </c:extLst>
            </c:dLbl>
            <c:dLbl>
              <c:idx val="4"/>
              <c:layout>
                <c:manualLayout>
                  <c:x val="2.3836025264422399E-3"/>
                  <c:y val="5.80678376741368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F6-41EA-B01E-A6C52D8D7B8F}"/>
                </c:ext>
              </c:extLst>
            </c:dLbl>
            <c:dLbl>
              <c:idx val="5"/>
              <c:layout>
                <c:manualLayout>
                  <c:x val="4.7675804529201428E-3"/>
                  <c:y val="8.35519143103063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F6-41EA-B01E-A6C52D8D7B8F}"/>
                </c:ext>
              </c:extLst>
            </c:dLbl>
            <c:dLbl>
              <c:idx val="8"/>
              <c:spPr/>
              <c:txPr>
                <a:bodyPr/>
                <a:lstStyle/>
                <a:p>
                  <a:pPr>
                    <a:defRPr sz="1050" b="1">
                      <a:solidFill>
                        <a:sysClr val="windowText" lastClr="000000"/>
                      </a:solidFill>
                    </a:defRPr>
                  </a:pPr>
                  <a:endParaRPr lang="es-PE"/>
                </a:p>
              </c:txPr>
              <c:dLblPos val="ctr"/>
              <c:showLegendKey val="0"/>
              <c:showVal val="1"/>
              <c:showCatName val="0"/>
              <c:showSerName val="0"/>
              <c:showPercent val="0"/>
              <c:showBubbleSize val="0"/>
              <c:extLst>
                <c:ext xmlns:c16="http://schemas.microsoft.com/office/drawing/2014/chart" uri="{C3380CC4-5D6E-409C-BE32-E72D297353CC}">
                  <c16:uniqueId val="{00000000-FEB9-44EC-8A52-44B2D365A05A}"/>
                </c:ext>
              </c:extLst>
            </c:dLbl>
            <c:spPr>
              <a:noFill/>
              <a:ln>
                <a:noFill/>
              </a:ln>
              <a:effectLst/>
            </c:spPr>
            <c:txPr>
              <a:bodyPr/>
              <a:lstStyle/>
              <a:p>
                <a:pPr>
                  <a:defRPr sz="1050" b="1">
                    <a:solidFill>
                      <a:schemeClr val="bg1"/>
                    </a:solidFill>
                  </a:defRPr>
                </a:pPr>
                <a:endParaRPr lang="es-P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'ESTADISTICA A JUlIO'!$F$45:$F$51</c:f>
              <c:strCache>
                <c:ptCount val="7"/>
                <c:pt idx="0">
                  <c:v>MANO </c:v>
                </c:pt>
                <c:pt idx="1">
                  <c:v>PIE</c:v>
                </c:pt>
                <c:pt idx="2">
                  <c:v>CUERPO</c:v>
                </c:pt>
                <c:pt idx="3">
                  <c:v>OJO</c:v>
                </c:pt>
                <c:pt idx="4">
                  <c:v>BRAZO </c:v>
                </c:pt>
                <c:pt idx="5">
                  <c:v>CABEZA</c:v>
                </c:pt>
                <c:pt idx="6">
                  <c:v>PIERNA</c:v>
                </c:pt>
              </c:strCache>
            </c:strRef>
          </c:cat>
          <c:val>
            <c:numRef>
              <c:f>'ESTADISTICA A JUlIO'!$H$45:$H$51</c:f>
              <c:numCache>
                <c:formatCode>General</c:formatCode>
                <c:ptCount val="7"/>
                <c:pt idx="0">
                  <c:v>210</c:v>
                </c:pt>
                <c:pt idx="1">
                  <c:v>210</c:v>
                </c:pt>
                <c:pt idx="2">
                  <c:v>19</c:v>
                </c:pt>
                <c:pt idx="3">
                  <c:v>6</c:v>
                </c:pt>
                <c:pt idx="4">
                  <c:v>61</c:v>
                </c:pt>
                <c:pt idx="5">
                  <c:v>6</c:v>
                </c:pt>
                <c:pt idx="6">
                  <c:v>161</c:v>
                </c:pt>
              </c:numCache>
            </c:numRef>
          </c:val>
          <c:extLst>
            <c:ext xmlns:c16="http://schemas.microsoft.com/office/drawing/2014/chart" uri="{C3380CC4-5D6E-409C-BE32-E72D297353CC}">
              <c16:uniqueId val="{00000005-0CF6-41EA-B01E-A6C52D8D7B8F}"/>
            </c:ext>
          </c:extLst>
        </c:ser>
        <c:dLbls>
          <c:showLegendKey val="0"/>
          <c:showVal val="0"/>
          <c:showCatName val="0"/>
          <c:showSerName val="0"/>
          <c:showPercent val="0"/>
          <c:showBubbleSize val="0"/>
        </c:dLbls>
        <c:gapWidth val="75"/>
        <c:overlap val="-25"/>
        <c:axId val="1422017712"/>
        <c:axId val="1422032944"/>
      </c:barChart>
      <c:lineChart>
        <c:grouping val="standard"/>
        <c:varyColors val="0"/>
        <c:ser>
          <c:idx val="1"/>
          <c:order val="1"/>
          <c:tx>
            <c:v>Cantidad</c:v>
          </c:tx>
          <c:spPr>
            <a:ln>
              <a:solidFill>
                <a:srgbClr val="FF0000"/>
              </a:solidFill>
            </a:ln>
          </c:spPr>
          <c:marker>
            <c:symbol val="none"/>
          </c:marker>
          <c:dLbls>
            <c:dLbl>
              <c:idx val="12"/>
              <c:layout>
                <c:manualLayout>
                  <c:x val="-1.1125011242753433E-2"/>
                  <c:y val="-3.7145374129271901E-2"/>
                </c:manualLayout>
              </c:layout>
              <c:numFmt formatCode="#,##0" sourceLinked="0"/>
              <c:spPr/>
              <c:txPr>
                <a:bodyPr/>
                <a:lstStyle/>
                <a:p>
                  <a:pPr algn="ctr">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CF6-41EA-B01E-A6C52D8D7B8F}"/>
                </c:ext>
              </c:extLst>
            </c:dLbl>
            <c:dLbl>
              <c:idx val="13"/>
              <c:layout>
                <c:manualLayout>
                  <c:x val="-7.0183044790629997E-3"/>
                  <c:y val="-5.780188490500561E-2"/>
                </c:manualLayout>
              </c:layout>
              <c:numFmt formatCode="#,##0" sourceLinked="0"/>
              <c:spPr/>
              <c:txPr>
                <a:bodyPr/>
                <a:lstStyle/>
                <a:p>
                  <a:pPr algn="ctr" rtl="0">
                    <a:defRPr lang="en-US" sz="1050" b="1" i="0" u="none" strike="noStrike" kern="1200" baseline="0">
                      <a:solidFill>
                        <a:srgbClr val="FF0000"/>
                      </a:solidFill>
                      <a:latin typeface="+mn-lt"/>
                      <a:ea typeface="+mn-ea"/>
                      <a:cs typeface="+mn-cs"/>
                    </a:defRPr>
                  </a:pPr>
                  <a:endParaRPr lang="es-PE"/>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CF6-41EA-B01E-A6C52D8D7B8F}"/>
                </c:ext>
              </c:extLst>
            </c:dLbl>
            <c:numFmt formatCode="#,##0" sourceLinked="0"/>
            <c:spPr>
              <a:noFill/>
              <a:ln>
                <a:noFill/>
              </a:ln>
              <a:effectLst/>
            </c:spPr>
            <c:txPr>
              <a:bodyPr/>
              <a:lstStyle/>
              <a:p>
                <a:pPr>
                  <a:defRPr sz="1050" b="1" baseline="0">
                    <a:solidFill>
                      <a:srgbClr val="FF0000"/>
                    </a:solidFill>
                  </a:defRPr>
                </a:pPr>
                <a:endParaRPr lang="es-P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'ESTADISTICA A JUlIO'!$F$45:$F$50</c:f>
              <c:strCache>
                <c:ptCount val="6"/>
                <c:pt idx="0">
                  <c:v>MANO </c:v>
                </c:pt>
                <c:pt idx="1">
                  <c:v>PIE</c:v>
                </c:pt>
                <c:pt idx="2">
                  <c:v>CUERPO</c:v>
                </c:pt>
                <c:pt idx="3">
                  <c:v>OJO</c:v>
                </c:pt>
                <c:pt idx="4">
                  <c:v>BRAZO </c:v>
                </c:pt>
                <c:pt idx="5">
                  <c:v>CABEZA</c:v>
                </c:pt>
              </c:strCache>
            </c:strRef>
          </c:cat>
          <c:val>
            <c:numRef>
              <c:f>'ESTADISTICA A JUlIO'!$G$45:$G$51</c:f>
              <c:numCache>
                <c:formatCode>General</c:formatCode>
                <c:ptCount val="7"/>
                <c:pt idx="0">
                  <c:v>23</c:v>
                </c:pt>
                <c:pt idx="1">
                  <c:v>8</c:v>
                </c:pt>
                <c:pt idx="2">
                  <c:v>7</c:v>
                </c:pt>
                <c:pt idx="3">
                  <c:v>3</c:v>
                </c:pt>
                <c:pt idx="4">
                  <c:v>3</c:v>
                </c:pt>
                <c:pt idx="5">
                  <c:v>2</c:v>
                </c:pt>
                <c:pt idx="6">
                  <c:v>2</c:v>
                </c:pt>
              </c:numCache>
            </c:numRef>
          </c:val>
          <c:smooth val="0"/>
          <c:extLst>
            <c:ext xmlns:c16="http://schemas.microsoft.com/office/drawing/2014/chart" uri="{C3380CC4-5D6E-409C-BE32-E72D297353CC}">
              <c16:uniqueId val="{00000008-0CF6-41EA-B01E-A6C52D8D7B8F}"/>
            </c:ext>
          </c:extLst>
        </c:ser>
        <c:dLbls>
          <c:showLegendKey val="0"/>
          <c:showVal val="0"/>
          <c:showCatName val="0"/>
          <c:showSerName val="0"/>
          <c:showPercent val="0"/>
          <c:showBubbleSize val="0"/>
        </c:dLbls>
        <c:marker val="1"/>
        <c:smooth val="0"/>
        <c:axId val="1422021520"/>
        <c:axId val="1421999760"/>
      </c:lineChart>
      <c:catAx>
        <c:axId val="1422017712"/>
        <c:scaling>
          <c:orientation val="minMax"/>
        </c:scaling>
        <c:delete val="0"/>
        <c:axPos val="b"/>
        <c:numFmt formatCode="General" sourceLinked="1"/>
        <c:majorTickMark val="none"/>
        <c:minorTickMark val="none"/>
        <c:tickLblPos val="nextTo"/>
        <c:txPr>
          <a:bodyPr/>
          <a:lstStyle/>
          <a:p>
            <a:pPr>
              <a:defRPr sz="800"/>
            </a:pPr>
            <a:endParaRPr lang="es-PE"/>
          </a:p>
        </c:txPr>
        <c:crossAx val="1422032944"/>
        <c:crosses val="autoZero"/>
        <c:auto val="1"/>
        <c:lblAlgn val="ctr"/>
        <c:lblOffset val="100"/>
        <c:noMultiLvlLbl val="0"/>
      </c:catAx>
      <c:valAx>
        <c:axId val="1422032944"/>
        <c:scaling>
          <c:orientation val="minMax"/>
        </c:scaling>
        <c:delete val="0"/>
        <c:axPos val="l"/>
        <c:majorGridlines/>
        <c:numFmt formatCode="#,##0" sourceLinked="0"/>
        <c:majorTickMark val="none"/>
        <c:minorTickMark val="none"/>
        <c:tickLblPos val="nextTo"/>
        <c:spPr>
          <a:noFill/>
          <a:ln w="9525">
            <a:noFill/>
          </a:ln>
        </c:spPr>
        <c:crossAx val="1422017712"/>
        <c:crosses val="autoZero"/>
        <c:crossBetween val="between"/>
      </c:valAx>
      <c:valAx>
        <c:axId val="1421999760"/>
        <c:scaling>
          <c:orientation val="minMax"/>
        </c:scaling>
        <c:delete val="0"/>
        <c:axPos val="r"/>
        <c:numFmt formatCode="#,##0" sourceLinked="0"/>
        <c:majorTickMark val="out"/>
        <c:minorTickMark val="none"/>
        <c:tickLblPos val="nextTo"/>
        <c:crossAx val="1422021520"/>
        <c:crosses val="max"/>
        <c:crossBetween val="between"/>
      </c:valAx>
      <c:catAx>
        <c:axId val="1422021520"/>
        <c:scaling>
          <c:orientation val="minMax"/>
        </c:scaling>
        <c:delete val="1"/>
        <c:axPos val="b"/>
        <c:numFmt formatCode="General" sourceLinked="1"/>
        <c:majorTickMark val="out"/>
        <c:minorTickMark val="none"/>
        <c:tickLblPos val="nextTo"/>
        <c:crossAx val="1421999760"/>
        <c:crosses val="autoZero"/>
        <c:auto val="1"/>
        <c:lblAlgn val="ctr"/>
        <c:lblOffset val="100"/>
        <c:noMultiLvlLbl val="0"/>
      </c:catAx>
    </c:plotArea>
    <c:legend>
      <c:legendPos val="b"/>
      <c:layout>
        <c:manualLayout>
          <c:xMode val="edge"/>
          <c:yMode val="edge"/>
          <c:x val="1.8762493782436898E-2"/>
          <c:y val="2.8004399247664898E-2"/>
          <c:w val="0.29024598087336817"/>
          <c:h val="7.3210175651120535E-2"/>
        </c:manualLayout>
      </c:layout>
      <c:overlay val="0"/>
    </c:legend>
    <c:plotVisOnly val="1"/>
    <c:dispBlanksAs val="gap"/>
    <c:showDLblsOverMax val="0"/>
  </c:chart>
  <c:spPr>
    <a:ln>
      <a:noFill/>
    </a:ln>
  </c:sp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sunburst" uniqueId="{372447BB-A4E7-42AD-88C4-996ED8788B2A}">
          <cx:dataPt idx="0">
            <cx:spPr>
              <a:solidFill>
                <a:srgbClr val="F79646">
                  <a:lumMod val="60000"/>
                  <a:lumOff val="40000"/>
                </a:srgbClr>
              </a:solidFill>
            </cx:spPr>
          </cx:dataPt>
          <cx:dataPt idx="2">
            <cx:spPr>
              <a:solidFill>
                <a:sysClr val="window" lastClr="FFFFFF">
                  <a:lumMod val="75000"/>
                </a:sysClr>
              </a:solidFill>
            </cx:spPr>
          </cx:dataPt>
          <cx:dataLabels>
            <cx:txPr>
              <a:bodyPr spcFirstLastPara="1" vertOverflow="ellipsis" horzOverflow="overflow" wrap="square" lIns="0" tIns="0" rIns="0" bIns="0" anchor="ctr" anchorCtr="1"/>
              <a:lstStyle/>
              <a:p>
                <a:pPr algn="ctr" rtl="0">
                  <a:defRPr sz="1400">
                    <a:solidFill>
                      <a:schemeClr val="tx1"/>
                    </a:solidFill>
                  </a:defRPr>
                </a:pPr>
                <a:endParaRPr lang="es-ES" sz="1400" b="0" i="0" u="none" strike="noStrike" kern="1200" baseline="0">
                  <a:solidFill>
                    <a:schemeClr val="tx1"/>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200">
                      <a:latin typeface="Arial" panose="020B0604020202020204" pitchFamily="34" charset="0"/>
                      <a:ea typeface="Arial" panose="020B0604020202020204" pitchFamily="34" charset="0"/>
                      <a:cs typeface="Arial" panose="020B0604020202020204" pitchFamily="34" charset="0"/>
                    </a:defRPr>
                  </a:pPr>
                  <a:r>
                    <a:rPr lang="es-ES" sz="1200" b="0" i="0" u="none" strike="noStrike" kern="1200" baseline="0">
                      <a:solidFill>
                        <a:schemeClr val="tx1"/>
                      </a:solidFill>
                      <a:latin typeface="Arial" panose="020B0604020202020204" pitchFamily="34" charset="0"/>
                      <a:cs typeface="Arial" panose="020B0604020202020204" pitchFamily="34" charset="0"/>
                    </a:rPr>
                    <a:t>Paises
7.3</a:t>
                  </a:r>
                </a:p>
              </cx:txPr>
              <cx:separator>
</cx:separator>
            </cx:dataLabel>
            <cx:dataLabel idx="1">
              <cx:txPr>
                <a:bodyPr spcFirstLastPara="1" vertOverflow="ellipsis" horzOverflow="overflow" wrap="square" lIns="0" tIns="0" rIns="0" bIns="0" anchor="ctr" anchorCtr="1"/>
                <a:lstStyle/>
                <a:p>
                  <a:pPr algn="ctr" rtl="0">
                    <a:defRPr sz="1200"/>
                  </a:pPr>
                  <a:r>
                    <a:rPr lang="es-ES" sz="1200" b="0" i="0" u="none" strike="noStrike" kern="1200" baseline="0">
                      <a:solidFill>
                        <a:schemeClr val="tx1"/>
                      </a:solidFill>
                      <a:latin typeface="Calibri" panose="020F0502020204030204"/>
                    </a:rPr>
                    <a:t>Perú (sin ITDC)
18.9</a:t>
                  </a:r>
                </a:p>
              </cx:txPr>
              <cx:separator>
</cx:separator>
            </cx:dataLabel>
            <cx:dataLabel idx="2">
              <cx:txPr>
                <a:bodyPr spcFirstLastPara="1" vertOverflow="ellipsis" horzOverflow="overflow" wrap="square" lIns="0" tIns="0" rIns="0" bIns="0" anchor="ctr" anchorCtr="1"/>
                <a:lstStyle/>
                <a:p>
                  <a:pPr algn="ctr" rtl="0">
                    <a:defRPr sz="1200"/>
                  </a:pPr>
                  <a:r>
                    <a:rPr lang="es-ES" sz="1200" b="0" i="0" u="none" strike="noStrike" kern="1200" baseline="0">
                      <a:solidFill>
                        <a:schemeClr val="tx1"/>
                      </a:solidFill>
                      <a:latin typeface="Calibri" panose="020F0502020204030204"/>
                    </a:rPr>
                    <a:t>ITDC
5.6</a:t>
                  </a:r>
                </a:p>
              </cx:txPr>
              <cx:separator>
</cx:separator>
            </cx:dataLabel>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sunburst" uniqueId="{372447BB-A4E7-42AD-88C4-996ED8788B2A}">
          <cx:dataPt idx="0">
            <cx:spPr>
              <a:solidFill>
                <a:srgbClr val="F79646">
                  <a:lumMod val="60000"/>
                  <a:lumOff val="40000"/>
                </a:srgbClr>
              </a:solidFill>
            </cx:spPr>
          </cx:dataPt>
          <cx:dataPt idx="2">
            <cx:spPr>
              <a:solidFill>
                <a:sysClr val="window" lastClr="FFFFFF">
                  <a:lumMod val="75000"/>
                </a:sysClr>
              </a:solidFill>
            </cx:spPr>
          </cx:dataPt>
          <cx:dataLabels>
            <cx:txPr>
              <a:bodyPr spcFirstLastPara="1" vertOverflow="ellipsis" horzOverflow="overflow" wrap="square" lIns="0" tIns="0" rIns="0" bIns="0" anchor="ctr" anchorCtr="1"/>
              <a:lstStyle/>
              <a:p>
                <a:pPr algn="ctr" rtl="0">
                  <a:defRPr sz="1200">
                    <a:solidFill>
                      <a:schemeClr val="tx1"/>
                    </a:solidFill>
                  </a:defRPr>
                </a:pPr>
                <a:endParaRPr lang="es-ES" sz="1200" b="0" i="0" u="none" strike="noStrike" kern="1200" baseline="0">
                  <a:solidFill>
                    <a:schemeClr val="tx1"/>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200">
                      <a:latin typeface="Arial" panose="020B0604020202020204" pitchFamily="34" charset="0"/>
                      <a:ea typeface="Arial" panose="020B0604020202020204" pitchFamily="34" charset="0"/>
                      <a:cs typeface="Arial" panose="020B0604020202020204" pitchFamily="34" charset="0"/>
                    </a:defRPr>
                  </a:pPr>
                  <a:r>
                    <a:rPr lang="es-ES" sz="1200" b="0" i="0" u="none" strike="noStrike" kern="1200" baseline="0">
                      <a:solidFill>
                        <a:schemeClr val="tx1"/>
                      </a:solidFill>
                      <a:latin typeface="Arial" panose="020B0604020202020204" pitchFamily="34" charset="0"/>
                      <a:cs typeface="Arial" panose="020B0604020202020204" pitchFamily="34" charset="0"/>
                    </a:rPr>
                    <a:t>PROPIO
1.2</a:t>
                  </a:r>
                </a:p>
              </cx:txPr>
              <cx:separator>
</cx:separator>
            </cx:dataLabel>
            <cx:dataLabel idx="1">
              <cx:txPr>
                <a:bodyPr spcFirstLastPara="1" vertOverflow="ellipsis" horzOverflow="overflow" wrap="square" lIns="0" tIns="0" rIns="0" bIns="0" anchor="ctr" anchorCtr="1"/>
                <a:lstStyle/>
                <a:p>
                  <a:pPr algn="ctr" rtl="0">
                    <a:defRPr sz="1200"/>
                  </a:pPr>
                  <a:r>
                    <a:rPr lang="es-ES" sz="1200" b="0" i="0" u="none" strike="noStrike" kern="1200" baseline="0">
                      <a:solidFill>
                        <a:schemeClr val="tx1"/>
                      </a:solidFill>
                      <a:latin typeface="Calibri" panose="020F0502020204030204"/>
                    </a:rPr>
                    <a:t>TERCEROS
0.8</a:t>
                  </a:r>
                </a:p>
              </cx:txPr>
              <cx:separator>
</cx:separator>
            </cx:dataLabel>
            <cx:dataLabel idx="2">
              <cx:txPr>
                <a:bodyPr spcFirstLastPara="1" vertOverflow="ellipsis" horzOverflow="overflow" wrap="square" lIns="0" tIns="0" rIns="0" bIns="0" anchor="ctr" anchorCtr="1"/>
                <a:lstStyle/>
                <a:p>
                  <a:pPr algn="ctr" rtl="0">
                    <a:defRPr sz="1200"/>
                  </a:pPr>
                  <a:r>
                    <a:rPr lang="es-ES" sz="1200" b="0" i="0" u="none" strike="noStrike" kern="1200" baseline="0">
                      <a:solidFill>
                        <a:schemeClr val="tx1"/>
                      </a:solidFill>
                      <a:latin typeface="Calibri" panose="020F0502020204030204"/>
                    </a:rPr>
                    <a:t>ITDC
3.5</a:t>
                  </a:r>
                </a:p>
              </cx:txPr>
              <cx:separator>
</cx:separator>
            </cx:dataLabel>
          </cx:dataLabels>
          <cx:dataId val="0"/>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sunburst" uniqueId="{372447BB-A4E7-42AD-88C4-996ED8788B2A}">
          <cx:dataPt idx="0">
            <cx:spPr>
              <a:solidFill>
                <a:srgbClr val="F79646">
                  <a:lumMod val="60000"/>
                  <a:lumOff val="40000"/>
                </a:srgbClr>
              </a:solidFill>
            </cx:spPr>
          </cx:dataPt>
          <cx:dataPt idx="2">
            <cx:spPr>
              <a:solidFill>
                <a:sysClr val="window" lastClr="FFFFFF">
                  <a:lumMod val="75000"/>
                </a:sysClr>
              </a:solidFill>
            </cx:spPr>
          </cx:dataPt>
          <cx:dataLabels>
            <cx:txPr>
              <a:bodyPr spcFirstLastPara="1" vertOverflow="ellipsis" horzOverflow="overflow" wrap="square" lIns="0" tIns="0" rIns="0" bIns="0" anchor="ctr" anchorCtr="1"/>
              <a:lstStyle/>
              <a:p>
                <a:pPr algn="ctr" rtl="0">
                  <a:defRPr sz="1200">
                    <a:solidFill>
                      <a:schemeClr val="tx1"/>
                    </a:solidFill>
                  </a:defRPr>
                </a:pPr>
                <a:endParaRPr lang="es-ES" sz="1200" b="0" i="0" u="none" strike="noStrike" kern="1200" baseline="0">
                  <a:solidFill>
                    <a:schemeClr val="tx1"/>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200">
                      <a:latin typeface="Arial" panose="020B0604020202020204" pitchFamily="34" charset="0"/>
                      <a:ea typeface="Arial" panose="020B0604020202020204" pitchFamily="34" charset="0"/>
                      <a:cs typeface="Arial" panose="020B0604020202020204" pitchFamily="34" charset="0"/>
                    </a:defRPr>
                  </a:pPr>
                  <a:r>
                    <a:rPr lang="es-ES" sz="1200" b="0" i="0" u="none" strike="noStrike" kern="1200" baseline="0">
                      <a:solidFill>
                        <a:schemeClr val="tx1"/>
                      </a:solidFill>
                      <a:latin typeface="Arial" panose="020B0604020202020204" pitchFamily="34" charset="0"/>
                      <a:cs typeface="Arial" panose="020B0604020202020204" pitchFamily="34" charset="0"/>
                    </a:rPr>
                    <a:t>PROPIO
4.6</a:t>
                  </a:r>
                </a:p>
              </cx:txPr>
              <cx:separator>
</cx:separator>
            </cx:dataLabel>
            <cx:dataLabel idx="1">
              <cx:txPr>
                <a:bodyPr spcFirstLastPara="1" vertOverflow="ellipsis" horzOverflow="overflow" wrap="square" lIns="0" tIns="0" rIns="0" bIns="0" anchor="ctr" anchorCtr="1"/>
                <a:lstStyle/>
                <a:p>
                  <a:pPr algn="ctr" rtl="0">
                    <a:defRPr sz="1200"/>
                  </a:pPr>
                  <a:r>
                    <a:rPr lang="es-ES" sz="1200" b="0" i="0" u="none" strike="noStrike" kern="1200" baseline="0">
                      <a:solidFill>
                        <a:schemeClr val="tx1"/>
                      </a:solidFill>
                      <a:latin typeface="Calibri" panose="020F0502020204030204"/>
                    </a:rPr>
                    <a:t>TERCEROS
2.1</a:t>
                  </a:r>
                </a:p>
              </cx:txPr>
              <cx:separator>
</cx:separator>
            </cx:dataLabel>
            <cx:dataLabel idx="2">
              <cx:txPr>
                <a:bodyPr spcFirstLastPara="1" vertOverflow="ellipsis" horzOverflow="overflow" wrap="square" lIns="0" tIns="0" rIns="0" bIns="0" anchor="ctr" anchorCtr="1"/>
                <a:lstStyle/>
                <a:p>
                  <a:pPr algn="ctr" rtl="0">
                    <a:defRPr sz="1200"/>
                  </a:pPr>
                  <a:r>
                    <a:rPr lang="es-ES" sz="1200" b="0" i="0" u="none" strike="noStrike" kern="1200" baseline="0">
                      <a:solidFill>
                        <a:schemeClr val="tx1"/>
                      </a:solidFill>
                      <a:latin typeface="Calibri" panose="020F0502020204030204"/>
                    </a:rPr>
                    <a:t>ITDC
3.5</a:t>
                  </a:r>
                </a:p>
              </cx:txPr>
              <cx:separator>
</cx:separator>
            </cx:dataLabel>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_xlchart.v1.13</cx:f>
      </cx:numDim>
    </cx:data>
  </cx:chartData>
  <cx:chart>
    <cx:plotArea>
      <cx:plotAreaRegion>
        <cx:series layoutId="sunburst" uniqueId="{372447BB-A4E7-42AD-88C4-996ED8788B2A}">
          <cx:dataPt idx="0">
            <cx:spPr>
              <a:solidFill>
                <a:srgbClr val="F79646">
                  <a:lumMod val="60000"/>
                  <a:lumOff val="40000"/>
                </a:srgbClr>
              </a:solidFill>
            </cx:spPr>
          </cx:dataPt>
          <cx:dataPt idx="2">
            <cx:spPr>
              <a:solidFill>
                <a:sysClr val="window" lastClr="FFFFFF">
                  <a:lumMod val="75000"/>
                </a:sysClr>
              </a:solidFill>
            </cx:spPr>
          </cx:dataPt>
          <cx:dataLabels>
            <cx:txPr>
              <a:bodyPr spcFirstLastPara="1" vertOverflow="ellipsis" horzOverflow="overflow" wrap="square" lIns="0" tIns="0" rIns="0" bIns="0" anchor="ctr" anchorCtr="1"/>
              <a:lstStyle/>
              <a:p>
                <a:pPr algn="ctr" rtl="0">
                  <a:defRPr sz="1200">
                    <a:solidFill>
                      <a:schemeClr val="tx1"/>
                    </a:solidFill>
                  </a:defRPr>
                </a:pPr>
                <a:endParaRPr lang="es-ES" sz="1200" b="0" i="0" u="none" strike="noStrike" kern="1200" baseline="0">
                  <a:solidFill>
                    <a:schemeClr val="tx1"/>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200">
                      <a:latin typeface="Arial" panose="020B0604020202020204" pitchFamily="34" charset="0"/>
                      <a:ea typeface="Arial" panose="020B0604020202020204" pitchFamily="34" charset="0"/>
                      <a:cs typeface="Arial" panose="020B0604020202020204" pitchFamily="34" charset="0"/>
                    </a:defRPr>
                  </a:pPr>
                  <a:r>
                    <a:rPr lang="es-ES" sz="1200" b="0" i="0" u="none" strike="noStrike" kern="1200" baseline="0">
                      <a:solidFill>
                        <a:schemeClr val="tx1"/>
                      </a:solidFill>
                      <a:latin typeface="Arial" panose="020B0604020202020204" pitchFamily="34" charset="0"/>
                      <a:cs typeface="Arial" panose="020B0604020202020204" pitchFamily="34" charset="0"/>
                    </a:rPr>
                    <a:t>PROPIO
141</a:t>
                  </a:r>
                </a:p>
              </cx:txPr>
              <cx:separator>
</cx:separator>
            </cx:dataLabel>
            <cx:dataLabel idx="1">
              <cx:txPr>
                <a:bodyPr spcFirstLastPara="1" vertOverflow="ellipsis" horzOverflow="overflow" wrap="square" lIns="0" tIns="0" rIns="0" bIns="0" anchor="ctr" anchorCtr="1"/>
                <a:lstStyle/>
                <a:p>
                  <a:pPr algn="ctr" rtl="0">
                    <a:defRPr sz="1200"/>
                  </a:pPr>
                  <a:r>
                    <a:rPr lang="es-ES" sz="1200" b="0" i="0" u="none" strike="noStrike" kern="1200" baseline="0">
                      <a:solidFill>
                        <a:schemeClr val="tx1"/>
                      </a:solidFill>
                      <a:latin typeface="Calibri" panose="020F0502020204030204"/>
                    </a:rPr>
                    <a:t>TERCEROS
54</a:t>
                  </a:r>
                </a:p>
              </cx:txPr>
              <cx:separator>
</cx:separator>
            </cx:dataLabel>
            <cx:dataLabel idx="2">
              <cx:txPr>
                <a:bodyPr spcFirstLastPara="1" vertOverflow="ellipsis" horzOverflow="overflow" wrap="square" lIns="0" tIns="0" rIns="0" bIns="0" anchor="ctr" anchorCtr="1"/>
                <a:lstStyle/>
                <a:p>
                  <a:pPr algn="ctr" rtl="0">
                    <a:defRPr sz="1200"/>
                  </a:pPr>
                  <a:r>
                    <a:rPr lang="es-ES" sz="1200" b="0" i="0" u="none" strike="noStrike" kern="1200" baseline="0">
                      <a:solidFill>
                        <a:schemeClr val="tx1"/>
                      </a:solidFill>
                      <a:latin typeface="Calibri" panose="020F0502020204030204"/>
                    </a:rPr>
                    <a:t>ITDC
3.5</a:t>
                  </a:r>
                </a:p>
              </cx:txPr>
              <cx:separator>
</cx:separator>
            </cx:dataLabel>
          </cx:dataLabels>
          <cx:dataId val="0"/>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sunburst" uniqueId="{372447BB-A4E7-42AD-88C4-996ED8788B2A}">
          <cx:tx>
            <cx:txData>
              <cx:f/>
              <cx:v>PARTES</cx:v>
            </cx:txData>
          </cx:tx>
          <cx:dataLabels>
            <cx:txPr>
              <a:bodyPr spcFirstLastPara="1" vertOverflow="ellipsis" horzOverflow="overflow" wrap="square" lIns="0" tIns="0" rIns="0" bIns="0" anchor="ctr" anchorCtr="1"/>
              <a:lstStyle/>
              <a:p>
                <a:pPr algn="ctr" rtl="0">
                  <a:defRPr sz="900">
                    <a:solidFill>
                      <a:schemeClr val="bg1"/>
                    </a:solidFill>
                    <a:latin typeface="Arial" panose="020B0604020202020204" pitchFamily="34" charset="0"/>
                    <a:ea typeface="Arial" panose="020B0604020202020204" pitchFamily="34" charset="0"/>
                    <a:cs typeface="Arial" panose="020B0604020202020204" pitchFamily="34" charset="0"/>
                  </a:defRPr>
                </a:pPr>
                <a:endParaRPr lang="es-ES" sz="900" b="0" i="0" u="none" strike="noStrike" kern="1200" baseline="0">
                  <a:solidFill>
                    <a:schemeClr val="bg1"/>
                  </a:solidFill>
                  <a:latin typeface="Arial" panose="020B0604020202020204" pitchFamily="34" charset="0"/>
                  <a:cs typeface="Arial" panose="020B0604020202020204" pitchFamily="34" charset="0"/>
                </a:endParaRPr>
              </a:p>
            </cx:txPr>
            <cx:visibility seriesName="0" categoryName="1" value="1"/>
            <cx:separator>
</cx:separator>
            <cx:dataLabel idx="6">
              <cx:txPr>
                <a:bodyPr spcFirstLastPara="1" vertOverflow="ellipsis" horzOverflow="overflow" wrap="square" lIns="0" tIns="0" rIns="0" bIns="0" anchor="ctr" anchorCtr="1"/>
                <a:lstStyle/>
                <a:p>
                  <a:pPr algn="ctr" rtl="0">
                    <a:defRPr>
                      <a:solidFill>
                        <a:schemeClr val="bg1"/>
                      </a:solidFill>
                    </a:defRPr>
                  </a:pPr>
                  <a:r>
                    <a:rPr lang="es-ES" sz="900" b="0" i="0" u="none" strike="noStrike" kern="1200" baseline="0">
                      <a:solidFill>
                        <a:schemeClr val="bg1"/>
                      </a:solidFill>
                      <a:latin typeface="Arial" panose="020B0604020202020204" pitchFamily="34" charset="0"/>
                      <a:cs typeface="Arial" panose="020B0604020202020204" pitchFamily="34" charset="0"/>
                    </a:rPr>
                    <a:t>PIERNA
8%</a:t>
                  </a:r>
                </a:p>
              </cx:txPr>
              <cx:visibility seriesName="0" categoryName="1" value="1"/>
              <cx:separator>
</cx:separator>
            </cx:dataLabel>
          </cx:dataLabels>
          <cx:dataId val="0"/>
        </cx:series>
      </cx:plotAreaRegion>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sunburst" uniqueId="{372447BB-A4E7-42AD-88C4-996ED8788B2A}">
          <cx:tx>
            <cx:txData>
              <cx:f/>
              <cx:v>PARTES</cx:v>
            </cx:txData>
          </cx:tx>
          <cx:dataLabels>
            <cx:txPr>
              <a:bodyPr spcFirstLastPara="1" vertOverflow="ellipsis" horzOverflow="overflow" wrap="square" lIns="0" tIns="0" rIns="0" bIns="0" anchor="ctr" anchorCtr="1"/>
              <a:lstStyle/>
              <a:p>
                <a:pPr algn="ctr" rtl="0">
                  <a:defRPr sz="80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s-ES" sz="800" b="0" i="0" u="none" strike="noStrike" kern="1200" baseline="0">
                  <a:solidFill>
                    <a:sysClr val="windowText" lastClr="000000"/>
                  </a:solidFill>
                  <a:latin typeface="Arial" panose="020B0604020202020204" pitchFamily="34" charset="0"/>
                  <a:cs typeface="Arial" panose="020B0604020202020204" pitchFamily="34" charset="0"/>
                </a:endParaRPr>
              </a:p>
            </cx:txPr>
            <cx:visibility seriesName="0" categoryName="1" value="1"/>
            <cx:separator>
</cx:separator>
            <cx:dataLabel idx="2">
              <cx:txPr>
                <a:bodyPr spcFirstLastPara="1" vertOverflow="ellipsis" horzOverflow="overflow" wrap="square" lIns="0" tIns="0" rIns="0" bIns="0" anchor="ctr" anchorCtr="1"/>
                <a:lstStyle/>
                <a:p>
                  <a:pPr algn="ctr" rtl="0">
                    <a:defRPr>
                      <a:solidFill>
                        <a:schemeClr val="bg1"/>
                      </a:solidFill>
                    </a:defRPr>
                  </a:pPr>
                  <a:r>
                    <a:rPr lang="es-ES" sz="900" b="0" i="0" u="none" strike="noStrike" kern="1200" baseline="0">
                      <a:solidFill>
                        <a:schemeClr val="bg1"/>
                      </a:solidFill>
                      <a:latin typeface="Arial" panose="020B0604020202020204" pitchFamily="34" charset="0"/>
                      <a:cs typeface="Arial" panose="020B0604020202020204" pitchFamily="34" charset="0"/>
                    </a:rPr>
                    <a:t>GOLPEADO POR
16%</a:t>
                  </a:r>
                </a:p>
              </cx:txPr>
              <cx:visibility seriesName="0" categoryName="1" value="1"/>
              <cx:separator>
</cx:separator>
            </cx:dataLabel>
            <cx:dataLabel idx="3">
              <cx:txPr>
                <a:bodyPr spcFirstLastPara="1" vertOverflow="ellipsis" horzOverflow="overflow" wrap="square" lIns="0" tIns="0" rIns="0" bIns="0" anchor="ctr" anchorCtr="1"/>
                <a:lstStyle/>
                <a:p>
                  <a:pPr algn="ctr" rtl="0">
                    <a:defRPr>
                      <a:solidFill>
                        <a:schemeClr val="bg1"/>
                      </a:solidFill>
                    </a:defRPr>
                  </a:pPr>
                  <a:r>
                    <a:rPr lang="es-ES" sz="800" b="0" i="0" u="none" strike="noStrike" kern="1200" baseline="0">
                      <a:solidFill>
                        <a:schemeClr val="bg1"/>
                      </a:solidFill>
                      <a:latin typeface="Arial" panose="020B0604020202020204" pitchFamily="34" charset="0"/>
                      <a:cs typeface="Arial" panose="020B0604020202020204" pitchFamily="34" charset="0"/>
                    </a:rPr>
                    <a:t>CAIDA A UN MISMO NIVEL
11%</a:t>
                  </a:r>
                </a:p>
              </cx:txPr>
            </cx:dataLabel>
            <cx:dataLabel idx="4">
              <cx:txPr>
                <a:bodyPr spcFirstLastPara="1" vertOverflow="ellipsis" horzOverflow="overflow" wrap="square" lIns="0" tIns="0" rIns="0" bIns="0" anchor="ctr" anchorCtr="1"/>
                <a:lstStyle/>
                <a:p>
                  <a:pPr algn="ctr" rtl="0">
                    <a:defRPr>
                      <a:solidFill>
                        <a:schemeClr val="bg1"/>
                      </a:solidFill>
                    </a:defRPr>
                  </a:pPr>
                  <a:r>
                    <a:rPr lang="es-ES" sz="800" b="0" i="0" u="none" strike="noStrike" kern="1200" baseline="0">
                      <a:solidFill>
                        <a:schemeClr val="bg1"/>
                      </a:solidFill>
                      <a:latin typeface="Arial" panose="020B0604020202020204" pitchFamily="34" charset="0"/>
                      <a:cs typeface="Arial" panose="020B0604020202020204" pitchFamily="34" charset="0"/>
                    </a:rPr>
                    <a:t>ATRAPADO POR
7%</a:t>
                  </a:r>
                </a:p>
              </cx:txPr>
            </cx:dataLabel>
            <cx:dataLabel idx="5">
              <cx:txPr>
                <a:bodyPr spcFirstLastPara="1" vertOverflow="ellipsis" horzOverflow="overflow" wrap="square" lIns="0" tIns="0" rIns="0" bIns="0" anchor="ctr" anchorCtr="1"/>
                <a:lstStyle/>
                <a:p>
                  <a:pPr algn="ctr" rtl="0">
                    <a:defRPr>
                      <a:solidFill>
                        <a:schemeClr val="bg1"/>
                      </a:solidFill>
                    </a:defRPr>
                  </a:pPr>
                  <a:r>
                    <a:rPr lang="es-ES" sz="800" b="0" i="0" u="none" strike="noStrike" kern="1200" baseline="0">
                      <a:solidFill>
                        <a:schemeClr val="bg1"/>
                      </a:solidFill>
                      <a:latin typeface="Arial" panose="020B0604020202020204" pitchFamily="34" charset="0"/>
                      <a:cs typeface="Arial" panose="020B0604020202020204" pitchFamily="34" charset="0"/>
                    </a:rPr>
                    <a:t>SOBREESFUERZO
7%</a:t>
                  </a:r>
                </a:p>
              </cx:txPr>
            </cx:dataLabel>
          </cx:dataLabels>
          <cx:dataId val="0"/>
        </cx:series>
      </cx:plotAreaRegion>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_xlchart.v1.10</cx:f>
      </cx:numDim>
    </cx:data>
  </cx:chartData>
  <cx:chart>
    <cx:plotArea>
      <cx:plotAreaRegion>
        <cx:plotSurface>
          <cx:spPr>
            <a:ln>
              <a:noFill/>
            </a:ln>
          </cx:spPr>
        </cx:plotSurface>
        <cx:series layoutId="sunburst" uniqueId="{372447BB-A4E7-42AD-88C4-996ED8788B2A}">
          <cx:dataPt idx="0">
            <cx:spPr>
              <a:solidFill>
                <a:srgbClr val="F79646">
                  <a:lumMod val="60000"/>
                  <a:lumOff val="40000"/>
                </a:srgbClr>
              </a:solidFill>
            </cx:spPr>
          </cx:dataPt>
          <cx:dataPt idx="2">
            <cx:spPr>
              <a:solidFill>
                <a:sysClr val="window" lastClr="FFFFFF">
                  <a:lumMod val="75000"/>
                </a:sysClr>
              </a:solidFill>
            </cx:spPr>
          </cx:dataPt>
          <cx:dataLabels>
            <cx:txPr>
              <a:bodyPr spcFirstLastPara="1" vertOverflow="ellipsis" horzOverflow="overflow" wrap="square" lIns="0" tIns="0" rIns="0" bIns="0" anchor="ctr" anchorCtr="1"/>
              <a:lstStyle/>
              <a:p>
                <a:pPr algn="ctr" rtl="0">
                  <a:defRPr sz="1000">
                    <a:solidFill>
                      <a:schemeClr val="tx1"/>
                    </a:solidFill>
                  </a:defRPr>
                </a:pPr>
                <a:endParaRPr lang="es-ES" sz="1000" b="0" i="0" u="none" strike="noStrike" kern="1200" baseline="0">
                  <a:solidFill>
                    <a:schemeClr val="tx1"/>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000">
                      <a:latin typeface="Arial" panose="020B0604020202020204" pitchFamily="34" charset="0"/>
                      <a:ea typeface="Arial" panose="020B0604020202020204" pitchFamily="34" charset="0"/>
                      <a:cs typeface="Arial" panose="020B0604020202020204" pitchFamily="34" charset="0"/>
                    </a:defRPr>
                  </a:pPr>
                  <a:r>
                    <a:rPr lang="es-ES" sz="1000" b="0" i="0" u="none" strike="noStrike" kern="1200" baseline="0">
                      <a:solidFill>
                        <a:schemeClr val="tx1"/>
                      </a:solidFill>
                      <a:latin typeface="Arial" panose="020B0604020202020204" pitchFamily="34" charset="0"/>
                      <a:cs typeface="Arial" panose="020B0604020202020204" pitchFamily="34" charset="0"/>
                    </a:rPr>
                    <a:t>PROPIO
75%</a:t>
                  </a:r>
                </a:p>
              </cx:txPr>
              <cx:separator>
</cx:separator>
            </cx:dataLabel>
            <cx:dataLabel idx="1">
              <cx:txPr>
                <a:bodyPr spcFirstLastPara="1" vertOverflow="ellipsis" horzOverflow="overflow" wrap="square" lIns="0" tIns="0" rIns="0" bIns="0" anchor="ctr" anchorCtr="1"/>
                <a:lstStyle/>
                <a:p>
                  <a:pPr algn="ctr" rtl="0">
                    <a:defRPr sz="1200"/>
                  </a:pPr>
                  <a:r>
                    <a:rPr lang="es-ES" sz="1200" b="0" i="0" u="none" strike="noStrike" kern="1200" baseline="0">
                      <a:solidFill>
                        <a:schemeClr val="tx1"/>
                      </a:solidFill>
                      <a:latin typeface="Calibri" panose="020F0502020204030204"/>
                    </a:rPr>
                    <a:t>TERCEROS
25%</a:t>
                  </a:r>
                </a:p>
              </cx:txPr>
              <cx:separator>
</cx:separator>
            </cx:dataLabel>
            <cx:dataLabel idx="2">
              <cx:txPr>
                <a:bodyPr spcFirstLastPara="1" vertOverflow="ellipsis" horzOverflow="overflow" wrap="square" lIns="0" tIns="0" rIns="0" bIns="0" anchor="ctr" anchorCtr="1"/>
                <a:lstStyle/>
                <a:p>
                  <a:pPr algn="ctr" rtl="0">
                    <a:defRPr sz="1200"/>
                  </a:pPr>
                  <a:r>
                    <a:rPr lang="es-ES" sz="1200" b="0" i="0" u="none" strike="noStrike" kern="1200" baseline="0">
                      <a:solidFill>
                        <a:schemeClr val="tx1"/>
                      </a:solidFill>
                      <a:latin typeface="Calibri" panose="020F0502020204030204"/>
                    </a:rPr>
                    <a:t>ITDC
3.5</a:t>
                  </a:r>
                </a:p>
              </cx:txPr>
              <cx:separator>
</cx:separator>
            </cx:dataLabel>
          </cx:dataLabels>
          <cx:dataId val="0"/>
        </cx:series>
      </cx:plotAreaRegion>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size">
        <cx:f>_xlchart.v1.17</cx:f>
      </cx:numDim>
    </cx:data>
  </cx:chartData>
  <cx:chart>
    <cx:plotArea>
      <cx:plotAreaRegion>
        <cx:series layoutId="sunburst" uniqueId="{372447BB-A4E7-42AD-88C4-996ED8788B2A}">
          <cx:dataPt idx="0">
            <cx:spPr>
              <a:solidFill>
                <a:srgbClr val="F79646">
                  <a:lumMod val="60000"/>
                  <a:lumOff val="40000"/>
                </a:srgbClr>
              </a:solidFill>
            </cx:spPr>
          </cx:dataPt>
          <cx:dataPt idx="2">
            <cx:spPr>
              <a:solidFill>
                <a:sysClr val="window" lastClr="FFFFFF">
                  <a:lumMod val="75000"/>
                </a:sysClr>
              </a:solidFill>
            </cx:spPr>
          </cx:dataPt>
          <cx:dataLabels>
            <cx:txPr>
              <a:bodyPr spcFirstLastPara="1" vertOverflow="ellipsis" horzOverflow="overflow" wrap="square" lIns="0" tIns="0" rIns="0" bIns="0" anchor="ctr" anchorCtr="1"/>
              <a:lstStyle/>
              <a:p>
                <a:pPr algn="ctr" rtl="0">
                  <a:defRPr sz="800">
                    <a:solidFill>
                      <a:schemeClr val="tx1"/>
                    </a:solidFill>
                  </a:defRPr>
                </a:pPr>
                <a:endParaRPr lang="es-ES" sz="800" b="0" i="0" u="none" strike="noStrike" kern="1200" baseline="0">
                  <a:solidFill>
                    <a:schemeClr val="tx1"/>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200">
                      <a:latin typeface="Arial" panose="020B0604020202020204" pitchFamily="34" charset="0"/>
                      <a:ea typeface="Arial" panose="020B0604020202020204" pitchFamily="34" charset="0"/>
                      <a:cs typeface="Arial" panose="020B0604020202020204" pitchFamily="34" charset="0"/>
                    </a:defRPr>
                  </a:pPr>
                  <a:r>
                    <a:rPr lang="es-ES" sz="1200" b="0" i="0" u="none" strike="noStrike" kern="1200" baseline="0">
                      <a:solidFill>
                        <a:schemeClr val="tx1"/>
                      </a:solidFill>
                      <a:latin typeface="Arial" panose="020B0604020202020204" pitchFamily="34" charset="0"/>
                      <a:cs typeface="Arial" panose="020B0604020202020204" pitchFamily="34" charset="0"/>
                    </a:rPr>
                    <a:t>Empleados
0.4</a:t>
                  </a:r>
                </a:p>
              </cx:txPr>
              <cx:separator>
</cx:separator>
            </cx:dataLabel>
            <cx:dataLabel idx="1">
              <cx:txPr>
                <a:bodyPr spcFirstLastPara="1" vertOverflow="ellipsis" horzOverflow="overflow" wrap="square" lIns="0" tIns="0" rIns="0" bIns="0" anchor="ctr" anchorCtr="1"/>
                <a:lstStyle/>
                <a:p>
                  <a:pPr algn="ctr" rtl="0">
                    <a:defRPr sz="1200"/>
                  </a:pPr>
                  <a:r>
                    <a:rPr lang="es-ES" sz="1200" b="0" i="0" u="none" strike="noStrike" kern="1200" baseline="0">
                      <a:solidFill>
                        <a:schemeClr val="tx1"/>
                      </a:solidFill>
                      <a:latin typeface="Calibri" panose="020F0502020204030204"/>
                    </a:rPr>
                    <a:t>Obr.Estab
5.8</a:t>
                  </a:r>
                </a:p>
              </cx:txPr>
              <cx:separator>
</cx:separator>
            </cx:dataLabel>
            <cx:dataLabel idx="2">
              <cx:txPr>
                <a:bodyPr spcFirstLastPara="1" vertOverflow="ellipsis" horzOverflow="overflow" wrap="square" lIns="0" tIns="0" rIns="0" bIns="0" anchor="ctr" anchorCtr="1"/>
                <a:lstStyle/>
                <a:p>
                  <a:pPr algn="ctr" rtl="0">
                    <a:defRPr sz="1200"/>
                  </a:pPr>
                  <a:r>
                    <a:rPr lang="es-ES" sz="1200" b="0" i="0" u="none" strike="noStrike" kern="1200" baseline="0">
                      <a:solidFill>
                        <a:schemeClr val="tx1"/>
                      </a:solidFill>
                      <a:latin typeface="Calibri" panose="020F0502020204030204"/>
                    </a:rPr>
                    <a:t>Obr.Cont
13.2</a:t>
                  </a:r>
                </a:p>
              </cx:txPr>
              <cx:separator>
</cx:separator>
            </cx:dataLabel>
          </cx:dataLabels>
          <cx:dataId val="0"/>
        </cx:series>
      </cx:plotAreaRegion>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_xlchart.v1.15</cx:f>
      </cx:numDim>
    </cx:data>
  </cx:chartData>
  <cx:chart>
    <cx:plotArea>
      <cx:plotAreaRegion>
        <cx:series layoutId="sunburst" uniqueId="{372447BB-A4E7-42AD-88C4-996ED8788B2A}">
          <cx:tx>
            <cx:txData>
              <cx:f/>
              <cx:v>PARTES</cx:v>
            </cx:txData>
          </cx:tx>
          <cx:dataLabels>
            <cx:txPr>
              <a:bodyPr spcFirstLastPara="1" vertOverflow="ellipsis" horzOverflow="overflow" wrap="square" lIns="0" tIns="0" rIns="0" bIns="0" anchor="ctr" anchorCtr="1"/>
              <a:lstStyle/>
              <a:p>
                <a:pPr algn="ctr" rtl="0">
                  <a:defRPr sz="90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s-ES" sz="900" b="0" i="0" u="none" strike="noStrike" kern="1200" baseline="0">
                  <a:solidFill>
                    <a:sysClr val="windowText" lastClr="000000"/>
                  </a:solidFill>
                  <a:latin typeface="Arial" panose="020B0604020202020204" pitchFamily="34" charset="0"/>
                  <a:cs typeface="Arial" panose="020B0604020202020204" pitchFamily="34" charset="0"/>
                </a:endParaRPr>
              </a:p>
            </cx:txPr>
            <cx:visibility seriesName="0" categoryName="1" value="1"/>
            <cx:separator>
</cx:separator>
            <cx:dataLabel idx="2">
              <cx:txPr>
                <a:bodyPr spcFirstLastPara="1" vertOverflow="ellipsis" horzOverflow="overflow" wrap="square" lIns="0" tIns="0" rIns="0" bIns="0" anchor="ctr" anchorCtr="1"/>
                <a:lstStyle/>
                <a:p>
                  <a:pPr algn="ctr" rtl="0">
                    <a:defRPr sz="1000"/>
                  </a:pPr>
                  <a:r>
                    <a:rPr lang="es-ES" sz="1000" b="0" i="0" u="none" strike="noStrike" kern="1200" baseline="0">
                      <a:solidFill>
                        <a:schemeClr val="bg1"/>
                      </a:solidFill>
                      <a:latin typeface="Arial" panose="020B0604020202020204" pitchFamily="34" charset="0"/>
                      <a:cs typeface="Arial" panose="020B0604020202020204" pitchFamily="34" charset="0"/>
                    </a:rPr>
                    <a:t>&lt;=1 año
14%</a:t>
                  </a:r>
                </a:p>
              </cx:txPr>
              <cx:visibility seriesName="0" categoryName="1" value="1"/>
              <cx:separator>
</cx:separator>
            </cx:dataLabel>
            <cx:dataLabel idx="3">
              <cx:txPr>
                <a:bodyPr spcFirstLastPara="1" vertOverflow="ellipsis" horzOverflow="overflow" wrap="square" lIns="0" tIns="0" rIns="0" bIns="0" anchor="ctr" anchorCtr="1"/>
                <a:lstStyle/>
                <a:p>
                  <a:pPr algn="ctr" rtl="0">
                    <a:defRPr>
                      <a:solidFill>
                        <a:schemeClr val="bg1"/>
                      </a:solidFill>
                    </a:defRPr>
                  </a:pPr>
                  <a:r>
                    <a:rPr lang="es-ES" sz="900" b="0" i="0" u="none" strike="noStrike" kern="1200" baseline="0">
                      <a:solidFill>
                        <a:schemeClr val="bg1"/>
                      </a:solidFill>
                      <a:latin typeface="Arial" panose="020B0604020202020204" pitchFamily="34" charset="0"/>
                      <a:cs typeface="Arial" panose="020B0604020202020204" pitchFamily="34" charset="0"/>
                    </a:rPr>
                    <a:t>&lt;=3 años
10%</a:t>
                  </a:r>
                </a:p>
              </cx:txPr>
              <cx:visibility seriesName="0" categoryName="1" value="1"/>
              <cx:separator>
</cx:separator>
            </cx:dataLabel>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8.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7.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8.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9.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0.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500-000000000000}">
  <sheetPr/>
  <sheetViews>
    <sheetView zoomScale="6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3" Type="http://schemas.openxmlformats.org/officeDocument/2006/relationships/chart" Target="../charts/chart14.xml"/><Relationship Id="rId18" Type="http://schemas.openxmlformats.org/officeDocument/2006/relationships/chart" Target="../charts/chart19.xml"/><Relationship Id="rId26" Type="http://schemas.openxmlformats.org/officeDocument/2006/relationships/chart" Target="../charts/chart27.xml"/><Relationship Id="rId39" Type="http://schemas.openxmlformats.org/officeDocument/2006/relationships/chart" Target="../charts/chart40.xml"/><Relationship Id="rId21" Type="http://schemas.openxmlformats.org/officeDocument/2006/relationships/chart" Target="../charts/chart22.xml"/><Relationship Id="rId34" Type="http://schemas.openxmlformats.org/officeDocument/2006/relationships/chart" Target="../charts/chart35.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5" Type="http://schemas.openxmlformats.org/officeDocument/2006/relationships/chart" Target="../charts/chart26.xml"/><Relationship Id="rId33" Type="http://schemas.openxmlformats.org/officeDocument/2006/relationships/chart" Target="../charts/chart34.xml"/><Relationship Id="rId38" Type="http://schemas.openxmlformats.org/officeDocument/2006/relationships/chart" Target="../charts/chart39.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29" Type="http://schemas.openxmlformats.org/officeDocument/2006/relationships/chart" Target="../charts/chart30.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24" Type="http://schemas.openxmlformats.org/officeDocument/2006/relationships/chart" Target="../charts/chart25.xml"/><Relationship Id="rId32" Type="http://schemas.openxmlformats.org/officeDocument/2006/relationships/chart" Target="../charts/chart33.xml"/><Relationship Id="rId37" Type="http://schemas.openxmlformats.org/officeDocument/2006/relationships/chart" Target="../charts/chart38.xml"/><Relationship Id="rId5" Type="http://schemas.openxmlformats.org/officeDocument/2006/relationships/chart" Target="../charts/chart6.xml"/><Relationship Id="rId15" Type="http://schemas.openxmlformats.org/officeDocument/2006/relationships/chart" Target="../charts/chart16.xml"/><Relationship Id="rId23" Type="http://schemas.openxmlformats.org/officeDocument/2006/relationships/chart" Target="../charts/chart24.xml"/><Relationship Id="rId28" Type="http://schemas.openxmlformats.org/officeDocument/2006/relationships/chart" Target="../charts/chart29.xml"/><Relationship Id="rId36" Type="http://schemas.openxmlformats.org/officeDocument/2006/relationships/chart" Target="../charts/chart37.xml"/><Relationship Id="rId10" Type="http://schemas.openxmlformats.org/officeDocument/2006/relationships/chart" Target="../charts/chart11.xml"/><Relationship Id="rId19" Type="http://schemas.openxmlformats.org/officeDocument/2006/relationships/chart" Target="../charts/chart20.xml"/><Relationship Id="rId31" Type="http://schemas.openxmlformats.org/officeDocument/2006/relationships/chart" Target="../charts/chart32.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 Id="rId22" Type="http://schemas.openxmlformats.org/officeDocument/2006/relationships/chart" Target="../charts/chart23.xml"/><Relationship Id="rId27" Type="http://schemas.openxmlformats.org/officeDocument/2006/relationships/chart" Target="../charts/chart28.xml"/><Relationship Id="rId30" Type="http://schemas.openxmlformats.org/officeDocument/2006/relationships/chart" Target="../charts/chart31.xml"/><Relationship Id="rId35" Type="http://schemas.openxmlformats.org/officeDocument/2006/relationships/chart" Target="../charts/chart36.xml"/><Relationship Id="rId8" Type="http://schemas.openxmlformats.org/officeDocument/2006/relationships/chart" Target="../charts/chart9.xml"/><Relationship Id="rId3"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8.xml"/><Relationship Id="rId3" Type="http://schemas.openxmlformats.org/officeDocument/2006/relationships/chart" Target="../charts/chart43.xml"/><Relationship Id="rId7" Type="http://schemas.openxmlformats.org/officeDocument/2006/relationships/chart" Target="../charts/chart47.xml"/><Relationship Id="rId12" Type="http://schemas.openxmlformats.org/officeDocument/2006/relationships/chart" Target="../charts/chart52.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11" Type="http://schemas.openxmlformats.org/officeDocument/2006/relationships/chart" Target="../charts/chart51.xml"/><Relationship Id="rId5" Type="http://schemas.openxmlformats.org/officeDocument/2006/relationships/chart" Target="../charts/chart45.xml"/><Relationship Id="rId10" Type="http://schemas.openxmlformats.org/officeDocument/2006/relationships/chart" Target="../charts/chart50.xml"/><Relationship Id="rId4" Type="http://schemas.openxmlformats.org/officeDocument/2006/relationships/chart" Target="../charts/chart44.xml"/><Relationship Id="rId9" Type="http://schemas.openxmlformats.org/officeDocument/2006/relationships/chart" Target="../charts/chart49.xml"/></Relationships>
</file>

<file path=xl/drawings/_rels/drawing5.xml.rels><?xml version="1.0" encoding="UTF-8" standalone="yes"?>
<Relationships xmlns="http://schemas.openxmlformats.org/package/2006/relationships"><Relationship Id="rId26" Type="http://schemas.openxmlformats.org/officeDocument/2006/relationships/chart" Target="../charts/chart78.xml"/><Relationship Id="rId21" Type="http://schemas.openxmlformats.org/officeDocument/2006/relationships/chart" Target="../charts/chart73.xml"/><Relationship Id="rId42" Type="http://schemas.openxmlformats.org/officeDocument/2006/relationships/chart" Target="../charts/chart94.xml"/><Relationship Id="rId47" Type="http://schemas.openxmlformats.org/officeDocument/2006/relationships/chart" Target="../charts/chart99.xml"/><Relationship Id="rId63" Type="http://schemas.openxmlformats.org/officeDocument/2006/relationships/chart" Target="../charts/chart115.xml"/><Relationship Id="rId68" Type="http://schemas.openxmlformats.org/officeDocument/2006/relationships/chart" Target="../charts/chart120.xml"/><Relationship Id="rId7" Type="http://schemas.openxmlformats.org/officeDocument/2006/relationships/chart" Target="../charts/chart59.xml"/><Relationship Id="rId71" Type="http://schemas.openxmlformats.org/officeDocument/2006/relationships/chart" Target="../charts/chart123.xml"/><Relationship Id="rId2" Type="http://schemas.openxmlformats.org/officeDocument/2006/relationships/chart" Target="../charts/chart54.xml"/><Relationship Id="rId16" Type="http://schemas.openxmlformats.org/officeDocument/2006/relationships/chart" Target="../charts/chart68.xml"/><Relationship Id="rId29" Type="http://schemas.openxmlformats.org/officeDocument/2006/relationships/chart" Target="../charts/chart81.xml"/><Relationship Id="rId11" Type="http://schemas.openxmlformats.org/officeDocument/2006/relationships/chart" Target="../charts/chart63.xml"/><Relationship Id="rId24" Type="http://schemas.openxmlformats.org/officeDocument/2006/relationships/chart" Target="../charts/chart76.xml"/><Relationship Id="rId32" Type="http://schemas.openxmlformats.org/officeDocument/2006/relationships/chart" Target="../charts/chart84.xml"/><Relationship Id="rId37" Type="http://schemas.openxmlformats.org/officeDocument/2006/relationships/chart" Target="../charts/chart89.xml"/><Relationship Id="rId40" Type="http://schemas.openxmlformats.org/officeDocument/2006/relationships/chart" Target="../charts/chart92.xml"/><Relationship Id="rId45" Type="http://schemas.openxmlformats.org/officeDocument/2006/relationships/chart" Target="../charts/chart97.xml"/><Relationship Id="rId53" Type="http://schemas.openxmlformats.org/officeDocument/2006/relationships/chart" Target="../charts/chart105.xml"/><Relationship Id="rId58" Type="http://schemas.openxmlformats.org/officeDocument/2006/relationships/chart" Target="../charts/chart110.xml"/><Relationship Id="rId66" Type="http://schemas.openxmlformats.org/officeDocument/2006/relationships/chart" Target="../charts/chart118.xml"/><Relationship Id="rId5" Type="http://schemas.openxmlformats.org/officeDocument/2006/relationships/chart" Target="../charts/chart57.xml"/><Relationship Id="rId61" Type="http://schemas.openxmlformats.org/officeDocument/2006/relationships/chart" Target="../charts/chart113.xml"/><Relationship Id="rId19" Type="http://schemas.openxmlformats.org/officeDocument/2006/relationships/chart" Target="../charts/chart71.xml"/><Relationship Id="rId14" Type="http://schemas.openxmlformats.org/officeDocument/2006/relationships/chart" Target="../charts/chart66.xml"/><Relationship Id="rId22" Type="http://schemas.openxmlformats.org/officeDocument/2006/relationships/chart" Target="../charts/chart74.xml"/><Relationship Id="rId27" Type="http://schemas.openxmlformats.org/officeDocument/2006/relationships/chart" Target="../charts/chart79.xml"/><Relationship Id="rId30" Type="http://schemas.openxmlformats.org/officeDocument/2006/relationships/chart" Target="../charts/chart82.xml"/><Relationship Id="rId35" Type="http://schemas.openxmlformats.org/officeDocument/2006/relationships/chart" Target="../charts/chart87.xml"/><Relationship Id="rId43" Type="http://schemas.openxmlformats.org/officeDocument/2006/relationships/chart" Target="../charts/chart95.xml"/><Relationship Id="rId48" Type="http://schemas.openxmlformats.org/officeDocument/2006/relationships/chart" Target="../charts/chart100.xml"/><Relationship Id="rId56" Type="http://schemas.openxmlformats.org/officeDocument/2006/relationships/chart" Target="../charts/chart108.xml"/><Relationship Id="rId64" Type="http://schemas.openxmlformats.org/officeDocument/2006/relationships/chart" Target="../charts/chart116.xml"/><Relationship Id="rId69" Type="http://schemas.openxmlformats.org/officeDocument/2006/relationships/chart" Target="../charts/chart121.xml"/><Relationship Id="rId8" Type="http://schemas.openxmlformats.org/officeDocument/2006/relationships/chart" Target="../charts/chart60.xml"/><Relationship Id="rId51" Type="http://schemas.openxmlformats.org/officeDocument/2006/relationships/chart" Target="../charts/chart103.xml"/><Relationship Id="rId72" Type="http://schemas.openxmlformats.org/officeDocument/2006/relationships/chart" Target="../charts/chart124.xml"/><Relationship Id="rId3" Type="http://schemas.openxmlformats.org/officeDocument/2006/relationships/chart" Target="../charts/chart55.xml"/><Relationship Id="rId12" Type="http://schemas.openxmlformats.org/officeDocument/2006/relationships/chart" Target="../charts/chart64.xml"/><Relationship Id="rId17" Type="http://schemas.openxmlformats.org/officeDocument/2006/relationships/chart" Target="../charts/chart69.xml"/><Relationship Id="rId25" Type="http://schemas.openxmlformats.org/officeDocument/2006/relationships/chart" Target="../charts/chart77.xml"/><Relationship Id="rId33" Type="http://schemas.openxmlformats.org/officeDocument/2006/relationships/chart" Target="../charts/chart85.xml"/><Relationship Id="rId38" Type="http://schemas.openxmlformats.org/officeDocument/2006/relationships/chart" Target="../charts/chart90.xml"/><Relationship Id="rId46" Type="http://schemas.openxmlformats.org/officeDocument/2006/relationships/chart" Target="../charts/chart98.xml"/><Relationship Id="rId59" Type="http://schemas.openxmlformats.org/officeDocument/2006/relationships/chart" Target="../charts/chart111.xml"/><Relationship Id="rId67" Type="http://schemas.openxmlformats.org/officeDocument/2006/relationships/chart" Target="../charts/chart119.xml"/><Relationship Id="rId20" Type="http://schemas.openxmlformats.org/officeDocument/2006/relationships/chart" Target="../charts/chart72.xml"/><Relationship Id="rId41" Type="http://schemas.openxmlformats.org/officeDocument/2006/relationships/chart" Target="../charts/chart93.xml"/><Relationship Id="rId54" Type="http://schemas.openxmlformats.org/officeDocument/2006/relationships/chart" Target="../charts/chart106.xml"/><Relationship Id="rId62" Type="http://schemas.openxmlformats.org/officeDocument/2006/relationships/chart" Target="../charts/chart114.xml"/><Relationship Id="rId70" Type="http://schemas.openxmlformats.org/officeDocument/2006/relationships/chart" Target="../charts/chart122.xml"/><Relationship Id="rId1" Type="http://schemas.openxmlformats.org/officeDocument/2006/relationships/chart" Target="../charts/chart53.xml"/><Relationship Id="rId6" Type="http://schemas.openxmlformats.org/officeDocument/2006/relationships/chart" Target="../charts/chart58.xml"/><Relationship Id="rId15" Type="http://schemas.openxmlformats.org/officeDocument/2006/relationships/chart" Target="../charts/chart67.xml"/><Relationship Id="rId23" Type="http://schemas.openxmlformats.org/officeDocument/2006/relationships/chart" Target="../charts/chart75.xml"/><Relationship Id="rId28" Type="http://schemas.openxmlformats.org/officeDocument/2006/relationships/chart" Target="../charts/chart80.xml"/><Relationship Id="rId36" Type="http://schemas.openxmlformats.org/officeDocument/2006/relationships/chart" Target="../charts/chart88.xml"/><Relationship Id="rId49" Type="http://schemas.openxmlformats.org/officeDocument/2006/relationships/chart" Target="../charts/chart101.xml"/><Relationship Id="rId57" Type="http://schemas.openxmlformats.org/officeDocument/2006/relationships/chart" Target="../charts/chart109.xml"/><Relationship Id="rId10" Type="http://schemas.openxmlformats.org/officeDocument/2006/relationships/chart" Target="../charts/chart62.xml"/><Relationship Id="rId31" Type="http://schemas.openxmlformats.org/officeDocument/2006/relationships/chart" Target="../charts/chart83.xml"/><Relationship Id="rId44" Type="http://schemas.openxmlformats.org/officeDocument/2006/relationships/chart" Target="../charts/chart96.xml"/><Relationship Id="rId52" Type="http://schemas.openxmlformats.org/officeDocument/2006/relationships/chart" Target="../charts/chart104.xml"/><Relationship Id="rId60" Type="http://schemas.openxmlformats.org/officeDocument/2006/relationships/chart" Target="../charts/chart112.xml"/><Relationship Id="rId65" Type="http://schemas.openxmlformats.org/officeDocument/2006/relationships/chart" Target="../charts/chart117.xml"/><Relationship Id="rId4" Type="http://schemas.openxmlformats.org/officeDocument/2006/relationships/chart" Target="../charts/chart56.xml"/><Relationship Id="rId9" Type="http://schemas.openxmlformats.org/officeDocument/2006/relationships/chart" Target="../charts/chart61.xml"/><Relationship Id="rId13" Type="http://schemas.openxmlformats.org/officeDocument/2006/relationships/chart" Target="../charts/chart65.xml"/><Relationship Id="rId18" Type="http://schemas.openxmlformats.org/officeDocument/2006/relationships/chart" Target="../charts/chart70.xml"/><Relationship Id="rId39" Type="http://schemas.openxmlformats.org/officeDocument/2006/relationships/chart" Target="../charts/chart91.xml"/><Relationship Id="rId34" Type="http://schemas.openxmlformats.org/officeDocument/2006/relationships/chart" Target="../charts/chart86.xml"/><Relationship Id="rId50" Type="http://schemas.openxmlformats.org/officeDocument/2006/relationships/chart" Target="../charts/chart102.xml"/><Relationship Id="rId55" Type="http://schemas.openxmlformats.org/officeDocument/2006/relationships/chart" Target="../charts/chart10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7.xml"/><Relationship Id="rId2" Type="http://schemas.openxmlformats.org/officeDocument/2006/relationships/chart" Target="../charts/chart126.xml"/><Relationship Id="rId1" Type="http://schemas.openxmlformats.org/officeDocument/2006/relationships/chart" Target="../charts/chart125.xml"/><Relationship Id="rId5" Type="http://schemas.openxmlformats.org/officeDocument/2006/relationships/chart" Target="../charts/chart129.xml"/><Relationship Id="rId4" Type="http://schemas.openxmlformats.org/officeDocument/2006/relationships/chart" Target="../charts/chart128.xml"/></Relationships>
</file>

<file path=xl/drawings/_rels/drawing7.xml.rels><?xml version="1.0" encoding="UTF-8" standalone="yes"?>
<Relationships xmlns="http://schemas.openxmlformats.org/package/2006/relationships"><Relationship Id="rId13" Type="http://schemas.openxmlformats.org/officeDocument/2006/relationships/chart" Target="../charts/chart142.xml"/><Relationship Id="rId18" Type="http://schemas.openxmlformats.org/officeDocument/2006/relationships/chart" Target="../charts/chart147.xml"/><Relationship Id="rId26" Type="http://schemas.microsoft.com/office/2014/relationships/chartEx" Target="../charts/chartEx4.xml"/><Relationship Id="rId3" Type="http://schemas.openxmlformats.org/officeDocument/2006/relationships/chart" Target="../charts/chart132.xml"/><Relationship Id="rId21" Type="http://schemas.openxmlformats.org/officeDocument/2006/relationships/chart" Target="../charts/chart150.xml"/><Relationship Id="rId34" Type="http://schemas.microsoft.com/office/2014/relationships/chartEx" Target="../charts/chartEx9.xml"/><Relationship Id="rId7" Type="http://schemas.openxmlformats.org/officeDocument/2006/relationships/chart" Target="../charts/chart136.xml"/><Relationship Id="rId12" Type="http://schemas.openxmlformats.org/officeDocument/2006/relationships/chart" Target="../charts/chart141.xml"/><Relationship Id="rId17" Type="http://schemas.openxmlformats.org/officeDocument/2006/relationships/chart" Target="../charts/chart146.xml"/><Relationship Id="rId25" Type="http://schemas.microsoft.com/office/2014/relationships/chartEx" Target="../charts/chartEx3.xml"/><Relationship Id="rId33" Type="http://schemas.openxmlformats.org/officeDocument/2006/relationships/chart" Target="../charts/chart154.xml"/><Relationship Id="rId2" Type="http://schemas.openxmlformats.org/officeDocument/2006/relationships/chart" Target="../charts/chart131.xml"/><Relationship Id="rId16" Type="http://schemas.openxmlformats.org/officeDocument/2006/relationships/chart" Target="../charts/chart145.xml"/><Relationship Id="rId20" Type="http://schemas.openxmlformats.org/officeDocument/2006/relationships/chart" Target="../charts/chart149.xml"/><Relationship Id="rId29" Type="http://schemas.microsoft.com/office/2014/relationships/chartEx" Target="../charts/chartEx7.xml"/><Relationship Id="rId1" Type="http://schemas.openxmlformats.org/officeDocument/2006/relationships/chart" Target="../charts/chart130.xml"/><Relationship Id="rId6" Type="http://schemas.openxmlformats.org/officeDocument/2006/relationships/chart" Target="../charts/chart135.xml"/><Relationship Id="rId11" Type="http://schemas.openxmlformats.org/officeDocument/2006/relationships/chart" Target="../charts/chart140.xml"/><Relationship Id="rId24" Type="http://schemas.microsoft.com/office/2014/relationships/chartEx" Target="../charts/chartEx2.xml"/><Relationship Id="rId32" Type="http://schemas.openxmlformats.org/officeDocument/2006/relationships/chart" Target="../charts/chart153.xml"/><Relationship Id="rId5" Type="http://schemas.openxmlformats.org/officeDocument/2006/relationships/chart" Target="../charts/chart134.xml"/><Relationship Id="rId15" Type="http://schemas.openxmlformats.org/officeDocument/2006/relationships/chart" Target="../charts/chart144.xml"/><Relationship Id="rId23" Type="http://schemas.microsoft.com/office/2014/relationships/chartEx" Target="../charts/chartEx1.xml"/><Relationship Id="rId28" Type="http://schemas.microsoft.com/office/2014/relationships/chartEx" Target="../charts/chartEx6.xml"/><Relationship Id="rId36" Type="http://schemas.openxmlformats.org/officeDocument/2006/relationships/chart" Target="../charts/chart156.xml"/><Relationship Id="rId10" Type="http://schemas.openxmlformats.org/officeDocument/2006/relationships/chart" Target="../charts/chart139.xml"/><Relationship Id="rId19" Type="http://schemas.openxmlformats.org/officeDocument/2006/relationships/chart" Target="../charts/chart148.xml"/><Relationship Id="rId31" Type="http://schemas.openxmlformats.org/officeDocument/2006/relationships/chart" Target="../charts/chart152.xml"/><Relationship Id="rId4" Type="http://schemas.openxmlformats.org/officeDocument/2006/relationships/chart" Target="../charts/chart133.xml"/><Relationship Id="rId9" Type="http://schemas.openxmlformats.org/officeDocument/2006/relationships/chart" Target="../charts/chart138.xml"/><Relationship Id="rId14" Type="http://schemas.openxmlformats.org/officeDocument/2006/relationships/chart" Target="../charts/chart143.xml"/><Relationship Id="rId22" Type="http://schemas.openxmlformats.org/officeDocument/2006/relationships/chart" Target="../charts/chart151.xml"/><Relationship Id="rId27" Type="http://schemas.microsoft.com/office/2014/relationships/chartEx" Target="../charts/chartEx5.xml"/><Relationship Id="rId30" Type="http://schemas.microsoft.com/office/2014/relationships/chartEx" Target="../charts/chartEx8.xml"/><Relationship Id="rId35" Type="http://schemas.openxmlformats.org/officeDocument/2006/relationships/chart" Target="../charts/chart155.xml"/><Relationship Id="rId8" Type="http://schemas.openxmlformats.org/officeDocument/2006/relationships/chart" Target="../charts/chart13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59.xml"/><Relationship Id="rId2" Type="http://schemas.openxmlformats.org/officeDocument/2006/relationships/chart" Target="../charts/chart158.xml"/><Relationship Id="rId1" Type="http://schemas.openxmlformats.org/officeDocument/2006/relationships/chart" Target="../charts/chart157.xml"/><Relationship Id="rId4" Type="http://schemas.openxmlformats.org/officeDocument/2006/relationships/chart" Target="../charts/chart160.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63.xml"/><Relationship Id="rId2" Type="http://schemas.openxmlformats.org/officeDocument/2006/relationships/chart" Target="../charts/chart162.xml"/><Relationship Id="rId1" Type="http://schemas.openxmlformats.org/officeDocument/2006/relationships/chart" Target="../charts/chart161.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71.xml"/><Relationship Id="rId13" Type="http://schemas.openxmlformats.org/officeDocument/2006/relationships/chart" Target="../charts/chart176.xml"/><Relationship Id="rId18" Type="http://schemas.openxmlformats.org/officeDocument/2006/relationships/chart" Target="../charts/chart181.xml"/><Relationship Id="rId3" Type="http://schemas.openxmlformats.org/officeDocument/2006/relationships/chart" Target="../charts/chart166.xml"/><Relationship Id="rId7" Type="http://schemas.openxmlformats.org/officeDocument/2006/relationships/chart" Target="../charts/chart170.xml"/><Relationship Id="rId12" Type="http://schemas.openxmlformats.org/officeDocument/2006/relationships/chart" Target="../charts/chart175.xml"/><Relationship Id="rId17" Type="http://schemas.openxmlformats.org/officeDocument/2006/relationships/chart" Target="../charts/chart180.xml"/><Relationship Id="rId2" Type="http://schemas.openxmlformats.org/officeDocument/2006/relationships/chart" Target="../charts/chart165.xml"/><Relationship Id="rId16" Type="http://schemas.openxmlformats.org/officeDocument/2006/relationships/chart" Target="../charts/chart179.xml"/><Relationship Id="rId1" Type="http://schemas.openxmlformats.org/officeDocument/2006/relationships/chart" Target="../charts/chart164.xml"/><Relationship Id="rId6" Type="http://schemas.openxmlformats.org/officeDocument/2006/relationships/chart" Target="../charts/chart169.xml"/><Relationship Id="rId11" Type="http://schemas.openxmlformats.org/officeDocument/2006/relationships/chart" Target="../charts/chart174.xml"/><Relationship Id="rId5" Type="http://schemas.openxmlformats.org/officeDocument/2006/relationships/chart" Target="../charts/chart168.xml"/><Relationship Id="rId15" Type="http://schemas.openxmlformats.org/officeDocument/2006/relationships/chart" Target="../charts/chart178.xml"/><Relationship Id="rId10" Type="http://schemas.openxmlformats.org/officeDocument/2006/relationships/chart" Target="../charts/chart173.xml"/><Relationship Id="rId19" Type="http://schemas.openxmlformats.org/officeDocument/2006/relationships/chart" Target="../charts/chart182.xml"/><Relationship Id="rId4" Type="http://schemas.openxmlformats.org/officeDocument/2006/relationships/chart" Target="../charts/chart167.xml"/><Relationship Id="rId9" Type="http://schemas.openxmlformats.org/officeDocument/2006/relationships/chart" Target="../charts/chart172.xml"/><Relationship Id="rId14" Type="http://schemas.openxmlformats.org/officeDocument/2006/relationships/chart" Target="../charts/chart17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3.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91.xml"/><Relationship Id="rId13" Type="http://schemas.openxmlformats.org/officeDocument/2006/relationships/chart" Target="../charts/chart196.xml"/><Relationship Id="rId3" Type="http://schemas.openxmlformats.org/officeDocument/2006/relationships/chart" Target="../charts/chart186.xml"/><Relationship Id="rId7" Type="http://schemas.openxmlformats.org/officeDocument/2006/relationships/chart" Target="../charts/chart190.xml"/><Relationship Id="rId12" Type="http://schemas.openxmlformats.org/officeDocument/2006/relationships/chart" Target="../charts/chart195.xml"/><Relationship Id="rId2" Type="http://schemas.openxmlformats.org/officeDocument/2006/relationships/chart" Target="../charts/chart185.xml"/><Relationship Id="rId1" Type="http://schemas.openxmlformats.org/officeDocument/2006/relationships/chart" Target="../charts/chart184.xml"/><Relationship Id="rId6" Type="http://schemas.openxmlformats.org/officeDocument/2006/relationships/chart" Target="../charts/chart189.xml"/><Relationship Id="rId11" Type="http://schemas.openxmlformats.org/officeDocument/2006/relationships/chart" Target="../charts/chart194.xml"/><Relationship Id="rId5" Type="http://schemas.openxmlformats.org/officeDocument/2006/relationships/chart" Target="../charts/chart188.xml"/><Relationship Id="rId15" Type="http://schemas.openxmlformats.org/officeDocument/2006/relationships/chart" Target="../charts/chart198.xml"/><Relationship Id="rId10" Type="http://schemas.openxmlformats.org/officeDocument/2006/relationships/chart" Target="../charts/chart193.xml"/><Relationship Id="rId4" Type="http://schemas.openxmlformats.org/officeDocument/2006/relationships/chart" Target="../charts/chart187.xml"/><Relationship Id="rId9" Type="http://schemas.openxmlformats.org/officeDocument/2006/relationships/chart" Target="../charts/chart192.xml"/><Relationship Id="rId14" Type="http://schemas.openxmlformats.org/officeDocument/2006/relationships/chart" Target="../charts/chart197.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206.xml"/><Relationship Id="rId3" Type="http://schemas.openxmlformats.org/officeDocument/2006/relationships/chart" Target="../charts/chart201.xml"/><Relationship Id="rId7" Type="http://schemas.openxmlformats.org/officeDocument/2006/relationships/chart" Target="../charts/chart205.xml"/><Relationship Id="rId2" Type="http://schemas.openxmlformats.org/officeDocument/2006/relationships/chart" Target="../charts/chart200.xml"/><Relationship Id="rId1" Type="http://schemas.openxmlformats.org/officeDocument/2006/relationships/chart" Target="../charts/chart199.xml"/><Relationship Id="rId6" Type="http://schemas.openxmlformats.org/officeDocument/2006/relationships/chart" Target="../charts/chart204.xml"/><Relationship Id="rId5" Type="http://schemas.openxmlformats.org/officeDocument/2006/relationships/chart" Target="../charts/chart203.xml"/><Relationship Id="rId4" Type="http://schemas.openxmlformats.org/officeDocument/2006/relationships/chart" Target="../charts/chart20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209.xml"/><Relationship Id="rId2" Type="http://schemas.openxmlformats.org/officeDocument/2006/relationships/chart" Target="../charts/chart208.xml"/><Relationship Id="rId1" Type="http://schemas.openxmlformats.org/officeDocument/2006/relationships/chart" Target="../charts/chart207.xml"/></Relationships>
</file>

<file path=xl/drawings/_rels/drawing16.xml.rels><?xml version="1.0" encoding="UTF-8" standalone="yes"?>
<Relationships xmlns="http://schemas.openxmlformats.org/package/2006/relationships"><Relationship Id="rId1" Type="http://schemas.openxmlformats.org/officeDocument/2006/relationships/image" Target="../media/image3.wmf"/></Relationships>
</file>

<file path=xl/drawings/_rels/drawing17.xml.rels><?xml version="1.0" encoding="UTF-8" standalone="yes"?>
<Relationships xmlns="http://schemas.openxmlformats.org/package/2006/relationships"><Relationship Id="rId3" Type="http://schemas.openxmlformats.org/officeDocument/2006/relationships/chart" Target="../charts/chart212.xml"/><Relationship Id="rId2" Type="http://schemas.openxmlformats.org/officeDocument/2006/relationships/chart" Target="../charts/chart211.xml"/><Relationship Id="rId1" Type="http://schemas.openxmlformats.org/officeDocument/2006/relationships/chart" Target="../charts/chart210.xml"/><Relationship Id="rId6" Type="http://schemas.openxmlformats.org/officeDocument/2006/relationships/chart" Target="../charts/chart215.xml"/><Relationship Id="rId5" Type="http://schemas.openxmlformats.org/officeDocument/2006/relationships/chart" Target="../charts/chart214.xml"/><Relationship Id="rId4" Type="http://schemas.openxmlformats.org/officeDocument/2006/relationships/chart" Target="../charts/chart213.xml"/></Relationships>
</file>

<file path=xl/drawings/_rels/drawing18.xml.rels><?xml version="1.0" encoding="UTF-8" standalone="yes"?>
<Relationships xmlns="http://schemas.openxmlformats.org/package/2006/relationships"><Relationship Id="rId13" Type="http://schemas.openxmlformats.org/officeDocument/2006/relationships/chart" Target="../charts/chart228.xml"/><Relationship Id="rId18" Type="http://schemas.openxmlformats.org/officeDocument/2006/relationships/chart" Target="../charts/chart233.xml"/><Relationship Id="rId26" Type="http://schemas.openxmlformats.org/officeDocument/2006/relationships/chart" Target="../charts/chart241.xml"/><Relationship Id="rId39" Type="http://schemas.openxmlformats.org/officeDocument/2006/relationships/chart" Target="../charts/chart254.xml"/><Relationship Id="rId21" Type="http://schemas.openxmlformats.org/officeDocument/2006/relationships/chart" Target="../charts/chart236.xml"/><Relationship Id="rId34" Type="http://schemas.openxmlformats.org/officeDocument/2006/relationships/chart" Target="../charts/chart249.xml"/><Relationship Id="rId42" Type="http://schemas.openxmlformats.org/officeDocument/2006/relationships/chart" Target="../charts/chart257.xml"/><Relationship Id="rId47" Type="http://schemas.openxmlformats.org/officeDocument/2006/relationships/chart" Target="../charts/chart262.xml"/><Relationship Id="rId50" Type="http://schemas.openxmlformats.org/officeDocument/2006/relationships/chart" Target="../charts/chart265.xml"/><Relationship Id="rId7" Type="http://schemas.openxmlformats.org/officeDocument/2006/relationships/chart" Target="../charts/chart222.xml"/><Relationship Id="rId2" Type="http://schemas.openxmlformats.org/officeDocument/2006/relationships/chart" Target="../charts/chart217.xml"/><Relationship Id="rId16" Type="http://schemas.openxmlformats.org/officeDocument/2006/relationships/chart" Target="../charts/chart231.xml"/><Relationship Id="rId29" Type="http://schemas.openxmlformats.org/officeDocument/2006/relationships/chart" Target="../charts/chart244.xml"/><Relationship Id="rId11" Type="http://schemas.openxmlformats.org/officeDocument/2006/relationships/chart" Target="../charts/chart226.xml"/><Relationship Id="rId24" Type="http://schemas.openxmlformats.org/officeDocument/2006/relationships/chart" Target="../charts/chart239.xml"/><Relationship Id="rId32" Type="http://schemas.openxmlformats.org/officeDocument/2006/relationships/chart" Target="../charts/chart247.xml"/><Relationship Id="rId37" Type="http://schemas.openxmlformats.org/officeDocument/2006/relationships/chart" Target="../charts/chart252.xml"/><Relationship Id="rId40" Type="http://schemas.openxmlformats.org/officeDocument/2006/relationships/chart" Target="../charts/chart255.xml"/><Relationship Id="rId45" Type="http://schemas.openxmlformats.org/officeDocument/2006/relationships/chart" Target="../charts/chart260.xml"/><Relationship Id="rId5" Type="http://schemas.openxmlformats.org/officeDocument/2006/relationships/chart" Target="../charts/chart220.xml"/><Relationship Id="rId15" Type="http://schemas.openxmlformats.org/officeDocument/2006/relationships/chart" Target="../charts/chart230.xml"/><Relationship Id="rId23" Type="http://schemas.openxmlformats.org/officeDocument/2006/relationships/chart" Target="../charts/chart238.xml"/><Relationship Id="rId28" Type="http://schemas.openxmlformats.org/officeDocument/2006/relationships/chart" Target="../charts/chart243.xml"/><Relationship Id="rId36" Type="http://schemas.openxmlformats.org/officeDocument/2006/relationships/chart" Target="../charts/chart251.xml"/><Relationship Id="rId49" Type="http://schemas.openxmlformats.org/officeDocument/2006/relationships/chart" Target="../charts/chart264.xml"/><Relationship Id="rId10" Type="http://schemas.openxmlformats.org/officeDocument/2006/relationships/chart" Target="../charts/chart225.xml"/><Relationship Id="rId19" Type="http://schemas.openxmlformats.org/officeDocument/2006/relationships/chart" Target="../charts/chart234.xml"/><Relationship Id="rId31" Type="http://schemas.openxmlformats.org/officeDocument/2006/relationships/chart" Target="../charts/chart246.xml"/><Relationship Id="rId44" Type="http://schemas.openxmlformats.org/officeDocument/2006/relationships/chart" Target="../charts/chart259.xml"/><Relationship Id="rId4" Type="http://schemas.openxmlformats.org/officeDocument/2006/relationships/chart" Target="../charts/chart219.xml"/><Relationship Id="rId9" Type="http://schemas.openxmlformats.org/officeDocument/2006/relationships/chart" Target="../charts/chart224.xml"/><Relationship Id="rId14" Type="http://schemas.openxmlformats.org/officeDocument/2006/relationships/chart" Target="../charts/chart229.xml"/><Relationship Id="rId22" Type="http://schemas.openxmlformats.org/officeDocument/2006/relationships/chart" Target="../charts/chart237.xml"/><Relationship Id="rId27" Type="http://schemas.openxmlformats.org/officeDocument/2006/relationships/chart" Target="../charts/chart242.xml"/><Relationship Id="rId30" Type="http://schemas.openxmlformats.org/officeDocument/2006/relationships/chart" Target="../charts/chart245.xml"/><Relationship Id="rId35" Type="http://schemas.openxmlformats.org/officeDocument/2006/relationships/chart" Target="../charts/chart250.xml"/><Relationship Id="rId43" Type="http://schemas.openxmlformats.org/officeDocument/2006/relationships/chart" Target="../charts/chart258.xml"/><Relationship Id="rId48" Type="http://schemas.openxmlformats.org/officeDocument/2006/relationships/chart" Target="../charts/chart263.xml"/><Relationship Id="rId8" Type="http://schemas.openxmlformats.org/officeDocument/2006/relationships/chart" Target="../charts/chart223.xml"/><Relationship Id="rId3" Type="http://schemas.openxmlformats.org/officeDocument/2006/relationships/chart" Target="../charts/chart218.xml"/><Relationship Id="rId12" Type="http://schemas.openxmlformats.org/officeDocument/2006/relationships/chart" Target="../charts/chart227.xml"/><Relationship Id="rId17" Type="http://schemas.openxmlformats.org/officeDocument/2006/relationships/chart" Target="../charts/chart232.xml"/><Relationship Id="rId25" Type="http://schemas.openxmlformats.org/officeDocument/2006/relationships/chart" Target="../charts/chart240.xml"/><Relationship Id="rId33" Type="http://schemas.openxmlformats.org/officeDocument/2006/relationships/chart" Target="../charts/chart248.xml"/><Relationship Id="rId38" Type="http://schemas.openxmlformats.org/officeDocument/2006/relationships/chart" Target="../charts/chart253.xml"/><Relationship Id="rId46" Type="http://schemas.openxmlformats.org/officeDocument/2006/relationships/chart" Target="../charts/chart261.xml"/><Relationship Id="rId20" Type="http://schemas.openxmlformats.org/officeDocument/2006/relationships/chart" Target="../charts/chart235.xml"/><Relationship Id="rId41" Type="http://schemas.openxmlformats.org/officeDocument/2006/relationships/chart" Target="../charts/chart256.xml"/><Relationship Id="rId1" Type="http://schemas.openxmlformats.org/officeDocument/2006/relationships/chart" Target="../charts/chart216.xml"/><Relationship Id="rId6" Type="http://schemas.openxmlformats.org/officeDocument/2006/relationships/chart" Target="../charts/chart221.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268.xml"/><Relationship Id="rId2" Type="http://schemas.openxmlformats.org/officeDocument/2006/relationships/chart" Target="../charts/chart267.xml"/><Relationship Id="rId1" Type="http://schemas.openxmlformats.org/officeDocument/2006/relationships/chart" Target="../charts/chart266.xml"/></Relationships>
</file>

<file path=xl/drawings/drawing1.xml><?xml version="1.0" encoding="utf-8"?>
<xdr:wsDr xmlns:xdr="http://schemas.openxmlformats.org/drawingml/2006/spreadsheetDrawing" xmlns:a="http://schemas.openxmlformats.org/drawingml/2006/main">
  <xdr:twoCellAnchor>
    <xdr:from>
      <xdr:col>18</xdr:col>
      <xdr:colOff>114300</xdr:colOff>
      <xdr:row>0</xdr:row>
      <xdr:rowOff>47625</xdr:rowOff>
    </xdr:from>
    <xdr:to>
      <xdr:col>18</xdr:col>
      <xdr:colOff>266700</xdr:colOff>
      <xdr:row>1</xdr:row>
      <xdr:rowOff>19050</xdr:rowOff>
    </xdr:to>
    <xdr:pic>
      <xdr:nvPicPr>
        <xdr:cNvPr id="2049" name="Picture 1">
          <a:extLst>
            <a:ext uri="{FF2B5EF4-FFF2-40B4-BE49-F238E27FC236}">
              <a16:creationId xmlns:a16="http://schemas.microsoft.com/office/drawing/2014/main" id="{00000000-0008-0000-0000-000001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15975" y="47625"/>
          <a:ext cx="152400" cy="161925"/>
        </a:xfrm>
        <a:prstGeom prst="rect">
          <a:avLst/>
        </a:prstGeom>
        <a:noFill/>
        <a:ln w="9525">
          <a:noFill/>
          <a:miter lim="800000"/>
          <a:headEnd/>
          <a:tailEnd/>
        </a:ln>
      </xdr:spPr>
    </xdr:pic>
    <xdr:clientData/>
  </xdr:twoCellAnchor>
  <xdr:twoCellAnchor>
    <xdr:from>
      <xdr:col>19</xdr:col>
      <xdr:colOff>142875</xdr:colOff>
      <xdr:row>0</xdr:row>
      <xdr:rowOff>0</xdr:rowOff>
    </xdr:from>
    <xdr:to>
      <xdr:col>19</xdr:col>
      <xdr:colOff>276225</xdr:colOff>
      <xdr:row>0</xdr:row>
      <xdr:rowOff>123825</xdr:rowOff>
    </xdr:to>
    <xdr:pic>
      <xdr:nvPicPr>
        <xdr:cNvPr id="2050" name="Picture 2">
          <a:extLst>
            <a:ext uri="{FF2B5EF4-FFF2-40B4-BE49-F238E27FC236}">
              <a16:creationId xmlns:a16="http://schemas.microsoft.com/office/drawing/2014/main" id="{00000000-0008-0000-0000-0000020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306550" y="0"/>
          <a:ext cx="133350" cy="1238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8661797" cy="6290469"/>
    <xdr:graphicFrame macro="">
      <xdr:nvGraphicFramePr>
        <xdr:cNvPr id="2" name="Gráfico 1">
          <a:extLst>
            <a:ext uri="{FF2B5EF4-FFF2-40B4-BE49-F238E27FC236}">
              <a16:creationId xmlns:a16="http://schemas.microsoft.com/office/drawing/2014/main" id="{EF8A4F1A-3F2D-4135-80B3-C60A1A661A1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26</xdr:col>
      <xdr:colOff>806823</xdr:colOff>
      <xdr:row>17</xdr:row>
      <xdr:rowOff>49135</xdr:rowOff>
    </xdr:from>
    <xdr:to>
      <xdr:col>31</xdr:col>
      <xdr:colOff>545353</xdr:colOff>
      <xdr:row>33</xdr:row>
      <xdr:rowOff>156881</xdr:rowOff>
    </xdr:to>
    <xdr:graphicFrame macro="">
      <xdr:nvGraphicFramePr>
        <xdr:cNvPr id="2" name="Chart 2">
          <a:extLst>
            <a:ext uri="{FF2B5EF4-FFF2-40B4-BE49-F238E27FC236}">
              <a16:creationId xmlns:a16="http://schemas.microsoft.com/office/drawing/2014/main" id="{27BC678F-64A8-49B8-96D7-1BC76B3FC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67237</xdr:colOff>
      <xdr:row>17</xdr:row>
      <xdr:rowOff>67235</xdr:rowOff>
    </xdr:from>
    <xdr:to>
      <xdr:col>38</xdr:col>
      <xdr:colOff>694765</xdr:colOff>
      <xdr:row>34</xdr:row>
      <xdr:rowOff>59765</xdr:rowOff>
    </xdr:to>
    <xdr:graphicFrame macro="">
      <xdr:nvGraphicFramePr>
        <xdr:cNvPr id="3" name="Chart 2">
          <a:extLst>
            <a:ext uri="{FF2B5EF4-FFF2-40B4-BE49-F238E27FC236}">
              <a16:creationId xmlns:a16="http://schemas.microsoft.com/office/drawing/2014/main" id="{4DFCC2FC-5357-4916-971C-371EF8E23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134472</xdr:colOff>
      <xdr:row>35</xdr:row>
      <xdr:rowOff>59765</xdr:rowOff>
    </xdr:from>
    <xdr:to>
      <xdr:col>32</xdr:col>
      <xdr:colOff>52295</xdr:colOff>
      <xdr:row>52</xdr:row>
      <xdr:rowOff>97117</xdr:rowOff>
    </xdr:to>
    <xdr:graphicFrame macro="">
      <xdr:nvGraphicFramePr>
        <xdr:cNvPr id="8" name="Chart 2">
          <a:extLst>
            <a:ext uri="{FF2B5EF4-FFF2-40B4-BE49-F238E27FC236}">
              <a16:creationId xmlns:a16="http://schemas.microsoft.com/office/drawing/2014/main" id="{9A18FBA5-25F0-4E10-8248-68CD85440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272727</xdr:colOff>
      <xdr:row>35</xdr:row>
      <xdr:rowOff>82176</xdr:rowOff>
    </xdr:from>
    <xdr:to>
      <xdr:col>39</xdr:col>
      <xdr:colOff>22412</xdr:colOff>
      <xdr:row>52</xdr:row>
      <xdr:rowOff>82176</xdr:rowOff>
    </xdr:to>
    <xdr:graphicFrame macro="">
      <xdr:nvGraphicFramePr>
        <xdr:cNvPr id="9" name="Chart 2">
          <a:extLst>
            <a:ext uri="{FF2B5EF4-FFF2-40B4-BE49-F238E27FC236}">
              <a16:creationId xmlns:a16="http://schemas.microsoft.com/office/drawing/2014/main" id="{86B2A877-2FDC-4A9C-AC97-2061BC6D0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109721</xdr:colOff>
      <xdr:row>53</xdr:row>
      <xdr:rowOff>52294</xdr:rowOff>
    </xdr:from>
    <xdr:to>
      <xdr:col>32</xdr:col>
      <xdr:colOff>37353</xdr:colOff>
      <xdr:row>71</xdr:row>
      <xdr:rowOff>37353</xdr:rowOff>
    </xdr:to>
    <xdr:graphicFrame macro="">
      <xdr:nvGraphicFramePr>
        <xdr:cNvPr id="10" name="Chart 2">
          <a:extLst>
            <a:ext uri="{FF2B5EF4-FFF2-40B4-BE49-F238E27FC236}">
              <a16:creationId xmlns:a16="http://schemas.microsoft.com/office/drawing/2014/main" id="{8AACD37E-1536-4AF5-8FA7-20CE72533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360384</xdr:colOff>
      <xdr:row>53</xdr:row>
      <xdr:rowOff>20665</xdr:rowOff>
    </xdr:from>
    <xdr:to>
      <xdr:col>39</xdr:col>
      <xdr:colOff>164353</xdr:colOff>
      <xdr:row>70</xdr:row>
      <xdr:rowOff>104588</xdr:rowOff>
    </xdr:to>
    <xdr:graphicFrame macro="">
      <xdr:nvGraphicFramePr>
        <xdr:cNvPr id="11" name="Chart 2">
          <a:extLst>
            <a:ext uri="{FF2B5EF4-FFF2-40B4-BE49-F238E27FC236}">
              <a16:creationId xmlns:a16="http://schemas.microsoft.com/office/drawing/2014/main" id="{6AAC5B66-D26A-4C8E-96E5-9E7B319DF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72022</xdr:colOff>
      <xdr:row>71</xdr:row>
      <xdr:rowOff>96777</xdr:rowOff>
    </xdr:from>
    <xdr:to>
      <xdr:col>31</xdr:col>
      <xdr:colOff>664882</xdr:colOff>
      <xdr:row>89</xdr:row>
      <xdr:rowOff>37353</xdr:rowOff>
    </xdr:to>
    <xdr:graphicFrame macro="">
      <xdr:nvGraphicFramePr>
        <xdr:cNvPr id="12" name="Chart 2">
          <a:extLst>
            <a:ext uri="{FF2B5EF4-FFF2-40B4-BE49-F238E27FC236}">
              <a16:creationId xmlns:a16="http://schemas.microsoft.com/office/drawing/2014/main" id="{19A642FC-0B10-493B-911F-CDCF7D0AF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327213</xdr:colOff>
      <xdr:row>70</xdr:row>
      <xdr:rowOff>94289</xdr:rowOff>
    </xdr:from>
    <xdr:to>
      <xdr:col>39</xdr:col>
      <xdr:colOff>164352</xdr:colOff>
      <xdr:row>89</xdr:row>
      <xdr:rowOff>89647</xdr:rowOff>
    </xdr:to>
    <xdr:graphicFrame macro="">
      <xdr:nvGraphicFramePr>
        <xdr:cNvPr id="13" name="Chart 2">
          <a:extLst>
            <a:ext uri="{FF2B5EF4-FFF2-40B4-BE49-F238E27FC236}">
              <a16:creationId xmlns:a16="http://schemas.microsoft.com/office/drawing/2014/main" id="{4E0201FA-30D5-422E-8FF8-A4E66DD14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0</xdr:colOff>
      <xdr:row>95</xdr:row>
      <xdr:rowOff>104052</xdr:rowOff>
    </xdr:from>
    <xdr:to>
      <xdr:col>31</xdr:col>
      <xdr:colOff>590177</xdr:colOff>
      <xdr:row>114</xdr:row>
      <xdr:rowOff>119529</xdr:rowOff>
    </xdr:to>
    <xdr:graphicFrame macro="">
      <xdr:nvGraphicFramePr>
        <xdr:cNvPr id="14" name="Chart 2">
          <a:extLst>
            <a:ext uri="{FF2B5EF4-FFF2-40B4-BE49-F238E27FC236}">
              <a16:creationId xmlns:a16="http://schemas.microsoft.com/office/drawing/2014/main" id="{43E6D62A-9752-4423-83DA-CEA84C10D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141941</xdr:colOff>
      <xdr:row>95</xdr:row>
      <xdr:rowOff>74816</xdr:rowOff>
    </xdr:from>
    <xdr:to>
      <xdr:col>39</xdr:col>
      <xdr:colOff>104588</xdr:colOff>
      <xdr:row>114</xdr:row>
      <xdr:rowOff>112059</xdr:rowOff>
    </xdr:to>
    <xdr:graphicFrame macro="">
      <xdr:nvGraphicFramePr>
        <xdr:cNvPr id="15" name="Chart 2">
          <a:extLst>
            <a:ext uri="{FF2B5EF4-FFF2-40B4-BE49-F238E27FC236}">
              <a16:creationId xmlns:a16="http://schemas.microsoft.com/office/drawing/2014/main" id="{94AC4498-ABBB-47FD-8591-7E07FD74A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32</xdr:col>
      <xdr:colOff>161601</xdr:colOff>
      <xdr:row>165</xdr:row>
      <xdr:rowOff>48236</xdr:rowOff>
    </xdr:from>
    <xdr:to>
      <xdr:col>37</xdr:col>
      <xdr:colOff>769476</xdr:colOff>
      <xdr:row>181</xdr:row>
      <xdr:rowOff>109196</xdr:rowOff>
    </xdr:to>
    <xdr:graphicFrame macro="">
      <xdr:nvGraphicFramePr>
        <xdr:cNvPr id="16" name="Gráfico 15">
          <a:extLst>
            <a:ext uri="{FF2B5EF4-FFF2-40B4-BE49-F238E27FC236}">
              <a16:creationId xmlns:a16="http://schemas.microsoft.com/office/drawing/2014/main" id="{B9DA1877-F3BF-4423-B170-73A56CF49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32</xdr:col>
      <xdr:colOff>420825</xdr:colOff>
      <xdr:row>182</xdr:row>
      <xdr:rowOff>52046</xdr:rowOff>
    </xdr:from>
    <xdr:to>
      <xdr:col>38</xdr:col>
      <xdr:colOff>237945</xdr:colOff>
      <xdr:row>198</xdr:row>
      <xdr:rowOff>113006</xdr:rowOff>
    </xdr:to>
    <xdr:graphicFrame macro="">
      <xdr:nvGraphicFramePr>
        <xdr:cNvPr id="17" name="Gráfico 16">
          <a:extLst>
            <a:ext uri="{FF2B5EF4-FFF2-40B4-BE49-F238E27FC236}">
              <a16:creationId xmlns:a16="http://schemas.microsoft.com/office/drawing/2014/main" id="{ACC92BDB-F948-44AC-9AAF-BDD3866B0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38</xdr:col>
      <xdr:colOff>0</xdr:colOff>
      <xdr:row>165</xdr:row>
      <xdr:rowOff>0</xdr:rowOff>
    </xdr:from>
    <xdr:to>
      <xdr:col>43</xdr:col>
      <xdr:colOff>594360</xdr:colOff>
      <xdr:row>181</xdr:row>
      <xdr:rowOff>60960</xdr:rowOff>
    </xdr:to>
    <xdr:graphicFrame macro="">
      <xdr:nvGraphicFramePr>
        <xdr:cNvPr id="18" name="Gráfico 17">
          <a:extLst>
            <a:ext uri="{FF2B5EF4-FFF2-40B4-BE49-F238E27FC236}">
              <a16:creationId xmlns:a16="http://schemas.microsoft.com/office/drawing/2014/main" id="{45CDA7D7-963A-4B4A-AF5E-80442DD83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38</xdr:col>
      <xdr:colOff>704490</xdr:colOff>
      <xdr:row>182</xdr:row>
      <xdr:rowOff>57510</xdr:rowOff>
    </xdr:from>
    <xdr:to>
      <xdr:col>45</xdr:col>
      <xdr:colOff>500907</xdr:colOff>
      <xdr:row>198</xdr:row>
      <xdr:rowOff>118470</xdr:rowOff>
    </xdr:to>
    <xdr:graphicFrame macro="">
      <xdr:nvGraphicFramePr>
        <xdr:cNvPr id="19" name="Gráfico 18">
          <a:extLst>
            <a:ext uri="{FF2B5EF4-FFF2-40B4-BE49-F238E27FC236}">
              <a16:creationId xmlns:a16="http://schemas.microsoft.com/office/drawing/2014/main" id="{E33DACC6-D1EA-47B6-A558-085820279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38</xdr:col>
      <xdr:colOff>690114</xdr:colOff>
      <xdr:row>199</xdr:row>
      <xdr:rowOff>150962</xdr:rowOff>
    </xdr:from>
    <xdr:to>
      <xdr:col>45</xdr:col>
      <xdr:colOff>370649</xdr:colOff>
      <xdr:row>216</xdr:row>
      <xdr:rowOff>46582</xdr:rowOff>
    </xdr:to>
    <xdr:graphicFrame macro="">
      <xdr:nvGraphicFramePr>
        <xdr:cNvPr id="20" name="Gráfico 19">
          <a:extLst>
            <a:ext uri="{FF2B5EF4-FFF2-40B4-BE49-F238E27FC236}">
              <a16:creationId xmlns:a16="http://schemas.microsoft.com/office/drawing/2014/main" id="{C684F832-AA7D-49F9-B6E0-F50C4C979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32</xdr:col>
      <xdr:colOff>0</xdr:colOff>
      <xdr:row>219</xdr:row>
      <xdr:rowOff>0</xdr:rowOff>
    </xdr:from>
    <xdr:to>
      <xdr:col>37</xdr:col>
      <xdr:colOff>607875</xdr:colOff>
      <xdr:row>235</xdr:row>
      <xdr:rowOff>60960</xdr:rowOff>
    </xdr:to>
    <xdr:graphicFrame macro="">
      <xdr:nvGraphicFramePr>
        <xdr:cNvPr id="22" name="Gráfico 21">
          <a:extLst>
            <a:ext uri="{FF2B5EF4-FFF2-40B4-BE49-F238E27FC236}">
              <a16:creationId xmlns:a16="http://schemas.microsoft.com/office/drawing/2014/main" id="{9FFA0E7D-E584-4878-848B-6743BF8B9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32</xdr:col>
      <xdr:colOff>0</xdr:colOff>
      <xdr:row>237</xdr:row>
      <xdr:rowOff>0</xdr:rowOff>
    </xdr:from>
    <xdr:to>
      <xdr:col>37</xdr:col>
      <xdr:colOff>607875</xdr:colOff>
      <xdr:row>253</xdr:row>
      <xdr:rowOff>60960</xdr:rowOff>
    </xdr:to>
    <xdr:graphicFrame macro="">
      <xdr:nvGraphicFramePr>
        <xdr:cNvPr id="23" name="Gráfico 22">
          <a:extLst>
            <a:ext uri="{FF2B5EF4-FFF2-40B4-BE49-F238E27FC236}">
              <a16:creationId xmlns:a16="http://schemas.microsoft.com/office/drawing/2014/main" id="{59D29120-7496-42EC-BED0-68B247581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32</xdr:col>
      <xdr:colOff>0</xdr:colOff>
      <xdr:row>256</xdr:row>
      <xdr:rowOff>0</xdr:rowOff>
    </xdr:from>
    <xdr:to>
      <xdr:col>37</xdr:col>
      <xdr:colOff>607875</xdr:colOff>
      <xdr:row>272</xdr:row>
      <xdr:rowOff>60960</xdr:rowOff>
    </xdr:to>
    <xdr:graphicFrame macro="">
      <xdr:nvGraphicFramePr>
        <xdr:cNvPr id="25" name="Gráfico 24">
          <a:extLst>
            <a:ext uri="{FF2B5EF4-FFF2-40B4-BE49-F238E27FC236}">
              <a16:creationId xmlns:a16="http://schemas.microsoft.com/office/drawing/2014/main" id="{2B482337-14F4-4619-9478-E078969CB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1111141</xdr:colOff>
      <xdr:row>209</xdr:row>
      <xdr:rowOff>144102</xdr:rowOff>
    </xdr:from>
    <xdr:to>
      <xdr:col>24</xdr:col>
      <xdr:colOff>995901</xdr:colOff>
      <xdr:row>226</xdr:row>
      <xdr:rowOff>40537</xdr:rowOff>
    </xdr:to>
    <xdr:graphicFrame macro="">
      <xdr:nvGraphicFramePr>
        <xdr:cNvPr id="26" name="Gráfico 25">
          <a:extLst>
            <a:ext uri="{FF2B5EF4-FFF2-40B4-BE49-F238E27FC236}">
              <a16:creationId xmlns:a16="http://schemas.microsoft.com/office/drawing/2014/main" id="{9FF842CC-6A70-4D5F-9480-1CBEADA9C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26</xdr:col>
      <xdr:colOff>51954</xdr:colOff>
      <xdr:row>223</xdr:row>
      <xdr:rowOff>17318</xdr:rowOff>
    </xdr:from>
    <xdr:to>
      <xdr:col>31</xdr:col>
      <xdr:colOff>300396</xdr:colOff>
      <xdr:row>239</xdr:row>
      <xdr:rowOff>78279</xdr:rowOff>
    </xdr:to>
    <xdr:graphicFrame macro="">
      <xdr:nvGraphicFramePr>
        <xdr:cNvPr id="27" name="Gráfico 26">
          <a:extLst>
            <a:ext uri="{FF2B5EF4-FFF2-40B4-BE49-F238E27FC236}">
              <a16:creationId xmlns:a16="http://schemas.microsoft.com/office/drawing/2014/main" id="{AED3461D-9EC7-4275-A10D-C20E5C1E3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26</xdr:col>
      <xdr:colOff>95250</xdr:colOff>
      <xdr:row>239</xdr:row>
      <xdr:rowOff>129886</xdr:rowOff>
    </xdr:from>
    <xdr:to>
      <xdr:col>31</xdr:col>
      <xdr:colOff>343692</xdr:colOff>
      <xdr:row>256</xdr:row>
      <xdr:rowOff>26323</xdr:rowOff>
    </xdr:to>
    <xdr:graphicFrame macro="">
      <xdr:nvGraphicFramePr>
        <xdr:cNvPr id="28" name="Gráfico 27">
          <a:extLst>
            <a:ext uri="{FF2B5EF4-FFF2-40B4-BE49-F238E27FC236}">
              <a16:creationId xmlns:a16="http://schemas.microsoft.com/office/drawing/2014/main" id="{5A6426D6-C02F-4E17-8DE3-614BB91BE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26</xdr:col>
      <xdr:colOff>17318</xdr:colOff>
      <xdr:row>277</xdr:row>
      <xdr:rowOff>164522</xdr:rowOff>
    </xdr:from>
    <xdr:to>
      <xdr:col>31</xdr:col>
      <xdr:colOff>265760</xdr:colOff>
      <xdr:row>294</xdr:row>
      <xdr:rowOff>60960</xdr:rowOff>
    </xdr:to>
    <xdr:graphicFrame macro="">
      <xdr:nvGraphicFramePr>
        <xdr:cNvPr id="30" name="Gráfico 29">
          <a:extLst>
            <a:ext uri="{FF2B5EF4-FFF2-40B4-BE49-F238E27FC236}">
              <a16:creationId xmlns:a16="http://schemas.microsoft.com/office/drawing/2014/main" id="{673571F0-75C4-4F9E-88CF-1AF7A59A6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26</xdr:col>
      <xdr:colOff>112568</xdr:colOff>
      <xdr:row>301</xdr:row>
      <xdr:rowOff>121228</xdr:rowOff>
    </xdr:from>
    <xdr:to>
      <xdr:col>31</xdr:col>
      <xdr:colOff>361010</xdr:colOff>
      <xdr:row>318</xdr:row>
      <xdr:rowOff>17665</xdr:rowOff>
    </xdr:to>
    <xdr:graphicFrame macro="">
      <xdr:nvGraphicFramePr>
        <xdr:cNvPr id="32" name="Gráfico 31">
          <a:extLst>
            <a:ext uri="{FF2B5EF4-FFF2-40B4-BE49-F238E27FC236}">
              <a16:creationId xmlns:a16="http://schemas.microsoft.com/office/drawing/2014/main" id="{12D897FF-0E9A-4547-B577-CBE502545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32</xdr:col>
      <xdr:colOff>0</xdr:colOff>
      <xdr:row>274</xdr:row>
      <xdr:rowOff>0</xdr:rowOff>
    </xdr:from>
    <xdr:to>
      <xdr:col>37</xdr:col>
      <xdr:colOff>607875</xdr:colOff>
      <xdr:row>290</xdr:row>
      <xdr:rowOff>60960</xdr:rowOff>
    </xdr:to>
    <xdr:graphicFrame macro="">
      <xdr:nvGraphicFramePr>
        <xdr:cNvPr id="33" name="Gráfico 32">
          <a:extLst>
            <a:ext uri="{FF2B5EF4-FFF2-40B4-BE49-F238E27FC236}">
              <a16:creationId xmlns:a16="http://schemas.microsoft.com/office/drawing/2014/main" id="{18831D39-AECD-48A6-AD82-47CC0E16E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32</xdr:col>
      <xdr:colOff>0</xdr:colOff>
      <xdr:row>292</xdr:row>
      <xdr:rowOff>0</xdr:rowOff>
    </xdr:from>
    <xdr:to>
      <xdr:col>37</xdr:col>
      <xdr:colOff>607875</xdr:colOff>
      <xdr:row>308</xdr:row>
      <xdr:rowOff>60960</xdr:rowOff>
    </xdr:to>
    <xdr:graphicFrame macro="">
      <xdr:nvGraphicFramePr>
        <xdr:cNvPr id="34" name="Gráfico 33">
          <a:extLst>
            <a:ext uri="{FF2B5EF4-FFF2-40B4-BE49-F238E27FC236}">
              <a16:creationId xmlns:a16="http://schemas.microsoft.com/office/drawing/2014/main" id="{1D4D6D10-CF65-4818-BA25-F14EEF44F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428625</xdr:colOff>
      <xdr:row>135</xdr:row>
      <xdr:rowOff>7189</xdr:rowOff>
    </xdr:from>
    <xdr:to>
      <xdr:col>10</xdr:col>
      <xdr:colOff>428660</xdr:colOff>
      <xdr:row>153</xdr:row>
      <xdr:rowOff>10424</xdr:rowOff>
    </xdr:to>
    <xdr:graphicFrame macro="">
      <xdr:nvGraphicFramePr>
        <xdr:cNvPr id="35" name="Chart 2">
          <a:extLst>
            <a:ext uri="{FF2B5EF4-FFF2-40B4-BE49-F238E27FC236}">
              <a16:creationId xmlns:a16="http://schemas.microsoft.com/office/drawing/2014/main" id="{02656A67-38E4-4BD6-959E-8FE552573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11</xdr:col>
      <xdr:colOff>36922</xdr:colOff>
      <xdr:row>134</xdr:row>
      <xdr:rowOff>150812</xdr:rowOff>
    </xdr:from>
    <xdr:to>
      <xdr:col>17</xdr:col>
      <xdr:colOff>978477</xdr:colOff>
      <xdr:row>153</xdr:row>
      <xdr:rowOff>63500</xdr:rowOff>
    </xdr:to>
    <xdr:graphicFrame macro="">
      <xdr:nvGraphicFramePr>
        <xdr:cNvPr id="36" name="Chart 2">
          <a:extLst>
            <a:ext uri="{FF2B5EF4-FFF2-40B4-BE49-F238E27FC236}">
              <a16:creationId xmlns:a16="http://schemas.microsoft.com/office/drawing/2014/main" id="{9979E9CA-5A27-4905-83E2-A70B95210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xdr:col>
      <xdr:colOff>239349</xdr:colOff>
      <xdr:row>154</xdr:row>
      <xdr:rowOff>100859</xdr:rowOff>
    </xdr:from>
    <xdr:to>
      <xdr:col>11</xdr:col>
      <xdr:colOff>190500</xdr:colOff>
      <xdr:row>175</xdr:row>
      <xdr:rowOff>23812</xdr:rowOff>
    </xdr:to>
    <xdr:graphicFrame macro="">
      <xdr:nvGraphicFramePr>
        <xdr:cNvPr id="37" name="Chart 7">
          <a:extLst>
            <a:ext uri="{FF2B5EF4-FFF2-40B4-BE49-F238E27FC236}">
              <a16:creationId xmlns:a16="http://schemas.microsoft.com/office/drawing/2014/main" id="{E08A33CA-0760-4A6D-9A52-EAC669A48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11</xdr:col>
      <xdr:colOff>385208</xdr:colOff>
      <xdr:row>154</xdr:row>
      <xdr:rowOff>116595</xdr:rowOff>
    </xdr:from>
    <xdr:to>
      <xdr:col>18</xdr:col>
      <xdr:colOff>571500</xdr:colOff>
      <xdr:row>175</xdr:row>
      <xdr:rowOff>31750</xdr:rowOff>
    </xdr:to>
    <xdr:graphicFrame macro="">
      <xdr:nvGraphicFramePr>
        <xdr:cNvPr id="38" name="1 Gráfico">
          <a:extLst>
            <a:ext uri="{FF2B5EF4-FFF2-40B4-BE49-F238E27FC236}">
              <a16:creationId xmlns:a16="http://schemas.microsoft.com/office/drawing/2014/main" id="{73813BF9-6659-4890-9F45-E2F66A66F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11</xdr:col>
      <xdr:colOff>432409</xdr:colOff>
      <xdr:row>169</xdr:row>
      <xdr:rowOff>103556</xdr:rowOff>
    </xdr:from>
    <xdr:to>
      <xdr:col>18</xdr:col>
      <xdr:colOff>539750</xdr:colOff>
      <xdr:row>169</xdr:row>
      <xdr:rowOff>111125</xdr:rowOff>
    </xdr:to>
    <xdr:cxnSp macro="">
      <xdr:nvCxnSpPr>
        <xdr:cNvPr id="39" name="11 Conector recto">
          <a:extLst>
            <a:ext uri="{FF2B5EF4-FFF2-40B4-BE49-F238E27FC236}">
              <a16:creationId xmlns:a16="http://schemas.microsoft.com/office/drawing/2014/main" id="{B0E59167-13AA-4F89-B761-CB06F3FCC2A2}"/>
            </a:ext>
          </a:extLst>
        </xdr:cNvPr>
        <xdr:cNvCxnSpPr/>
      </xdr:nvCxnSpPr>
      <xdr:spPr>
        <a:xfrm>
          <a:off x="7623784" y="27114869"/>
          <a:ext cx="6139841" cy="7569"/>
        </a:xfrm>
        <a:prstGeom prst="line">
          <a:avLst/>
        </a:prstGeom>
        <a:ln w="28575" cmpd="sng">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467591</xdr:colOff>
      <xdr:row>200</xdr:row>
      <xdr:rowOff>34636</xdr:rowOff>
    </xdr:from>
    <xdr:to>
      <xdr:col>38</xdr:col>
      <xdr:colOff>278829</xdr:colOff>
      <xdr:row>216</xdr:row>
      <xdr:rowOff>95597</xdr:rowOff>
    </xdr:to>
    <xdr:graphicFrame macro="">
      <xdr:nvGraphicFramePr>
        <xdr:cNvPr id="40" name="Gráfico 39">
          <a:extLst>
            <a:ext uri="{FF2B5EF4-FFF2-40B4-BE49-F238E27FC236}">
              <a16:creationId xmlns:a16="http://schemas.microsoft.com/office/drawing/2014/main" id="{5F02BCF0-A119-4F7E-A2E3-78A4E6576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26</xdr:col>
      <xdr:colOff>0</xdr:colOff>
      <xdr:row>258</xdr:row>
      <xdr:rowOff>8660</xdr:rowOff>
    </xdr:from>
    <xdr:to>
      <xdr:col>31</xdr:col>
      <xdr:colOff>248442</xdr:colOff>
      <xdr:row>274</xdr:row>
      <xdr:rowOff>69620</xdr:rowOff>
    </xdr:to>
    <xdr:graphicFrame macro="">
      <xdr:nvGraphicFramePr>
        <xdr:cNvPr id="41" name="Gráfico 40">
          <a:extLst>
            <a:ext uri="{FF2B5EF4-FFF2-40B4-BE49-F238E27FC236}">
              <a16:creationId xmlns:a16="http://schemas.microsoft.com/office/drawing/2014/main" id="{0067C6DF-F36B-4956-9408-2284CC2B6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39</xdr:col>
      <xdr:colOff>0</xdr:colOff>
      <xdr:row>219</xdr:row>
      <xdr:rowOff>0</xdr:rowOff>
    </xdr:from>
    <xdr:to>
      <xdr:col>45</xdr:col>
      <xdr:colOff>471290</xdr:colOff>
      <xdr:row>235</xdr:row>
      <xdr:rowOff>60960</xdr:rowOff>
    </xdr:to>
    <xdr:graphicFrame macro="">
      <xdr:nvGraphicFramePr>
        <xdr:cNvPr id="24" name="Gráfico 23">
          <a:extLst>
            <a:ext uri="{FF2B5EF4-FFF2-40B4-BE49-F238E27FC236}">
              <a16:creationId xmlns:a16="http://schemas.microsoft.com/office/drawing/2014/main" id="{176163C4-D730-407A-8DA0-E118EB2DC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32</xdr:col>
      <xdr:colOff>0</xdr:colOff>
      <xdr:row>311</xdr:row>
      <xdr:rowOff>138544</xdr:rowOff>
    </xdr:from>
    <xdr:to>
      <xdr:col>38</xdr:col>
      <xdr:colOff>0</xdr:colOff>
      <xdr:row>329</xdr:row>
      <xdr:rowOff>121227</xdr:rowOff>
    </xdr:to>
    <xdr:graphicFrame macro="">
      <xdr:nvGraphicFramePr>
        <xdr:cNvPr id="21" name="Gráfico 20">
          <a:extLst>
            <a:ext uri="{FF2B5EF4-FFF2-40B4-BE49-F238E27FC236}">
              <a16:creationId xmlns:a16="http://schemas.microsoft.com/office/drawing/2014/main" id="{8C5D99F3-BB33-4820-86F8-8A37C0969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26</xdr:col>
      <xdr:colOff>0</xdr:colOff>
      <xdr:row>319</xdr:row>
      <xdr:rowOff>0</xdr:rowOff>
    </xdr:from>
    <xdr:to>
      <xdr:col>31</xdr:col>
      <xdr:colOff>248442</xdr:colOff>
      <xdr:row>335</xdr:row>
      <xdr:rowOff>60960</xdr:rowOff>
    </xdr:to>
    <xdr:graphicFrame macro="">
      <xdr:nvGraphicFramePr>
        <xdr:cNvPr id="43" name="Gráfico 42">
          <a:extLst>
            <a:ext uri="{FF2B5EF4-FFF2-40B4-BE49-F238E27FC236}">
              <a16:creationId xmlns:a16="http://schemas.microsoft.com/office/drawing/2014/main" id="{2D04A24E-F381-445F-8916-DA0190B29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26</xdr:col>
      <xdr:colOff>0</xdr:colOff>
      <xdr:row>337</xdr:row>
      <xdr:rowOff>0</xdr:rowOff>
    </xdr:from>
    <xdr:to>
      <xdr:col>31</xdr:col>
      <xdr:colOff>248442</xdr:colOff>
      <xdr:row>353</xdr:row>
      <xdr:rowOff>60961</xdr:rowOff>
    </xdr:to>
    <xdr:graphicFrame macro="">
      <xdr:nvGraphicFramePr>
        <xdr:cNvPr id="44" name="Gráfico 43">
          <a:extLst>
            <a:ext uri="{FF2B5EF4-FFF2-40B4-BE49-F238E27FC236}">
              <a16:creationId xmlns:a16="http://schemas.microsoft.com/office/drawing/2014/main" id="{D1BE1E6C-059A-4AF7-9239-5DC52D545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20</xdr:col>
      <xdr:colOff>0</xdr:colOff>
      <xdr:row>228</xdr:row>
      <xdr:rowOff>0</xdr:rowOff>
    </xdr:from>
    <xdr:to>
      <xdr:col>24</xdr:col>
      <xdr:colOff>1062397</xdr:colOff>
      <xdr:row>244</xdr:row>
      <xdr:rowOff>60958</xdr:rowOff>
    </xdr:to>
    <xdr:graphicFrame macro="">
      <xdr:nvGraphicFramePr>
        <xdr:cNvPr id="45" name="Gráfico 44">
          <a:extLst>
            <a:ext uri="{FF2B5EF4-FFF2-40B4-BE49-F238E27FC236}">
              <a16:creationId xmlns:a16="http://schemas.microsoft.com/office/drawing/2014/main" id="{2C8A7FB3-C2F7-494F-A9FD-89E7F14A3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20</xdr:col>
      <xdr:colOff>0</xdr:colOff>
      <xdr:row>246</xdr:row>
      <xdr:rowOff>0</xdr:rowOff>
    </xdr:from>
    <xdr:to>
      <xdr:col>24</xdr:col>
      <xdr:colOff>1062397</xdr:colOff>
      <xdr:row>262</xdr:row>
      <xdr:rowOff>60958</xdr:rowOff>
    </xdr:to>
    <xdr:graphicFrame macro="">
      <xdr:nvGraphicFramePr>
        <xdr:cNvPr id="46" name="Gráfico 45">
          <a:extLst>
            <a:ext uri="{FF2B5EF4-FFF2-40B4-BE49-F238E27FC236}">
              <a16:creationId xmlns:a16="http://schemas.microsoft.com/office/drawing/2014/main" id="{B224B81D-1A54-4E8C-86CF-63E6AE612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20</xdr:col>
      <xdr:colOff>0</xdr:colOff>
      <xdr:row>264</xdr:row>
      <xdr:rowOff>0</xdr:rowOff>
    </xdr:from>
    <xdr:to>
      <xdr:col>24</xdr:col>
      <xdr:colOff>1062397</xdr:colOff>
      <xdr:row>280</xdr:row>
      <xdr:rowOff>60958</xdr:rowOff>
    </xdr:to>
    <xdr:graphicFrame macro="">
      <xdr:nvGraphicFramePr>
        <xdr:cNvPr id="47" name="Gráfico 46">
          <a:extLst>
            <a:ext uri="{FF2B5EF4-FFF2-40B4-BE49-F238E27FC236}">
              <a16:creationId xmlns:a16="http://schemas.microsoft.com/office/drawing/2014/main" id="{8C3C9284-1595-404A-A3A5-F25895B22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20</xdr:col>
      <xdr:colOff>0</xdr:colOff>
      <xdr:row>281</xdr:row>
      <xdr:rowOff>0</xdr:rowOff>
    </xdr:from>
    <xdr:to>
      <xdr:col>24</xdr:col>
      <xdr:colOff>1062397</xdr:colOff>
      <xdr:row>297</xdr:row>
      <xdr:rowOff>60959</xdr:rowOff>
    </xdr:to>
    <xdr:graphicFrame macro="">
      <xdr:nvGraphicFramePr>
        <xdr:cNvPr id="48" name="Gráfico 47">
          <a:extLst>
            <a:ext uri="{FF2B5EF4-FFF2-40B4-BE49-F238E27FC236}">
              <a16:creationId xmlns:a16="http://schemas.microsoft.com/office/drawing/2014/main" id="{816FB587-66F0-4AA5-B1B9-5D8C7C90A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49</xdr:col>
      <xdr:colOff>590550</xdr:colOff>
      <xdr:row>9</xdr:row>
      <xdr:rowOff>123825</xdr:rowOff>
    </xdr:from>
    <xdr:to>
      <xdr:col>55</xdr:col>
      <xdr:colOff>133350</xdr:colOff>
      <xdr:row>22</xdr:row>
      <xdr:rowOff>104775</xdr:rowOff>
    </xdr:to>
    <xdr:graphicFrame macro="">
      <xdr:nvGraphicFramePr>
        <xdr:cNvPr id="3073" name="Chart 17">
          <a:extLst>
            <a:ext uri="{FF2B5EF4-FFF2-40B4-BE49-F238E27FC236}">
              <a16:creationId xmlns:a16="http://schemas.microsoft.com/office/drawing/2014/main" id="{00000000-0008-0000-0F00-000001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628650</xdr:colOff>
      <xdr:row>23</xdr:row>
      <xdr:rowOff>123825</xdr:rowOff>
    </xdr:from>
    <xdr:to>
      <xdr:col>55</xdr:col>
      <xdr:colOff>142875</xdr:colOff>
      <xdr:row>36</xdr:row>
      <xdr:rowOff>85725</xdr:rowOff>
    </xdr:to>
    <xdr:graphicFrame macro="">
      <xdr:nvGraphicFramePr>
        <xdr:cNvPr id="3074" name="Chart 18">
          <a:extLst>
            <a:ext uri="{FF2B5EF4-FFF2-40B4-BE49-F238E27FC236}">
              <a16:creationId xmlns:a16="http://schemas.microsoft.com/office/drawing/2014/main" id="{00000000-0008-0000-0F00-000002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61</xdr:col>
      <xdr:colOff>609600</xdr:colOff>
      <xdr:row>10</xdr:row>
      <xdr:rowOff>0</xdr:rowOff>
    </xdr:from>
    <xdr:to>
      <xdr:col>66</xdr:col>
      <xdr:colOff>628650</xdr:colOff>
      <xdr:row>22</xdr:row>
      <xdr:rowOff>104775</xdr:rowOff>
    </xdr:to>
    <xdr:graphicFrame macro="">
      <xdr:nvGraphicFramePr>
        <xdr:cNvPr id="3075" name="Chart 21">
          <a:extLst>
            <a:ext uri="{FF2B5EF4-FFF2-40B4-BE49-F238E27FC236}">
              <a16:creationId xmlns:a16="http://schemas.microsoft.com/office/drawing/2014/main" id="{00000000-0008-0000-0F00-000003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61</xdr:col>
      <xdr:colOff>419100</xdr:colOff>
      <xdr:row>24</xdr:row>
      <xdr:rowOff>0</xdr:rowOff>
    </xdr:from>
    <xdr:to>
      <xdr:col>66</xdr:col>
      <xdr:colOff>609600</xdr:colOff>
      <xdr:row>36</xdr:row>
      <xdr:rowOff>114300</xdr:rowOff>
    </xdr:to>
    <xdr:graphicFrame macro="">
      <xdr:nvGraphicFramePr>
        <xdr:cNvPr id="3076" name="Chart 22">
          <a:extLst>
            <a:ext uri="{FF2B5EF4-FFF2-40B4-BE49-F238E27FC236}">
              <a16:creationId xmlns:a16="http://schemas.microsoft.com/office/drawing/2014/main" id="{00000000-0008-0000-0F00-000004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73</xdr:col>
      <xdr:colOff>590550</xdr:colOff>
      <xdr:row>9</xdr:row>
      <xdr:rowOff>123825</xdr:rowOff>
    </xdr:from>
    <xdr:to>
      <xdr:col>79</xdr:col>
      <xdr:colOff>133350</xdr:colOff>
      <xdr:row>22</xdr:row>
      <xdr:rowOff>104775</xdr:rowOff>
    </xdr:to>
    <xdr:graphicFrame macro="">
      <xdr:nvGraphicFramePr>
        <xdr:cNvPr id="3077" name="Chart 25">
          <a:extLst>
            <a:ext uri="{FF2B5EF4-FFF2-40B4-BE49-F238E27FC236}">
              <a16:creationId xmlns:a16="http://schemas.microsoft.com/office/drawing/2014/main" id="{00000000-0008-0000-0F00-000005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73</xdr:col>
      <xdr:colOff>628650</xdr:colOff>
      <xdr:row>23</xdr:row>
      <xdr:rowOff>123825</xdr:rowOff>
    </xdr:from>
    <xdr:to>
      <xdr:col>79</xdr:col>
      <xdr:colOff>142875</xdr:colOff>
      <xdr:row>36</xdr:row>
      <xdr:rowOff>85725</xdr:rowOff>
    </xdr:to>
    <xdr:graphicFrame macro="">
      <xdr:nvGraphicFramePr>
        <xdr:cNvPr id="3078" name="Chart 26">
          <a:extLst>
            <a:ext uri="{FF2B5EF4-FFF2-40B4-BE49-F238E27FC236}">
              <a16:creationId xmlns:a16="http://schemas.microsoft.com/office/drawing/2014/main" id="{00000000-0008-0000-0F00-000006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55</xdr:col>
      <xdr:colOff>561975</xdr:colOff>
      <xdr:row>10</xdr:row>
      <xdr:rowOff>9525</xdr:rowOff>
    </xdr:from>
    <xdr:to>
      <xdr:col>61</xdr:col>
      <xdr:colOff>161925</xdr:colOff>
      <xdr:row>24</xdr:row>
      <xdr:rowOff>9525</xdr:rowOff>
    </xdr:to>
    <xdr:graphicFrame macro="">
      <xdr:nvGraphicFramePr>
        <xdr:cNvPr id="3079" name="Chart 27">
          <a:extLst>
            <a:ext uri="{FF2B5EF4-FFF2-40B4-BE49-F238E27FC236}">
              <a16:creationId xmlns:a16="http://schemas.microsoft.com/office/drawing/2014/main" id="{00000000-0008-0000-0F00-000007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55</xdr:col>
      <xdr:colOff>504825</xdr:colOff>
      <xdr:row>24</xdr:row>
      <xdr:rowOff>0</xdr:rowOff>
    </xdr:from>
    <xdr:to>
      <xdr:col>61</xdr:col>
      <xdr:colOff>228600</xdr:colOff>
      <xdr:row>38</xdr:row>
      <xdr:rowOff>104775</xdr:rowOff>
    </xdr:to>
    <xdr:graphicFrame macro="">
      <xdr:nvGraphicFramePr>
        <xdr:cNvPr id="3080" name="Chart 28">
          <a:extLst>
            <a:ext uri="{FF2B5EF4-FFF2-40B4-BE49-F238E27FC236}">
              <a16:creationId xmlns:a16="http://schemas.microsoft.com/office/drawing/2014/main" id="{00000000-0008-0000-0F00-000008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68</xdr:col>
      <xdr:colOff>0</xdr:colOff>
      <xdr:row>10</xdr:row>
      <xdr:rowOff>0</xdr:rowOff>
    </xdr:from>
    <xdr:to>
      <xdr:col>72</xdr:col>
      <xdr:colOff>200025</xdr:colOff>
      <xdr:row>21</xdr:row>
      <xdr:rowOff>19050</xdr:rowOff>
    </xdr:to>
    <xdr:graphicFrame macro="">
      <xdr:nvGraphicFramePr>
        <xdr:cNvPr id="3081" name="Chart 29">
          <a:extLst>
            <a:ext uri="{FF2B5EF4-FFF2-40B4-BE49-F238E27FC236}">
              <a16:creationId xmlns:a16="http://schemas.microsoft.com/office/drawing/2014/main" id="{00000000-0008-0000-0F00-000009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68</xdr:col>
      <xdr:colOff>0</xdr:colOff>
      <xdr:row>24</xdr:row>
      <xdr:rowOff>0</xdr:rowOff>
    </xdr:from>
    <xdr:to>
      <xdr:col>72</xdr:col>
      <xdr:colOff>342900</xdr:colOff>
      <xdr:row>35</xdr:row>
      <xdr:rowOff>28575</xdr:rowOff>
    </xdr:to>
    <xdr:graphicFrame macro="">
      <xdr:nvGraphicFramePr>
        <xdr:cNvPr id="3082" name="Chart 30">
          <a:extLst>
            <a:ext uri="{FF2B5EF4-FFF2-40B4-BE49-F238E27FC236}">
              <a16:creationId xmlns:a16="http://schemas.microsoft.com/office/drawing/2014/main" id="{00000000-0008-0000-0F00-00000A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80</xdr:col>
      <xdr:colOff>0</xdr:colOff>
      <xdr:row>10</xdr:row>
      <xdr:rowOff>0</xdr:rowOff>
    </xdr:from>
    <xdr:to>
      <xdr:col>85</xdr:col>
      <xdr:colOff>19050</xdr:colOff>
      <xdr:row>21</xdr:row>
      <xdr:rowOff>47625</xdr:rowOff>
    </xdr:to>
    <xdr:graphicFrame macro="">
      <xdr:nvGraphicFramePr>
        <xdr:cNvPr id="3083" name="Chart 31">
          <a:extLst>
            <a:ext uri="{FF2B5EF4-FFF2-40B4-BE49-F238E27FC236}">
              <a16:creationId xmlns:a16="http://schemas.microsoft.com/office/drawing/2014/main" id="{00000000-0008-0000-0F00-00000B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79</xdr:col>
      <xdr:colOff>342900</xdr:colOff>
      <xdr:row>24</xdr:row>
      <xdr:rowOff>9525</xdr:rowOff>
    </xdr:from>
    <xdr:to>
      <xdr:col>84</xdr:col>
      <xdr:colOff>342900</xdr:colOff>
      <xdr:row>35</xdr:row>
      <xdr:rowOff>47625</xdr:rowOff>
    </xdr:to>
    <xdr:graphicFrame macro="">
      <xdr:nvGraphicFramePr>
        <xdr:cNvPr id="3084" name="Chart 32">
          <a:extLst>
            <a:ext uri="{FF2B5EF4-FFF2-40B4-BE49-F238E27FC236}">
              <a16:creationId xmlns:a16="http://schemas.microsoft.com/office/drawing/2014/main" id="{00000000-0008-0000-0F00-00000C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68</xdr:col>
      <xdr:colOff>704850</xdr:colOff>
      <xdr:row>112</xdr:row>
      <xdr:rowOff>152400</xdr:rowOff>
    </xdr:from>
    <xdr:to>
      <xdr:col>74</xdr:col>
      <xdr:colOff>171450</xdr:colOff>
      <xdr:row>129</xdr:row>
      <xdr:rowOff>85725</xdr:rowOff>
    </xdr:to>
    <xdr:graphicFrame macro="">
      <xdr:nvGraphicFramePr>
        <xdr:cNvPr id="16385" name="Chart 1">
          <a:extLst>
            <a:ext uri="{FF2B5EF4-FFF2-40B4-BE49-F238E27FC236}">
              <a16:creationId xmlns:a16="http://schemas.microsoft.com/office/drawing/2014/main" id="{00000000-0008-0000-1000-000001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219075</xdr:colOff>
      <xdr:row>88</xdr:row>
      <xdr:rowOff>95250</xdr:rowOff>
    </xdr:from>
    <xdr:to>
      <xdr:col>39</xdr:col>
      <xdr:colOff>333375</xdr:colOff>
      <xdr:row>110</xdr:row>
      <xdr:rowOff>85725</xdr:rowOff>
    </xdr:to>
    <xdr:graphicFrame macro="">
      <xdr:nvGraphicFramePr>
        <xdr:cNvPr id="16386" name="Chart 2">
          <a:extLst>
            <a:ext uri="{FF2B5EF4-FFF2-40B4-BE49-F238E27FC236}">
              <a16:creationId xmlns:a16="http://schemas.microsoft.com/office/drawing/2014/main" id="{00000000-0008-0000-1000-000002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55</xdr:col>
      <xdr:colOff>571500</xdr:colOff>
      <xdr:row>90</xdr:row>
      <xdr:rowOff>95250</xdr:rowOff>
    </xdr:from>
    <xdr:to>
      <xdr:col>61</xdr:col>
      <xdr:colOff>704850</xdr:colOff>
      <xdr:row>108</xdr:row>
      <xdr:rowOff>38100</xdr:rowOff>
    </xdr:to>
    <xdr:graphicFrame macro="">
      <xdr:nvGraphicFramePr>
        <xdr:cNvPr id="16387" name="Chart 4">
          <a:extLst>
            <a:ext uri="{FF2B5EF4-FFF2-40B4-BE49-F238E27FC236}">
              <a16:creationId xmlns:a16="http://schemas.microsoft.com/office/drawing/2014/main" id="{00000000-0008-0000-1000-000003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56</xdr:col>
      <xdr:colOff>0</xdr:colOff>
      <xdr:row>113</xdr:row>
      <xdr:rowOff>95250</xdr:rowOff>
    </xdr:from>
    <xdr:to>
      <xdr:col>62</xdr:col>
      <xdr:colOff>142875</xdr:colOff>
      <xdr:row>131</xdr:row>
      <xdr:rowOff>28575</xdr:rowOff>
    </xdr:to>
    <xdr:graphicFrame macro="">
      <xdr:nvGraphicFramePr>
        <xdr:cNvPr id="16388" name="Chart 5">
          <a:extLst>
            <a:ext uri="{FF2B5EF4-FFF2-40B4-BE49-F238E27FC236}">
              <a16:creationId xmlns:a16="http://schemas.microsoft.com/office/drawing/2014/main" id="{00000000-0008-0000-1000-000004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571500</xdr:colOff>
      <xdr:row>113</xdr:row>
      <xdr:rowOff>95250</xdr:rowOff>
    </xdr:from>
    <xdr:to>
      <xdr:col>41</xdr:col>
      <xdr:colOff>333375</xdr:colOff>
      <xdr:row>129</xdr:row>
      <xdr:rowOff>133350</xdr:rowOff>
    </xdr:to>
    <xdr:graphicFrame macro="">
      <xdr:nvGraphicFramePr>
        <xdr:cNvPr id="16389" name="Chart 6">
          <a:extLst>
            <a:ext uri="{FF2B5EF4-FFF2-40B4-BE49-F238E27FC236}">
              <a16:creationId xmlns:a16="http://schemas.microsoft.com/office/drawing/2014/main" id="{00000000-0008-0000-1000-000005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68</xdr:col>
      <xdr:colOff>742950</xdr:colOff>
      <xdr:row>89</xdr:row>
      <xdr:rowOff>104775</xdr:rowOff>
    </xdr:from>
    <xdr:to>
      <xdr:col>76</xdr:col>
      <xdr:colOff>57150</xdr:colOff>
      <xdr:row>110</xdr:row>
      <xdr:rowOff>123825</xdr:rowOff>
    </xdr:to>
    <xdr:graphicFrame macro="">
      <xdr:nvGraphicFramePr>
        <xdr:cNvPr id="16390" name="Chart 7">
          <a:extLst>
            <a:ext uri="{FF2B5EF4-FFF2-40B4-BE49-F238E27FC236}">
              <a16:creationId xmlns:a16="http://schemas.microsoft.com/office/drawing/2014/main" id="{00000000-0008-0000-1000-000006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466726</xdr:colOff>
      <xdr:row>88</xdr:row>
      <xdr:rowOff>28575</xdr:rowOff>
    </xdr:from>
    <xdr:to>
      <xdr:col>46</xdr:col>
      <xdr:colOff>47625</xdr:colOff>
      <xdr:row>110</xdr:row>
      <xdr:rowOff>66675</xdr:rowOff>
    </xdr:to>
    <xdr:graphicFrame macro="">
      <xdr:nvGraphicFramePr>
        <xdr:cNvPr id="16391" name="Chart 8">
          <a:extLst>
            <a:ext uri="{FF2B5EF4-FFF2-40B4-BE49-F238E27FC236}">
              <a16:creationId xmlns:a16="http://schemas.microsoft.com/office/drawing/2014/main" id="{00000000-0008-0000-1000-000007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571500</xdr:colOff>
      <xdr:row>113</xdr:row>
      <xdr:rowOff>95250</xdr:rowOff>
    </xdr:from>
    <xdr:to>
      <xdr:col>48</xdr:col>
      <xdr:colOff>142875</xdr:colOff>
      <xdr:row>129</xdr:row>
      <xdr:rowOff>57150</xdr:rowOff>
    </xdr:to>
    <xdr:graphicFrame macro="">
      <xdr:nvGraphicFramePr>
        <xdr:cNvPr id="16392" name="Chart 9">
          <a:extLst>
            <a:ext uri="{FF2B5EF4-FFF2-40B4-BE49-F238E27FC236}">
              <a16:creationId xmlns:a16="http://schemas.microsoft.com/office/drawing/2014/main" id="{00000000-0008-0000-1000-000008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48</xdr:col>
      <xdr:colOff>190500</xdr:colOff>
      <xdr:row>90</xdr:row>
      <xdr:rowOff>95250</xdr:rowOff>
    </xdr:from>
    <xdr:to>
      <xdr:col>55</xdr:col>
      <xdr:colOff>457200</xdr:colOff>
      <xdr:row>108</xdr:row>
      <xdr:rowOff>19050</xdr:rowOff>
    </xdr:to>
    <xdr:graphicFrame macro="">
      <xdr:nvGraphicFramePr>
        <xdr:cNvPr id="16393" name="Chart 10">
          <a:extLst>
            <a:ext uri="{FF2B5EF4-FFF2-40B4-BE49-F238E27FC236}">
              <a16:creationId xmlns:a16="http://schemas.microsoft.com/office/drawing/2014/main" id="{00000000-0008-0000-1000-000009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48</xdr:col>
      <xdr:colOff>285750</xdr:colOff>
      <xdr:row>113</xdr:row>
      <xdr:rowOff>95250</xdr:rowOff>
    </xdr:from>
    <xdr:to>
      <xdr:col>55</xdr:col>
      <xdr:colOff>523875</xdr:colOff>
      <xdr:row>130</xdr:row>
      <xdr:rowOff>0</xdr:rowOff>
    </xdr:to>
    <xdr:graphicFrame macro="">
      <xdr:nvGraphicFramePr>
        <xdr:cNvPr id="16394" name="Chart 11">
          <a:extLst>
            <a:ext uri="{FF2B5EF4-FFF2-40B4-BE49-F238E27FC236}">
              <a16:creationId xmlns:a16="http://schemas.microsoft.com/office/drawing/2014/main" id="{00000000-0008-0000-1000-00000A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62</xdr:col>
      <xdr:colOff>190500</xdr:colOff>
      <xdr:row>90</xdr:row>
      <xdr:rowOff>95250</xdr:rowOff>
    </xdr:from>
    <xdr:to>
      <xdr:col>68</xdr:col>
      <xdr:colOff>381000</xdr:colOff>
      <xdr:row>111</xdr:row>
      <xdr:rowOff>104775</xdr:rowOff>
    </xdr:to>
    <xdr:graphicFrame macro="">
      <xdr:nvGraphicFramePr>
        <xdr:cNvPr id="16395" name="Chart 12">
          <a:extLst>
            <a:ext uri="{FF2B5EF4-FFF2-40B4-BE49-F238E27FC236}">
              <a16:creationId xmlns:a16="http://schemas.microsoft.com/office/drawing/2014/main" id="{00000000-0008-0000-1000-00000B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62</xdr:col>
      <xdr:colOff>190500</xdr:colOff>
      <xdr:row>113</xdr:row>
      <xdr:rowOff>0</xdr:rowOff>
    </xdr:from>
    <xdr:to>
      <xdr:col>68</xdr:col>
      <xdr:colOff>485775</xdr:colOff>
      <xdr:row>129</xdr:row>
      <xdr:rowOff>104775</xdr:rowOff>
    </xdr:to>
    <xdr:graphicFrame macro="">
      <xdr:nvGraphicFramePr>
        <xdr:cNvPr id="16396" name="Chart 13">
          <a:extLst>
            <a:ext uri="{FF2B5EF4-FFF2-40B4-BE49-F238E27FC236}">
              <a16:creationId xmlns:a16="http://schemas.microsoft.com/office/drawing/2014/main" id="{00000000-0008-0000-1000-00000C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571500</xdr:colOff>
      <xdr:row>131</xdr:row>
      <xdr:rowOff>0</xdr:rowOff>
    </xdr:from>
    <xdr:to>
      <xdr:col>41</xdr:col>
      <xdr:colOff>504825</xdr:colOff>
      <xdr:row>146</xdr:row>
      <xdr:rowOff>38100</xdr:rowOff>
    </xdr:to>
    <xdr:graphicFrame macro="">
      <xdr:nvGraphicFramePr>
        <xdr:cNvPr id="16397" name="Chart 14">
          <a:extLst>
            <a:ext uri="{FF2B5EF4-FFF2-40B4-BE49-F238E27FC236}">
              <a16:creationId xmlns:a16="http://schemas.microsoft.com/office/drawing/2014/main" id="{00000000-0008-0000-1000-00000D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41</xdr:col>
      <xdr:colOff>666750</xdr:colOff>
      <xdr:row>131</xdr:row>
      <xdr:rowOff>95250</xdr:rowOff>
    </xdr:from>
    <xdr:to>
      <xdr:col>48</xdr:col>
      <xdr:colOff>238125</xdr:colOff>
      <xdr:row>147</xdr:row>
      <xdr:rowOff>0</xdr:rowOff>
    </xdr:to>
    <xdr:graphicFrame macro="">
      <xdr:nvGraphicFramePr>
        <xdr:cNvPr id="16398" name="Chart 15">
          <a:extLst>
            <a:ext uri="{FF2B5EF4-FFF2-40B4-BE49-F238E27FC236}">
              <a16:creationId xmlns:a16="http://schemas.microsoft.com/office/drawing/2014/main" id="{00000000-0008-0000-1000-00000E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48</xdr:col>
      <xdr:colOff>381000</xdr:colOff>
      <xdr:row>131</xdr:row>
      <xdr:rowOff>95250</xdr:rowOff>
    </xdr:from>
    <xdr:to>
      <xdr:col>55</xdr:col>
      <xdr:colOff>476250</xdr:colOff>
      <xdr:row>146</xdr:row>
      <xdr:rowOff>133350</xdr:rowOff>
    </xdr:to>
    <xdr:graphicFrame macro="">
      <xdr:nvGraphicFramePr>
        <xdr:cNvPr id="16399" name="Chart 16">
          <a:extLst>
            <a:ext uri="{FF2B5EF4-FFF2-40B4-BE49-F238E27FC236}">
              <a16:creationId xmlns:a16="http://schemas.microsoft.com/office/drawing/2014/main" id="{00000000-0008-0000-1000-00000F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56</xdr:col>
      <xdr:colOff>0</xdr:colOff>
      <xdr:row>131</xdr:row>
      <xdr:rowOff>95250</xdr:rowOff>
    </xdr:from>
    <xdr:to>
      <xdr:col>62</xdr:col>
      <xdr:colOff>361950</xdr:colOff>
      <xdr:row>146</xdr:row>
      <xdr:rowOff>142875</xdr:rowOff>
    </xdr:to>
    <xdr:graphicFrame macro="">
      <xdr:nvGraphicFramePr>
        <xdr:cNvPr id="16400" name="Chart 17">
          <a:extLst>
            <a:ext uri="{FF2B5EF4-FFF2-40B4-BE49-F238E27FC236}">
              <a16:creationId xmlns:a16="http://schemas.microsoft.com/office/drawing/2014/main" id="{00000000-0008-0000-1000-000010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63</xdr:col>
      <xdr:colOff>190500</xdr:colOff>
      <xdr:row>131</xdr:row>
      <xdr:rowOff>95250</xdr:rowOff>
    </xdr:from>
    <xdr:to>
      <xdr:col>70</xdr:col>
      <xdr:colOff>38100</xdr:colOff>
      <xdr:row>147</xdr:row>
      <xdr:rowOff>9525</xdr:rowOff>
    </xdr:to>
    <xdr:graphicFrame macro="">
      <xdr:nvGraphicFramePr>
        <xdr:cNvPr id="16401" name="Chart 18">
          <a:extLst>
            <a:ext uri="{FF2B5EF4-FFF2-40B4-BE49-F238E27FC236}">
              <a16:creationId xmlns:a16="http://schemas.microsoft.com/office/drawing/2014/main" id="{00000000-0008-0000-1000-000011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71</xdr:col>
      <xdr:colOff>190500</xdr:colOff>
      <xdr:row>131</xdr:row>
      <xdr:rowOff>95250</xdr:rowOff>
    </xdr:from>
    <xdr:to>
      <xdr:col>76</xdr:col>
      <xdr:colOff>400050</xdr:colOff>
      <xdr:row>145</xdr:row>
      <xdr:rowOff>66675</xdr:rowOff>
    </xdr:to>
    <xdr:graphicFrame macro="">
      <xdr:nvGraphicFramePr>
        <xdr:cNvPr id="16402" name="Chart 20">
          <a:extLst>
            <a:ext uri="{FF2B5EF4-FFF2-40B4-BE49-F238E27FC236}">
              <a16:creationId xmlns:a16="http://schemas.microsoft.com/office/drawing/2014/main" id="{00000000-0008-0000-1000-000012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190500</xdr:colOff>
      <xdr:row>147</xdr:row>
      <xdr:rowOff>95250</xdr:rowOff>
    </xdr:from>
    <xdr:to>
      <xdr:col>41</xdr:col>
      <xdr:colOff>133350</xdr:colOff>
      <xdr:row>162</xdr:row>
      <xdr:rowOff>152400</xdr:rowOff>
    </xdr:to>
    <xdr:graphicFrame macro="">
      <xdr:nvGraphicFramePr>
        <xdr:cNvPr id="16403" name="Chart 22">
          <a:extLst>
            <a:ext uri="{FF2B5EF4-FFF2-40B4-BE49-F238E27FC236}">
              <a16:creationId xmlns:a16="http://schemas.microsoft.com/office/drawing/2014/main" id="{00000000-0008-0000-1000-000013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71</xdr:col>
      <xdr:colOff>190500</xdr:colOff>
      <xdr:row>148</xdr:row>
      <xdr:rowOff>95250</xdr:rowOff>
    </xdr:from>
    <xdr:to>
      <xdr:col>76</xdr:col>
      <xdr:colOff>409575</xdr:colOff>
      <xdr:row>162</xdr:row>
      <xdr:rowOff>85725</xdr:rowOff>
    </xdr:to>
    <xdr:graphicFrame macro="">
      <xdr:nvGraphicFramePr>
        <xdr:cNvPr id="16404" name="Chart 23">
          <a:extLst>
            <a:ext uri="{FF2B5EF4-FFF2-40B4-BE49-F238E27FC236}">
              <a16:creationId xmlns:a16="http://schemas.microsoft.com/office/drawing/2014/main" id="{00000000-0008-0000-1000-000014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56</xdr:col>
      <xdr:colOff>190500</xdr:colOff>
      <xdr:row>147</xdr:row>
      <xdr:rowOff>95250</xdr:rowOff>
    </xdr:from>
    <xdr:to>
      <xdr:col>62</xdr:col>
      <xdr:colOff>561975</xdr:colOff>
      <xdr:row>163</xdr:row>
      <xdr:rowOff>0</xdr:rowOff>
    </xdr:to>
    <xdr:graphicFrame macro="">
      <xdr:nvGraphicFramePr>
        <xdr:cNvPr id="16405" name="Chart 24">
          <a:extLst>
            <a:ext uri="{FF2B5EF4-FFF2-40B4-BE49-F238E27FC236}">
              <a16:creationId xmlns:a16="http://schemas.microsoft.com/office/drawing/2014/main" id="{00000000-0008-0000-1000-000015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63</xdr:col>
      <xdr:colOff>190500</xdr:colOff>
      <xdr:row>147</xdr:row>
      <xdr:rowOff>95250</xdr:rowOff>
    </xdr:from>
    <xdr:to>
      <xdr:col>70</xdr:col>
      <xdr:colOff>47625</xdr:colOff>
      <xdr:row>163</xdr:row>
      <xdr:rowOff>28575</xdr:rowOff>
    </xdr:to>
    <xdr:graphicFrame macro="">
      <xdr:nvGraphicFramePr>
        <xdr:cNvPr id="16406" name="Chart 25">
          <a:extLst>
            <a:ext uri="{FF2B5EF4-FFF2-40B4-BE49-F238E27FC236}">
              <a16:creationId xmlns:a16="http://schemas.microsoft.com/office/drawing/2014/main" id="{00000000-0008-0000-1000-000016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42</xdr:col>
      <xdr:colOff>190500</xdr:colOff>
      <xdr:row>147</xdr:row>
      <xdr:rowOff>95250</xdr:rowOff>
    </xdr:from>
    <xdr:to>
      <xdr:col>48</xdr:col>
      <xdr:colOff>533400</xdr:colOff>
      <xdr:row>163</xdr:row>
      <xdr:rowOff>19050</xdr:rowOff>
    </xdr:to>
    <xdr:graphicFrame macro="">
      <xdr:nvGraphicFramePr>
        <xdr:cNvPr id="16407" name="Chart 26">
          <a:extLst>
            <a:ext uri="{FF2B5EF4-FFF2-40B4-BE49-F238E27FC236}">
              <a16:creationId xmlns:a16="http://schemas.microsoft.com/office/drawing/2014/main" id="{00000000-0008-0000-1000-000017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49</xdr:col>
      <xdr:colOff>190500</xdr:colOff>
      <xdr:row>148</xdr:row>
      <xdr:rowOff>0</xdr:rowOff>
    </xdr:from>
    <xdr:to>
      <xdr:col>56</xdr:col>
      <xdr:colOff>295275</xdr:colOff>
      <xdr:row>163</xdr:row>
      <xdr:rowOff>57150</xdr:rowOff>
    </xdr:to>
    <xdr:graphicFrame macro="">
      <xdr:nvGraphicFramePr>
        <xdr:cNvPr id="16408" name="Chart 27">
          <a:extLst>
            <a:ext uri="{FF2B5EF4-FFF2-40B4-BE49-F238E27FC236}">
              <a16:creationId xmlns:a16="http://schemas.microsoft.com/office/drawing/2014/main" id="{00000000-0008-0000-1000-000018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17</xdr:col>
      <xdr:colOff>190500</xdr:colOff>
      <xdr:row>165</xdr:row>
      <xdr:rowOff>0</xdr:rowOff>
    </xdr:from>
    <xdr:to>
      <xdr:col>41</xdr:col>
      <xdr:colOff>142875</xdr:colOff>
      <xdr:row>180</xdr:row>
      <xdr:rowOff>38100</xdr:rowOff>
    </xdr:to>
    <xdr:graphicFrame macro="">
      <xdr:nvGraphicFramePr>
        <xdr:cNvPr id="16409" name="Chart 29">
          <a:extLst>
            <a:ext uri="{FF2B5EF4-FFF2-40B4-BE49-F238E27FC236}">
              <a16:creationId xmlns:a16="http://schemas.microsoft.com/office/drawing/2014/main" id="{00000000-0008-0000-1000-000019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42</xdr:col>
      <xdr:colOff>190500</xdr:colOff>
      <xdr:row>165</xdr:row>
      <xdr:rowOff>0</xdr:rowOff>
    </xdr:from>
    <xdr:to>
      <xdr:col>48</xdr:col>
      <xdr:colOff>542925</xdr:colOff>
      <xdr:row>180</xdr:row>
      <xdr:rowOff>66675</xdr:rowOff>
    </xdr:to>
    <xdr:graphicFrame macro="">
      <xdr:nvGraphicFramePr>
        <xdr:cNvPr id="16410" name="Chart 30">
          <a:extLst>
            <a:ext uri="{FF2B5EF4-FFF2-40B4-BE49-F238E27FC236}">
              <a16:creationId xmlns:a16="http://schemas.microsoft.com/office/drawing/2014/main" id="{00000000-0008-0000-1000-00001A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49</xdr:col>
      <xdr:colOff>190500</xdr:colOff>
      <xdr:row>165</xdr:row>
      <xdr:rowOff>0</xdr:rowOff>
    </xdr:from>
    <xdr:to>
      <xdr:col>56</xdr:col>
      <xdr:colOff>304800</xdr:colOff>
      <xdr:row>180</xdr:row>
      <xdr:rowOff>38100</xdr:rowOff>
    </xdr:to>
    <xdr:graphicFrame macro="">
      <xdr:nvGraphicFramePr>
        <xdr:cNvPr id="16411" name="Chart 31">
          <a:extLst>
            <a:ext uri="{FF2B5EF4-FFF2-40B4-BE49-F238E27FC236}">
              <a16:creationId xmlns:a16="http://schemas.microsoft.com/office/drawing/2014/main" id="{00000000-0008-0000-1000-00001B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57</xdr:col>
      <xdr:colOff>190500</xdr:colOff>
      <xdr:row>165</xdr:row>
      <xdr:rowOff>0</xdr:rowOff>
    </xdr:from>
    <xdr:to>
      <xdr:col>63</xdr:col>
      <xdr:colOff>571500</xdr:colOff>
      <xdr:row>180</xdr:row>
      <xdr:rowOff>47625</xdr:rowOff>
    </xdr:to>
    <xdr:graphicFrame macro="">
      <xdr:nvGraphicFramePr>
        <xdr:cNvPr id="16412" name="Chart 32">
          <a:extLst>
            <a:ext uri="{FF2B5EF4-FFF2-40B4-BE49-F238E27FC236}">
              <a16:creationId xmlns:a16="http://schemas.microsoft.com/office/drawing/2014/main" id="{00000000-0008-0000-1000-00001C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64</xdr:col>
      <xdr:colOff>190500</xdr:colOff>
      <xdr:row>165</xdr:row>
      <xdr:rowOff>0</xdr:rowOff>
    </xdr:from>
    <xdr:to>
      <xdr:col>71</xdr:col>
      <xdr:colOff>57150</xdr:colOff>
      <xdr:row>180</xdr:row>
      <xdr:rowOff>76200</xdr:rowOff>
    </xdr:to>
    <xdr:graphicFrame macro="">
      <xdr:nvGraphicFramePr>
        <xdr:cNvPr id="16413" name="Chart 33">
          <a:extLst>
            <a:ext uri="{FF2B5EF4-FFF2-40B4-BE49-F238E27FC236}">
              <a16:creationId xmlns:a16="http://schemas.microsoft.com/office/drawing/2014/main" id="{00000000-0008-0000-1000-00001D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76</xdr:col>
      <xdr:colOff>190500</xdr:colOff>
      <xdr:row>90</xdr:row>
      <xdr:rowOff>95250</xdr:rowOff>
    </xdr:from>
    <xdr:to>
      <xdr:col>82</xdr:col>
      <xdr:colOff>657225</xdr:colOff>
      <xdr:row>108</xdr:row>
      <xdr:rowOff>38100</xdr:rowOff>
    </xdr:to>
    <xdr:graphicFrame macro="">
      <xdr:nvGraphicFramePr>
        <xdr:cNvPr id="16414" name="Chart 34">
          <a:extLst>
            <a:ext uri="{FF2B5EF4-FFF2-40B4-BE49-F238E27FC236}">
              <a16:creationId xmlns:a16="http://schemas.microsoft.com/office/drawing/2014/main" id="{00000000-0008-0000-1000-00001E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74</xdr:col>
      <xdr:colOff>9525</xdr:colOff>
      <xdr:row>113</xdr:row>
      <xdr:rowOff>76200</xdr:rowOff>
    </xdr:from>
    <xdr:to>
      <xdr:col>81</xdr:col>
      <xdr:colOff>400050</xdr:colOff>
      <xdr:row>129</xdr:row>
      <xdr:rowOff>123825</xdr:rowOff>
    </xdr:to>
    <xdr:graphicFrame macro="">
      <xdr:nvGraphicFramePr>
        <xdr:cNvPr id="16415" name="Chart 35">
          <a:extLst>
            <a:ext uri="{FF2B5EF4-FFF2-40B4-BE49-F238E27FC236}">
              <a16:creationId xmlns:a16="http://schemas.microsoft.com/office/drawing/2014/main" id="{00000000-0008-0000-1000-00001F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82</xdr:col>
      <xdr:colOff>190500</xdr:colOff>
      <xdr:row>113</xdr:row>
      <xdr:rowOff>0</xdr:rowOff>
    </xdr:from>
    <xdr:to>
      <xdr:col>88</xdr:col>
      <xdr:colOff>342900</xdr:colOff>
      <xdr:row>130</xdr:row>
      <xdr:rowOff>104775</xdr:rowOff>
    </xdr:to>
    <xdr:graphicFrame macro="">
      <xdr:nvGraphicFramePr>
        <xdr:cNvPr id="16416" name="Chart 36">
          <a:extLst>
            <a:ext uri="{FF2B5EF4-FFF2-40B4-BE49-F238E27FC236}">
              <a16:creationId xmlns:a16="http://schemas.microsoft.com/office/drawing/2014/main" id="{00000000-0008-0000-1000-000020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69</xdr:col>
      <xdr:colOff>190500</xdr:colOff>
      <xdr:row>184</xdr:row>
      <xdr:rowOff>95250</xdr:rowOff>
    </xdr:from>
    <xdr:to>
      <xdr:col>75</xdr:col>
      <xdr:colOff>333375</xdr:colOff>
      <xdr:row>201</xdr:row>
      <xdr:rowOff>28575</xdr:rowOff>
    </xdr:to>
    <xdr:graphicFrame macro="">
      <xdr:nvGraphicFramePr>
        <xdr:cNvPr id="16417" name="Chart 37">
          <a:extLst>
            <a:ext uri="{FF2B5EF4-FFF2-40B4-BE49-F238E27FC236}">
              <a16:creationId xmlns:a16="http://schemas.microsoft.com/office/drawing/2014/main" id="{00000000-0008-0000-1000-000021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56</xdr:col>
      <xdr:colOff>0</xdr:colOff>
      <xdr:row>184</xdr:row>
      <xdr:rowOff>95250</xdr:rowOff>
    </xdr:from>
    <xdr:to>
      <xdr:col>62</xdr:col>
      <xdr:colOff>142875</xdr:colOff>
      <xdr:row>202</xdr:row>
      <xdr:rowOff>28575</xdr:rowOff>
    </xdr:to>
    <xdr:graphicFrame macro="">
      <xdr:nvGraphicFramePr>
        <xdr:cNvPr id="16418" name="Chart 38">
          <a:extLst>
            <a:ext uri="{FF2B5EF4-FFF2-40B4-BE49-F238E27FC236}">
              <a16:creationId xmlns:a16="http://schemas.microsoft.com/office/drawing/2014/main" id="{00000000-0008-0000-1000-000022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17</xdr:col>
      <xdr:colOff>571500</xdr:colOff>
      <xdr:row>184</xdr:row>
      <xdr:rowOff>0</xdr:rowOff>
    </xdr:from>
    <xdr:to>
      <xdr:col>41</xdr:col>
      <xdr:colOff>333375</xdr:colOff>
      <xdr:row>200</xdr:row>
      <xdr:rowOff>38100</xdr:rowOff>
    </xdr:to>
    <xdr:graphicFrame macro="">
      <xdr:nvGraphicFramePr>
        <xdr:cNvPr id="16419" name="Chart 39">
          <a:extLst>
            <a:ext uri="{FF2B5EF4-FFF2-40B4-BE49-F238E27FC236}">
              <a16:creationId xmlns:a16="http://schemas.microsoft.com/office/drawing/2014/main" id="{00000000-0008-0000-1000-000023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41</xdr:col>
      <xdr:colOff>571500</xdr:colOff>
      <xdr:row>184</xdr:row>
      <xdr:rowOff>95250</xdr:rowOff>
    </xdr:from>
    <xdr:to>
      <xdr:col>48</xdr:col>
      <xdr:colOff>142875</xdr:colOff>
      <xdr:row>200</xdr:row>
      <xdr:rowOff>57150</xdr:rowOff>
    </xdr:to>
    <xdr:graphicFrame macro="">
      <xdr:nvGraphicFramePr>
        <xdr:cNvPr id="16420" name="Chart 40">
          <a:extLst>
            <a:ext uri="{FF2B5EF4-FFF2-40B4-BE49-F238E27FC236}">
              <a16:creationId xmlns:a16="http://schemas.microsoft.com/office/drawing/2014/main" id="{00000000-0008-0000-1000-000024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48</xdr:col>
      <xdr:colOff>285750</xdr:colOff>
      <xdr:row>184</xdr:row>
      <xdr:rowOff>0</xdr:rowOff>
    </xdr:from>
    <xdr:to>
      <xdr:col>55</xdr:col>
      <xdr:colOff>523875</xdr:colOff>
      <xdr:row>200</xdr:row>
      <xdr:rowOff>66675</xdr:rowOff>
    </xdr:to>
    <xdr:graphicFrame macro="">
      <xdr:nvGraphicFramePr>
        <xdr:cNvPr id="16421" name="Chart 41">
          <a:extLst>
            <a:ext uri="{FF2B5EF4-FFF2-40B4-BE49-F238E27FC236}">
              <a16:creationId xmlns:a16="http://schemas.microsoft.com/office/drawing/2014/main" id="{00000000-0008-0000-1000-000025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62</xdr:col>
      <xdr:colOff>190500</xdr:colOff>
      <xdr:row>184</xdr:row>
      <xdr:rowOff>0</xdr:rowOff>
    </xdr:from>
    <xdr:to>
      <xdr:col>68</xdr:col>
      <xdr:colOff>485775</xdr:colOff>
      <xdr:row>200</xdr:row>
      <xdr:rowOff>104775</xdr:rowOff>
    </xdr:to>
    <xdr:graphicFrame macro="">
      <xdr:nvGraphicFramePr>
        <xdr:cNvPr id="16422" name="Chart 42">
          <a:extLst>
            <a:ext uri="{FF2B5EF4-FFF2-40B4-BE49-F238E27FC236}">
              <a16:creationId xmlns:a16="http://schemas.microsoft.com/office/drawing/2014/main" id="{00000000-0008-0000-1000-000026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75</xdr:col>
      <xdr:colOff>542924</xdr:colOff>
      <xdr:row>182</xdr:row>
      <xdr:rowOff>95250</xdr:rowOff>
    </xdr:from>
    <xdr:to>
      <xdr:col>82</xdr:col>
      <xdr:colOff>95250</xdr:colOff>
      <xdr:row>199</xdr:row>
      <xdr:rowOff>9525</xdr:rowOff>
    </xdr:to>
    <xdr:graphicFrame macro="">
      <xdr:nvGraphicFramePr>
        <xdr:cNvPr id="16423" name="Chart 43">
          <a:extLst>
            <a:ext uri="{FF2B5EF4-FFF2-40B4-BE49-F238E27FC236}">
              <a16:creationId xmlns:a16="http://schemas.microsoft.com/office/drawing/2014/main" id="{00000000-0008-0000-1000-000027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82</xdr:col>
      <xdr:colOff>190500</xdr:colOff>
      <xdr:row>184</xdr:row>
      <xdr:rowOff>0</xdr:rowOff>
    </xdr:from>
    <xdr:to>
      <xdr:col>88</xdr:col>
      <xdr:colOff>342900</xdr:colOff>
      <xdr:row>201</xdr:row>
      <xdr:rowOff>104775</xdr:rowOff>
    </xdr:to>
    <xdr:graphicFrame macro="">
      <xdr:nvGraphicFramePr>
        <xdr:cNvPr id="16424" name="Chart 44">
          <a:extLst>
            <a:ext uri="{FF2B5EF4-FFF2-40B4-BE49-F238E27FC236}">
              <a16:creationId xmlns:a16="http://schemas.microsoft.com/office/drawing/2014/main" id="{00000000-0008-0000-1000-000028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69</xdr:col>
      <xdr:colOff>190500</xdr:colOff>
      <xdr:row>204</xdr:row>
      <xdr:rowOff>95250</xdr:rowOff>
    </xdr:from>
    <xdr:to>
      <xdr:col>75</xdr:col>
      <xdr:colOff>333375</xdr:colOff>
      <xdr:row>221</xdr:row>
      <xdr:rowOff>28575</xdr:rowOff>
    </xdr:to>
    <xdr:graphicFrame macro="">
      <xdr:nvGraphicFramePr>
        <xdr:cNvPr id="16425" name="Chart 45">
          <a:extLst>
            <a:ext uri="{FF2B5EF4-FFF2-40B4-BE49-F238E27FC236}">
              <a16:creationId xmlns:a16="http://schemas.microsoft.com/office/drawing/2014/main" id="{00000000-0008-0000-1000-000029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56</xdr:col>
      <xdr:colOff>0</xdr:colOff>
      <xdr:row>204</xdr:row>
      <xdr:rowOff>95250</xdr:rowOff>
    </xdr:from>
    <xdr:to>
      <xdr:col>62</xdr:col>
      <xdr:colOff>142875</xdr:colOff>
      <xdr:row>222</xdr:row>
      <xdr:rowOff>28575</xdr:rowOff>
    </xdr:to>
    <xdr:graphicFrame macro="">
      <xdr:nvGraphicFramePr>
        <xdr:cNvPr id="16426" name="Chart 46">
          <a:extLst>
            <a:ext uri="{FF2B5EF4-FFF2-40B4-BE49-F238E27FC236}">
              <a16:creationId xmlns:a16="http://schemas.microsoft.com/office/drawing/2014/main" id="{00000000-0008-0000-1000-00002A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17</xdr:col>
      <xdr:colOff>571500</xdr:colOff>
      <xdr:row>204</xdr:row>
      <xdr:rowOff>0</xdr:rowOff>
    </xdr:from>
    <xdr:to>
      <xdr:col>41</xdr:col>
      <xdr:colOff>333375</xdr:colOff>
      <xdr:row>220</xdr:row>
      <xdr:rowOff>38100</xdr:rowOff>
    </xdr:to>
    <xdr:graphicFrame macro="">
      <xdr:nvGraphicFramePr>
        <xdr:cNvPr id="16427" name="Chart 47">
          <a:extLst>
            <a:ext uri="{FF2B5EF4-FFF2-40B4-BE49-F238E27FC236}">
              <a16:creationId xmlns:a16="http://schemas.microsoft.com/office/drawing/2014/main" id="{00000000-0008-0000-1000-00002B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41</xdr:col>
      <xdr:colOff>571500</xdr:colOff>
      <xdr:row>204</xdr:row>
      <xdr:rowOff>95250</xdr:rowOff>
    </xdr:from>
    <xdr:to>
      <xdr:col>48</xdr:col>
      <xdr:colOff>142875</xdr:colOff>
      <xdr:row>220</xdr:row>
      <xdr:rowOff>57150</xdr:rowOff>
    </xdr:to>
    <xdr:graphicFrame macro="">
      <xdr:nvGraphicFramePr>
        <xdr:cNvPr id="16428" name="Chart 48">
          <a:extLst>
            <a:ext uri="{FF2B5EF4-FFF2-40B4-BE49-F238E27FC236}">
              <a16:creationId xmlns:a16="http://schemas.microsoft.com/office/drawing/2014/main" id="{00000000-0008-0000-1000-00002C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48</xdr:col>
      <xdr:colOff>285750</xdr:colOff>
      <xdr:row>204</xdr:row>
      <xdr:rowOff>0</xdr:rowOff>
    </xdr:from>
    <xdr:to>
      <xdr:col>55</xdr:col>
      <xdr:colOff>523875</xdr:colOff>
      <xdr:row>220</xdr:row>
      <xdr:rowOff>66675</xdr:rowOff>
    </xdr:to>
    <xdr:graphicFrame macro="">
      <xdr:nvGraphicFramePr>
        <xdr:cNvPr id="16429" name="Chart 49">
          <a:extLst>
            <a:ext uri="{FF2B5EF4-FFF2-40B4-BE49-F238E27FC236}">
              <a16:creationId xmlns:a16="http://schemas.microsoft.com/office/drawing/2014/main" id="{00000000-0008-0000-1000-00002D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62</xdr:col>
      <xdr:colOff>190500</xdr:colOff>
      <xdr:row>204</xdr:row>
      <xdr:rowOff>0</xdr:rowOff>
    </xdr:from>
    <xdr:to>
      <xdr:col>68</xdr:col>
      <xdr:colOff>485775</xdr:colOff>
      <xdr:row>220</xdr:row>
      <xdr:rowOff>104775</xdr:rowOff>
    </xdr:to>
    <xdr:graphicFrame macro="">
      <xdr:nvGraphicFramePr>
        <xdr:cNvPr id="16430" name="Chart 50">
          <a:extLst>
            <a:ext uri="{FF2B5EF4-FFF2-40B4-BE49-F238E27FC236}">
              <a16:creationId xmlns:a16="http://schemas.microsoft.com/office/drawing/2014/main" id="{00000000-0008-0000-1000-00002E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76</xdr:col>
      <xdr:colOff>190500</xdr:colOff>
      <xdr:row>204</xdr:row>
      <xdr:rowOff>0</xdr:rowOff>
    </xdr:from>
    <xdr:to>
      <xdr:col>81</xdr:col>
      <xdr:colOff>723900</xdr:colOff>
      <xdr:row>220</xdr:row>
      <xdr:rowOff>47625</xdr:rowOff>
    </xdr:to>
    <xdr:graphicFrame macro="">
      <xdr:nvGraphicFramePr>
        <xdr:cNvPr id="16431" name="Chart 51">
          <a:extLst>
            <a:ext uri="{FF2B5EF4-FFF2-40B4-BE49-F238E27FC236}">
              <a16:creationId xmlns:a16="http://schemas.microsoft.com/office/drawing/2014/main" id="{00000000-0008-0000-1000-00002F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82</xdr:col>
      <xdr:colOff>161925</xdr:colOff>
      <xdr:row>203</xdr:row>
      <xdr:rowOff>142875</xdr:rowOff>
    </xdr:from>
    <xdr:to>
      <xdr:col>88</xdr:col>
      <xdr:colOff>561975</xdr:colOff>
      <xdr:row>221</xdr:row>
      <xdr:rowOff>85725</xdr:rowOff>
    </xdr:to>
    <xdr:graphicFrame macro="">
      <xdr:nvGraphicFramePr>
        <xdr:cNvPr id="16432" name="Chart 52">
          <a:extLst>
            <a:ext uri="{FF2B5EF4-FFF2-40B4-BE49-F238E27FC236}">
              <a16:creationId xmlns:a16="http://schemas.microsoft.com/office/drawing/2014/main" id="{00000000-0008-0000-1000-000030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69</xdr:col>
      <xdr:colOff>190500</xdr:colOff>
      <xdr:row>224</xdr:row>
      <xdr:rowOff>95250</xdr:rowOff>
    </xdr:from>
    <xdr:to>
      <xdr:col>75</xdr:col>
      <xdr:colOff>333375</xdr:colOff>
      <xdr:row>241</xdr:row>
      <xdr:rowOff>28575</xdr:rowOff>
    </xdr:to>
    <xdr:graphicFrame macro="">
      <xdr:nvGraphicFramePr>
        <xdr:cNvPr id="16433" name="Chart 53">
          <a:extLst>
            <a:ext uri="{FF2B5EF4-FFF2-40B4-BE49-F238E27FC236}">
              <a16:creationId xmlns:a16="http://schemas.microsoft.com/office/drawing/2014/main" id="{00000000-0008-0000-1000-000031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56</xdr:col>
      <xdr:colOff>0</xdr:colOff>
      <xdr:row>224</xdr:row>
      <xdr:rowOff>95250</xdr:rowOff>
    </xdr:from>
    <xdr:to>
      <xdr:col>62</xdr:col>
      <xdr:colOff>142875</xdr:colOff>
      <xdr:row>242</xdr:row>
      <xdr:rowOff>28575</xdr:rowOff>
    </xdr:to>
    <xdr:graphicFrame macro="">
      <xdr:nvGraphicFramePr>
        <xdr:cNvPr id="16434" name="Chart 54">
          <a:extLst>
            <a:ext uri="{FF2B5EF4-FFF2-40B4-BE49-F238E27FC236}">
              <a16:creationId xmlns:a16="http://schemas.microsoft.com/office/drawing/2014/main" id="{00000000-0008-0000-1000-000032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17</xdr:col>
      <xdr:colOff>571500</xdr:colOff>
      <xdr:row>224</xdr:row>
      <xdr:rowOff>0</xdr:rowOff>
    </xdr:from>
    <xdr:to>
      <xdr:col>41</xdr:col>
      <xdr:colOff>333375</xdr:colOff>
      <xdr:row>240</xdr:row>
      <xdr:rowOff>38100</xdr:rowOff>
    </xdr:to>
    <xdr:graphicFrame macro="">
      <xdr:nvGraphicFramePr>
        <xdr:cNvPr id="16435" name="Chart 55">
          <a:extLst>
            <a:ext uri="{FF2B5EF4-FFF2-40B4-BE49-F238E27FC236}">
              <a16:creationId xmlns:a16="http://schemas.microsoft.com/office/drawing/2014/main" id="{00000000-0008-0000-1000-000033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41</xdr:col>
      <xdr:colOff>571500</xdr:colOff>
      <xdr:row>224</xdr:row>
      <xdr:rowOff>95250</xdr:rowOff>
    </xdr:from>
    <xdr:to>
      <xdr:col>48</xdr:col>
      <xdr:colOff>142875</xdr:colOff>
      <xdr:row>240</xdr:row>
      <xdr:rowOff>57150</xdr:rowOff>
    </xdr:to>
    <xdr:graphicFrame macro="">
      <xdr:nvGraphicFramePr>
        <xdr:cNvPr id="16436" name="Chart 56">
          <a:extLst>
            <a:ext uri="{FF2B5EF4-FFF2-40B4-BE49-F238E27FC236}">
              <a16:creationId xmlns:a16="http://schemas.microsoft.com/office/drawing/2014/main" id="{00000000-0008-0000-1000-000034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48</xdr:col>
      <xdr:colOff>285750</xdr:colOff>
      <xdr:row>224</xdr:row>
      <xdr:rowOff>0</xdr:rowOff>
    </xdr:from>
    <xdr:to>
      <xdr:col>55</xdr:col>
      <xdr:colOff>523875</xdr:colOff>
      <xdr:row>240</xdr:row>
      <xdr:rowOff>66675</xdr:rowOff>
    </xdr:to>
    <xdr:graphicFrame macro="">
      <xdr:nvGraphicFramePr>
        <xdr:cNvPr id="16437" name="Chart 57">
          <a:extLst>
            <a:ext uri="{FF2B5EF4-FFF2-40B4-BE49-F238E27FC236}">
              <a16:creationId xmlns:a16="http://schemas.microsoft.com/office/drawing/2014/main" id="{00000000-0008-0000-1000-000035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62</xdr:col>
      <xdr:colOff>190500</xdr:colOff>
      <xdr:row>224</xdr:row>
      <xdr:rowOff>0</xdr:rowOff>
    </xdr:from>
    <xdr:to>
      <xdr:col>68</xdr:col>
      <xdr:colOff>485775</xdr:colOff>
      <xdr:row>240</xdr:row>
      <xdr:rowOff>104775</xdr:rowOff>
    </xdr:to>
    <xdr:graphicFrame macro="">
      <xdr:nvGraphicFramePr>
        <xdr:cNvPr id="16438" name="Chart 58">
          <a:extLst>
            <a:ext uri="{FF2B5EF4-FFF2-40B4-BE49-F238E27FC236}">
              <a16:creationId xmlns:a16="http://schemas.microsoft.com/office/drawing/2014/main" id="{00000000-0008-0000-1000-000036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76</xdr:col>
      <xdr:colOff>190500</xdr:colOff>
      <xdr:row>224</xdr:row>
      <xdr:rowOff>0</xdr:rowOff>
    </xdr:from>
    <xdr:to>
      <xdr:col>81</xdr:col>
      <xdr:colOff>723900</xdr:colOff>
      <xdr:row>240</xdr:row>
      <xdr:rowOff>47625</xdr:rowOff>
    </xdr:to>
    <xdr:graphicFrame macro="">
      <xdr:nvGraphicFramePr>
        <xdr:cNvPr id="16439" name="Chart 59">
          <a:extLst>
            <a:ext uri="{FF2B5EF4-FFF2-40B4-BE49-F238E27FC236}">
              <a16:creationId xmlns:a16="http://schemas.microsoft.com/office/drawing/2014/main" id="{00000000-0008-0000-1000-000037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82</xdr:col>
      <xdr:colOff>190500</xdr:colOff>
      <xdr:row>224</xdr:row>
      <xdr:rowOff>0</xdr:rowOff>
    </xdr:from>
    <xdr:to>
      <xdr:col>88</xdr:col>
      <xdr:colOff>342900</xdr:colOff>
      <xdr:row>241</xdr:row>
      <xdr:rowOff>104775</xdr:rowOff>
    </xdr:to>
    <xdr:graphicFrame macro="">
      <xdr:nvGraphicFramePr>
        <xdr:cNvPr id="16440" name="Chart 60">
          <a:extLst>
            <a:ext uri="{FF2B5EF4-FFF2-40B4-BE49-F238E27FC236}">
              <a16:creationId xmlns:a16="http://schemas.microsoft.com/office/drawing/2014/main" id="{00000000-0008-0000-1000-000038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37</xdr:col>
      <xdr:colOff>409575</xdr:colOff>
      <xdr:row>1</xdr:row>
      <xdr:rowOff>114300</xdr:rowOff>
    </xdr:from>
    <xdr:to>
      <xdr:col>44</xdr:col>
      <xdr:colOff>695325</xdr:colOff>
      <xdr:row>23</xdr:row>
      <xdr:rowOff>0</xdr:rowOff>
    </xdr:to>
    <xdr:graphicFrame macro="">
      <xdr:nvGraphicFramePr>
        <xdr:cNvPr id="16441" name="Chart 61">
          <a:extLst>
            <a:ext uri="{FF2B5EF4-FFF2-40B4-BE49-F238E27FC236}">
              <a16:creationId xmlns:a16="http://schemas.microsoft.com/office/drawing/2014/main" id="{00000000-0008-0000-1000-000039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72</xdr:col>
      <xdr:colOff>0</xdr:colOff>
      <xdr:row>165</xdr:row>
      <xdr:rowOff>0</xdr:rowOff>
    </xdr:from>
    <xdr:to>
      <xdr:col>77</xdr:col>
      <xdr:colOff>238125</xdr:colOff>
      <xdr:row>179</xdr:row>
      <xdr:rowOff>9525</xdr:rowOff>
    </xdr:to>
    <xdr:graphicFrame macro="">
      <xdr:nvGraphicFramePr>
        <xdr:cNvPr id="16442" name="Chart 65">
          <a:extLst>
            <a:ext uri="{FF2B5EF4-FFF2-40B4-BE49-F238E27FC236}">
              <a16:creationId xmlns:a16="http://schemas.microsoft.com/office/drawing/2014/main" id="{00000000-0008-0000-1000-00003A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26</xdr:col>
      <xdr:colOff>0</xdr:colOff>
      <xdr:row>242</xdr:row>
      <xdr:rowOff>0</xdr:rowOff>
    </xdr:from>
    <xdr:to>
      <xdr:col>41</xdr:col>
      <xdr:colOff>342900</xdr:colOff>
      <xdr:row>258</xdr:row>
      <xdr:rowOff>47625</xdr:rowOff>
    </xdr:to>
    <xdr:graphicFrame macro="">
      <xdr:nvGraphicFramePr>
        <xdr:cNvPr id="16443" name="Chart 66">
          <a:extLst>
            <a:ext uri="{FF2B5EF4-FFF2-40B4-BE49-F238E27FC236}">
              <a16:creationId xmlns:a16="http://schemas.microsoft.com/office/drawing/2014/main" id="{00000000-0008-0000-1000-00003B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42</xdr:col>
      <xdr:colOff>0</xdr:colOff>
      <xdr:row>242</xdr:row>
      <xdr:rowOff>0</xdr:rowOff>
    </xdr:from>
    <xdr:to>
      <xdr:col>48</xdr:col>
      <xdr:colOff>447675</xdr:colOff>
      <xdr:row>257</xdr:row>
      <xdr:rowOff>133350</xdr:rowOff>
    </xdr:to>
    <xdr:graphicFrame macro="">
      <xdr:nvGraphicFramePr>
        <xdr:cNvPr id="16444" name="Chart 67">
          <a:extLst>
            <a:ext uri="{FF2B5EF4-FFF2-40B4-BE49-F238E27FC236}">
              <a16:creationId xmlns:a16="http://schemas.microsoft.com/office/drawing/2014/main" id="{00000000-0008-0000-1000-00003C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49</xdr:col>
      <xdr:colOff>0</xdr:colOff>
      <xdr:row>242</xdr:row>
      <xdr:rowOff>0</xdr:rowOff>
    </xdr:from>
    <xdr:to>
      <xdr:col>56</xdr:col>
      <xdr:colOff>247650</xdr:colOff>
      <xdr:row>258</xdr:row>
      <xdr:rowOff>76200</xdr:rowOff>
    </xdr:to>
    <xdr:graphicFrame macro="">
      <xdr:nvGraphicFramePr>
        <xdr:cNvPr id="16445" name="Chart 68">
          <a:extLst>
            <a:ext uri="{FF2B5EF4-FFF2-40B4-BE49-F238E27FC236}">
              <a16:creationId xmlns:a16="http://schemas.microsoft.com/office/drawing/2014/main" id="{00000000-0008-0000-1000-00003D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57</xdr:col>
      <xdr:colOff>0</xdr:colOff>
      <xdr:row>243</xdr:row>
      <xdr:rowOff>0</xdr:rowOff>
    </xdr:from>
    <xdr:to>
      <xdr:col>63</xdr:col>
      <xdr:colOff>152400</xdr:colOff>
      <xdr:row>260</xdr:row>
      <xdr:rowOff>104775</xdr:rowOff>
    </xdr:to>
    <xdr:graphicFrame macro="">
      <xdr:nvGraphicFramePr>
        <xdr:cNvPr id="16446" name="Chart 69">
          <a:extLst>
            <a:ext uri="{FF2B5EF4-FFF2-40B4-BE49-F238E27FC236}">
              <a16:creationId xmlns:a16="http://schemas.microsoft.com/office/drawing/2014/main" id="{00000000-0008-0000-1000-00003E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64</xdr:col>
      <xdr:colOff>0</xdr:colOff>
      <xdr:row>243</xdr:row>
      <xdr:rowOff>0</xdr:rowOff>
    </xdr:from>
    <xdr:to>
      <xdr:col>70</xdr:col>
      <xdr:colOff>304800</xdr:colOff>
      <xdr:row>259</xdr:row>
      <xdr:rowOff>114300</xdr:rowOff>
    </xdr:to>
    <xdr:graphicFrame macro="">
      <xdr:nvGraphicFramePr>
        <xdr:cNvPr id="16447" name="Chart 70">
          <a:extLst>
            <a:ext uri="{FF2B5EF4-FFF2-40B4-BE49-F238E27FC236}">
              <a16:creationId xmlns:a16="http://schemas.microsoft.com/office/drawing/2014/main" id="{00000000-0008-0000-1000-00003F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71</xdr:col>
      <xdr:colOff>0</xdr:colOff>
      <xdr:row>243</xdr:row>
      <xdr:rowOff>0</xdr:rowOff>
    </xdr:from>
    <xdr:to>
      <xdr:col>77</xdr:col>
      <xdr:colOff>152400</xdr:colOff>
      <xdr:row>259</xdr:row>
      <xdr:rowOff>104775</xdr:rowOff>
    </xdr:to>
    <xdr:graphicFrame macro="">
      <xdr:nvGraphicFramePr>
        <xdr:cNvPr id="16448" name="Chart 71">
          <a:extLst>
            <a:ext uri="{FF2B5EF4-FFF2-40B4-BE49-F238E27FC236}">
              <a16:creationId xmlns:a16="http://schemas.microsoft.com/office/drawing/2014/main" id="{00000000-0008-0000-1000-000040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78</xdr:col>
      <xdr:colOff>0</xdr:colOff>
      <xdr:row>242</xdr:row>
      <xdr:rowOff>104775</xdr:rowOff>
    </xdr:from>
    <xdr:to>
      <xdr:col>83</xdr:col>
      <xdr:colOff>657225</xdr:colOff>
      <xdr:row>259</xdr:row>
      <xdr:rowOff>0</xdr:rowOff>
    </xdr:to>
    <xdr:graphicFrame macro="">
      <xdr:nvGraphicFramePr>
        <xdr:cNvPr id="16449" name="Chart 72">
          <a:extLst>
            <a:ext uri="{FF2B5EF4-FFF2-40B4-BE49-F238E27FC236}">
              <a16:creationId xmlns:a16="http://schemas.microsoft.com/office/drawing/2014/main" id="{00000000-0008-0000-1000-000041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84</xdr:col>
      <xdr:colOff>485775</xdr:colOff>
      <xdr:row>242</xdr:row>
      <xdr:rowOff>47625</xdr:rowOff>
    </xdr:from>
    <xdr:to>
      <xdr:col>92</xdr:col>
      <xdr:colOff>238125</xdr:colOff>
      <xdr:row>262</xdr:row>
      <xdr:rowOff>76200</xdr:rowOff>
    </xdr:to>
    <xdr:graphicFrame macro="">
      <xdr:nvGraphicFramePr>
        <xdr:cNvPr id="16450" name="Chart 73">
          <a:extLst>
            <a:ext uri="{FF2B5EF4-FFF2-40B4-BE49-F238E27FC236}">
              <a16:creationId xmlns:a16="http://schemas.microsoft.com/office/drawing/2014/main" id="{00000000-0008-0000-1000-000042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45</xdr:col>
      <xdr:colOff>514350</xdr:colOff>
      <xdr:row>8</xdr:row>
      <xdr:rowOff>66675</xdr:rowOff>
    </xdr:from>
    <xdr:to>
      <xdr:col>53</xdr:col>
      <xdr:colOff>657225</xdr:colOff>
      <xdr:row>31</xdr:row>
      <xdr:rowOff>123825</xdr:rowOff>
    </xdr:to>
    <xdr:graphicFrame macro="">
      <xdr:nvGraphicFramePr>
        <xdr:cNvPr id="16451" name="Chart 74">
          <a:extLst>
            <a:ext uri="{FF2B5EF4-FFF2-40B4-BE49-F238E27FC236}">
              <a16:creationId xmlns:a16="http://schemas.microsoft.com/office/drawing/2014/main" id="{00000000-0008-0000-1000-000043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89</xdr:col>
      <xdr:colOff>647700</xdr:colOff>
      <xdr:row>209</xdr:row>
      <xdr:rowOff>9525</xdr:rowOff>
    </xdr:from>
    <xdr:to>
      <xdr:col>96</xdr:col>
      <xdr:colOff>742950</xdr:colOff>
      <xdr:row>227</xdr:row>
      <xdr:rowOff>38100</xdr:rowOff>
    </xdr:to>
    <xdr:graphicFrame macro="">
      <xdr:nvGraphicFramePr>
        <xdr:cNvPr id="16452" name="Chart 75">
          <a:extLst>
            <a:ext uri="{FF2B5EF4-FFF2-40B4-BE49-F238E27FC236}">
              <a16:creationId xmlns:a16="http://schemas.microsoft.com/office/drawing/2014/main" id="{00000000-0008-0000-1000-000044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editAs="oneCell">
    <xdr:from>
      <xdr:col>50</xdr:col>
      <xdr:colOff>114300</xdr:colOff>
      <xdr:row>27</xdr:row>
      <xdr:rowOff>123825</xdr:rowOff>
    </xdr:from>
    <xdr:to>
      <xdr:col>50</xdr:col>
      <xdr:colOff>190500</xdr:colOff>
      <xdr:row>28</xdr:row>
      <xdr:rowOff>104775</xdr:rowOff>
    </xdr:to>
    <xdr:sp macro="" textlink="">
      <xdr:nvSpPr>
        <xdr:cNvPr id="16453" name="Text Box 76">
          <a:extLst>
            <a:ext uri="{FF2B5EF4-FFF2-40B4-BE49-F238E27FC236}">
              <a16:creationId xmlns:a16="http://schemas.microsoft.com/office/drawing/2014/main" id="{00000000-0008-0000-1000-000045400000}"/>
            </a:ext>
          </a:extLst>
        </xdr:cNvPr>
        <xdr:cNvSpPr txBox="1">
          <a:spLocks noChangeArrowheads="1"/>
        </xdr:cNvSpPr>
      </xdr:nvSpPr>
      <xdr:spPr bwMode="auto">
        <a:xfrm>
          <a:off x="30346650" y="4572000"/>
          <a:ext cx="76200" cy="200025"/>
        </a:xfrm>
        <a:prstGeom prst="rect">
          <a:avLst/>
        </a:prstGeom>
        <a:noFill/>
        <a:ln w="9525">
          <a:noFill/>
          <a:miter lim="800000"/>
          <a:headEnd/>
          <a:tailEnd/>
        </a:ln>
      </xdr:spPr>
    </xdr:sp>
    <xdr:clientData/>
  </xdr:twoCellAnchor>
  <xdr:twoCellAnchor>
    <xdr:from>
      <xdr:col>45</xdr:col>
      <xdr:colOff>142875</xdr:colOff>
      <xdr:row>39</xdr:row>
      <xdr:rowOff>85725</xdr:rowOff>
    </xdr:from>
    <xdr:to>
      <xdr:col>53</xdr:col>
      <xdr:colOff>561975</xdr:colOff>
      <xdr:row>64</xdr:row>
      <xdr:rowOff>133350</xdr:rowOff>
    </xdr:to>
    <xdr:graphicFrame macro="">
      <xdr:nvGraphicFramePr>
        <xdr:cNvPr id="16454" name="Chart 74">
          <a:extLst>
            <a:ext uri="{FF2B5EF4-FFF2-40B4-BE49-F238E27FC236}">
              <a16:creationId xmlns:a16="http://schemas.microsoft.com/office/drawing/2014/main" id="{00000000-0008-0000-1000-000046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45</xdr:col>
      <xdr:colOff>742950</xdr:colOff>
      <xdr:row>74</xdr:row>
      <xdr:rowOff>9525</xdr:rowOff>
    </xdr:from>
    <xdr:to>
      <xdr:col>52</xdr:col>
      <xdr:colOff>323850</xdr:colOff>
      <xdr:row>89</xdr:row>
      <xdr:rowOff>133350</xdr:rowOff>
    </xdr:to>
    <xdr:graphicFrame macro="">
      <xdr:nvGraphicFramePr>
        <xdr:cNvPr id="16455" name="72 Gráfico">
          <a:extLst>
            <a:ext uri="{FF2B5EF4-FFF2-40B4-BE49-F238E27FC236}">
              <a16:creationId xmlns:a16="http://schemas.microsoft.com/office/drawing/2014/main" id="{00000000-0008-0000-1000-000047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52</xdr:col>
      <xdr:colOff>504825</xdr:colOff>
      <xdr:row>73</xdr:row>
      <xdr:rowOff>152400</xdr:rowOff>
    </xdr:from>
    <xdr:to>
      <xdr:col>59</xdr:col>
      <xdr:colOff>400050</xdr:colOff>
      <xdr:row>90</xdr:row>
      <xdr:rowOff>152400</xdr:rowOff>
    </xdr:to>
    <xdr:graphicFrame macro="">
      <xdr:nvGraphicFramePr>
        <xdr:cNvPr id="16456" name="73 Gráfico">
          <a:extLst>
            <a:ext uri="{FF2B5EF4-FFF2-40B4-BE49-F238E27FC236}">
              <a16:creationId xmlns:a16="http://schemas.microsoft.com/office/drawing/2014/main" id="{00000000-0008-0000-1000-000048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23</xdr:col>
      <xdr:colOff>114300</xdr:colOff>
      <xdr:row>88</xdr:row>
      <xdr:rowOff>0</xdr:rowOff>
    </xdr:from>
    <xdr:to>
      <xdr:col>32</xdr:col>
      <xdr:colOff>438150</xdr:colOff>
      <xdr:row>112</xdr:row>
      <xdr:rowOff>28575</xdr:rowOff>
    </xdr:to>
    <xdr:graphicFrame macro="">
      <xdr:nvGraphicFramePr>
        <xdr:cNvPr id="75" name="Chart 74">
          <a:extLst>
            <a:ext uri="{FF2B5EF4-FFF2-40B4-BE49-F238E27FC236}">
              <a16:creationId xmlns:a16="http://schemas.microsoft.com/office/drawing/2014/main" id="{00000000-0008-0000-1000-00004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12</xdr:row>
      <xdr:rowOff>19050</xdr:rowOff>
    </xdr:from>
    <xdr:to>
      <xdr:col>6</xdr:col>
      <xdr:colOff>581025</xdr:colOff>
      <xdr:row>33</xdr:row>
      <xdr:rowOff>28575</xdr:rowOff>
    </xdr:to>
    <xdr:graphicFrame macro="">
      <xdr:nvGraphicFramePr>
        <xdr:cNvPr id="90113" name="Chart 2">
          <a:extLst>
            <a:ext uri="{FF2B5EF4-FFF2-40B4-BE49-F238E27FC236}">
              <a16:creationId xmlns:a16="http://schemas.microsoft.com/office/drawing/2014/main" id="{00000000-0008-0000-1100-000001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47625</xdr:colOff>
      <xdr:row>40</xdr:row>
      <xdr:rowOff>28575</xdr:rowOff>
    </xdr:from>
    <xdr:to>
      <xdr:col>15</xdr:col>
      <xdr:colOff>114300</xdr:colOff>
      <xdr:row>57</xdr:row>
      <xdr:rowOff>47625</xdr:rowOff>
    </xdr:to>
    <xdr:graphicFrame macro="">
      <xdr:nvGraphicFramePr>
        <xdr:cNvPr id="90114" name="Chart 3">
          <a:extLst>
            <a:ext uri="{FF2B5EF4-FFF2-40B4-BE49-F238E27FC236}">
              <a16:creationId xmlns:a16="http://schemas.microsoft.com/office/drawing/2014/main" id="{00000000-0008-0000-1100-000002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6</xdr:col>
      <xdr:colOff>533400</xdr:colOff>
      <xdr:row>52</xdr:row>
      <xdr:rowOff>19050</xdr:rowOff>
    </xdr:to>
    <xdr:graphicFrame macro="">
      <xdr:nvGraphicFramePr>
        <xdr:cNvPr id="90115" name="Chart 4">
          <a:extLst>
            <a:ext uri="{FF2B5EF4-FFF2-40B4-BE49-F238E27FC236}">
              <a16:creationId xmlns:a16="http://schemas.microsoft.com/office/drawing/2014/main" id="{00000000-0008-0000-1100-000003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752475</xdr:colOff>
      <xdr:row>21</xdr:row>
      <xdr:rowOff>152400</xdr:rowOff>
    </xdr:from>
    <xdr:to>
      <xdr:col>15</xdr:col>
      <xdr:colOff>57150</xdr:colOff>
      <xdr:row>39</xdr:row>
      <xdr:rowOff>9525</xdr:rowOff>
    </xdr:to>
    <xdr:graphicFrame macro="">
      <xdr:nvGraphicFramePr>
        <xdr:cNvPr id="90116" name="Chart 5">
          <a:extLst>
            <a:ext uri="{FF2B5EF4-FFF2-40B4-BE49-F238E27FC236}">
              <a16:creationId xmlns:a16="http://schemas.microsoft.com/office/drawing/2014/main" id="{00000000-0008-0000-1100-000004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59</xdr:row>
      <xdr:rowOff>0</xdr:rowOff>
    </xdr:from>
    <xdr:to>
      <xdr:col>15</xdr:col>
      <xdr:colOff>76200</xdr:colOff>
      <xdr:row>76</xdr:row>
      <xdr:rowOff>28575</xdr:rowOff>
    </xdr:to>
    <xdr:graphicFrame macro="">
      <xdr:nvGraphicFramePr>
        <xdr:cNvPr id="90117" name="Chart 6">
          <a:extLst>
            <a:ext uri="{FF2B5EF4-FFF2-40B4-BE49-F238E27FC236}">
              <a16:creationId xmlns:a16="http://schemas.microsoft.com/office/drawing/2014/main" id="{00000000-0008-0000-1100-00000560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55</xdr:col>
      <xdr:colOff>149217</xdr:colOff>
      <xdr:row>0</xdr:row>
      <xdr:rowOff>9525</xdr:rowOff>
    </xdr:from>
    <xdr:to>
      <xdr:col>66</xdr:col>
      <xdr:colOff>318305</xdr:colOff>
      <xdr:row>24</xdr:row>
      <xdr:rowOff>106102</xdr:rowOff>
    </xdr:to>
    <xdr:graphicFrame macro="">
      <xdr:nvGraphicFramePr>
        <xdr:cNvPr id="15" name="14 Gráfico">
          <a:extLst>
            <a:ext uri="{FF2B5EF4-FFF2-40B4-BE49-F238E27FC236}">
              <a16:creationId xmlns:a16="http://schemas.microsoft.com/office/drawing/2014/main" id="{00000000-0008-0000-1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55</xdr:col>
      <xdr:colOff>135036</xdr:colOff>
      <xdr:row>25</xdr:row>
      <xdr:rowOff>163975</xdr:rowOff>
    </xdr:from>
    <xdr:to>
      <xdr:col>65</xdr:col>
      <xdr:colOff>511215</xdr:colOff>
      <xdr:row>51</xdr:row>
      <xdr:rowOff>154329</xdr:rowOff>
    </xdr:to>
    <xdr:graphicFrame macro="">
      <xdr:nvGraphicFramePr>
        <xdr:cNvPr id="16" name="15 Gráfico">
          <a:extLst>
            <a:ext uri="{FF2B5EF4-FFF2-40B4-BE49-F238E27FC236}">
              <a16:creationId xmlns:a16="http://schemas.microsoft.com/office/drawing/2014/main" id="{00000000-0008-0000-1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0</xdr:colOff>
      <xdr:row>174</xdr:row>
      <xdr:rowOff>113393</xdr:rowOff>
    </xdr:from>
    <xdr:to>
      <xdr:col>62</xdr:col>
      <xdr:colOff>28575</xdr:colOff>
      <xdr:row>204</xdr:row>
      <xdr:rowOff>145452</xdr:rowOff>
    </xdr:to>
    <xdr:graphicFrame macro="">
      <xdr:nvGraphicFramePr>
        <xdr:cNvPr id="17" name="16 Gráfico">
          <a:extLst>
            <a:ext uri="{FF2B5EF4-FFF2-40B4-BE49-F238E27FC236}">
              <a16:creationId xmlns:a16="http://schemas.microsoft.com/office/drawing/2014/main" id="{00000000-0008-0000-13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485775</xdr:colOff>
      <xdr:row>166</xdr:row>
      <xdr:rowOff>25400</xdr:rowOff>
    </xdr:from>
    <xdr:to>
      <xdr:col>41</xdr:col>
      <xdr:colOff>234345</xdr:colOff>
      <xdr:row>185</xdr:row>
      <xdr:rowOff>69850</xdr:rowOff>
    </xdr:to>
    <xdr:graphicFrame macro="">
      <xdr:nvGraphicFramePr>
        <xdr:cNvPr id="26" name="25 Gráfico">
          <a:extLst>
            <a:ext uri="{FF2B5EF4-FFF2-40B4-BE49-F238E27FC236}">
              <a16:creationId xmlns:a16="http://schemas.microsoft.com/office/drawing/2014/main" id="{00000000-0008-0000-13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586154</xdr:colOff>
      <xdr:row>186</xdr:row>
      <xdr:rowOff>83737</xdr:rowOff>
    </xdr:from>
    <xdr:to>
      <xdr:col>39</xdr:col>
      <xdr:colOff>599308</xdr:colOff>
      <xdr:row>205</xdr:row>
      <xdr:rowOff>128187</xdr:rowOff>
    </xdr:to>
    <xdr:graphicFrame macro="">
      <xdr:nvGraphicFramePr>
        <xdr:cNvPr id="28" name="27 Gráfico">
          <a:extLst>
            <a:ext uri="{FF2B5EF4-FFF2-40B4-BE49-F238E27FC236}">
              <a16:creationId xmlns:a16="http://schemas.microsoft.com/office/drawing/2014/main" id="{00000000-0008-0000-1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215</xdr:row>
      <xdr:rowOff>0</xdr:rowOff>
    </xdr:from>
    <xdr:to>
      <xdr:col>35</xdr:col>
      <xdr:colOff>714446</xdr:colOff>
      <xdr:row>234</xdr:row>
      <xdr:rowOff>44450</xdr:rowOff>
    </xdr:to>
    <xdr:graphicFrame macro="">
      <xdr:nvGraphicFramePr>
        <xdr:cNvPr id="29" name="28 Gráfico">
          <a:extLst>
            <a:ext uri="{FF2B5EF4-FFF2-40B4-BE49-F238E27FC236}">
              <a16:creationId xmlns:a16="http://schemas.microsoft.com/office/drawing/2014/main" id="{00000000-0008-0000-13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0</xdr:colOff>
      <xdr:row>215</xdr:row>
      <xdr:rowOff>0</xdr:rowOff>
    </xdr:from>
    <xdr:to>
      <xdr:col>48</xdr:col>
      <xdr:colOff>13155</xdr:colOff>
      <xdr:row>234</xdr:row>
      <xdr:rowOff>44450</xdr:rowOff>
    </xdr:to>
    <xdr:graphicFrame macro="">
      <xdr:nvGraphicFramePr>
        <xdr:cNvPr id="30" name="29 Gráfico">
          <a:extLst>
            <a:ext uri="{FF2B5EF4-FFF2-40B4-BE49-F238E27FC236}">
              <a16:creationId xmlns:a16="http://schemas.microsoft.com/office/drawing/2014/main" id="{00000000-0008-0000-1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1005418</xdr:colOff>
      <xdr:row>163</xdr:row>
      <xdr:rowOff>77842</xdr:rowOff>
    </xdr:from>
    <xdr:to>
      <xdr:col>11</xdr:col>
      <xdr:colOff>162866</xdr:colOff>
      <xdr:row>181</xdr:row>
      <xdr:rowOff>132292</xdr:rowOff>
    </xdr:to>
    <xdr:graphicFrame macro="">
      <xdr:nvGraphicFramePr>
        <xdr:cNvPr id="31" name="Chart 2">
          <a:extLst>
            <a:ext uri="{FF2B5EF4-FFF2-40B4-BE49-F238E27FC236}">
              <a16:creationId xmlns:a16="http://schemas.microsoft.com/office/drawing/2014/main" id="{3CB0A55F-3BC6-4505-9738-BF9689594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427370</xdr:colOff>
      <xdr:row>163</xdr:row>
      <xdr:rowOff>87825</xdr:rowOff>
    </xdr:from>
    <xdr:to>
      <xdr:col>22</xdr:col>
      <xdr:colOff>402166</xdr:colOff>
      <xdr:row>181</xdr:row>
      <xdr:rowOff>123472</xdr:rowOff>
    </xdr:to>
    <xdr:graphicFrame macro="">
      <xdr:nvGraphicFramePr>
        <xdr:cNvPr id="32" name="Chart 2">
          <a:extLst>
            <a:ext uri="{FF2B5EF4-FFF2-40B4-BE49-F238E27FC236}">
              <a16:creationId xmlns:a16="http://schemas.microsoft.com/office/drawing/2014/main" id="{7F4E710D-EF98-4B85-A7FF-338E70653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318304</xdr:colOff>
      <xdr:row>183</xdr:row>
      <xdr:rowOff>57874</xdr:rowOff>
    </xdr:from>
    <xdr:to>
      <xdr:col>22</xdr:col>
      <xdr:colOff>248203</xdr:colOff>
      <xdr:row>203</xdr:row>
      <xdr:rowOff>123913</xdr:rowOff>
    </xdr:to>
    <xdr:graphicFrame macro="">
      <xdr:nvGraphicFramePr>
        <xdr:cNvPr id="33" name="Chart 7">
          <a:extLst>
            <a:ext uri="{FF2B5EF4-FFF2-40B4-BE49-F238E27FC236}">
              <a16:creationId xmlns:a16="http://schemas.microsoft.com/office/drawing/2014/main" id="{C9648786-74F2-4057-A440-8E904E107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1174750</xdr:colOff>
      <xdr:row>183</xdr:row>
      <xdr:rowOff>16167</xdr:rowOff>
    </xdr:from>
    <xdr:to>
      <xdr:col>11</xdr:col>
      <xdr:colOff>192912</xdr:colOff>
      <xdr:row>203</xdr:row>
      <xdr:rowOff>135039</xdr:rowOff>
    </xdr:to>
    <xdr:graphicFrame macro="">
      <xdr:nvGraphicFramePr>
        <xdr:cNvPr id="34" name="1 Gráfico">
          <a:extLst>
            <a:ext uri="{FF2B5EF4-FFF2-40B4-BE49-F238E27FC236}">
              <a16:creationId xmlns:a16="http://schemas.microsoft.com/office/drawing/2014/main" id="{5F52E4D6-E772-4F51-AFBE-74870D0A6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1185276</xdr:colOff>
      <xdr:row>196</xdr:row>
      <xdr:rowOff>77799</xdr:rowOff>
    </xdr:from>
    <xdr:to>
      <xdr:col>11</xdr:col>
      <xdr:colOff>169287</xdr:colOff>
      <xdr:row>196</xdr:row>
      <xdr:rowOff>77799</xdr:rowOff>
    </xdr:to>
    <xdr:cxnSp macro="">
      <xdr:nvCxnSpPr>
        <xdr:cNvPr id="35" name="11 Conector recto">
          <a:extLst>
            <a:ext uri="{FF2B5EF4-FFF2-40B4-BE49-F238E27FC236}">
              <a16:creationId xmlns:a16="http://schemas.microsoft.com/office/drawing/2014/main" id="{A8B2CCD0-0D17-4FB6-A858-7E2193A9A1AE}"/>
            </a:ext>
          </a:extLst>
        </xdr:cNvPr>
        <xdr:cNvCxnSpPr/>
      </xdr:nvCxnSpPr>
      <xdr:spPr>
        <a:xfrm>
          <a:off x="1185276" y="33215728"/>
          <a:ext cx="6413511" cy="0"/>
        </a:xfrm>
        <a:prstGeom prst="line">
          <a:avLst/>
        </a:prstGeom>
        <a:ln w="28575" cmpd="sng">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57873</xdr:colOff>
      <xdr:row>2</xdr:row>
      <xdr:rowOff>38582</xdr:rowOff>
    </xdr:from>
    <xdr:to>
      <xdr:col>79</xdr:col>
      <xdr:colOff>414759</xdr:colOff>
      <xdr:row>24</xdr:row>
      <xdr:rowOff>144684</xdr:rowOff>
    </xdr:to>
    <xdr:graphicFrame macro="">
      <xdr:nvGraphicFramePr>
        <xdr:cNvPr id="36" name="14 Gráfico">
          <a:extLst>
            <a:ext uri="{FF2B5EF4-FFF2-40B4-BE49-F238E27FC236}">
              <a16:creationId xmlns:a16="http://schemas.microsoft.com/office/drawing/2014/main" id="{BDB56313-E7A0-492C-BD10-EB6C9AA54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67</xdr:col>
      <xdr:colOff>0</xdr:colOff>
      <xdr:row>26</xdr:row>
      <xdr:rowOff>144683</xdr:rowOff>
    </xdr:from>
    <xdr:to>
      <xdr:col>80</xdr:col>
      <xdr:colOff>461009</xdr:colOff>
      <xdr:row>58</xdr:row>
      <xdr:rowOff>17707</xdr:rowOff>
    </xdr:to>
    <xdr:graphicFrame macro="">
      <xdr:nvGraphicFramePr>
        <xdr:cNvPr id="37" name="15 Gráfico">
          <a:extLst>
            <a:ext uri="{FF2B5EF4-FFF2-40B4-BE49-F238E27FC236}">
              <a16:creationId xmlns:a16="http://schemas.microsoft.com/office/drawing/2014/main" id="{7FE7CEA8-824C-4587-8970-B5D0F3D41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83</xdr:col>
      <xdr:colOff>0</xdr:colOff>
      <xdr:row>0</xdr:row>
      <xdr:rowOff>0</xdr:rowOff>
    </xdr:from>
    <xdr:to>
      <xdr:col>96</xdr:col>
      <xdr:colOff>634849</xdr:colOff>
      <xdr:row>26</xdr:row>
      <xdr:rowOff>125392</xdr:rowOff>
    </xdr:to>
    <xdr:graphicFrame macro="">
      <xdr:nvGraphicFramePr>
        <xdr:cNvPr id="38" name="14 Gráfico">
          <a:extLst>
            <a:ext uri="{FF2B5EF4-FFF2-40B4-BE49-F238E27FC236}">
              <a16:creationId xmlns:a16="http://schemas.microsoft.com/office/drawing/2014/main" id="{ADFE9CDE-ED65-4DD8-BD3B-946A13CB3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83</xdr:col>
      <xdr:colOff>0</xdr:colOff>
      <xdr:row>30</xdr:row>
      <xdr:rowOff>106101</xdr:rowOff>
    </xdr:from>
    <xdr:to>
      <xdr:col>96</xdr:col>
      <xdr:colOff>461009</xdr:colOff>
      <xdr:row>60</xdr:row>
      <xdr:rowOff>152745</xdr:rowOff>
    </xdr:to>
    <xdr:graphicFrame macro="">
      <xdr:nvGraphicFramePr>
        <xdr:cNvPr id="39" name="15 Gráfico">
          <a:extLst>
            <a:ext uri="{FF2B5EF4-FFF2-40B4-BE49-F238E27FC236}">
              <a16:creationId xmlns:a16="http://schemas.microsoft.com/office/drawing/2014/main" id="{4F658243-5073-4E48-A9AC-56A4F0CA2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35</xdr:col>
      <xdr:colOff>655896</xdr:colOff>
      <xdr:row>27</xdr:row>
      <xdr:rowOff>55943</xdr:rowOff>
    </xdr:from>
    <xdr:to>
      <xdr:col>45</xdr:col>
      <xdr:colOff>472631</xdr:colOff>
      <xdr:row>51</xdr:row>
      <xdr:rowOff>135039</xdr:rowOff>
    </xdr:to>
    <xdr:graphicFrame macro="">
      <xdr:nvGraphicFramePr>
        <xdr:cNvPr id="4" name="Gráfico 3">
          <a:extLst>
            <a:ext uri="{FF2B5EF4-FFF2-40B4-BE49-F238E27FC236}">
              <a16:creationId xmlns:a16="http://schemas.microsoft.com/office/drawing/2014/main" id="{98DBAB45-034F-41D5-9468-EC8C12BAF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98</xdr:col>
      <xdr:colOff>0</xdr:colOff>
      <xdr:row>0</xdr:row>
      <xdr:rowOff>0</xdr:rowOff>
    </xdr:from>
    <xdr:to>
      <xdr:col>111</xdr:col>
      <xdr:colOff>634849</xdr:colOff>
      <xdr:row>28</xdr:row>
      <xdr:rowOff>19291</xdr:rowOff>
    </xdr:to>
    <xdr:graphicFrame macro="">
      <xdr:nvGraphicFramePr>
        <xdr:cNvPr id="40" name="14 Gráfico">
          <a:extLst>
            <a:ext uri="{FF2B5EF4-FFF2-40B4-BE49-F238E27FC236}">
              <a16:creationId xmlns:a16="http://schemas.microsoft.com/office/drawing/2014/main" id="{BEA7C584-2A13-4CFD-937A-D7827C20E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97</xdr:col>
      <xdr:colOff>540152</xdr:colOff>
      <xdr:row>30</xdr:row>
      <xdr:rowOff>96456</xdr:rowOff>
    </xdr:from>
    <xdr:to>
      <xdr:col>111</xdr:col>
      <xdr:colOff>219871</xdr:colOff>
      <xdr:row>60</xdr:row>
      <xdr:rowOff>114164</xdr:rowOff>
    </xdr:to>
    <xdr:graphicFrame macro="">
      <xdr:nvGraphicFramePr>
        <xdr:cNvPr id="41" name="15 Gráfico">
          <a:extLst>
            <a:ext uri="{FF2B5EF4-FFF2-40B4-BE49-F238E27FC236}">
              <a16:creationId xmlns:a16="http://schemas.microsoft.com/office/drawing/2014/main" id="{18952694-AA60-48C4-8004-0DFFA86B9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112</xdr:col>
      <xdr:colOff>38582</xdr:colOff>
      <xdr:row>3</xdr:row>
      <xdr:rowOff>9645</xdr:rowOff>
    </xdr:from>
    <xdr:to>
      <xdr:col>123</xdr:col>
      <xdr:colOff>207670</xdr:colOff>
      <xdr:row>28</xdr:row>
      <xdr:rowOff>106222</xdr:rowOff>
    </xdr:to>
    <xdr:graphicFrame macro="">
      <xdr:nvGraphicFramePr>
        <xdr:cNvPr id="42" name="14 Gráfico">
          <a:extLst>
            <a:ext uri="{FF2B5EF4-FFF2-40B4-BE49-F238E27FC236}">
              <a16:creationId xmlns:a16="http://schemas.microsoft.com/office/drawing/2014/main" id="{43CD3C06-62B2-4C70-B1E9-CE6EB64B9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124</xdr:col>
      <xdr:colOff>0</xdr:colOff>
      <xdr:row>3</xdr:row>
      <xdr:rowOff>0</xdr:rowOff>
    </xdr:from>
    <xdr:to>
      <xdr:col>135</xdr:col>
      <xdr:colOff>169087</xdr:colOff>
      <xdr:row>28</xdr:row>
      <xdr:rowOff>96577</xdr:rowOff>
    </xdr:to>
    <xdr:graphicFrame macro="">
      <xdr:nvGraphicFramePr>
        <xdr:cNvPr id="43" name="14 Gráfico">
          <a:extLst>
            <a:ext uri="{FF2B5EF4-FFF2-40B4-BE49-F238E27FC236}">
              <a16:creationId xmlns:a16="http://schemas.microsoft.com/office/drawing/2014/main" id="{52287ADA-523F-4D57-BB2B-EDE425076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124</xdr:col>
      <xdr:colOff>1</xdr:colOff>
      <xdr:row>30</xdr:row>
      <xdr:rowOff>115746</xdr:rowOff>
    </xdr:from>
    <xdr:to>
      <xdr:col>135</xdr:col>
      <xdr:colOff>169088</xdr:colOff>
      <xdr:row>56</xdr:row>
      <xdr:rowOff>67639</xdr:rowOff>
    </xdr:to>
    <xdr:graphicFrame macro="">
      <xdr:nvGraphicFramePr>
        <xdr:cNvPr id="45" name="14 Gráfico">
          <a:extLst>
            <a:ext uri="{FF2B5EF4-FFF2-40B4-BE49-F238E27FC236}">
              <a16:creationId xmlns:a16="http://schemas.microsoft.com/office/drawing/2014/main" id="{8366338C-AA84-4AAF-AC8B-182F9B7D3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137</xdr:col>
      <xdr:colOff>0</xdr:colOff>
      <xdr:row>3</xdr:row>
      <xdr:rowOff>0</xdr:rowOff>
    </xdr:from>
    <xdr:to>
      <xdr:col>148</xdr:col>
      <xdr:colOff>169087</xdr:colOff>
      <xdr:row>28</xdr:row>
      <xdr:rowOff>96577</xdr:rowOff>
    </xdr:to>
    <xdr:graphicFrame macro="">
      <xdr:nvGraphicFramePr>
        <xdr:cNvPr id="46" name="14 Gráfico">
          <a:extLst>
            <a:ext uri="{FF2B5EF4-FFF2-40B4-BE49-F238E27FC236}">
              <a16:creationId xmlns:a16="http://schemas.microsoft.com/office/drawing/2014/main" id="{1BF5C284-234A-48BA-8678-F491B30D0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42</xdr:col>
      <xdr:colOff>337595</xdr:colOff>
      <xdr:row>53</xdr:row>
      <xdr:rowOff>123464</xdr:rowOff>
    </xdr:from>
    <xdr:to>
      <xdr:col>48</xdr:col>
      <xdr:colOff>77165</xdr:colOff>
      <xdr:row>70</xdr:row>
      <xdr:rowOff>108031</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0488B969-C23A-F908-6FC2-953E8EB07C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34612355" y="9046484"/>
              <a:ext cx="4593510" cy="3002087"/>
            </a:xfrm>
            <a:prstGeom prst="rect">
              <a:avLst/>
            </a:prstGeom>
            <a:solidFill>
              <a:prstClr val="white"/>
            </a:solidFill>
            <a:ln w="1">
              <a:solidFill>
                <a:prstClr val="green"/>
              </a:solidFill>
            </a:ln>
          </xdr:spPr>
          <xdr:txBody>
            <a:bodyPr vertOverflow="clip" horzOverflow="clip"/>
            <a:lstStyle/>
            <a:p>
              <a:r>
                <a:rPr lang="es-PE"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49</xdr:col>
      <xdr:colOff>0</xdr:colOff>
      <xdr:row>51</xdr:row>
      <xdr:rowOff>77164</xdr:rowOff>
    </xdr:from>
    <xdr:to>
      <xdr:col>53</xdr:col>
      <xdr:colOff>472632</xdr:colOff>
      <xdr:row>70</xdr:row>
      <xdr:rowOff>148542</xdr:rowOff>
    </xdr:to>
    <mc:AlternateContent xmlns:mc="http://schemas.openxmlformats.org/markup-compatibility/2006">
      <mc:Choice xmlns:cx1="http://schemas.microsoft.com/office/drawing/2015/9/8/chartex" Requires="cx1">
        <xdr:graphicFrame macro="">
          <xdr:nvGraphicFramePr>
            <xdr:cNvPr id="51" name="Gráfico 50">
              <a:extLst>
                <a:ext uri="{FF2B5EF4-FFF2-40B4-BE49-F238E27FC236}">
                  <a16:creationId xmlns:a16="http://schemas.microsoft.com/office/drawing/2014/main" id="{D7A04A50-0288-4F68-A057-6C92A79F97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40058340" y="8664904"/>
              <a:ext cx="4191192" cy="3424178"/>
            </a:xfrm>
            <a:prstGeom prst="rect">
              <a:avLst/>
            </a:prstGeom>
            <a:solidFill>
              <a:prstClr val="white"/>
            </a:solidFill>
            <a:ln w="1">
              <a:solidFill>
                <a:prstClr val="green"/>
              </a:solidFill>
            </a:ln>
          </xdr:spPr>
          <xdr:txBody>
            <a:bodyPr vertOverflow="clip" horzOverflow="clip"/>
            <a:lstStyle/>
            <a:p>
              <a:r>
                <a:rPr lang="es-PE"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42</xdr:col>
      <xdr:colOff>694480</xdr:colOff>
      <xdr:row>76</xdr:row>
      <xdr:rowOff>86811</xdr:rowOff>
    </xdr:from>
    <xdr:to>
      <xdr:col>47</xdr:col>
      <xdr:colOff>385823</xdr:colOff>
      <xdr:row>90</xdr:row>
      <xdr:rowOff>52088</xdr:rowOff>
    </xdr:to>
    <mc:AlternateContent xmlns:mc="http://schemas.openxmlformats.org/markup-compatibility/2006">
      <mc:Choice xmlns:cx1="http://schemas.microsoft.com/office/drawing/2015/9/8/chartex" Requires="cx1">
        <xdr:graphicFrame macro="">
          <xdr:nvGraphicFramePr>
            <xdr:cNvPr id="53" name="Gráfico 52">
              <a:extLst>
                <a:ext uri="{FF2B5EF4-FFF2-40B4-BE49-F238E27FC236}">
                  <a16:creationId xmlns:a16="http://schemas.microsoft.com/office/drawing/2014/main" id="{96CA5609-F625-4E97-8CB9-689C2350F9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34969240" y="13170351"/>
              <a:ext cx="3615643" cy="2563697"/>
            </a:xfrm>
            <a:prstGeom prst="rect">
              <a:avLst/>
            </a:prstGeom>
            <a:solidFill>
              <a:prstClr val="white"/>
            </a:solidFill>
            <a:ln w="1">
              <a:solidFill>
                <a:prstClr val="green"/>
              </a:solidFill>
            </a:ln>
          </xdr:spPr>
          <xdr:txBody>
            <a:bodyPr vertOverflow="clip" horzOverflow="clip"/>
            <a:lstStyle/>
            <a:p>
              <a:r>
                <a:rPr lang="es-PE"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43</xdr:col>
      <xdr:colOff>57873</xdr:colOff>
      <xdr:row>92</xdr:row>
      <xdr:rowOff>173620</xdr:rowOff>
    </xdr:from>
    <xdr:to>
      <xdr:col>47</xdr:col>
      <xdr:colOff>395468</xdr:colOff>
      <xdr:row>109</xdr:row>
      <xdr:rowOff>52086</xdr:rowOff>
    </xdr:to>
    <mc:AlternateContent xmlns:mc="http://schemas.openxmlformats.org/markup-compatibility/2006">
      <mc:Choice xmlns:cx1="http://schemas.microsoft.com/office/drawing/2015/9/8/chartex" Requires="cx1">
        <xdr:graphicFrame macro="">
          <xdr:nvGraphicFramePr>
            <xdr:cNvPr id="54" name="Gráfico 53">
              <a:extLst>
                <a:ext uri="{FF2B5EF4-FFF2-40B4-BE49-F238E27FC236}">
                  <a16:creationId xmlns:a16="http://schemas.microsoft.com/office/drawing/2014/main" id="{B83CFE1B-E473-49DE-B419-C146576BF3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6"/>
            </a:graphicData>
          </a:graphic>
        </xdr:graphicFrame>
      </mc:Choice>
      <mc:Fallback>
        <xdr:sp macro="" textlink="">
          <xdr:nvSpPr>
            <xdr:cNvPr id="0" name=""/>
            <xdr:cNvSpPr>
              <a:spLocks noTextEdit="1"/>
            </xdr:cNvSpPr>
          </xdr:nvSpPr>
          <xdr:spPr>
            <a:xfrm>
              <a:off x="35117493" y="16221340"/>
              <a:ext cx="3477035" cy="2926466"/>
            </a:xfrm>
            <a:prstGeom prst="rect">
              <a:avLst/>
            </a:prstGeom>
            <a:solidFill>
              <a:prstClr val="white"/>
            </a:solidFill>
            <a:ln w="1">
              <a:solidFill>
                <a:prstClr val="green"/>
              </a:solidFill>
            </a:ln>
          </xdr:spPr>
          <xdr:txBody>
            <a:bodyPr vertOverflow="clip" horzOverflow="clip"/>
            <a:lstStyle/>
            <a:p>
              <a:r>
                <a:rPr lang="es-PE"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31</xdr:col>
      <xdr:colOff>67518</xdr:colOff>
      <xdr:row>81</xdr:row>
      <xdr:rowOff>163975</xdr:rowOff>
    </xdr:from>
    <xdr:to>
      <xdr:col>34</xdr:col>
      <xdr:colOff>530506</xdr:colOff>
      <xdr:row>95</xdr:row>
      <xdr:rowOff>154329</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7FB4F176-4953-45F7-90D4-576B9673CE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7"/>
            </a:graphicData>
          </a:graphic>
        </xdr:graphicFrame>
      </mc:Choice>
      <mc:Fallback>
        <xdr:sp macro="" textlink="">
          <xdr:nvSpPr>
            <xdr:cNvPr id="0" name=""/>
            <xdr:cNvSpPr>
              <a:spLocks noTextEdit="1"/>
            </xdr:cNvSpPr>
          </xdr:nvSpPr>
          <xdr:spPr>
            <a:xfrm>
              <a:off x="22424598" y="14192395"/>
              <a:ext cx="3610048" cy="2558294"/>
            </a:xfrm>
            <a:prstGeom prst="rect">
              <a:avLst/>
            </a:prstGeom>
            <a:solidFill>
              <a:prstClr val="white"/>
            </a:solidFill>
            <a:ln w="1">
              <a:solidFill>
                <a:prstClr val="green"/>
              </a:solidFill>
            </a:ln>
          </xdr:spPr>
          <xdr:txBody>
            <a:bodyPr vertOverflow="clip" horzOverflow="clip"/>
            <a:lstStyle/>
            <a:p>
              <a:r>
                <a:rPr lang="es-PE"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31</xdr:col>
      <xdr:colOff>0</xdr:colOff>
      <xdr:row>97</xdr:row>
      <xdr:rowOff>0</xdr:rowOff>
    </xdr:from>
    <xdr:to>
      <xdr:col>34</xdr:col>
      <xdr:colOff>462988</xdr:colOff>
      <xdr:row>112</xdr:row>
      <xdr:rowOff>154329</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CD2EFBCB-0BA4-4FD8-96C9-CF3CD3776F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8"/>
            </a:graphicData>
          </a:graphic>
        </xdr:graphicFrame>
      </mc:Choice>
      <mc:Fallback>
        <xdr:sp macro="" textlink="">
          <xdr:nvSpPr>
            <xdr:cNvPr id="0" name=""/>
            <xdr:cNvSpPr>
              <a:spLocks noTextEdit="1"/>
            </xdr:cNvSpPr>
          </xdr:nvSpPr>
          <xdr:spPr>
            <a:xfrm>
              <a:off x="22357080" y="16962120"/>
              <a:ext cx="3610048" cy="2790849"/>
            </a:xfrm>
            <a:prstGeom prst="rect">
              <a:avLst/>
            </a:prstGeom>
            <a:solidFill>
              <a:prstClr val="white"/>
            </a:solidFill>
            <a:ln w="1">
              <a:solidFill>
                <a:prstClr val="green"/>
              </a:solidFill>
            </a:ln>
          </xdr:spPr>
          <xdr:txBody>
            <a:bodyPr vertOverflow="clip" horzOverflow="clip"/>
            <a:lstStyle/>
            <a:p>
              <a:r>
                <a:rPr lang="es-PE"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30</xdr:col>
      <xdr:colOff>453342</xdr:colOff>
      <xdr:row>141</xdr:row>
      <xdr:rowOff>38583</xdr:rowOff>
    </xdr:from>
    <xdr:to>
      <xdr:col>34</xdr:col>
      <xdr:colOff>559444</xdr:colOff>
      <xdr:row>157</xdr:row>
      <xdr:rowOff>3859</xdr:rowOff>
    </xdr:to>
    <mc:AlternateContent xmlns:mc="http://schemas.openxmlformats.org/markup-compatibility/2006">
      <mc:Choice xmlns:cx1="http://schemas.microsoft.com/office/drawing/2015/9/8/chartex" Requires="cx1">
        <xdr:graphicFrame macro="">
          <xdr:nvGraphicFramePr>
            <xdr:cNvPr id="8" name="Gráfico 7">
              <a:extLst>
                <a:ext uri="{FF2B5EF4-FFF2-40B4-BE49-F238E27FC236}">
                  <a16:creationId xmlns:a16="http://schemas.microsoft.com/office/drawing/2014/main" id="{83E9459D-BA63-4F57-AF30-DADAB4196B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9"/>
            </a:graphicData>
          </a:graphic>
        </xdr:graphicFrame>
      </mc:Choice>
      <mc:Fallback>
        <xdr:sp macro="" textlink="">
          <xdr:nvSpPr>
            <xdr:cNvPr id="0" name=""/>
            <xdr:cNvSpPr>
              <a:spLocks noTextEdit="1"/>
            </xdr:cNvSpPr>
          </xdr:nvSpPr>
          <xdr:spPr>
            <a:xfrm>
              <a:off x="22025562" y="24574983"/>
              <a:ext cx="4038022" cy="2708476"/>
            </a:xfrm>
            <a:prstGeom prst="rect">
              <a:avLst/>
            </a:prstGeom>
            <a:solidFill>
              <a:prstClr val="white"/>
            </a:solidFill>
            <a:ln w="1">
              <a:solidFill>
                <a:prstClr val="green"/>
              </a:solidFill>
            </a:ln>
          </xdr:spPr>
          <xdr:txBody>
            <a:bodyPr vertOverflow="clip" horzOverflow="clip"/>
            <a:lstStyle/>
            <a:p>
              <a:r>
                <a:rPr lang="es-PE"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35</xdr:col>
      <xdr:colOff>520861</xdr:colOff>
      <xdr:row>81</xdr:row>
      <xdr:rowOff>19292</xdr:rowOff>
    </xdr:from>
    <xdr:to>
      <xdr:col>42</xdr:col>
      <xdr:colOff>270075</xdr:colOff>
      <xdr:row>103</xdr:row>
      <xdr:rowOff>0</xdr:rowOff>
    </xdr:to>
    <mc:AlternateContent xmlns:mc="http://schemas.openxmlformats.org/markup-compatibility/2006">
      <mc:Choice xmlns:cx1="http://schemas.microsoft.com/office/drawing/2015/9/8/chartex" Requires="cx1">
        <xdr:graphicFrame macro="">
          <xdr:nvGraphicFramePr>
            <xdr:cNvPr id="9" name="Gráfico 8">
              <a:extLst>
                <a:ext uri="{FF2B5EF4-FFF2-40B4-BE49-F238E27FC236}">
                  <a16:creationId xmlns:a16="http://schemas.microsoft.com/office/drawing/2014/main" id="{8F7FBC08-1B12-4626-BDDA-CACFF5BACC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0"/>
            </a:graphicData>
          </a:graphic>
        </xdr:graphicFrame>
      </mc:Choice>
      <mc:Fallback>
        <xdr:sp macro="" textlink="">
          <xdr:nvSpPr>
            <xdr:cNvPr id="0" name=""/>
            <xdr:cNvSpPr>
              <a:spLocks noTextEdit="1"/>
            </xdr:cNvSpPr>
          </xdr:nvSpPr>
          <xdr:spPr>
            <a:xfrm>
              <a:off x="26604121" y="14047712"/>
              <a:ext cx="7940714" cy="4011688"/>
            </a:xfrm>
            <a:prstGeom prst="rect">
              <a:avLst/>
            </a:prstGeom>
            <a:solidFill>
              <a:prstClr val="white"/>
            </a:solidFill>
            <a:ln w="1">
              <a:solidFill>
                <a:prstClr val="green"/>
              </a:solidFill>
            </a:ln>
          </xdr:spPr>
          <xdr:txBody>
            <a:bodyPr vertOverflow="clip" horzOverflow="clip"/>
            <a:lstStyle/>
            <a:p>
              <a:r>
                <a:rPr lang="es-PE"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51</xdr:col>
      <xdr:colOff>491924</xdr:colOff>
      <xdr:row>74</xdr:row>
      <xdr:rowOff>162046</xdr:rowOff>
    </xdr:from>
    <xdr:to>
      <xdr:col>56</xdr:col>
      <xdr:colOff>646253</xdr:colOff>
      <xdr:row>89</xdr:row>
      <xdr:rowOff>98386</xdr:rowOff>
    </xdr:to>
    <xdr:graphicFrame macro="">
      <xdr:nvGraphicFramePr>
        <xdr:cNvPr id="6" name="Gráfico 5">
          <a:extLst>
            <a:ext uri="{FF2B5EF4-FFF2-40B4-BE49-F238E27FC236}">
              <a16:creationId xmlns:a16="http://schemas.microsoft.com/office/drawing/2014/main" id="{5D989458-97F0-CE2D-47DA-7B51D1643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26</xdr:col>
      <xdr:colOff>535</xdr:colOff>
      <xdr:row>182</xdr:row>
      <xdr:rowOff>30364</xdr:rowOff>
    </xdr:from>
    <xdr:to>
      <xdr:col>29</xdr:col>
      <xdr:colOff>264583</xdr:colOff>
      <xdr:row>198</xdr:row>
      <xdr:rowOff>156016</xdr:rowOff>
    </xdr:to>
    <xdr:graphicFrame macro="">
      <xdr:nvGraphicFramePr>
        <xdr:cNvPr id="10" name="Gráfico 9">
          <a:extLst>
            <a:ext uri="{FF2B5EF4-FFF2-40B4-BE49-F238E27FC236}">
              <a16:creationId xmlns:a16="http://schemas.microsoft.com/office/drawing/2014/main" id="{2698B544-06CB-C9CD-997E-CD840E29E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26</xdr:col>
      <xdr:colOff>31750</xdr:colOff>
      <xdr:row>199</xdr:row>
      <xdr:rowOff>95518</xdr:rowOff>
    </xdr:from>
    <xdr:to>
      <xdr:col>29</xdr:col>
      <xdr:colOff>249042</xdr:colOff>
      <xdr:row>216</xdr:row>
      <xdr:rowOff>51149</xdr:rowOff>
    </xdr:to>
    <xdr:graphicFrame macro="">
      <xdr:nvGraphicFramePr>
        <xdr:cNvPr id="11" name="Gráfico 10">
          <a:extLst>
            <a:ext uri="{FF2B5EF4-FFF2-40B4-BE49-F238E27FC236}">
              <a16:creationId xmlns:a16="http://schemas.microsoft.com/office/drawing/2014/main" id="{65D98D65-8D51-41F6-9F43-A0A4C13F7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31</xdr:col>
      <xdr:colOff>0</xdr:colOff>
      <xdr:row>120</xdr:row>
      <xdr:rowOff>0</xdr:rowOff>
    </xdr:from>
    <xdr:to>
      <xdr:col>34</xdr:col>
      <xdr:colOff>462988</xdr:colOff>
      <xdr:row>135</xdr:row>
      <xdr:rowOff>106101</xdr:rowOff>
    </xdr:to>
    <mc:AlternateContent xmlns:mc="http://schemas.openxmlformats.org/markup-compatibility/2006">
      <mc:Choice xmlns:cx1="http://schemas.microsoft.com/office/drawing/2015/9/8/chartex" Requires="cx1">
        <xdr:graphicFrame macro="">
          <xdr:nvGraphicFramePr>
            <xdr:cNvPr id="12" name="Gráfico 11">
              <a:extLst>
                <a:ext uri="{FF2B5EF4-FFF2-40B4-BE49-F238E27FC236}">
                  <a16:creationId xmlns:a16="http://schemas.microsoft.com/office/drawing/2014/main" id="{9D64E554-0EE6-4F99-AA14-710C2909AC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4"/>
            </a:graphicData>
          </a:graphic>
        </xdr:graphicFrame>
      </mc:Choice>
      <mc:Fallback>
        <xdr:sp macro="" textlink="">
          <xdr:nvSpPr>
            <xdr:cNvPr id="0" name=""/>
            <xdr:cNvSpPr>
              <a:spLocks noTextEdit="1"/>
            </xdr:cNvSpPr>
          </xdr:nvSpPr>
          <xdr:spPr>
            <a:xfrm>
              <a:off x="22357080" y="20985480"/>
              <a:ext cx="3610048" cy="2620701"/>
            </a:xfrm>
            <a:prstGeom prst="rect">
              <a:avLst/>
            </a:prstGeom>
            <a:solidFill>
              <a:prstClr val="white"/>
            </a:solidFill>
            <a:ln w="1">
              <a:solidFill>
                <a:prstClr val="green"/>
              </a:solidFill>
            </a:ln>
          </xdr:spPr>
          <xdr:txBody>
            <a:bodyPr vertOverflow="clip" horzOverflow="clip"/>
            <a:lstStyle/>
            <a:p>
              <a:r>
                <a:rPr lang="es-PE"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136</xdr:col>
      <xdr:colOff>752354</xdr:colOff>
      <xdr:row>31</xdr:row>
      <xdr:rowOff>135038</xdr:rowOff>
    </xdr:from>
    <xdr:to>
      <xdr:col>148</xdr:col>
      <xdr:colOff>140150</xdr:colOff>
      <xdr:row>57</xdr:row>
      <xdr:rowOff>19413</xdr:rowOff>
    </xdr:to>
    <xdr:graphicFrame macro="">
      <xdr:nvGraphicFramePr>
        <xdr:cNvPr id="7" name="14 Gráfico">
          <a:extLst>
            <a:ext uri="{FF2B5EF4-FFF2-40B4-BE49-F238E27FC236}">
              <a16:creationId xmlns:a16="http://schemas.microsoft.com/office/drawing/2014/main" id="{80338A37-2CD5-40EC-9611-CF1DAB189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149</xdr:col>
      <xdr:colOff>0</xdr:colOff>
      <xdr:row>3</xdr:row>
      <xdr:rowOff>0</xdr:rowOff>
    </xdr:from>
    <xdr:to>
      <xdr:col>160</xdr:col>
      <xdr:colOff>169087</xdr:colOff>
      <xdr:row>28</xdr:row>
      <xdr:rowOff>96577</xdr:rowOff>
    </xdr:to>
    <xdr:graphicFrame macro="">
      <xdr:nvGraphicFramePr>
        <xdr:cNvPr id="13" name="14 Gráfico">
          <a:extLst>
            <a:ext uri="{FF2B5EF4-FFF2-40B4-BE49-F238E27FC236}">
              <a16:creationId xmlns:a16="http://schemas.microsoft.com/office/drawing/2014/main" id="{1E604005-946A-4A8E-A4A2-4EEC7F516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0.3367</cdr:x>
      <cdr:y>0.64366</cdr:y>
    </cdr:from>
    <cdr:to>
      <cdr:x>0.45595</cdr:x>
      <cdr:y>0.76211</cdr:y>
    </cdr:to>
    <cdr:sp macro="" textlink="">
      <cdr:nvSpPr>
        <cdr:cNvPr id="2" name="CuadroTexto 1">
          <a:extLst xmlns:a="http://schemas.openxmlformats.org/drawingml/2006/main">
            <a:ext uri="{FF2B5EF4-FFF2-40B4-BE49-F238E27FC236}">
              <a16:creationId xmlns:a16="http://schemas.microsoft.com/office/drawing/2014/main" id="{210DA96F-A44B-4FCD-B1AA-975494E23A8B}"/>
            </a:ext>
          </a:extLst>
        </cdr:cNvPr>
        <cdr:cNvSpPr txBox="1"/>
      </cdr:nvSpPr>
      <cdr:spPr>
        <a:xfrm xmlns:a="http://schemas.openxmlformats.org/drawingml/2006/main">
          <a:off x="3072335" y="2608804"/>
          <a:ext cx="1088122" cy="48008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PE" sz="900">
              <a:solidFill>
                <a:srgbClr val="FF0000"/>
              </a:solidFill>
            </a:rPr>
            <a:t>MOL.CALLAO</a:t>
          </a:r>
        </a:p>
        <a:p xmlns:a="http://schemas.openxmlformats.org/drawingml/2006/main">
          <a:r>
            <a:rPr lang="es-PE" sz="900">
              <a:solidFill>
                <a:srgbClr val="FF0000"/>
              </a:solidFill>
            </a:rPr>
            <a:t>(TERCERO)</a:t>
          </a:r>
        </a:p>
      </cdr:txBody>
    </cdr:sp>
  </cdr:relSizeAnchor>
  <cdr:relSizeAnchor xmlns:cdr="http://schemas.openxmlformats.org/drawingml/2006/chartDrawing">
    <cdr:from>
      <cdr:x>0.48076</cdr:x>
      <cdr:y>0.65138</cdr:y>
    </cdr:from>
    <cdr:to>
      <cdr:x>0.60574</cdr:x>
      <cdr:y>0.75366</cdr:y>
    </cdr:to>
    <cdr:sp macro="" textlink="">
      <cdr:nvSpPr>
        <cdr:cNvPr id="3" name="CuadroTexto 1">
          <a:extLst xmlns:a="http://schemas.openxmlformats.org/drawingml/2006/main">
            <a:ext uri="{FF2B5EF4-FFF2-40B4-BE49-F238E27FC236}">
              <a16:creationId xmlns:a16="http://schemas.microsoft.com/office/drawing/2014/main" id="{C07F7F60-37E3-4F6D-A24D-BA303A202D55}"/>
            </a:ext>
          </a:extLst>
        </cdr:cNvPr>
        <cdr:cNvSpPr txBox="1"/>
      </cdr:nvSpPr>
      <cdr:spPr>
        <a:xfrm xmlns:a="http://schemas.openxmlformats.org/drawingml/2006/main">
          <a:off x="4386754" y="2640085"/>
          <a:ext cx="1140406" cy="41454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PE" sz="900">
              <a:solidFill>
                <a:srgbClr val="FF0000"/>
              </a:solidFill>
            </a:rPr>
            <a:t>BRASIL</a:t>
          </a:r>
        </a:p>
        <a:p xmlns:a="http://schemas.openxmlformats.org/drawingml/2006/main">
          <a:pPr algn="ctr"/>
          <a:r>
            <a:rPr lang="es-PE" sz="900">
              <a:solidFill>
                <a:srgbClr val="FF0000"/>
              </a:solidFill>
            </a:rPr>
            <a:t>(PROPIO)</a:t>
          </a:r>
        </a:p>
      </cdr:txBody>
    </cdr:sp>
  </cdr:relSizeAnchor>
  <cdr:relSizeAnchor xmlns:cdr="http://schemas.openxmlformats.org/drawingml/2006/chartDrawing">
    <cdr:from>
      <cdr:x>0.69808</cdr:x>
      <cdr:y>0.57004</cdr:y>
    </cdr:from>
    <cdr:to>
      <cdr:x>0.81209</cdr:x>
      <cdr:y>0.67266</cdr:y>
    </cdr:to>
    <cdr:sp macro="" textlink="">
      <cdr:nvSpPr>
        <cdr:cNvPr id="4" name="CuadroTexto 1">
          <a:extLst xmlns:a="http://schemas.openxmlformats.org/drawingml/2006/main">
            <a:ext uri="{FF2B5EF4-FFF2-40B4-BE49-F238E27FC236}">
              <a16:creationId xmlns:a16="http://schemas.microsoft.com/office/drawing/2014/main" id="{B011CD00-BB55-4D6A-8161-ADB780F9EC55}"/>
            </a:ext>
          </a:extLst>
        </cdr:cNvPr>
        <cdr:cNvSpPr txBox="1"/>
      </cdr:nvSpPr>
      <cdr:spPr>
        <a:xfrm xmlns:a="http://schemas.openxmlformats.org/drawingml/2006/main">
          <a:off x="6369736" y="2310412"/>
          <a:ext cx="1040308" cy="415926"/>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PE" sz="900">
              <a:solidFill>
                <a:srgbClr val="FF0000"/>
              </a:solidFill>
            </a:rPr>
            <a:t>CD Huachipa</a:t>
          </a:r>
        </a:p>
        <a:p xmlns:a="http://schemas.openxmlformats.org/drawingml/2006/main">
          <a:pPr algn="ctr"/>
          <a:r>
            <a:rPr lang="es-PE" sz="900">
              <a:solidFill>
                <a:srgbClr val="FF0000"/>
              </a:solidFill>
            </a:rPr>
            <a:t>(TERCERO)</a:t>
          </a:r>
        </a:p>
      </cdr:txBody>
    </cdr:sp>
  </cdr:relSizeAnchor>
  <cdr:relSizeAnchor xmlns:cdr="http://schemas.openxmlformats.org/drawingml/2006/chartDrawing">
    <cdr:from>
      <cdr:x>0.7381</cdr:x>
      <cdr:y>0.19506</cdr:y>
    </cdr:from>
    <cdr:to>
      <cdr:x>0.85211</cdr:x>
      <cdr:y>0.38362</cdr:y>
    </cdr:to>
    <cdr:sp macro="" textlink="">
      <cdr:nvSpPr>
        <cdr:cNvPr id="5" name="CuadroTexto 1">
          <a:extLst xmlns:a="http://schemas.openxmlformats.org/drawingml/2006/main">
            <a:ext uri="{FF2B5EF4-FFF2-40B4-BE49-F238E27FC236}">
              <a16:creationId xmlns:a16="http://schemas.microsoft.com/office/drawing/2014/main" id="{FF439590-8341-4008-8F08-6449E7C99FA6}"/>
            </a:ext>
          </a:extLst>
        </cdr:cNvPr>
        <cdr:cNvSpPr txBox="1"/>
      </cdr:nvSpPr>
      <cdr:spPr>
        <a:xfrm xmlns:a="http://schemas.openxmlformats.org/drawingml/2006/main">
          <a:off x="6734934" y="790601"/>
          <a:ext cx="1040308" cy="76424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PE" sz="900">
              <a:solidFill>
                <a:srgbClr val="FF0000"/>
              </a:solidFill>
            </a:rPr>
            <a:t>VITAPRO</a:t>
          </a:r>
        </a:p>
        <a:p xmlns:a="http://schemas.openxmlformats.org/drawingml/2006/main">
          <a:pPr algn="ctr"/>
          <a:r>
            <a:rPr lang="es-PE" sz="900" baseline="0">
              <a:solidFill>
                <a:srgbClr val="FF0000"/>
              </a:solidFill>
            </a:rPr>
            <a:t>(TERCERO)</a:t>
          </a:r>
          <a:endParaRPr lang="es-PE" sz="900">
            <a:solidFill>
              <a:srgbClr val="FF0000"/>
            </a:solidFill>
          </a:endParaRPr>
        </a:p>
        <a:p xmlns:a="http://schemas.openxmlformats.org/drawingml/2006/main">
          <a:pPr algn="ctr"/>
          <a:endParaRPr lang="es-PE" sz="900">
            <a:solidFill>
              <a:srgbClr val="FF0000"/>
            </a:solidFill>
          </a:endParaRPr>
        </a:p>
        <a:p xmlns:a="http://schemas.openxmlformats.org/drawingml/2006/main">
          <a:pPr algn="ctr"/>
          <a:r>
            <a:rPr lang="es-PE" sz="900">
              <a:solidFill>
                <a:srgbClr val="FF0000"/>
              </a:solidFill>
            </a:rPr>
            <a:t>ITDC-CD1</a:t>
          </a:r>
          <a:r>
            <a:rPr lang="es-PE" sz="900" baseline="0">
              <a:solidFill>
                <a:srgbClr val="FF0000"/>
              </a:solidFill>
            </a:rPr>
            <a:t> </a:t>
          </a:r>
        </a:p>
        <a:p xmlns:a="http://schemas.openxmlformats.org/drawingml/2006/main">
          <a:pPr algn="ctr"/>
          <a:r>
            <a:rPr lang="es-PE" sz="900">
              <a:solidFill>
                <a:srgbClr val="FF0000"/>
              </a:solidFill>
            </a:rPr>
            <a:t>(TERCERO)</a:t>
          </a:r>
        </a:p>
      </cdr:txBody>
    </cdr:sp>
  </cdr:relSizeAnchor>
  <cdr:relSizeAnchor xmlns:cdr="http://schemas.openxmlformats.org/drawingml/2006/chartDrawing">
    <cdr:from>
      <cdr:x>0.82819</cdr:x>
      <cdr:y>0.57354</cdr:y>
    </cdr:from>
    <cdr:to>
      <cdr:x>0.9565</cdr:x>
      <cdr:y>0.67594</cdr:y>
    </cdr:to>
    <cdr:sp macro="" textlink="">
      <cdr:nvSpPr>
        <cdr:cNvPr id="6" name="CuadroTexto 1">
          <a:extLst xmlns:a="http://schemas.openxmlformats.org/drawingml/2006/main">
            <a:ext uri="{FF2B5EF4-FFF2-40B4-BE49-F238E27FC236}">
              <a16:creationId xmlns:a16="http://schemas.microsoft.com/office/drawing/2014/main" id="{27B55638-E875-44D4-9272-A978DEA3E453}"/>
            </a:ext>
          </a:extLst>
        </cdr:cNvPr>
        <cdr:cNvSpPr txBox="1"/>
      </cdr:nvSpPr>
      <cdr:spPr>
        <a:xfrm xmlns:a="http://schemas.openxmlformats.org/drawingml/2006/main">
          <a:off x="7557020" y="2324583"/>
          <a:ext cx="1170791" cy="41503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PE" sz="900">
              <a:solidFill>
                <a:srgbClr val="FF0000"/>
              </a:solidFill>
            </a:rPr>
            <a:t>Mol.Sta.Rosa</a:t>
          </a:r>
        </a:p>
        <a:p xmlns:a="http://schemas.openxmlformats.org/drawingml/2006/main">
          <a:pPr algn="ctr"/>
          <a:r>
            <a:rPr lang="es-PE" sz="900">
              <a:solidFill>
                <a:srgbClr val="FF0000"/>
              </a:solidFill>
            </a:rPr>
            <a:t>(CONTRATADO)</a:t>
          </a:r>
        </a:p>
      </cdr:txBody>
    </cdr:sp>
  </cdr:relSizeAnchor>
  <cdr:relSizeAnchor xmlns:cdr="http://schemas.openxmlformats.org/drawingml/2006/chartDrawing">
    <cdr:from>
      <cdr:x>0.78645</cdr:x>
      <cdr:y>0.37608</cdr:y>
    </cdr:from>
    <cdr:to>
      <cdr:x>0.90046</cdr:x>
      <cdr:y>0.56464</cdr:y>
    </cdr:to>
    <cdr:sp macro="" textlink="">
      <cdr:nvSpPr>
        <cdr:cNvPr id="7" name="CuadroTexto 1">
          <a:extLst xmlns:a="http://schemas.openxmlformats.org/drawingml/2006/main">
            <a:ext uri="{FF2B5EF4-FFF2-40B4-BE49-F238E27FC236}">
              <a16:creationId xmlns:a16="http://schemas.microsoft.com/office/drawing/2014/main" id="{F4CFFC1C-C1A1-5D5F-2228-A55221011B17}"/>
            </a:ext>
          </a:extLst>
        </cdr:cNvPr>
        <cdr:cNvSpPr txBox="1"/>
      </cdr:nvSpPr>
      <cdr:spPr>
        <a:xfrm xmlns:a="http://schemas.openxmlformats.org/drawingml/2006/main">
          <a:off x="7176132" y="1524293"/>
          <a:ext cx="1040308" cy="76424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PE" sz="900"/>
            <a:t>GALLETERIA</a:t>
          </a:r>
        </a:p>
        <a:p xmlns:a="http://schemas.openxmlformats.org/drawingml/2006/main">
          <a:pPr algn="ctr"/>
          <a:r>
            <a:rPr lang="es-PE" sz="900"/>
            <a:t>(Tercero)</a:t>
          </a:r>
          <a:r>
            <a:rPr lang="es-PE" sz="900" baseline="0"/>
            <a:t> </a:t>
          </a:r>
        </a:p>
        <a:p xmlns:a="http://schemas.openxmlformats.org/drawingml/2006/main">
          <a:pPr algn="ctr"/>
          <a:endParaRPr lang="es-PE" sz="900" baseline="0"/>
        </a:p>
        <a:p xmlns:a="http://schemas.openxmlformats.org/drawingml/2006/main">
          <a:pPr algn="ctr"/>
          <a:r>
            <a:rPr lang="es-PE" sz="900" baseline="0"/>
            <a:t>BOLIVIA</a:t>
          </a:r>
          <a:endParaRPr lang="es-PE" sz="900"/>
        </a:p>
        <a:p xmlns:a="http://schemas.openxmlformats.org/drawingml/2006/main">
          <a:pPr algn="ctr"/>
          <a:r>
            <a:rPr lang="es-PE" sz="900"/>
            <a:t>(TERCERO)</a:t>
          </a:r>
        </a:p>
      </cdr:txBody>
    </cdr:sp>
  </cdr:relSizeAnchor>
  <cdr:relSizeAnchor xmlns:cdr="http://schemas.openxmlformats.org/drawingml/2006/chartDrawing">
    <cdr:from>
      <cdr:x>0.61695</cdr:x>
      <cdr:y>0.63477</cdr:y>
    </cdr:from>
    <cdr:to>
      <cdr:x>0.73096</cdr:x>
      <cdr:y>0.75677</cdr:y>
    </cdr:to>
    <cdr:sp macro="" textlink="">
      <cdr:nvSpPr>
        <cdr:cNvPr id="8" name="CuadroTexto 1">
          <a:extLst xmlns:a="http://schemas.openxmlformats.org/drawingml/2006/main">
            <a:ext uri="{FF2B5EF4-FFF2-40B4-BE49-F238E27FC236}">
              <a16:creationId xmlns:a16="http://schemas.microsoft.com/office/drawing/2014/main" id="{894CD345-B039-0929-571E-81E2FA014700}"/>
            </a:ext>
          </a:extLst>
        </cdr:cNvPr>
        <cdr:cNvSpPr txBox="1"/>
      </cdr:nvSpPr>
      <cdr:spPr>
        <a:xfrm xmlns:a="http://schemas.openxmlformats.org/drawingml/2006/main">
          <a:off x="5629505" y="2572769"/>
          <a:ext cx="1040309" cy="49447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PE" sz="900"/>
            <a:t>DETERGENTES</a:t>
          </a:r>
        </a:p>
        <a:p xmlns:a="http://schemas.openxmlformats.org/drawingml/2006/main">
          <a:pPr algn="ctr"/>
          <a:r>
            <a:rPr lang="es-PE" sz="900"/>
            <a:t>(CONTRATADO)</a:t>
          </a:r>
        </a:p>
      </cdr:txBody>
    </cdr:sp>
  </cdr:relSizeAnchor>
  <cdr:relSizeAnchor xmlns:cdr="http://schemas.openxmlformats.org/drawingml/2006/chartDrawing">
    <cdr:from>
      <cdr:x>0.87542</cdr:x>
      <cdr:y>0.05236</cdr:y>
    </cdr:from>
    <cdr:to>
      <cdr:x>0.98943</cdr:x>
      <cdr:y>0.5125</cdr:y>
    </cdr:to>
    <cdr:sp macro="" textlink="">
      <cdr:nvSpPr>
        <cdr:cNvPr id="10" name="CuadroTexto 1">
          <a:extLst xmlns:a="http://schemas.openxmlformats.org/drawingml/2006/main">
            <a:ext uri="{FF2B5EF4-FFF2-40B4-BE49-F238E27FC236}">
              <a16:creationId xmlns:a16="http://schemas.microsoft.com/office/drawing/2014/main" id="{40AE33B2-0B2B-B1F5-65AF-50916E3AD768}"/>
            </a:ext>
          </a:extLst>
        </cdr:cNvPr>
        <cdr:cNvSpPr txBox="1"/>
      </cdr:nvSpPr>
      <cdr:spPr>
        <a:xfrm xmlns:a="http://schemas.openxmlformats.org/drawingml/2006/main">
          <a:off x="7987946" y="212203"/>
          <a:ext cx="1040308" cy="18649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PE" sz="900"/>
            <a:t>APT</a:t>
          </a:r>
          <a:r>
            <a:rPr lang="es-PE" sz="900" baseline="0"/>
            <a:t> MCA</a:t>
          </a:r>
          <a:endParaRPr lang="es-PE" sz="900"/>
        </a:p>
        <a:p xmlns:a="http://schemas.openxmlformats.org/drawingml/2006/main">
          <a:pPr algn="ctr"/>
          <a:r>
            <a:rPr lang="es-PE" sz="900" baseline="0"/>
            <a:t>(TERCERO)</a:t>
          </a:r>
          <a:endParaRPr lang="es-PE" sz="900"/>
        </a:p>
        <a:p xmlns:a="http://schemas.openxmlformats.org/drawingml/2006/main">
          <a:pPr algn="ctr"/>
          <a:endParaRPr lang="es-PE" sz="900"/>
        </a:p>
        <a:p xmlns:a="http://schemas.openxmlformats.org/drawingml/2006/main">
          <a:pPr algn="ctr"/>
          <a:r>
            <a:rPr lang="es-PE" sz="900"/>
            <a:t>ITDC-DETERG.</a:t>
          </a:r>
        </a:p>
        <a:p xmlns:a="http://schemas.openxmlformats.org/drawingml/2006/main">
          <a:pPr algn="ctr"/>
          <a:r>
            <a:rPr lang="es-PE" sz="900"/>
            <a:t>(PROPIO)</a:t>
          </a:r>
        </a:p>
        <a:p xmlns:a="http://schemas.openxmlformats.org/drawingml/2006/main">
          <a:pPr algn="ctr"/>
          <a:endParaRPr lang="es-PE" sz="900"/>
        </a:p>
        <a:p xmlns:a="http://schemas.openxmlformats.org/drawingml/2006/main">
          <a:pPr algn="ctr"/>
          <a:r>
            <a:rPr lang="es-PE" sz="900"/>
            <a:t>BOLIVIA</a:t>
          </a:r>
        </a:p>
        <a:p xmlns:a="http://schemas.openxmlformats.org/drawingml/2006/main">
          <a:pPr algn="ctr"/>
          <a:r>
            <a:rPr lang="es-PE" sz="900"/>
            <a:t>(TERCERO)</a:t>
          </a:r>
        </a:p>
        <a:p xmlns:a="http://schemas.openxmlformats.org/drawingml/2006/main">
          <a:pPr algn="ctr"/>
          <a:endParaRPr lang="es-PE" sz="900"/>
        </a:p>
        <a:p xmlns:a="http://schemas.openxmlformats.org/drawingml/2006/main">
          <a:pPr algn="ctr"/>
          <a:r>
            <a:rPr lang="es-PE" sz="900"/>
            <a:t>VENTANILLA</a:t>
          </a:r>
        </a:p>
        <a:p xmlns:a="http://schemas.openxmlformats.org/drawingml/2006/main">
          <a:pPr algn="ctr"/>
          <a:r>
            <a:rPr lang="es-PE" sz="900"/>
            <a:t>(TERCERO)</a:t>
          </a:r>
        </a:p>
      </cdr:txBody>
    </cdr:sp>
  </cdr:relSizeAnchor>
  <cdr:relSizeAnchor xmlns:cdr="http://schemas.openxmlformats.org/drawingml/2006/chartDrawing">
    <cdr:from>
      <cdr:x>0.40409</cdr:x>
      <cdr:y>0.6765</cdr:y>
    </cdr:from>
    <cdr:to>
      <cdr:x>0.5181</cdr:x>
      <cdr:y>0.7985</cdr:y>
    </cdr:to>
    <cdr:sp macro="" textlink="">
      <cdr:nvSpPr>
        <cdr:cNvPr id="11" name="CuadroTexto 1">
          <a:extLst xmlns:a="http://schemas.openxmlformats.org/drawingml/2006/main">
            <a:ext uri="{FF2B5EF4-FFF2-40B4-BE49-F238E27FC236}">
              <a16:creationId xmlns:a16="http://schemas.microsoft.com/office/drawing/2014/main" id="{DBB0A22F-5549-402C-C91C-9BA68DDF2215}"/>
            </a:ext>
          </a:extLst>
        </cdr:cNvPr>
        <cdr:cNvSpPr txBox="1"/>
      </cdr:nvSpPr>
      <cdr:spPr>
        <a:xfrm xmlns:a="http://schemas.openxmlformats.org/drawingml/2006/main">
          <a:off x="3687180" y="2741914"/>
          <a:ext cx="1040309" cy="49447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s-PE" sz="900"/>
            <a:t>VITAPRO</a:t>
          </a:r>
        </a:p>
      </cdr:txBody>
    </cdr:sp>
  </cdr:relSizeAnchor>
</c:userShapes>
</file>

<file path=xl/drawings/drawing9.xml><?xml version="1.0" encoding="utf-8"?>
<xdr:wsDr xmlns:xdr="http://schemas.openxmlformats.org/drawingml/2006/spreadsheetDrawing" xmlns:a="http://schemas.openxmlformats.org/drawingml/2006/main">
  <xdr:twoCellAnchor>
    <xdr:from>
      <xdr:col>13</xdr:col>
      <xdr:colOff>401934</xdr:colOff>
      <xdr:row>71</xdr:row>
      <xdr:rowOff>19651</xdr:rowOff>
    </xdr:from>
    <xdr:to>
      <xdr:col>44</xdr:col>
      <xdr:colOff>75566</xdr:colOff>
      <xdr:row>103</xdr:row>
      <xdr:rowOff>130060</xdr:rowOff>
    </xdr:to>
    <xdr:graphicFrame macro="">
      <xdr:nvGraphicFramePr>
        <xdr:cNvPr id="7" name="6 Gráfico">
          <a:extLst>
            <a:ext uri="{FF2B5EF4-FFF2-40B4-BE49-F238E27FC236}">
              <a16:creationId xmlns:a16="http://schemas.microsoft.com/office/drawing/2014/main" id="{00000000-0008-0000-1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466046</xdr:colOff>
      <xdr:row>107</xdr:row>
      <xdr:rowOff>8759</xdr:rowOff>
    </xdr:from>
    <xdr:to>
      <xdr:col>40</xdr:col>
      <xdr:colOff>0</xdr:colOff>
      <xdr:row>137</xdr:row>
      <xdr:rowOff>91807</xdr:rowOff>
    </xdr:to>
    <xdr:graphicFrame macro="">
      <xdr:nvGraphicFramePr>
        <xdr:cNvPr id="8" name="7 Gráfico">
          <a:extLst>
            <a:ext uri="{FF2B5EF4-FFF2-40B4-BE49-F238E27FC236}">
              <a16:creationId xmlns:a16="http://schemas.microsoft.com/office/drawing/2014/main" id="{00000000-0008-0000-1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72</xdr:col>
      <xdr:colOff>547688</xdr:colOff>
      <xdr:row>50</xdr:row>
      <xdr:rowOff>47624</xdr:rowOff>
    </xdr:from>
    <xdr:to>
      <xdr:col>80</xdr:col>
      <xdr:colOff>182561</xdr:colOff>
      <xdr:row>72</xdr:row>
      <xdr:rowOff>142875</xdr:rowOff>
    </xdr:to>
    <xdr:graphicFrame macro="">
      <xdr:nvGraphicFramePr>
        <xdr:cNvPr id="5" name="4 Gráfico">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0</xdr:colOff>
      <xdr:row>62</xdr:row>
      <xdr:rowOff>60072</xdr:rowOff>
    </xdr:from>
    <xdr:to>
      <xdr:col>53</xdr:col>
      <xdr:colOff>715463</xdr:colOff>
      <xdr:row>89</xdr:row>
      <xdr:rowOff>34329</xdr:rowOff>
    </xdr:to>
    <xdr:graphicFrame macro="">
      <xdr:nvGraphicFramePr>
        <xdr:cNvPr id="6" name="12 Gráfico">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28575</xdr:colOff>
      <xdr:row>0</xdr:row>
      <xdr:rowOff>95250</xdr:rowOff>
    </xdr:from>
    <xdr:to>
      <xdr:col>13</xdr:col>
      <xdr:colOff>1104899</xdr:colOff>
      <xdr:row>14</xdr:row>
      <xdr:rowOff>38099</xdr:rowOff>
    </xdr:to>
    <xdr:graphicFrame macro="">
      <xdr:nvGraphicFramePr>
        <xdr:cNvPr id="2" name="1 Gráfico">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303530</xdr:colOff>
      <xdr:row>15</xdr:row>
      <xdr:rowOff>41910</xdr:rowOff>
    </xdr:from>
    <xdr:to>
      <xdr:col>14</xdr:col>
      <xdr:colOff>31114</xdr:colOff>
      <xdr:row>28</xdr:row>
      <xdr:rowOff>146684</xdr:rowOff>
    </xdr:to>
    <xdr:graphicFrame macro="">
      <xdr:nvGraphicFramePr>
        <xdr:cNvPr id="3" name="2 Gráfico">
          <a:extLst>
            <a:ext uri="{FF2B5EF4-FFF2-40B4-BE49-F238E27FC236}">
              <a16:creationId xmlns:a16="http://schemas.microsoft.com/office/drawing/2014/main" id="{00000000-0008-0000-1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770890</xdr:colOff>
      <xdr:row>28</xdr:row>
      <xdr:rowOff>156210</xdr:rowOff>
    </xdr:from>
    <xdr:to>
      <xdr:col>14</xdr:col>
      <xdr:colOff>498474</xdr:colOff>
      <xdr:row>42</xdr:row>
      <xdr:rowOff>99059</xdr:rowOff>
    </xdr:to>
    <xdr:graphicFrame macro="">
      <xdr:nvGraphicFramePr>
        <xdr:cNvPr id="5" name="4 Gráfico">
          <a:extLst>
            <a:ext uri="{FF2B5EF4-FFF2-40B4-BE49-F238E27FC236}">
              <a16:creationId xmlns:a16="http://schemas.microsoft.com/office/drawing/2014/main" id="{00000000-0008-0000-1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85726</xdr:colOff>
      <xdr:row>0</xdr:row>
      <xdr:rowOff>36196</xdr:rowOff>
    </xdr:from>
    <xdr:to>
      <xdr:col>18</xdr:col>
      <xdr:colOff>1905</xdr:colOff>
      <xdr:row>13</xdr:row>
      <xdr:rowOff>146685</xdr:rowOff>
    </xdr:to>
    <xdr:graphicFrame macro="">
      <xdr:nvGraphicFramePr>
        <xdr:cNvPr id="2" name="1 Gráfico">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219075</xdr:colOff>
      <xdr:row>0</xdr:row>
      <xdr:rowOff>85725</xdr:rowOff>
    </xdr:from>
    <xdr:to>
      <xdr:col>23</xdr:col>
      <xdr:colOff>371474</xdr:colOff>
      <xdr:row>14</xdr:row>
      <xdr:rowOff>28574</xdr:rowOff>
    </xdr:to>
    <xdr:graphicFrame macro="">
      <xdr:nvGraphicFramePr>
        <xdr:cNvPr id="3" name="2 Gráfico">
          <a:extLst>
            <a:ext uri="{FF2B5EF4-FFF2-40B4-BE49-F238E27FC236}">
              <a16:creationId xmlns:a16="http://schemas.microsoft.com/office/drawing/2014/main" id="{00000000-0008-0000-1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0</xdr:colOff>
      <xdr:row>0</xdr:row>
      <xdr:rowOff>0</xdr:rowOff>
    </xdr:from>
    <xdr:to>
      <xdr:col>29</xdr:col>
      <xdr:colOff>152399</xdr:colOff>
      <xdr:row>13</xdr:row>
      <xdr:rowOff>104774</xdr:rowOff>
    </xdr:to>
    <xdr:graphicFrame macro="">
      <xdr:nvGraphicFramePr>
        <xdr:cNvPr id="4" name="3 Gráfico">
          <a:extLst>
            <a:ext uri="{FF2B5EF4-FFF2-40B4-BE49-F238E27FC236}">
              <a16:creationId xmlns:a16="http://schemas.microsoft.com/office/drawing/2014/main" id="{00000000-0008-0000-1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434975</xdr:colOff>
      <xdr:row>0</xdr:row>
      <xdr:rowOff>57150</xdr:rowOff>
    </xdr:from>
    <xdr:to>
      <xdr:col>34</xdr:col>
      <xdr:colOff>587374</xdr:colOff>
      <xdr:row>14</xdr:row>
      <xdr:rowOff>3174</xdr:rowOff>
    </xdr:to>
    <xdr:graphicFrame macro="">
      <xdr:nvGraphicFramePr>
        <xdr:cNvPr id="5" name="4 Gráfico">
          <a:extLst>
            <a:ext uri="{FF2B5EF4-FFF2-40B4-BE49-F238E27FC236}">
              <a16:creationId xmlns:a16="http://schemas.microsoft.com/office/drawing/2014/main" id="{00000000-0008-0000-1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0</xdr:colOff>
      <xdr:row>0</xdr:row>
      <xdr:rowOff>0</xdr:rowOff>
    </xdr:from>
    <xdr:to>
      <xdr:col>40</xdr:col>
      <xdr:colOff>152399</xdr:colOff>
      <xdr:row>13</xdr:row>
      <xdr:rowOff>104774</xdr:rowOff>
    </xdr:to>
    <xdr:graphicFrame macro="">
      <xdr:nvGraphicFramePr>
        <xdr:cNvPr id="6" name="5 Gráfico">
          <a:extLst>
            <a:ext uri="{FF2B5EF4-FFF2-40B4-BE49-F238E27FC236}">
              <a16:creationId xmlns:a16="http://schemas.microsoft.com/office/drawing/2014/main" id="{00000000-0008-0000-1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552450</xdr:colOff>
      <xdr:row>1</xdr:row>
      <xdr:rowOff>38100</xdr:rowOff>
    </xdr:from>
    <xdr:to>
      <xdr:col>45</xdr:col>
      <xdr:colOff>704849</xdr:colOff>
      <xdr:row>14</xdr:row>
      <xdr:rowOff>149224</xdr:rowOff>
    </xdr:to>
    <xdr:graphicFrame macro="">
      <xdr:nvGraphicFramePr>
        <xdr:cNvPr id="7" name="6 Gráfico">
          <a:extLst>
            <a:ext uri="{FF2B5EF4-FFF2-40B4-BE49-F238E27FC236}">
              <a16:creationId xmlns:a16="http://schemas.microsoft.com/office/drawing/2014/main" id="{00000000-0008-0000-1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47</xdr:col>
      <xdr:colOff>0</xdr:colOff>
      <xdr:row>0</xdr:row>
      <xdr:rowOff>0</xdr:rowOff>
    </xdr:from>
    <xdr:to>
      <xdr:col>52</xdr:col>
      <xdr:colOff>152399</xdr:colOff>
      <xdr:row>13</xdr:row>
      <xdr:rowOff>104774</xdr:rowOff>
    </xdr:to>
    <xdr:graphicFrame macro="">
      <xdr:nvGraphicFramePr>
        <xdr:cNvPr id="8" name="7 Gráfico">
          <a:extLst>
            <a:ext uri="{FF2B5EF4-FFF2-40B4-BE49-F238E27FC236}">
              <a16:creationId xmlns:a16="http://schemas.microsoft.com/office/drawing/2014/main" id="{00000000-0008-0000-1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0</xdr:colOff>
      <xdr:row>18</xdr:row>
      <xdr:rowOff>0</xdr:rowOff>
    </xdr:from>
    <xdr:to>
      <xdr:col>18</xdr:col>
      <xdr:colOff>123824</xdr:colOff>
      <xdr:row>31</xdr:row>
      <xdr:rowOff>104774</xdr:rowOff>
    </xdr:to>
    <xdr:graphicFrame macro="">
      <xdr:nvGraphicFramePr>
        <xdr:cNvPr id="9" name="8 Gráfico">
          <a:extLst>
            <a:ext uri="{FF2B5EF4-FFF2-40B4-BE49-F238E27FC236}">
              <a16:creationId xmlns:a16="http://schemas.microsoft.com/office/drawing/2014/main" id="{00000000-0008-0000-1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228600</xdr:colOff>
      <xdr:row>17</xdr:row>
      <xdr:rowOff>81915</xdr:rowOff>
    </xdr:from>
    <xdr:to>
      <xdr:col>23</xdr:col>
      <xdr:colOff>352424</xdr:colOff>
      <xdr:row>31</xdr:row>
      <xdr:rowOff>24764</xdr:rowOff>
    </xdr:to>
    <xdr:graphicFrame macro="">
      <xdr:nvGraphicFramePr>
        <xdr:cNvPr id="10" name="9 Gráfico">
          <a:extLst>
            <a:ext uri="{FF2B5EF4-FFF2-40B4-BE49-F238E27FC236}">
              <a16:creationId xmlns:a16="http://schemas.microsoft.com/office/drawing/2014/main" id="{00000000-0008-0000-1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200025</xdr:colOff>
      <xdr:row>32</xdr:row>
      <xdr:rowOff>38100</xdr:rowOff>
    </xdr:from>
    <xdr:to>
      <xdr:col>23</xdr:col>
      <xdr:colOff>323849</xdr:colOff>
      <xdr:row>45</xdr:row>
      <xdr:rowOff>142874</xdr:rowOff>
    </xdr:to>
    <xdr:graphicFrame macro="">
      <xdr:nvGraphicFramePr>
        <xdr:cNvPr id="11" name="10 Gráfico">
          <a:extLst>
            <a:ext uri="{FF2B5EF4-FFF2-40B4-BE49-F238E27FC236}">
              <a16:creationId xmlns:a16="http://schemas.microsoft.com/office/drawing/2014/main" id="{00000000-0008-0000-1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638175</xdr:colOff>
      <xdr:row>17</xdr:row>
      <xdr:rowOff>149225</xdr:rowOff>
    </xdr:from>
    <xdr:to>
      <xdr:col>28</xdr:col>
      <xdr:colOff>761999</xdr:colOff>
      <xdr:row>31</xdr:row>
      <xdr:rowOff>92074</xdr:rowOff>
    </xdr:to>
    <xdr:graphicFrame macro="">
      <xdr:nvGraphicFramePr>
        <xdr:cNvPr id="12" name="11 Gráfico">
          <a:extLst>
            <a:ext uri="{FF2B5EF4-FFF2-40B4-BE49-F238E27FC236}">
              <a16:creationId xmlns:a16="http://schemas.microsoft.com/office/drawing/2014/main" id="{00000000-0008-0000-1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28575</xdr:colOff>
      <xdr:row>18</xdr:row>
      <xdr:rowOff>9525</xdr:rowOff>
    </xdr:from>
    <xdr:to>
      <xdr:col>34</xdr:col>
      <xdr:colOff>152399</xdr:colOff>
      <xdr:row>31</xdr:row>
      <xdr:rowOff>114299</xdr:rowOff>
    </xdr:to>
    <xdr:graphicFrame macro="">
      <xdr:nvGraphicFramePr>
        <xdr:cNvPr id="14" name="13 Gráfico">
          <a:extLst>
            <a:ext uri="{FF2B5EF4-FFF2-40B4-BE49-F238E27FC236}">
              <a16:creationId xmlns:a16="http://schemas.microsoft.com/office/drawing/2014/main" id="{00000000-0008-0000-1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35</xdr:col>
      <xdr:colOff>12700</xdr:colOff>
      <xdr:row>17</xdr:row>
      <xdr:rowOff>111125</xdr:rowOff>
    </xdr:from>
    <xdr:to>
      <xdr:col>40</xdr:col>
      <xdr:colOff>136524</xdr:colOff>
      <xdr:row>31</xdr:row>
      <xdr:rowOff>53974</xdr:rowOff>
    </xdr:to>
    <xdr:graphicFrame macro="">
      <xdr:nvGraphicFramePr>
        <xdr:cNvPr id="16" name="15 Gráfico">
          <a:extLst>
            <a:ext uri="{FF2B5EF4-FFF2-40B4-BE49-F238E27FC236}">
              <a16:creationId xmlns:a16="http://schemas.microsoft.com/office/drawing/2014/main" id="{00000000-0008-0000-15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34</xdr:col>
      <xdr:colOff>314325</xdr:colOff>
      <xdr:row>32</xdr:row>
      <xdr:rowOff>76200</xdr:rowOff>
    </xdr:from>
    <xdr:to>
      <xdr:col>39</xdr:col>
      <xdr:colOff>438149</xdr:colOff>
      <xdr:row>46</xdr:row>
      <xdr:rowOff>19049</xdr:rowOff>
    </xdr:to>
    <xdr:graphicFrame macro="">
      <xdr:nvGraphicFramePr>
        <xdr:cNvPr id="17" name="16 Gráfico">
          <a:extLst>
            <a:ext uri="{FF2B5EF4-FFF2-40B4-BE49-F238E27FC236}">
              <a16:creationId xmlns:a16="http://schemas.microsoft.com/office/drawing/2014/main" id="{00000000-0008-0000-1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40</xdr:col>
      <xdr:colOff>382905</xdr:colOff>
      <xdr:row>17</xdr:row>
      <xdr:rowOff>78105</xdr:rowOff>
    </xdr:from>
    <xdr:to>
      <xdr:col>45</xdr:col>
      <xdr:colOff>506729</xdr:colOff>
      <xdr:row>31</xdr:row>
      <xdr:rowOff>15239</xdr:rowOff>
    </xdr:to>
    <xdr:graphicFrame macro="">
      <xdr:nvGraphicFramePr>
        <xdr:cNvPr id="18" name="17 Gráfico">
          <a:extLst>
            <a:ext uri="{FF2B5EF4-FFF2-40B4-BE49-F238E27FC236}">
              <a16:creationId xmlns:a16="http://schemas.microsoft.com/office/drawing/2014/main" id="{00000000-0008-0000-15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190500</xdr:colOff>
      <xdr:row>31</xdr:row>
      <xdr:rowOff>133350</xdr:rowOff>
    </xdr:from>
    <xdr:to>
      <xdr:col>18</xdr:col>
      <xdr:colOff>114299</xdr:colOff>
      <xdr:row>45</xdr:row>
      <xdr:rowOff>76199</xdr:rowOff>
    </xdr:to>
    <xdr:graphicFrame macro="">
      <xdr:nvGraphicFramePr>
        <xdr:cNvPr id="19" name="18 Gráfico">
          <a:extLst>
            <a:ext uri="{FF2B5EF4-FFF2-40B4-BE49-F238E27FC236}">
              <a16:creationId xmlns:a16="http://schemas.microsoft.com/office/drawing/2014/main" id="{00000000-0008-0000-15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19050</xdr:colOff>
      <xdr:row>48</xdr:row>
      <xdr:rowOff>38100</xdr:rowOff>
    </xdr:from>
    <xdr:to>
      <xdr:col>19</xdr:col>
      <xdr:colOff>142874</xdr:colOff>
      <xdr:row>61</xdr:row>
      <xdr:rowOff>142874</xdr:rowOff>
    </xdr:to>
    <xdr:graphicFrame macro="">
      <xdr:nvGraphicFramePr>
        <xdr:cNvPr id="20" name="19 Gráfico">
          <a:extLst>
            <a:ext uri="{FF2B5EF4-FFF2-40B4-BE49-F238E27FC236}">
              <a16:creationId xmlns:a16="http://schemas.microsoft.com/office/drawing/2014/main" id="{00000000-0008-0000-15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104140</xdr:colOff>
      <xdr:row>43</xdr:row>
      <xdr:rowOff>142240</xdr:rowOff>
    </xdr:from>
    <xdr:to>
      <xdr:col>10</xdr:col>
      <xdr:colOff>327660</xdr:colOff>
      <xdr:row>63</xdr:row>
      <xdr:rowOff>39370</xdr:rowOff>
    </xdr:to>
    <xdr:graphicFrame macro="">
      <xdr:nvGraphicFramePr>
        <xdr:cNvPr id="26" name="25 Gráfico">
          <a:extLst>
            <a:ext uri="{FF2B5EF4-FFF2-40B4-BE49-F238E27FC236}">
              <a16:creationId xmlns:a16="http://schemas.microsoft.com/office/drawing/2014/main" id="{00000000-0008-0000-15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0</xdr:colOff>
      <xdr:row>65</xdr:row>
      <xdr:rowOff>0</xdr:rowOff>
    </xdr:from>
    <xdr:to>
      <xdr:col>12</xdr:col>
      <xdr:colOff>160020</xdr:colOff>
      <xdr:row>84</xdr:row>
      <xdr:rowOff>68580</xdr:rowOff>
    </xdr:to>
    <xdr:graphicFrame macro="">
      <xdr:nvGraphicFramePr>
        <xdr:cNvPr id="21" name="25 Gráfico">
          <a:extLst>
            <a:ext uri="{FF2B5EF4-FFF2-40B4-BE49-F238E27FC236}">
              <a16:creationId xmlns:a16="http://schemas.microsoft.com/office/drawing/2014/main" id="{8C7C227F-FC47-4A86-A846-87B2E25E1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25</xdr:col>
      <xdr:colOff>4761</xdr:colOff>
      <xdr:row>3</xdr:row>
      <xdr:rowOff>28575</xdr:rowOff>
    </xdr:from>
    <xdr:to>
      <xdr:col>33</xdr:col>
      <xdr:colOff>428624</xdr:colOff>
      <xdr:row>44</xdr:row>
      <xdr:rowOff>57150</xdr:rowOff>
    </xdr:to>
    <xdr:graphicFrame macro="">
      <xdr:nvGraphicFramePr>
        <xdr:cNvPr id="4" name="3 Gráfico">
          <a:extLst>
            <a:ext uri="{FF2B5EF4-FFF2-40B4-BE49-F238E27FC236}">
              <a16:creationId xmlns:a16="http://schemas.microsoft.com/office/drawing/2014/main" id="{00000000-0008-0000-1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55</xdr:col>
      <xdr:colOff>590550</xdr:colOff>
      <xdr:row>9</xdr:row>
      <xdr:rowOff>123825</xdr:rowOff>
    </xdr:from>
    <xdr:to>
      <xdr:col>61</xdr:col>
      <xdr:colOff>133350</xdr:colOff>
      <xdr:row>22</xdr:row>
      <xdr:rowOff>104775</xdr:rowOff>
    </xdr:to>
    <xdr:graphicFrame macro="">
      <xdr:nvGraphicFramePr>
        <xdr:cNvPr id="2" name="Chart 17">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55</xdr:col>
      <xdr:colOff>628650</xdr:colOff>
      <xdr:row>23</xdr:row>
      <xdr:rowOff>123825</xdr:rowOff>
    </xdr:from>
    <xdr:to>
      <xdr:col>61</xdr:col>
      <xdr:colOff>142875</xdr:colOff>
      <xdr:row>36</xdr:row>
      <xdr:rowOff>85725</xdr:rowOff>
    </xdr:to>
    <xdr:graphicFrame macro="">
      <xdr:nvGraphicFramePr>
        <xdr:cNvPr id="3" name="Chart 18">
          <a:extLst>
            <a:ext uri="{FF2B5EF4-FFF2-40B4-BE49-F238E27FC236}">
              <a16:creationId xmlns:a16="http://schemas.microsoft.com/office/drawing/2014/main" id="{00000000-0008-0000-1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67</xdr:col>
      <xdr:colOff>609600</xdr:colOff>
      <xdr:row>10</xdr:row>
      <xdr:rowOff>0</xdr:rowOff>
    </xdr:from>
    <xdr:to>
      <xdr:col>72</xdr:col>
      <xdr:colOff>628650</xdr:colOff>
      <xdr:row>22</xdr:row>
      <xdr:rowOff>104775</xdr:rowOff>
    </xdr:to>
    <xdr:graphicFrame macro="">
      <xdr:nvGraphicFramePr>
        <xdr:cNvPr id="4" name="Chart 21">
          <a:extLst>
            <a:ext uri="{FF2B5EF4-FFF2-40B4-BE49-F238E27FC236}">
              <a16:creationId xmlns:a16="http://schemas.microsoft.com/office/drawing/2014/main" id="{00000000-0008-0000-1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67</xdr:col>
      <xdr:colOff>419100</xdr:colOff>
      <xdr:row>24</xdr:row>
      <xdr:rowOff>0</xdr:rowOff>
    </xdr:from>
    <xdr:to>
      <xdr:col>72</xdr:col>
      <xdr:colOff>609600</xdr:colOff>
      <xdr:row>36</xdr:row>
      <xdr:rowOff>114300</xdr:rowOff>
    </xdr:to>
    <xdr:graphicFrame macro="">
      <xdr:nvGraphicFramePr>
        <xdr:cNvPr id="5" name="Chart 22">
          <a:extLst>
            <a:ext uri="{FF2B5EF4-FFF2-40B4-BE49-F238E27FC236}">
              <a16:creationId xmlns:a16="http://schemas.microsoft.com/office/drawing/2014/main" id="{00000000-0008-0000-1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79</xdr:col>
      <xdr:colOff>590550</xdr:colOff>
      <xdr:row>9</xdr:row>
      <xdr:rowOff>123825</xdr:rowOff>
    </xdr:from>
    <xdr:to>
      <xdr:col>85</xdr:col>
      <xdr:colOff>133350</xdr:colOff>
      <xdr:row>22</xdr:row>
      <xdr:rowOff>104775</xdr:rowOff>
    </xdr:to>
    <xdr:graphicFrame macro="">
      <xdr:nvGraphicFramePr>
        <xdr:cNvPr id="6" name="Chart 25">
          <a:extLst>
            <a:ext uri="{FF2B5EF4-FFF2-40B4-BE49-F238E27FC236}">
              <a16:creationId xmlns:a16="http://schemas.microsoft.com/office/drawing/2014/main" id="{00000000-0008-0000-1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79</xdr:col>
      <xdr:colOff>628650</xdr:colOff>
      <xdr:row>23</xdr:row>
      <xdr:rowOff>123825</xdr:rowOff>
    </xdr:from>
    <xdr:to>
      <xdr:col>85</xdr:col>
      <xdr:colOff>142875</xdr:colOff>
      <xdr:row>36</xdr:row>
      <xdr:rowOff>85725</xdr:rowOff>
    </xdr:to>
    <xdr:graphicFrame macro="">
      <xdr:nvGraphicFramePr>
        <xdr:cNvPr id="7" name="Chart 26">
          <a:extLst>
            <a:ext uri="{FF2B5EF4-FFF2-40B4-BE49-F238E27FC236}">
              <a16:creationId xmlns:a16="http://schemas.microsoft.com/office/drawing/2014/main" id="{00000000-0008-0000-1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61</xdr:col>
      <xdr:colOff>561975</xdr:colOff>
      <xdr:row>10</xdr:row>
      <xdr:rowOff>9525</xdr:rowOff>
    </xdr:from>
    <xdr:to>
      <xdr:col>67</xdr:col>
      <xdr:colOff>161925</xdr:colOff>
      <xdr:row>24</xdr:row>
      <xdr:rowOff>9525</xdr:rowOff>
    </xdr:to>
    <xdr:graphicFrame macro="">
      <xdr:nvGraphicFramePr>
        <xdr:cNvPr id="8" name="Chart 27">
          <a:extLst>
            <a:ext uri="{FF2B5EF4-FFF2-40B4-BE49-F238E27FC236}">
              <a16:creationId xmlns:a16="http://schemas.microsoft.com/office/drawing/2014/main" id="{00000000-0008-0000-1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61</xdr:col>
      <xdr:colOff>504825</xdr:colOff>
      <xdr:row>24</xdr:row>
      <xdr:rowOff>0</xdr:rowOff>
    </xdr:from>
    <xdr:to>
      <xdr:col>67</xdr:col>
      <xdr:colOff>228600</xdr:colOff>
      <xdr:row>38</xdr:row>
      <xdr:rowOff>104775</xdr:rowOff>
    </xdr:to>
    <xdr:graphicFrame macro="">
      <xdr:nvGraphicFramePr>
        <xdr:cNvPr id="9" name="Chart 28">
          <a:extLst>
            <a:ext uri="{FF2B5EF4-FFF2-40B4-BE49-F238E27FC236}">
              <a16:creationId xmlns:a16="http://schemas.microsoft.com/office/drawing/2014/main" id="{00000000-0008-0000-1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74</xdr:col>
      <xdr:colOff>0</xdr:colOff>
      <xdr:row>10</xdr:row>
      <xdr:rowOff>0</xdr:rowOff>
    </xdr:from>
    <xdr:to>
      <xdr:col>78</xdr:col>
      <xdr:colOff>200025</xdr:colOff>
      <xdr:row>21</xdr:row>
      <xdr:rowOff>19050</xdr:rowOff>
    </xdr:to>
    <xdr:graphicFrame macro="">
      <xdr:nvGraphicFramePr>
        <xdr:cNvPr id="10" name="Chart 29">
          <a:extLst>
            <a:ext uri="{FF2B5EF4-FFF2-40B4-BE49-F238E27FC236}">
              <a16:creationId xmlns:a16="http://schemas.microsoft.com/office/drawing/2014/main" id="{00000000-0008-0000-17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74</xdr:col>
      <xdr:colOff>0</xdr:colOff>
      <xdr:row>24</xdr:row>
      <xdr:rowOff>0</xdr:rowOff>
    </xdr:from>
    <xdr:to>
      <xdr:col>78</xdr:col>
      <xdr:colOff>342900</xdr:colOff>
      <xdr:row>35</xdr:row>
      <xdr:rowOff>28575</xdr:rowOff>
    </xdr:to>
    <xdr:graphicFrame macro="">
      <xdr:nvGraphicFramePr>
        <xdr:cNvPr id="11" name="Chart 30">
          <a:extLst>
            <a:ext uri="{FF2B5EF4-FFF2-40B4-BE49-F238E27FC236}">
              <a16:creationId xmlns:a16="http://schemas.microsoft.com/office/drawing/2014/main" id="{00000000-0008-0000-17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86</xdr:col>
      <xdr:colOff>0</xdr:colOff>
      <xdr:row>10</xdr:row>
      <xdr:rowOff>0</xdr:rowOff>
    </xdr:from>
    <xdr:to>
      <xdr:col>91</xdr:col>
      <xdr:colOff>19050</xdr:colOff>
      <xdr:row>21</xdr:row>
      <xdr:rowOff>47625</xdr:rowOff>
    </xdr:to>
    <xdr:graphicFrame macro="">
      <xdr:nvGraphicFramePr>
        <xdr:cNvPr id="12" name="Chart 31">
          <a:extLst>
            <a:ext uri="{FF2B5EF4-FFF2-40B4-BE49-F238E27FC236}">
              <a16:creationId xmlns:a16="http://schemas.microsoft.com/office/drawing/2014/main" id="{00000000-0008-0000-17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85</xdr:col>
      <xdr:colOff>342900</xdr:colOff>
      <xdr:row>24</xdr:row>
      <xdr:rowOff>9525</xdr:rowOff>
    </xdr:from>
    <xdr:to>
      <xdr:col>90</xdr:col>
      <xdr:colOff>342900</xdr:colOff>
      <xdr:row>35</xdr:row>
      <xdr:rowOff>47625</xdr:rowOff>
    </xdr:to>
    <xdr:graphicFrame macro="">
      <xdr:nvGraphicFramePr>
        <xdr:cNvPr id="13" name="Chart 32">
          <a:extLst>
            <a:ext uri="{FF2B5EF4-FFF2-40B4-BE49-F238E27FC236}">
              <a16:creationId xmlns:a16="http://schemas.microsoft.com/office/drawing/2014/main" id="{00000000-0008-0000-17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259080</xdr:colOff>
      <xdr:row>23</xdr:row>
      <xdr:rowOff>70485</xdr:rowOff>
    </xdr:from>
    <xdr:to>
      <xdr:col>17</xdr:col>
      <xdr:colOff>154305</xdr:colOff>
      <xdr:row>36</xdr:row>
      <xdr:rowOff>184784</xdr:rowOff>
    </xdr:to>
    <xdr:graphicFrame macro="">
      <xdr:nvGraphicFramePr>
        <xdr:cNvPr id="16" name="15 Gráfico">
          <a:extLst>
            <a:ext uri="{FF2B5EF4-FFF2-40B4-BE49-F238E27FC236}">
              <a16:creationId xmlns:a16="http://schemas.microsoft.com/office/drawing/2014/main" id="{00000000-0008-0000-17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504825</xdr:colOff>
      <xdr:row>45</xdr:row>
      <xdr:rowOff>142875</xdr:rowOff>
    </xdr:from>
    <xdr:to>
      <xdr:col>17</xdr:col>
      <xdr:colOff>504825</xdr:colOff>
      <xdr:row>62</xdr:row>
      <xdr:rowOff>114300</xdr:rowOff>
    </xdr:to>
    <xdr:graphicFrame macro="">
      <xdr:nvGraphicFramePr>
        <xdr:cNvPr id="15" name="14 Gráfico">
          <a:extLst>
            <a:ext uri="{FF2B5EF4-FFF2-40B4-BE49-F238E27FC236}">
              <a16:creationId xmlns:a16="http://schemas.microsoft.com/office/drawing/2014/main" id="{00000000-0008-0000-1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123825</xdr:colOff>
      <xdr:row>63</xdr:row>
      <xdr:rowOff>47625</xdr:rowOff>
    </xdr:from>
    <xdr:to>
      <xdr:col>18</xdr:col>
      <xdr:colOff>123825</xdr:colOff>
      <xdr:row>80</xdr:row>
      <xdr:rowOff>28575</xdr:rowOff>
    </xdr:to>
    <xdr:graphicFrame macro="">
      <xdr:nvGraphicFramePr>
        <xdr:cNvPr id="17" name="16 Gráfico">
          <a:extLst>
            <a:ext uri="{FF2B5EF4-FFF2-40B4-BE49-F238E27FC236}">
              <a16:creationId xmlns:a16="http://schemas.microsoft.com/office/drawing/2014/main" id="{00000000-0008-0000-17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7</xdr:col>
      <xdr:colOff>204519</xdr:colOff>
      <xdr:row>17</xdr:row>
      <xdr:rowOff>91539</xdr:rowOff>
    </xdr:from>
    <xdr:to>
      <xdr:col>13</xdr:col>
      <xdr:colOff>618857</xdr:colOff>
      <xdr:row>34</xdr:row>
      <xdr:rowOff>63417</xdr:rowOff>
    </xdr:to>
    <xdr:graphicFrame macro="">
      <xdr:nvGraphicFramePr>
        <xdr:cNvPr id="3" name="2 Gráfico">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167409</xdr:colOff>
      <xdr:row>17</xdr:row>
      <xdr:rowOff>86591</xdr:rowOff>
    </xdr:from>
    <xdr:to>
      <xdr:col>6</xdr:col>
      <xdr:colOff>434109</xdr:colOff>
      <xdr:row>35</xdr:row>
      <xdr:rowOff>11834</xdr:rowOff>
    </xdr:to>
    <xdr:graphicFrame macro="">
      <xdr:nvGraphicFramePr>
        <xdr:cNvPr id="5" name="4 Gráfico">
          <a:extLst>
            <a:ext uri="{FF2B5EF4-FFF2-40B4-BE49-F238E27FC236}">
              <a16:creationId xmlns:a16="http://schemas.microsoft.com/office/drawing/2014/main" id="{00000000-0008-0000-1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18</xdr:row>
      <xdr:rowOff>0</xdr:rowOff>
    </xdr:from>
    <xdr:to>
      <xdr:col>21</xdr:col>
      <xdr:colOff>576263</xdr:colOff>
      <xdr:row>35</xdr:row>
      <xdr:rowOff>44450</xdr:rowOff>
    </xdr:to>
    <xdr:graphicFrame macro="">
      <xdr:nvGraphicFramePr>
        <xdr:cNvPr id="7" name="6 Gráfico">
          <a:extLst>
            <a:ext uri="{FF2B5EF4-FFF2-40B4-BE49-F238E27FC236}">
              <a16:creationId xmlns:a16="http://schemas.microsoft.com/office/drawing/2014/main" id="{00000000-0008-0000-1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381000</xdr:colOff>
      <xdr:row>0</xdr:row>
      <xdr:rowOff>63500</xdr:rowOff>
    </xdr:from>
    <xdr:to>
      <xdr:col>22</xdr:col>
      <xdr:colOff>338138</xdr:colOff>
      <xdr:row>17</xdr:row>
      <xdr:rowOff>107950</xdr:rowOff>
    </xdr:to>
    <xdr:graphicFrame macro="">
      <xdr:nvGraphicFramePr>
        <xdr:cNvPr id="9" name="8 Gráfico">
          <a:extLst>
            <a:ext uri="{FF2B5EF4-FFF2-40B4-BE49-F238E27FC236}">
              <a16:creationId xmlns:a16="http://schemas.microsoft.com/office/drawing/2014/main" id="{00000000-0008-0000-1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0</xdr:colOff>
      <xdr:row>9</xdr:row>
      <xdr:rowOff>0</xdr:rowOff>
    </xdr:from>
    <xdr:to>
      <xdr:col>29</xdr:col>
      <xdr:colOff>180975</xdr:colOff>
      <xdr:row>26</xdr:row>
      <xdr:rowOff>44450</xdr:rowOff>
    </xdr:to>
    <xdr:graphicFrame macro="">
      <xdr:nvGraphicFramePr>
        <xdr:cNvPr id="11" name="10 Gráfico">
          <a:extLst>
            <a:ext uri="{FF2B5EF4-FFF2-40B4-BE49-F238E27FC236}">
              <a16:creationId xmlns:a16="http://schemas.microsoft.com/office/drawing/2014/main" id="{00000000-0008-0000-18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54</xdr:row>
      <xdr:rowOff>0</xdr:rowOff>
    </xdr:from>
    <xdr:to>
      <xdr:col>6</xdr:col>
      <xdr:colOff>188914</xdr:colOff>
      <xdr:row>70</xdr:row>
      <xdr:rowOff>149225</xdr:rowOff>
    </xdr:to>
    <xdr:graphicFrame macro="">
      <xdr:nvGraphicFramePr>
        <xdr:cNvPr id="13" name="12 Gráfico">
          <a:extLst>
            <a:ext uri="{FF2B5EF4-FFF2-40B4-BE49-F238E27FC236}">
              <a16:creationId xmlns:a16="http://schemas.microsoft.com/office/drawing/2014/main" id="{00000000-0008-0000-18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53</xdr:row>
      <xdr:rowOff>0</xdr:rowOff>
    </xdr:from>
    <xdr:to>
      <xdr:col>13</xdr:col>
      <xdr:colOff>138113</xdr:colOff>
      <xdr:row>69</xdr:row>
      <xdr:rowOff>149225</xdr:rowOff>
    </xdr:to>
    <xdr:graphicFrame macro="">
      <xdr:nvGraphicFramePr>
        <xdr:cNvPr id="15" name="14 Gráfico">
          <a:extLst>
            <a:ext uri="{FF2B5EF4-FFF2-40B4-BE49-F238E27FC236}">
              <a16:creationId xmlns:a16="http://schemas.microsoft.com/office/drawing/2014/main" id="{00000000-0008-0000-18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53</xdr:row>
      <xdr:rowOff>0</xdr:rowOff>
    </xdr:from>
    <xdr:to>
      <xdr:col>19</xdr:col>
      <xdr:colOff>544513</xdr:colOff>
      <xdr:row>69</xdr:row>
      <xdr:rowOff>149225</xdr:rowOff>
    </xdr:to>
    <xdr:graphicFrame macro="">
      <xdr:nvGraphicFramePr>
        <xdr:cNvPr id="17" name="16 Gráfico">
          <a:extLst>
            <a:ext uri="{FF2B5EF4-FFF2-40B4-BE49-F238E27FC236}">
              <a16:creationId xmlns:a16="http://schemas.microsoft.com/office/drawing/2014/main" id="{00000000-0008-0000-18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400050</xdr:colOff>
      <xdr:row>11</xdr:row>
      <xdr:rowOff>9525</xdr:rowOff>
    </xdr:from>
    <xdr:to>
      <xdr:col>6</xdr:col>
      <xdr:colOff>523875</xdr:colOff>
      <xdr:row>28</xdr:row>
      <xdr:rowOff>0</xdr:rowOff>
    </xdr:to>
    <xdr:graphicFrame macro="">
      <xdr:nvGraphicFramePr>
        <xdr:cNvPr id="2" name="Chart 2">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828675</xdr:colOff>
      <xdr:row>11</xdr:row>
      <xdr:rowOff>0</xdr:rowOff>
    </xdr:from>
    <xdr:to>
      <xdr:col>12</xdr:col>
      <xdr:colOff>657225</xdr:colOff>
      <xdr:row>27</xdr:row>
      <xdr:rowOff>152400</xdr:rowOff>
    </xdr:to>
    <xdr:graphicFrame macro="">
      <xdr:nvGraphicFramePr>
        <xdr:cNvPr id="3" name="Chart 3">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66675</xdr:colOff>
      <xdr:row>10</xdr:row>
      <xdr:rowOff>104775</xdr:rowOff>
    </xdr:from>
    <xdr:to>
      <xdr:col>19</xdr:col>
      <xdr:colOff>333375</xdr:colOff>
      <xdr:row>27</xdr:row>
      <xdr:rowOff>95250</xdr:rowOff>
    </xdr:to>
    <xdr:graphicFrame macro="">
      <xdr:nvGraphicFramePr>
        <xdr:cNvPr id="4" name="Chart 4">
          <a:extLst>
            <a:ext uri="{FF2B5EF4-FFF2-40B4-BE49-F238E27FC236}">
              <a16:creationId xmlns:a16="http://schemas.microsoft.com/office/drawing/2014/main" id="{00000000-0008-0000-1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22</xdr:col>
      <xdr:colOff>95250</xdr:colOff>
      <xdr:row>2</xdr:row>
      <xdr:rowOff>142875</xdr:rowOff>
    </xdr:from>
    <xdr:to>
      <xdr:col>25</xdr:col>
      <xdr:colOff>257175</xdr:colOff>
      <xdr:row>26</xdr:row>
      <xdr:rowOff>142875</xdr:rowOff>
    </xdr:to>
    <xdr:pic>
      <xdr:nvPicPr>
        <xdr:cNvPr id="2" name="1 Imagen">
          <a:extLst>
            <a:ext uri="{FF2B5EF4-FFF2-40B4-BE49-F238E27FC236}">
              <a16:creationId xmlns:a16="http://schemas.microsoft.com/office/drawing/2014/main" id="{00000000-0008-0000-1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801475" y="657225"/>
          <a:ext cx="2447925" cy="439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3</xdr:col>
      <xdr:colOff>238125</xdr:colOff>
      <xdr:row>0</xdr:row>
      <xdr:rowOff>76200</xdr:rowOff>
    </xdr:from>
    <xdr:to>
      <xdr:col>12</xdr:col>
      <xdr:colOff>466725</xdr:colOff>
      <xdr:row>26</xdr:row>
      <xdr:rowOff>133350</xdr:rowOff>
    </xdr:to>
    <xdr:graphicFrame macro="">
      <xdr:nvGraphicFramePr>
        <xdr:cNvPr id="3" name="2 Gráfico">
          <a:extLst>
            <a:ext uri="{FF2B5EF4-FFF2-40B4-BE49-F238E27FC236}">
              <a16:creationId xmlns:a16="http://schemas.microsoft.com/office/drawing/2014/main" id="{00000000-0008-0000-1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714374</xdr:colOff>
      <xdr:row>28</xdr:row>
      <xdr:rowOff>142874</xdr:rowOff>
    </xdr:from>
    <xdr:to>
      <xdr:col>11</xdr:col>
      <xdr:colOff>542925</xdr:colOff>
      <xdr:row>48</xdr:row>
      <xdr:rowOff>95249</xdr:rowOff>
    </xdr:to>
    <xdr:graphicFrame macro="">
      <xdr:nvGraphicFramePr>
        <xdr:cNvPr id="4" name="3 Gráfico">
          <a:extLst>
            <a:ext uri="{FF2B5EF4-FFF2-40B4-BE49-F238E27FC236}">
              <a16:creationId xmlns:a16="http://schemas.microsoft.com/office/drawing/2014/main" id="{00000000-0008-0000-1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25305</xdr:colOff>
      <xdr:row>53</xdr:row>
      <xdr:rowOff>56867</xdr:rowOff>
    </xdr:from>
    <xdr:to>
      <xdr:col>12</xdr:col>
      <xdr:colOff>696605</xdr:colOff>
      <xdr:row>77</xdr:row>
      <xdr:rowOff>19335</xdr:rowOff>
    </xdr:to>
    <xdr:graphicFrame macro="">
      <xdr:nvGraphicFramePr>
        <xdr:cNvPr id="6" name="5 Gráfico">
          <a:extLst>
            <a:ext uri="{FF2B5EF4-FFF2-40B4-BE49-F238E27FC236}">
              <a16:creationId xmlns:a16="http://schemas.microsoft.com/office/drawing/2014/main" id="{00000000-0008-0000-1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376237</xdr:colOff>
      <xdr:row>27</xdr:row>
      <xdr:rowOff>0</xdr:rowOff>
    </xdr:from>
    <xdr:to>
      <xdr:col>24</xdr:col>
      <xdr:colOff>376237</xdr:colOff>
      <xdr:row>43</xdr:row>
      <xdr:rowOff>152400</xdr:rowOff>
    </xdr:to>
    <xdr:graphicFrame macro="">
      <xdr:nvGraphicFramePr>
        <xdr:cNvPr id="10" name="9 Gráfico">
          <a:extLst>
            <a:ext uri="{FF2B5EF4-FFF2-40B4-BE49-F238E27FC236}">
              <a16:creationId xmlns:a16="http://schemas.microsoft.com/office/drawing/2014/main" id="{00000000-0008-0000-1D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51</xdr:row>
      <xdr:rowOff>0</xdr:rowOff>
    </xdr:from>
    <xdr:to>
      <xdr:col>25</xdr:col>
      <xdr:colOff>0</xdr:colOff>
      <xdr:row>67</xdr:row>
      <xdr:rowOff>152400</xdr:rowOff>
    </xdr:to>
    <xdr:graphicFrame macro="">
      <xdr:nvGraphicFramePr>
        <xdr:cNvPr id="11" name="10 Gráfico">
          <a:extLst>
            <a:ext uri="{FF2B5EF4-FFF2-40B4-BE49-F238E27FC236}">
              <a16:creationId xmlns:a16="http://schemas.microsoft.com/office/drawing/2014/main" id="{00000000-0008-0000-1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761999</xdr:colOff>
      <xdr:row>0</xdr:row>
      <xdr:rowOff>161923</xdr:rowOff>
    </xdr:from>
    <xdr:to>
      <xdr:col>29</xdr:col>
      <xdr:colOff>123824</xdr:colOff>
      <xdr:row>27</xdr:row>
      <xdr:rowOff>47625</xdr:rowOff>
    </xdr:to>
    <xdr:graphicFrame macro="">
      <xdr:nvGraphicFramePr>
        <xdr:cNvPr id="12" name="11 Gráfico">
          <a:extLst>
            <a:ext uri="{FF2B5EF4-FFF2-40B4-BE49-F238E27FC236}">
              <a16:creationId xmlns:a16="http://schemas.microsoft.com/office/drawing/2014/main" id="{00000000-0008-0000-1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7</xdr:col>
      <xdr:colOff>0</xdr:colOff>
      <xdr:row>22</xdr:row>
      <xdr:rowOff>0</xdr:rowOff>
    </xdr:from>
    <xdr:to>
      <xdr:col>14</xdr:col>
      <xdr:colOff>138113</xdr:colOff>
      <xdr:row>38</xdr:row>
      <xdr:rowOff>152400</xdr:rowOff>
    </xdr:to>
    <xdr:graphicFrame macro="">
      <xdr:nvGraphicFramePr>
        <xdr:cNvPr id="4" name="3 Gráfico">
          <a:extLst>
            <a:ext uri="{FF2B5EF4-FFF2-40B4-BE49-F238E27FC236}">
              <a16:creationId xmlns:a16="http://schemas.microsoft.com/office/drawing/2014/main" id="{00000000-0008-0000-1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7</xdr:col>
      <xdr:colOff>100013</xdr:colOff>
      <xdr:row>37</xdr:row>
      <xdr:rowOff>152400</xdr:rowOff>
    </xdr:to>
    <xdr:graphicFrame macro="">
      <xdr:nvGraphicFramePr>
        <xdr:cNvPr id="6" name="5 Gráfico">
          <a:extLst>
            <a:ext uri="{FF2B5EF4-FFF2-40B4-BE49-F238E27FC236}">
              <a16:creationId xmlns:a16="http://schemas.microsoft.com/office/drawing/2014/main" id="{00000000-0008-0000-1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195261</xdr:colOff>
      <xdr:row>0</xdr:row>
      <xdr:rowOff>123825</xdr:rowOff>
    </xdr:from>
    <xdr:to>
      <xdr:col>19</xdr:col>
      <xdr:colOff>673100</xdr:colOff>
      <xdr:row>23</xdr:row>
      <xdr:rowOff>95250</xdr:rowOff>
    </xdr:to>
    <xdr:graphicFrame macro="">
      <xdr:nvGraphicFramePr>
        <xdr:cNvPr id="7" name="6 Gráfico">
          <a:extLst>
            <a:ext uri="{FF2B5EF4-FFF2-40B4-BE49-F238E27FC236}">
              <a16:creationId xmlns:a16="http://schemas.microsoft.com/office/drawing/2014/main" id="{00000000-0008-0000-1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290512</xdr:colOff>
      <xdr:row>11</xdr:row>
      <xdr:rowOff>22225</xdr:rowOff>
    </xdr:from>
    <xdr:to>
      <xdr:col>27</xdr:col>
      <xdr:colOff>76200</xdr:colOff>
      <xdr:row>29</xdr:row>
      <xdr:rowOff>76200</xdr:rowOff>
    </xdr:to>
    <xdr:graphicFrame macro="">
      <xdr:nvGraphicFramePr>
        <xdr:cNvPr id="8" name="7 Gráfico">
          <a:extLst>
            <a:ext uri="{FF2B5EF4-FFF2-40B4-BE49-F238E27FC236}">
              <a16:creationId xmlns:a16="http://schemas.microsoft.com/office/drawing/2014/main" id="{00000000-0008-0000-1E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657860</xdr:colOff>
      <xdr:row>9</xdr:row>
      <xdr:rowOff>116840</xdr:rowOff>
    </xdr:from>
    <xdr:to>
      <xdr:col>34</xdr:col>
      <xdr:colOff>413068</xdr:colOff>
      <xdr:row>28</xdr:row>
      <xdr:rowOff>13970</xdr:rowOff>
    </xdr:to>
    <xdr:graphicFrame macro="">
      <xdr:nvGraphicFramePr>
        <xdr:cNvPr id="9" name="8 Gráfico">
          <a:extLst>
            <a:ext uri="{FF2B5EF4-FFF2-40B4-BE49-F238E27FC236}">
              <a16:creationId xmlns:a16="http://schemas.microsoft.com/office/drawing/2014/main" id="{00000000-0008-0000-1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6350</xdr:colOff>
      <xdr:row>11</xdr:row>
      <xdr:rowOff>0</xdr:rowOff>
    </xdr:from>
    <xdr:to>
      <xdr:col>43</xdr:col>
      <xdr:colOff>477839</xdr:colOff>
      <xdr:row>34</xdr:row>
      <xdr:rowOff>3175</xdr:rowOff>
    </xdr:to>
    <xdr:graphicFrame macro="">
      <xdr:nvGraphicFramePr>
        <xdr:cNvPr id="10" name="6 Gráfico">
          <a:extLst>
            <a:ext uri="{FF2B5EF4-FFF2-40B4-BE49-F238E27FC236}">
              <a16:creationId xmlns:a16="http://schemas.microsoft.com/office/drawing/2014/main" id="{00000000-0008-0000-1E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45</xdr:col>
      <xdr:colOff>0</xdr:colOff>
      <xdr:row>20</xdr:row>
      <xdr:rowOff>0</xdr:rowOff>
    </xdr:from>
    <xdr:to>
      <xdr:col>52</xdr:col>
      <xdr:colOff>636589</xdr:colOff>
      <xdr:row>43</xdr:row>
      <xdr:rowOff>73025</xdr:rowOff>
    </xdr:to>
    <xdr:graphicFrame macro="">
      <xdr:nvGraphicFramePr>
        <xdr:cNvPr id="11" name="6 Gráfico">
          <a:extLst>
            <a:ext uri="{FF2B5EF4-FFF2-40B4-BE49-F238E27FC236}">
              <a16:creationId xmlns:a16="http://schemas.microsoft.com/office/drawing/2014/main" id="{00000000-0008-0000-1E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45</xdr:col>
      <xdr:colOff>1503589</xdr:colOff>
      <xdr:row>46</xdr:row>
      <xdr:rowOff>14061</xdr:rowOff>
    </xdr:from>
    <xdr:to>
      <xdr:col>52</xdr:col>
      <xdr:colOff>865867</xdr:colOff>
      <xdr:row>63</xdr:row>
      <xdr:rowOff>58511</xdr:rowOff>
    </xdr:to>
    <xdr:graphicFrame macro="">
      <xdr:nvGraphicFramePr>
        <xdr:cNvPr id="2" name="Gráfico 1">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52</xdr:col>
      <xdr:colOff>0</xdr:colOff>
      <xdr:row>44</xdr:row>
      <xdr:rowOff>0</xdr:rowOff>
    </xdr:from>
    <xdr:to>
      <xdr:col>62</xdr:col>
      <xdr:colOff>539750</xdr:colOff>
      <xdr:row>61</xdr:row>
      <xdr:rowOff>44450</xdr:rowOff>
    </xdr:to>
    <xdr:graphicFrame macro="">
      <xdr:nvGraphicFramePr>
        <xdr:cNvPr id="12" name="Gráfico 11">
          <a:extLst>
            <a:ext uri="{FF2B5EF4-FFF2-40B4-BE49-F238E27FC236}">
              <a16:creationId xmlns:a16="http://schemas.microsoft.com/office/drawing/2014/main" id="{00000000-0008-0000-1E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64</xdr:col>
      <xdr:colOff>1</xdr:colOff>
      <xdr:row>44</xdr:row>
      <xdr:rowOff>0</xdr:rowOff>
    </xdr:from>
    <xdr:to>
      <xdr:col>74</xdr:col>
      <xdr:colOff>446315</xdr:colOff>
      <xdr:row>61</xdr:row>
      <xdr:rowOff>44450</xdr:rowOff>
    </xdr:to>
    <xdr:graphicFrame macro="">
      <xdr:nvGraphicFramePr>
        <xdr:cNvPr id="13" name="Gráfico 12">
          <a:extLst>
            <a:ext uri="{FF2B5EF4-FFF2-40B4-BE49-F238E27FC236}">
              <a16:creationId xmlns:a16="http://schemas.microsoft.com/office/drawing/2014/main" id="{00000000-0008-0000-1E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97</xdr:col>
      <xdr:colOff>65313</xdr:colOff>
      <xdr:row>20</xdr:row>
      <xdr:rowOff>138795</xdr:rowOff>
    </xdr:from>
    <xdr:to>
      <xdr:col>104</xdr:col>
      <xdr:colOff>147863</xdr:colOff>
      <xdr:row>38</xdr:row>
      <xdr:rowOff>28124</xdr:rowOff>
    </xdr:to>
    <xdr:graphicFrame macro="">
      <xdr:nvGraphicFramePr>
        <xdr:cNvPr id="14" name="Gráfico 12">
          <a:extLst>
            <a:ext uri="{FF2B5EF4-FFF2-40B4-BE49-F238E27FC236}">
              <a16:creationId xmlns:a16="http://schemas.microsoft.com/office/drawing/2014/main" id="{00000000-0008-0000-1E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54</xdr:col>
      <xdr:colOff>0</xdr:colOff>
      <xdr:row>20</xdr:row>
      <xdr:rowOff>0</xdr:rowOff>
    </xdr:from>
    <xdr:to>
      <xdr:col>64</xdr:col>
      <xdr:colOff>0</xdr:colOff>
      <xdr:row>37</xdr:row>
      <xdr:rowOff>44450</xdr:rowOff>
    </xdr:to>
    <xdr:graphicFrame macro="">
      <xdr:nvGraphicFramePr>
        <xdr:cNvPr id="15" name="Gráfico 12">
          <a:extLst>
            <a:ext uri="{FF2B5EF4-FFF2-40B4-BE49-F238E27FC236}">
              <a16:creationId xmlns:a16="http://schemas.microsoft.com/office/drawing/2014/main" id="{00000000-0008-0000-1E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64</xdr:col>
      <xdr:colOff>0</xdr:colOff>
      <xdr:row>20</xdr:row>
      <xdr:rowOff>0</xdr:rowOff>
    </xdr:from>
    <xdr:to>
      <xdr:col>74</xdr:col>
      <xdr:colOff>511629</xdr:colOff>
      <xdr:row>37</xdr:row>
      <xdr:rowOff>44450</xdr:rowOff>
    </xdr:to>
    <xdr:graphicFrame macro="">
      <xdr:nvGraphicFramePr>
        <xdr:cNvPr id="16" name="Gráfico 12">
          <a:extLst>
            <a:ext uri="{FF2B5EF4-FFF2-40B4-BE49-F238E27FC236}">
              <a16:creationId xmlns:a16="http://schemas.microsoft.com/office/drawing/2014/main" id="{00000000-0008-0000-1E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75</xdr:col>
      <xdr:colOff>217714</xdr:colOff>
      <xdr:row>20</xdr:row>
      <xdr:rowOff>87086</xdr:rowOff>
    </xdr:from>
    <xdr:to>
      <xdr:col>88</xdr:col>
      <xdr:colOff>703036</xdr:colOff>
      <xdr:row>37</xdr:row>
      <xdr:rowOff>131536</xdr:rowOff>
    </xdr:to>
    <xdr:graphicFrame macro="">
      <xdr:nvGraphicFramePr>
        <xdr:cNvPr id="17" name="Gráfico 12">
          <a:extLst>
            <a:ext uri="{FF2B5EF4-FFF2-40B4-BE49-F238E27FC236}">
              <a16:creationId xmlns:a16="http://schemas.microsoft.com/office/drawing/2014/main" id="{00000000-0008-0000-1E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105</xdr:col>
      <xdr:colOff>348342</xdr:colOff>
      <xdr:row>26</xdr:row>
      <xdr:rowOff>32657</xdr:rowOff>
    </xdr:from>
    <xdr:to>
      <xdr:col>112</xdr:col>
      <xdr:colOff>430892</xdr:colOff>
      <xdr:row>43</xdr:row>
      <xdr:rowOff>77107</xdr:rowOff>
    </xdr:to>
    <xdr:graphicFrame macro="">
      <xdr:nvGraphicFramePr>
        <xdr:cNvPr id="18" name="Gráfico 12">
          <a:extLst>
            <a:ext uri="{FF2B5EF4-FFF2-40B4-BE49-F238E27FC236}">
              <a16:creationId xmlns:a16="http://schemas.microsoft.com/office/drawing/2014/main" id="{00000000-0008-0000-1E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89</xdr:col>
      <xdr:colOff>522514</xdr:colOff>
      <xdr:row>19</xdr:row>
      <xdr:rowOff>108856</xdr:rowOff>
    </xdr:from>
    <xdr:to>
      <xdr:col>96</xdr:col>
      <xdr:colOff>398235</xdr:colOff>
      <xdr:row>36</xdr:row>
      <xdr:rowOff>153306</xdr:rowOff>
    </xdr:to>
    <xdr:graphicFrame macro="">
      <xdr:nvGraphicFramePr>
        <xdr:cNvPr id="20" name="Gráfico 12">
          <a:extLst>
            <a:ext uri="{FF2B5EF4-FFF2-40B4-BE49-F238E27FC236}">
              <a16:creationId xmlns:a16="http://schemas.microsoft.com/office/drawing/2014/main" id="{00000000-0008-0000-1E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75</xdr:col>
      <xdr:colOff>559707</xdr:colOff>
      <xdr:row>41</xdr:row>
      <xdr:rowOff>107950</xdr:rowOff>
    </xdr:from>
    <xdr:to>
      <xdr:col>89</xdr:col>
      <xdr:colOff>148772</xdr:colOff>
      <xdr:row>60</xdr:row>
      <xdr:rowOff>12700</xdr:rowOff>
    </xdr:to>
    <xdr:graphicFrame macro="">
      <xdr:nvGraphicFramePr>
        <xdr:cNvPr id="19" name="Gráfico 12">
          <a:extLst>
            <a:ext uri="{FF2B5EF4-FFF2-40B4-BE49-F238E27FC236}">
              <a16:creationId xmlns:a16="http://schemas.microsoft.com/office/drawing/2014/main" id="{34F5D28E-5B83-4604-9C1D-AD7A89D47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97</xdr:col>
      <xdr:colOff>0</xdr:colOff>
      <xdr:row>38</xdr:row>
      <xdr:rowOff>0</xdr:rowOff>
    </xdr:from>
    <xdr:to>
      <xdr:col>103</xdr:col>
      <xdr:colOff>773430</xdr:colOff>
      <xdr:row>56</xdr:row>
      <xdr:rowOff>72390</xdr:rowOff>
    </xdr:to>
    <xdr:graphicFrame macro="">
      <xdr:nvGraphicFramePr>
        <xdr:cNvPr id="22" name="Gráfico 12">
          <a:extLst>
            <a:ext uri="{FF2B5EF4-FFF2-40B4-BE49-F238E27FC236}">
              <a16:creationId xmlns:a16="http://schemas.microsoft.com/office/drawing/2014/main" id="{333CDC72-1F21-42BD-B31D-267386D2D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53</xdr:col>
      <xdr:colOff>228600</xdr:colOff>
      <xdr:row>64</xdr:row>
      <xdr:rowOff>-1</xdr:rowOff>
    </xdr:from>
    <xdr:to>
      <xdr:col>61</xdr:col>
      <xdr:colOff>433614</xdr:colOff>
      <xdr:row>81</xdr:row>
      <xdr:rowOff>44450</xdr:rowOff>
    </xdr:to>
    <xdr:graphicFrame macro="">
      <xdr:nvGraphicFramePr>
        <xdr:cNvPr id="23" name="Gráfico 22">
          <a:extLst>
            <a:ext uri="{FF2B5EF4-FFF2-40B4-BE49-F238E27FC236}">
              <a16:creationId xmlns:a16="http://schemas.microsoft.com/office/drawing/2014/main" id="{D34F7216-AA86-4949-BA47-9BA24130D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64</xdr:col>
      <xdr:colOff>0</xdr:colOff>
      <xdr:row>64</xdr:row>
      <xdr:rowOff>0</xdr:rowOff>
    </xdr:from>
    <xdr:to>
      <xdr:col>74</xdr:col>
      <xdr:colOff>272143</xdr:colOff>
      <xdr:row>81</xdr:row>
      <xdr:rowOff>44451</xdr:rowOff>
    </xdr:to>
    <xdr:graphicFrame macro="">
      <xdr:nvGraphicFramePr>
        <xdr:cNvPr id="24" name="Gráfico 23">
          <a:extLst>
            <a:ext uri="{FF2B5EF4-FFF2-40B4-BE49-F238E27FC236}">
              <a16:creationId xmlns:a16="http://schemas.microsoft.com/office/drawing/2014/main" id="{344ADE4C-B48F-42ED-9D94-FC230E76B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76</xdr:col>
      <xdr:colOff>174171</xdr:colOff>
      <xdr:row>63</xdr:row>
      <xdr:rowOff>21771</xdr:rowOff>
    </xdr:from>
    <xdr:to>
      <xdr:col>88</xdr:col>
      <xdr:colOff>63500</xdr:colOff>
      <xdr:row>80</xdr:row>
      <xdr:rowOff>66222</xdr:rowOff>
    </xdr:to>
    <xdr:graphicFrame macro="">
      <xdr:nvGraphicFramePr>
        <xdr:cNvPr id="25" name="Gráfico 24">
          <a:extLst>
            <a:ext uri="{FF2B5EF4-FFF2-40B4-BE49-F238E27FC236}">
              <a16:creationId xmlns:a16="http://schemas.microsoft.com/office/drawing/2014/main" id="{889D5F55-D0C0-42EF-9B90-7B64582C3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97</xdr:col>
      <xdr:colOff>0</xdr:colOff>
      <xdr:row>64</xdr:row>
      <xdr:rowOff>0</xdr:rowOff>
    </xdr:from>
    <xdr:to>
      <xdr:col>102</xdr:col>
      <xdr:colOff>716643</xdr:colOff>
      <xdr:row>81</xdr:row>
      <xdr:rowOff>44451</xdr:rowOff>
    </xdr:to>
    <xdr:graphicFrame macro="">
      <xdr:nvGraphicFramePr>
        <xdr:cNvPr id="27" name="Gráfico 26">
          <a:extLst>
            <a:ext uri="{FF2B5EF4-FFF2-40B4-BE49-F238E27FC236}">
              <a16:creationId xmlns:a16="http://schemas.microsoft.com/office/drawing/2014/main" id="{7D78BBFE-34DB-473C-A8BE-E8BFD6873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105</xdr:col>
      <xdr:colOff>0</xdr:colOff>
      <xdr:row>64</xdr:row>
      <xdr:rowOff>0</xdr:rowOff>
    </xdr:from>
    <xdr:to>
      <xdr:col>110</xdr:col>
      <xdr:colOff>716643</xdr:colOff>
      <xdr:row>81</xdr:row>
      <xdr:rowOff>44451</xdr:rowOff>
    </xdr:to>
    <xdr:graphicFrame macro="">
      <xdr:nvGraphicFramePr>
        <xdr:cNvPr id="29" name="Gráfico 28">
          <a:extLst>
            <a:ext uri="{FF2B5EF4-FFF2-40B4-BE49-F238E27FC236}">
              <a16:creationId xmlns:a16="http://schemas.microsoft.com/office/drawing/2014/main" id="{54820807-BA9D-4834-AA6C-8AC8809B4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112</xdr:col>
      <xdr:colOff>293914</xdr:colOff>
      <xdr:row>64</xdr:row>
      <xdr:rowOff>119743</xdr:rowOff>
    </xdr:from>
    <xdr:to>
      <xdr:col>118</xdr:col>
      <xdr:colOff>215899</xdr:colOff>
      <xdr:row>82</xdr:row>
      <xdr:rowOff>908</xdr:rowOff>
    </xdr:to>
    <xdr:graphicFrame macro="">
      <xdr:nvGraphicFramePr>
        <xdr:cNvPr id="30" name="Gráfico 29">
          <a:extLst>
            <a:ext uri="{FF2B5EF4-FFF2-40B4-BE49-F238E27FC236}">
              <a16:creationId xmlns:a16="http://schemas.microsoft.com/office/drawing/2014/main" id="{027DEFD9-FF81-4057-9BFD-3854BA1BB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90</xdr:col>
      <xdr:colOff>0</xdr:colOff>
      <xdr:row>41</xdr:row>
      <xdr:rowOff>0</xdr:rowOff>
    </xdr:from>
    <xdr:to>
      <xdr:col>96</xdr:col>
      <xdr:colOff>670378</xdr:colOff>
      <xdr:row>58</xdr:row>
      <xdr:rowOff>52615</xdr:rowOff>
    </xdr:to>
    <xdr:graphicFrame macro="">
      <xdr:nvGraphicFramePr>
        <xdr:cNvPr id="28" name="Gráfico 12">
          <a:extLst>
            <a:ext uri="{FF2B5EF4-FFF2-40B4-BE49-F238E27FC236}">
              <a16:creationId xmlns:a16="http://schemas.microsoft.com/office/drawing/2014/main" id="{6AE93379-0B64-4CA8-B816-099CC820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90</xdr:col>
      <xdr:colOff>0</xdr:colOff>
      <xdr:row>64</xdr:row>
      <xdr:rowOff>0</xdr:rowOff>
    </xdr:from>
    <xdr:to>
      <xdr:col>96</xdr:col>
      <xdr:colOff>670378</xdr:colOff>
      <xdr:row>81</xdr:row>
      <xdr:rowOff>52615</xdr:rowOff>
    </xdr:to>
    <xdr:graphicFrame macro="">
      <xdr:nvGraphicFramePr>
        <xdr:cNvPr id="31" name="Gráfico 12">
          <a:extLst>
            <a:ext uri="{FF2B5EF4-FFF2-40B4-BE49-F238E27FC236}">
              <a16:creationId xmlns:a16="http://schemas.microsoft.com/office/drawing/2014/main" id="{8392D444-EBDC-4104-A815-6C81720D4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90</xdr:col>
      <xdr:colOff>0</xdr:colOff>
      <xdr:row>84</xdr:row>
      <xdr:rowOff>0</xdr:rowOff>
    </xdr:from>
    <xdr:to>
      <xdr:col>96</xdr:col>
      <xdr:colOff>670378</xdr:colOff>
      <xdr:row>101</xdr:row>
      <xdr:rowOff>52615</xdr:rowOff>
    </xdr:to>
    <xdr:graphicFrame macro="">
      <xdr:nvGraphicFramePr>
        <xdr:cNvPr id="32" name="Gráfico 12">
          <a:extLst>
            <a:ext uri="{FF2B5EF4-FFF2-40B4-BE49-F238E27FC236}">
              <a16:creationId xmlns:a16="http://schemas.microsoft.com/office/drawing/2014/main" id="{475AB24B-1E9B-480E-A9FE-A57573C4F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90</xdr:col>
      <xdr:colOff>0</xdr:colOff>
      <xdr:row>104</xdr:row>
      <xdr:rowOff>0</xdr:rowOff>
    </xdr:from>
    <xdr:to>
      <xdr:col>96</xdr:col>
      <xdr:colOff>670378</xdr:colOff>
      <xdr:row>121</xdr:row>
      <xdr:rowOff>52615</xdr:rowOff>
    </xdr:to>
    <xdr:graphicFrame macro="">
      <xdr:nvGraphicFramePr>
        <xdr:cNvPr id="33" name="Gráfico 12">
          <a:extLst>
            <a:ext uri="{FF2B5EF4-FFF2-40B4-BE49-F238E27FC236}">
              <a16:creationId xmlns:a16="http://schemas.microsoft.com/office/drawing/2014/main" id="{102E86D2-7CD9-4525-90E3-8FA1F66E6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90</xdr:col>
      <xdr:colOff>0</xdr:colOff>
      <xdr:row>122</xdr:row>
      <xdr:rowOff>0</xdr:rowOff>
    </xdr:from>
    <xdr:to>
      <xdr:col>96</xdr:col>
      <xdr:colOff>670378</xdr:colOff>
      <xdr:row>139</xdr:row>
      <xdr:rowOff>52615</xdr:rowOff>
    </xdr:to>
    <xdr:graphicFrame macro="">
      <xdr:nvGraphicFramePr>
        <xdr:cNvPr id="34" name="Gráfico 12">
          <a:extLst>
            <a:ext uri="{FF2B5EF4-FFF2-40B4-BE49-F238E27FC236}">
              <a16:creationId xmlns:a16="http://schemas.microsoft.com/office/drawing/2014/main" id="{97DDA0FA-D93E-4013-8826-F48FA60E9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76</xdr:col>
      <xdr:colOff>391886</xdr:colOff>
      <xdr:row>83</xdr:row>
      <xdr:rowOff>97972</xdr:rowOff>
    </xdr:from>
    <xdr:to>
      <xdr:col>88</xdr:col>
      <xdr:colOff>93436</xdr:colOff>
      <xdr:row>100</xdr:row>
      <xdr:rowOff>150587</xdr:rowOff>
    </xdr:to>
    <xdr:graphicFrame macro="">
      <xdr:nvGraphicFramePr>
        <xdr:cNvPr id="35" name="Gráfico 12">
          <a:extLst>
            <a:ext uri="{FF2B5EF4-FFF2-40B4-BE49-F238E27FC236}">
              <a16:creationId xmlns:a16="http://schemas.microsoft.com/office/drawing/2014/main" id="{6CCEF0A2-8752-46B5-B2A2-51B6878BA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77</xdr:col>
      <xdr:colOff>0</xdr:colOff>
      <xdr:row>103</xdr:row>
      <xdr:rowOff>0</xdr:rowOff>
    </xdr:from>
    <xdr:to>
      <xdr:col>88</xdr:col>
      <xdr:colOff>278493</xdr:colOff>
      <xdr:row>120</xdr:row>
      <xdr:rowOff>52615</xdr:rowOff>
    </xdr:to>
    <xdr:graphicFrame macro="">
      <xdr:nvGraphicFramePr>
        <xdr:cNvPr id="36" name="Gráfico 12">
          <a:extLst>
            <a:ext uri="{FF2B5EF4-FFF2-40B4-BE49-F238E27FC236}">
              <a16:creationId xmlns:a16="http://schemas.microsoft.com/office/drawing/2014/main" id="{B522BDE5-DE01-4A09-9CEE-7E1D7DDAA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106</xdr:col>
      <xdr:colOff>0</xdr:colOff>
      <xdr:row>47</xdr:row>
      <xdr:rowOff>0</xdr:rowOff>
    </xdr:from>
    <xdr:to>
      <xdr:col>113</xdr:col>
      <xdr:colOff>82550</xdr:colOff>
      <xdr:row>64</xdr:row>
      <xdr:rowOff>52615</xdr:rowOff>
    </xdr:to>
    <xdr:graphicFrame macro="">
      <xdr:nvGraphicFramePr>
        <xdr:cNvPr id="37" name="Gráfico 12">
          <a:extLst>
            <a:ext uri="{FF2B5EF4-FFF2-40B4-BE49-F238E27FC236}">
              <a16:creationId xmlns:a16="http://schemas.microsoft.com/office/drawing/2014/main" id="{A5B2665D-2F95-49AB-AF2A-6D4564BDF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66</xdr:col>
      <xdr:colOff>0</xdr:colOff>
      <xdr:row>84</xdr:row>
      <xdr:rowOff>0</xdr:rowOff>
    </xdr:from>
    <xdr:to>
      <xdr:col>75</xdr:col>
      <xdr:colOff>452664</xdr:colOff>
      <xdr:row>101</xdr:row>
      <xdr:rowOff>52615</xdr:rowOff>
    </xdr:to>
    <xdr:graphicFrame macro="">
      <xdr:nvGraphicFramePr>
        <xdr:cNvPr id="38" name="Gráfico 12">
          <a:extLst>
            <a:ext uri="{FF2B5EF4-FFF2-40B4-BE49-F238E27FC236}">
              <a16:creationId xmlns:a16="http://schemas.microsoft.com/office/drawing/2014/main" id="{97E64164-E55B-4C22-AF17-8F3DEE330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67</xdr:col>
      <xdr:colOff>0</xdr:colOff>
      <xdr:row>104</xdr:row>
      <xdr:rowOff>0</xdr:rowOff>
    </xdr:from>
    <xdr:to>
      <xdr:col>76</xdr:col>
      <xdr:colOff>452664</xdr:colOff>
      <xdr:row>121</xdr:row>
      <xdr:rowOff>52615</xdr:rowOff>
    </xdr:to>
    <xdr:graphicFrame macro="">
      <xdr:nvGraphicFramePr>
        <xdr:cNvPr id="39" name="Gráfico 12">
          <a:extLst>
            <a:ext uri="{FF2B5EF4-FFF2-40B4-BE49-F238E27FC236}">
              <a16:creationId xmlns:a16="http://schemas.microsoft.com/office/drawing/2014/main" id="{F894AEFC-1F36-4F40-9CB0-BEA85504B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55</xdr:col>
      <xdr:colOff>370115</xdr:colOff>
      <xdr:row>83</xdr:row>
      <xdr:rowOff>0</xdr:rowOff>
    </xdr:from>
    <xdr:to>
      <xdr:col>66</xdr:col>
      <xdr:colOff>49894</xdr:colOff>
      <xdr:row>100</xdr:row>
      <xdr:rowOff>52615</xdr:rowOff>
    </xdr:to>
    <xdr:graphicFrame macro="">
      <xdr:nvGraphicFramePr>
        <xdr:cNvPr id="40" name="Gráfico 12">
          <a:extLst>
            <a:ext uri="{FF2B5EF4-FFF2-40B4-BE49-F238E27FC236}">
              <a16:creationId xmlns:a16="http://schemas.microsoft.com/office/drawing/2014/main" id="{E8004E96-BCD2-4475-AFFE-0FB8E02E3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20</xdr:col>
      <xdr:colOff>370114</xdr:colOff>
      <xdr:row>51</xdr:row>
      <xdr:rowOff>32657</xdr:rowOff>
    </xdr:from>
    <xdr:to>
      <xdr:col>29</xdr:col>
      <xdr:colOff>217714</xdr:colOff>
      <xdr:row>80</xdr:row>
      <xdr:rowOff>53522</xdr:rowOff>
    </xdr:to>
    <xdr:graphicFrame macro="">
      <xdr:nvGraphicFramePr>
        <xdr:cNvPr id="41" name="10 Gráfico">
          <a:extLst>
            <a:ext uri="{FF2B5EF4-FFF2-40B4-BE49-F238E27FC236}">
              <a16:creationId xmlns:a16="http://schemas.microsoft.com/office/drawing/2014/main" id="{087E61E3-E121-434F-A79B-B8C929C24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19</xdr:col>
      <xdr:colOff>631372</xdr:colOff>
      <xdr:row>79</xdr:row>
      <xdr:rowOff>43542</xdr:rowOff>
    </xdr:from>
    <xdr:to>
      <xdr:col>29</xdr:col>
      <xdr:colOff>505959</xdr:colOff>
      <xdr:row>80</xdr:row>
      <xdr:rowOff>160461</xdr:rowOff>
    </xdr:to>
    <xdr:sp macro="" textlink="">
      <xdr:nvSpPr>
        <xdr:cNvPr id="42" name="CuadroTexto 3">
          <a:extLst>
            <a:ext uri="{FF2B5EF4-FFF2-40B4-BE49-F238E27FC236}">
              <a16:creationId xmlns:a16="http://schemas.microsoft.com/office/drawing/2014/main" id="{8AAE83A4-28F8-40A7-9C1D-827CDE1D514F}"/>
            </a:ext>
          </a:extLst>
        </xdr:cNvPr>
        <xdr:cNvSpPr txBox="1">
          <a:spLocks noChangeArrowheads="1"/>
        </xdr:cNvSpPr>
      </xdr:nvSpPr>
      <xdr:spPr bwMode="auto">
        <a:xfrm>
          <a:off x="16241486" y="13541828"/>
          <a:ext cx="9170987" cy="280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1pPr>
          <a:lvl2pPr marL="4572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2pPr>
          <a:lvl3pPr marL="9144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3pPr>
          <a:lvl4pPr marL="13716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4pPr>
          <a:lvl5pPr marL="1828800" algn="l" rtl="0" eaLnBrk="0" fontAlgn="base" hangingPunct="0">
            <a:spcBef>
              <a:spcPct val="0"/>
            </a:spcBef>
            <a:spcAft>
              <a:spcPct val="0"/>
            </a:spcAft>
            <a:defRPr kern="1200">
              <a:solidFill>
                <a:schemeClr val="tx1"/>
              </a:solidFill>
              <a:latin typeface="Calibri" panose="020F0502020204030204" pitchFamily="34" charset="0"/>
              <a:ea typeface="+mn-ea"/>
              <a:cs typeface="+mn-cs"/>
            </a:defRPr>
          </a:lvl5pPr>
          <a:lvl6pPr marL="2286000" algn="l" defTabSz="914400" rtl="0" eaLnBrk="1" latinLnBrk="0" hangingPunct="1">
            <a:defRPr kern="1200">
              <a:solidFill>
                <a:schemeClr val="tx1"/>
              </a:solidFill>
              <a:latin typeface="Calibri" panose="020F0502020204030204" pitchFamily="34" charset="0"/>
              <a:ea typeface="+mn-ea"/>
              <a:cs typeface="+mn-cs"/>
            </a:defRPr>
          </a:lvl6pPr>
          <a:lvl7pPr marL="2743200" algn="l" defTabSz="914400" rtl="0" eaLnBrk="1" latinLnBrk="0" hangingPunct="1">
            <a:defRPr kern="1200">
              <a:solidFill>
                <a:schemeClr val="tx1"/>
              </a:solidFill>
              <a:latin typeface="Calibri" panose="020F0502020204030204" pitchFamily="34" charset="0"/>
              <a:ea typeface="+mn-ea"/>
              <a:cs typeface="+mn-cs"/>
            </a:defRPr>
          </a:lvl7pPr>
          <a:lvl8pPr marL="3200400" algn="l" defTabSz="914400" rtl="0" eaLnBrk="1" latinLnBrk="0" hangingPunct="1">
            <a:defRPr kern="1200">
              <a:solidFill>
                <a:schemeClr val="tx1"/>
              </a:solidFill>
              <a:latin typeface="Calibri" panose="020F0502020204030204" pitchFamily="34" charset="0"/>
              <a:ea typeface="+mn-ea"/>
              <a:cs typeface="+mn-cs"/>
            </a:defRPr>
          </a:lvl8pPr>
          <a:lvl9pPr marL="3657600" algn="l" defTabSz="914400" rtl="0" eaLnBrk="1" latinLnBrk="0" hangingPunct="1">
            <a:defRPr kern="1200">
              <a:solidFill>
                <a:schemeClr val="tx1"/>
              </a:solidFill>
              <a:latin typeface="Calibri" panose="020F0502020204030204" pitchFamily="34" charset="0"/>
              <a:ea typeface="+mn-ea"/>
              <a:cs typeface="+mn-cs"/>
            </a:defRPr>
          </a:lvl9pPr>
        </a:lstStyle>
        <a:p>
          <a:r>
            <a:rPr lang="es-PE" altLang="es-PE" sz="1200"/>
            <a:t>Peso Pond.                    20%                        10%                          15%                     5%                          15%                      35%                       100%           </a:t>
          </a:r>
        </a:p>
      </xdr:txBody>
    </xdr:sp>
    <xdr:clientData/>
  </xdr:twoCellAnchor>
  <xdr:twoCellAnchor>
    <xdr:from>
      <xdr:col>20</xdr:col>
      <xdr:colOff>832077</xdr:colOff>
      <xdr:row>64</xdr:row>
      <xdr:rowOff>151721</xdr:rowOff>
    </xdr:from>
    <xdr:to>
      <xdr:col>28</xdr:col>
      <xdr:colOff>631372</xdr:colOff>
      <xdr:row>64</xdr:row>
      <xdr:rowOff>152400</xdr:rowOff>
    </xdr:to>
    <xdr:cxnSp macro="">
      <xdr:nvCxnSpPr>
        <xdr:cNvPr id="43" name="Conector recto 42">
          <a:extLst>
            <a:ext uri="{FF2B5EF4-FFF2-40B4-BE49-F238E27FC236}">
              <a16:creationId xmlns:a16="http://schemas.microsoft.com/office/drawing/2014/main" id="{7562188A-12EB-428F-BA33-83AB6F6B9936}"/>
            </a:ext>
          </a:extLst>
        </xdr:cNvPr>
        <xdr:cNvCxnSpPr/>
      </xdr:nvCxnSpPr>
      <xdr:spPr>
        <a:xfrm>
          <a:off x="17236848" y="11200721"/>
          <a:ext cx="7506381" cy="679"/>
        </a:xfrm>
        <a:prstGeom prst="line">
          <a:avLst/>
        </a:prstGeom>
        <a:ln>
          <a:solidFill>
            <a:srgbClr val="FF0000"/>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20</xdr:col>
      <xdr:colOff>834801</xdr:colOff>
      <xdr:row>60</xdr:row>
      <xdr:rowOff>24493</xdr:rowOff>
    </xdr:from>
    <xdr:to>
      <xdr:col>28</xdr:col>
      <xdr:colOff>631372</xdr:colOff>
      <xdr:row>60</xdr:row>
      <xdr:rowOff>32657</xdr:rowOff>
    </xdr:to>
    <xdr:cxnSp macro="">
      <xdr:nvCxnSpPr>
        <xdr:cNvPr id="44" name="Conector recto 43">
          <a:extLst>
            <a:ext uri="{FF2B5EF4-FFF2-40B4-BE49-F238E27FC236}">
              <a16:creationId xmlns:a16="http://schemas.microsoft.com/office/drawing/2014/main" id="{9EE52F32-1450-4CCB-968A-723CA8F55E2D}"/>
            </a:ext>
          </a:extLst>
        </xdr:cNvPr>
        <xdr:cNvCxnSpPr>
          <a:cxnSpLocks/>
        </xdr:cNvCxnSpPr>
      </xdr:nvCxnSpPr>
      <xdr:spPr>
        <a:xfrm>
          <a:off x="17239572" y="10420350"/>
          <a:ext cx="7503657" cy="8164"/>
        </a:xfrm>
        <a:prstGeom prst="line">
          <a:avLst/>
        </a:prstGeom>
        <a:ln>
          <a:solidFill>
            <a:srgbClr val="FFC000"/>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29</xdr:col>
      <xdr:colOff>32656</xdr:colOff>
      <xdr:row>49</xdr:row>
      <xdr:rowOff>141515</xdr:rowOff>
    </xdr:from>
    <xdr:to>
      <xdr:col>45</xdr:col>
      <xdr:colOff>1284515</xdr:colOff>
      <xdr:row>78</xdr:row>
      <xdr:rowOff>162379</xdr:rowOff>
    </xdr:to>
    <xdr:graphicFrame macro="">
      <xdr:nvGraphicFramePr>
        <xdr:cNvPr id="47" name="10 Gráfico">
          <a:extLst>
            <a:ext uri="{FF2B5EF4-FFF2-40B4-BE49-F238E27FC236}">
              <a16:creationId xmlns:a16="http://schemas.microsoft.com/office/drawing/2014/main" id="{F70DDADC-DB22-4248-BB3E-DDA285793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30</xdr:col>
      <xdr:colOff>189820</xdr:colOff>
      <xdr:row>65</xdr:row>
      <xdr:rowOff>108177</xdr:rowOff>
    </xdr:from>
    <xdr:to>
      <xdr:col>45</xdr:col>
      <xdr:colOff>849086</xdr:colOff>
      <xdr:row>65</xdr:row>
      <xdr:rowOff>119743</xdr:rowOff>
    </xdr:to>
    <xdr:cxnSp macro="">
      <xdr:nvCxnSpPr>
        <xdr:cNvPr id="48" name="Conector recto 47">
          <a:extLst>
            <a:ext uri="{FF2B5EF4-FFF2-40B4-BE49-F238E27FC236}">
              <a16:creationId xmlns:a16="http://schemas.microsoft.com/office/drawing/2014/main" id="{319AFA5D-E9A3-4E8C-93E7-53BC0D79EDC3}"/>
            </a:ext>
          </a:extLst>
        </xdr:cNvPr>
        <xdr:cNvCxnSpPr/>
      </xdr:nvCxnSpPr>
      <xdr:spPr>
        <a:xfrm>
          <a:off x="25890991" y="11320463"/>
          <a:ext cx="12851266" cy="11566"/>
        </a:xfrm>
        <a:prstGeom prst="line">
          <a:avLst/>
        </a:prstGeom>
        <a:ln>
          <a:solidFill>
            <a:srgbClr val="FF0000"/>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30</xdr:col>
      <xdr:colOff>195945</xdr:colOff>
      <xdr:row>61</xdr:row>
      <xdr:rowOff>10886</xdr:rowOff>
    </xdr:from>
    <xdr:to>
      <xdr:col>45</xdr:col>
      <xdr:colOff>794658</xdr:colOff>
      <xdr:row>61</xdr:row>
      <xdr:rowOff>43543</xdr:rowOff>
    </xdr:to>
    <xdr:cxnSp macro="">
      <xdr:nvCxnSpPr>
        <xdr:cNvPr id="49" name="Conector recto 48">
          <a:extLst>
            <a:ext uri="{FF2B5EF4-FFF2-40B4-BE49-F238E27FC236}">
              <a16:creationId xmlns:a16="http://schemas.microsoft.com/office/drawing/2014/main" id="{A6103409-9062-4B10-83CC-366B0D1E6A9D}"/>
            </a:ext>
          </a:extLst>
        </xdr:cNvPr>
        <xdr:cNvCxnSpPr>
          <a:cxnSpLocks/>
        </xdr:cNvCxnSpPr>
      </xdr:nvCxnSpPr>
      <xdr:spPr>
        <a:xfrm>
          <a:off x="25897116" y="10570029"/>
          <a:ext cx="12790713" cy="32657"/>
        </a:xfrm>
        <a:prstGeom prst="line">
          <a:avLst/>
        </a:prstGeom>
        <a:ln>
          <a:solidFill>
            <a:srgbClr val="FFC000"/>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51</xdr:col>
      <xdr:colOff>478972</xdr:colOff>
      <xdr:row>133</xdr:row>
      <xdr:rowOff>38100</xdr:rowOff>
    </xdr:from>
    <xdr:to>
      <xdr:col>59</xdr:col>
      <xdr:colOff>293915</xdr:colOff>
      <xdr:row>150</xdr:row>
      <xdr:rowOff>5443</xdr:rowOff>
    </xdr:to>
    <xdr:graphicFrame macro="">
      <xdr:nvGraphicFramePr>
        <xdr:cNvPr id="26" name="Gráfico 25">
          <a:extLst>
            <a:ext uri="{FF2B5EF4-FFF2-40B4-BE49-F238E27FC236}">
              <a16:creationId xmlns:a16="http://schemas.microsoft.com/office/drawing/2014/main" id="{0AF60759-E68D-4A69-8077-A4AFF45C2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52</xdr:col>
      <xdr:colOff>0</xdr:colOff>
      <xdr:row>152</xdr:row>
      <xdr:rowOff>0</xdr:rowOff>
    </xdr:from>
    <xdr:to>
      <xdr:col>59</xdr:col>
      <xdr:colOff>337457</xdr:colOff>
      <xdr:row>168</xdr:row>
      <xdr:rowOff>130629</xdr:rowOff>
    </xdr:to>
    <xdr:graphicFrame macro="">
      <xdr:nvGraphicFramePr>
        <xdr:cNvPr id="50" name="Gráfico 49">
          <a:extLst>
            <a:ext uri="{FF2B5EF4-FFF2-40B4-BE49-F238E27FC236}">
              <a16:creationId xmlns:a16="http://schemas.microsoft.com/office/drawing/2014/main" id="{DD4AE980-91C9-49FC-93E0-0220BCE1A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52</xdr:col>
      <xdr:colOff>0</xdr:colOff>
      <xdr:row>173</xdr:row>
      <xdr:rowOff>0</xdr:rowOff>
    </xdr:from>
    <xdr:to>
      <xdr:col>59</xdr:col>
      <xdr:colOff>337457</xdr:colOff>
      <xdr:row>189</xdr:row>
      <xdr:rowOff>130629</xdr:rowOff>
    </xdr:to>
    <xdr:graphicFrame macro="">
      <xdr:nvGraphicFramePr>
        <xdr:cNvPr id="51" name="Gráfico 50">
          <a:extLst>
            <a:ext uri="{FF2B5EF4-FFF2-40B4-BE49-F238E27FC236}">
              <a16:creationId xmlns:a16="http://schemas.microsoft.com/office/drawing/2014/main" id="{8F513836-3714-406C-B4C4-47A0287C5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52</xdr:col>
      <xdr:colOff>0</xdr:colOff>
      <xdr:row>192</xdr:row>
      <xdr:rowOff>0</xdr:rowOff>
    </xdr:from>
    <xdr:to>
      <xdr:col>59</xdr:col>
      <xdr:colOff>337457</xdr:colOff>
      <xdr:row>208</xdr:row>
      <xdr:rowOff>130628</xdr:rowOff>
    </xdr:to>
    <xdr:graphicFrame macro="">
      <xdr:nvGraphicFramePr>
        <xdr:cNvPr id="52" name="Gráfico 51">
          <a:extLst>
            <a:ext uri="{FF2B5EF4-FFF2-40B4-BE49-F238E27FC236}">
              <a16:creationId xmlns:a16="http://schemas.microsoft.com/office/drawing/2014/main" id="{216BA009-3751-4ACE-96BD-48C97319B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41</xdr:col>
      <xdr:colOff>511629</xdr:colOff>
      <xdr:row>131</xdr:row>
      <xdr:rowOff>70755</xdr:rowOff>
    </xdr:from>
    <xdr:to>
      <xdr:col>51</xdr:col>
      <xdr:colOff>304800</xdr:colOff>
      <xdr:row>170</xdr:row>
      <xdr:rowOff>65314</xdr:rowOff>
    </xdr:to>
    <xdr:graphicFrame macro="">
      <xdr:nvGraphicFramePr>
        <xdr:cNvPr id="45" name="Gráfico 44">
          <a:extLst>
            <a:ext uri="{FF2B5EF4-FFF2-40B4-BE49-F238E27FC236}">
              <a16:creationId xmlns:a16="http://schemas.microsoft.com/office/drawing/2014/main" id="{7D96D7EB-9A0C-445B-AB02-66AA0155A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114</xdr:col>
      <xdr:colOff>174171</xdr:colOff>
      <xdr:row>26</xdr:row>
      <xdr:rowOff>130628</xdr:rowOff>
    </xdr:from>
    <xdr:to>
      <xdr:col>120</xdr:col>
      <xdr:colOff>457200</xdr:colOff>
      <xdr:row>46</xdr:row>
      <xdr:rowOff>65314</xdr:rowOff>
    </xdr:to>
    <xdr:graphicFrame macro="">
      <xdr:nvGraphicFramePr>
        <xdr:cNvPr id="53" name="Gráfico 12">
          <a:extLst>
            <a:ext uri="{FF2B5EF4-FFF2-40B4-BE49-F238E27FC236}">
              <a16:creationId xmlns:a16="http://schemas.microsoft.com/office/drawing/2014/main" id="{AD163A1B-B6D4-4DA4-9D1E-DF09D9BB3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121</xdr:col>
      <xdr:colOff>0</xdr:colOff>
      <xdr:row>26</xdr:row>
      <xdr:rowOff>0</xdr:rowOff>
    </xdr:from>
    <xdr:to>
      <xdr:col>127</xdr:col>
      <xdr:colOff>283029</xdr:colOff>
      <xdr:row>45</xdr:row>
      <xdr:rowOff>97972</xdr:rowOff>
    </xdr:to>
    <xdr:graphicFrame macro="">
      <xdr:nvGraphicFramePr>
        <xdr:cNvPr id="54" name="Gráfico 12">
          <a:extLst>
            <a:ext uri="{FF2B5EF4-FFF2-40B4-BE49-F238E27FC236}">
              <a16:creationId xmlns:a16="http://schemas.microsoft.com/office/drawing/2014/main" id="{148D3DEA-F5FF-4BA5-BF17-4AC85393A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129</xdr:col>
      <xdr:colOff>0</xdr:colOff>
      <xdr:row>27</xdr:row>
      <xdr:rowOff>0</xdr:rowOff>
    </xdr:from>
    <xdr:to>
      <xdr:col>135</xdr:col>
      <xdr:colOff>283029</xdr:colOff>
      <xdr:row>46</xdr:row>
      <xdr:rowOff>97971</xdr:rowOff>
    </xdr:to>
    <xdr:graphicFrame macro="">
      <xdr:nvGraphicFramePr>
        <xdr:cNvPr id="3" name="Gráfico 12">
          <a:extLst>
            <a:ext uri="{FF2B5EF4-FFF2-40B4-BE49-F238E27FC236}">
              <a16:creationId xmlns:a16="http://schemas.microsoft.com/office/drawing/2014/main" id="{293C2839-D29B-45AB-A588-4EC36D5F6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138</xdr:col>
      <xdr:colOff>0</xdr:colOff>
      <xdr:row>27</xdr:row>
      <xdr:rowOff>0</xdr:rowOff>
    </xdr:from>
    <xdr:to>
      <xdr:col>144</xdr:col>
      <xdr:colOff>283029</xdr:colOff>
      <xdr:row>46</xdr:row>
      <xdr:rowOff>97971</xdr:rowOff>
    </xdr:to>
    <xdr:graphicFrame macro="">
      <xdr:nvGraphicFramePr>
        <xdr:cNvPr id="5" name="Gráfico 12">
          <a:extLst>
            <a:ext uri="{FF2B5EF4-FFF2-40B4-BE49-F238E27FC236}">
              <a16:creationId xmlns:a16="http://schemas.microsoft.com/office/drawing/2014/main" id="{14B5FAFC-5025-4F1A-A6C8-82400D6DE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128</xdr:col>
      <xdr:colOff>0</xdr:colOff>
      <xdr:row>3</xdr:row>
      <xdr:rowOff>0</xdr:rowOff>
    </xdr:from>
    <xdr:to>
      <xdr:col>135</xdr:col>
      <xdr:colOff>82550</xdr:colOff>
      <xdr:row>21</xdr:row>
      <xdr:rowOff>153307</xdr:rowOff>
    </xdr:to>
    <xdr:graphicFrame macro="">
      <xdr:nvGraphicFramePr>
        <xdr:cNvPr id="55" name="Gráfico 12">
          <a:extLst>
            <a:ext uri="{FF2B5EF4-FFF2-40B4-BE49-F238E27FC236}">
              <a16:creationId xmlns:a16="http://schemas.microsoft.com/office/drawing/2014/main" id="{38FA7C83-21FE-4869-BB44-8CC2D77B7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136</xdr:col>
      <xdr:colOff>0</xdr:colOff>
      <xdr:row>3</xdr:row>
      <xdr:rowOff>0</xdr:rowOff>
    </xdr:from>
    <xdr:to>
      <xdr:col>142</xdr:col>
      <xdr:colOff>283029</xdr:colOff>
      <xdr:row>25</xdr:row>
      <xdr:rowOff>54428</xdr:rowOff>
    </xdr:to>
    <xdr:graphicFrame macro="">
      <xdr:nvGraphicFramePr>
        <xdr:cNvPr id="56" name="Gráfico 12">
          <a:extLst>
            <a:ext uri="{FF2B5EF4-FFF2-40B4-BE49-F238E27FC236}">
              <a16:creationId xmlns:a16="http://schemas.microsoft.com/office/drawing/2014/main" id="{9D133B98-18B2-46C1-A297-C7ED5538E0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143</xdr:col>
      <xdr:colOff>0</xdr:colOff>
      <xdr:row>3</xdr:row>
      <xdr:rowOff>0</xdr:rowOff>
    </xdr:from>
    <xdr:to>
      <xdr:col>149</xdr:col>
      <xdr:colOff>283029</xdr:colOff>
      <xdr:row>25</xdr:row>
      <xdr:rowOff>54428</xdr:rowOff>
    </xdr:to>
    <xdr:graphicFrame macro="">
      <xdr:nvGraphicFramePr>
        <xdr:cNvPr id="57" name="Gráfico 12">
          <a:extLst>
            <a:ext uri="{FF2B5EF4-FFF2-40B4-BE49-F238E27FC236}">
              <a16:creationId xmlns:a16="http://schemas.microsoft.com/office/drawing/2014/main" id="{E6AE7D3D-5E85-4B2E-98C5-59A138173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120</xdr:col>
      <xdr:colOff>0</xdr:colOff>
      <xdr:row>1</xdr:row>
      <xdr:rowOff>0</xdr:rowOff>
    </xdr:from>
    <xdr:to>
      <xdr:col>126</xdr:col>
      <xdr:colOff>283029</xdr:colOff>
      <xdr:row>23</xdr:row>
      <xdr:rowOff>54429</xdr:rowOff>
    </xdr:to>
    <xdr:graphicFrame macro="">
      <xdr:nvGraphicFramePr>
        <xdr:cNvPr id="21" name="Gráfico 12">
          <a:extLst>
            <a:ext uri="{FF2B5EF4-FFF2-40B4-BE49-F238E27FC236}">
              <a16:creationId xmlns:a16="http://schemas.microsoft.com/office/drawing/2014/main" id="{0A34144A-8BFF-4E9A-92C9-B9B1EA435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9</xdr:col>
      <xdr:colOff>520700</xdr:colOff>
      <xdr:row>1</xdr:row>
      <xdr:rowOff>152400</xdr:rowOff>
    </xdr:from>
    <xdr:to>
      <xdr:col>17</xdr:col>
      <xdr:colOff>590550</xdr:colOff>
      <xdr:row>19</xdr:row>
      <xdr:rowOff>19050</xdr:rowOff>
    </xdr:to>
    <xdr:graphicFrame macro="">
      <xdr:nvGraphicFramePr>
        <xdr:cNvPr id="4" name="3 Gráfico">
          <a:extLst>
            <a:ext uri="{FF2B5EF4-FFF2-40B4-BE49-F238E27FC236}">
              <a16:creationId xmlns:a16="http://schemas.microsoft.com/office/drawing/2014/main" id="{00000000-0008-0000-2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533400</xdr:colOff>
      <xdr:row>22</xdr:row>
      <xdr:rowOff>82550</xdr:rowOff>
    </xdr:from>
    <xdr:to>
      <xdr:col>16</xdr:col>
      <xdr:colOff>527050</xdr:colOff>
      <xdr:row>42</xdr:row>
      <xdr:rowOff>44450</xdr:rowOff>
    </xdr:to>
    <xdr:graphicFrame macro="">
      <xdr:nvGraphicFramePr>
        <xdr:cNvPr id="3" name="2 Gráfico">
          <a:extLst>
            <a:ext uri="{FF2B5EF4-FFF2-40B4-BE49-F238E27FC236}">
              <a16:creationId xmlns:a16="http://schemas.microsoft.com/office/drawing/2014/main" id="{00000000-0008-0000-2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44450</xdr:colOff>
      <xdr:row>44</xdr:row>
      <xdr:rowOff>31750</xdr:rowOff>
    </xdr:from>
    <xdr:to>
      <xdr:col>17</xdr:col>
      <xdr:colOff>38100</xdr:colOff>
      <xdr:row>63</xdr:row>
      <xdr:rowOff>146050</xdr:rowOff>
    </xdr:to>
    <xdr:graphicFrame macro="">
      <xdr:nvGraphicFramePr>
        <xdr:cNvPr id="5" name="4 Gráfico">
          <a:extLst>
            <a:ext uri="{FF2B5EF4-FFF2-40B4-BE49-F238E27FC236}">
              <a16:creationId xmlns:a16="http://schemas.microsoft.com/office/drawing/2014/main" id="{00000000-0008-0000-2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Documents%20and%20Settings\cop_parame\Escritorio\Nuevo%20ATENCIONES%20ALERTA%20MEDICA%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NPI-Sistemas%20de%20Gestion\Control%20de%20P&#233;rdidas\ELEMENTO%2013%20-%20Evaluaci&#243;n%20del%20Programa\WORKSHOP%202010\IndicadoresCOPY1%20(version%2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mparralesb\Documents\SEGURIDAD%20INDUSTRIAL%20INBALNOR\TODO1\INCIDENTES%20Y%20ACCIDENTES\CUADRO%20RESUMEN%20DE%20ACCIDENTABILIDAD%20INBALNOR%20HASTA%20201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Users\jbricenop\AppData\Local\Microsoft\Windows\INetCache\Content.Outlook\PXXSE1CT\Argentina%20Indicadores%20SST%20Febrero%20201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Users\mpoloc\AppData\Local\Microsoft\Windows\Temporary%20Internet%20Files\Content.Outlook\H3555V1V\Copia%20de%20Resultados%2020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MAN-Seguridad%20Industrial\Seguridad%20Industrial\IOM%20CDC%202011\Copia%20de%20Resultados%202011-MAR%20M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MAN-Seguridad%20Industrial\OHSAS%2018001\4.5%20Verificaci&#243;n\4.5.1%20Medici&#243;n%20y%20Seguimiento\IOM%20SST\ENERO\Indicadores%20seguridad%20Molinca%20-%20IOM.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Documents%20and%20Settings\kbarretoq\Escritorio\Copia%20de%20Resultados%202011-MAR%20KB.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Users\jbricenop\AppData\Local\Microsoft\Windows\INetCache\Content.Outlook\PXXSE1CT\Grafico%20IF%20-%20HH.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MAN-Seguridad%20Industrial\OHSAS%2018001\4.5%20Verificaci&#243;n\4.5.1%20Medici&#243;n%20y%20Seguimiento\IOM%20SST\2021\Resultados%20SST%202021%20V0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MAN-Seguridad%20Industrial\OHSAS%2018001\4.5%20Verificaci&#243;n\4.5.1%20Medici&#243;n%20y%20Seguimiento\IOM%20SST\2012\Diciembre\Resultados%202012-Dic.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Documents%20and%20Settings\jdiazi\Escritorio\Resultados%20Acumulados%20Fid%20y%20De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AUDITORIA%20COPSA\PROTOCOLO%20EVALUACION%20SGSST%20COPSA%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o"/>
      <sheetName val="Junio"/>
      <sheetName val="Julio"/>
      <sheetName val="Agosto"/>
      <sheetName val="Setiembre"/>
      <sheetName val="Octubre"/>
      <sheetName val="Noviembre"/>
      <sheetName val="Diciembre"/>
      <sheetName val="Hoja2"/>
      <sheetName val="Hoja1"/>
      <sheetName val="Medicamentos"/>
      <sheetName val="Listas"/>
      <sheetName val="Colaboradores"/>
      <sheetName val="Pedido 19-05-2008"/>
      <sheetName val="Pedido 28-05-2008"/>
      <sheetName val="Pedido 04-06-2008"/>
      <sheetName val="Pedido 07-06-2008"/>
      <sheetName val="Pedido 10-06-2008"/>
      <sheetName val="Pedido 26-06-2008"/>
      <sheetName val="Pedido 30-07-2008"/>
      <sheetName val="Gráfico1"/>
      <sheetName val="Pedido 27-08-2008"/>
      <sheetName val="Pedido 08-09-2008"/>
      <sheetName val="Pedido 16-09-2008"/>
      <sheetName val="Pedido 24-09-2008"/>
      <sheetName val="Pedido 10-10-2008"/>
      <sheetName val="Pedido 29-10-2008"/>
      <sheetName val="Pedido 30-11-2008"/>
    </sheetNames>
    <sheetDataSet>
      <sheetData sheetId="0"/>
      <sheetData sheetId="1"/>
      <sheetData sheetId="2"/>
      <sheetData sheetId="3"/>
      <sheetData sheetId="4"/>
      <sheetData sheetId="5"/>
      <sheetData sheetId="6"/>
      <sheetData sheetId="7"/>
      <sheetData sheetId="8"/>
      <sheetData sheetId="9"/>
      <sheetData sheetId="10" refreshError="1">
        <row r="6">
          <cell r="C6" t="str">
            <v>BUSCAPINA COMPOSITUM</v>
          </cell>
        </row>
        <row r="7">
          <cell r="C7" t="str">
            <v>ACIDO ACETIL SALICILICO</v>
          </cell>
        </row>
        <row r="8">
          <cell r="C8" t="str">
            <v>CAPTOPRIL 25mg</v>
          </cell>
        </row>
        <row r="9">
          <cell r="C9" t="str">
            <v>DIGESTASE</v>
          </cell>
        </row>
        <row r="10">
          <cell r="C10" t="str">
            <v>GRAVOL 50 mg</v>
          </cell>
        </row>
        <row r="11">
          <cell r="C11" t="str">
            <v>HIOSCINA 10mg</v>
          </cell>
        </row>
        <row r="12">
          <cell r="C12" t="str">
            <v>IBUPROFENO 400mg</v>
          </cell>
        </row>
        <row r="13">
          <cell r="C13" t="str">
            <v>ISORBIDE 5mg (SUBLINGÜAL)</v>
          </cell>
        </row>
        <row r="14">
          <cell r="C14" t="str">
            <v>LANZOPRASOL 30 mg</v>
          </cell>
        </row>
        <row r="15">
          <cell r="C15" t="str">
            <v>LORATADINA 10mg</v>
          </cell>
        </row>
        <row r="16">
          <cell r="C16" t="str">
            <v xml:space="preserve">MYLANTA </v>
          </cell>
        </row>
        <row r="17">
          <cell r="C17" t="str">
            <v>PANADOL ANTIGRIPAL</v>
          </cell>
        </row>
        <row r="18">
          <cell r="C18" t="str">
            <v>PARACETAMOL 500mg</v>
          </cell>
        </row>
        <row r="19">
          <cell r="C19" t="str">
            <v>SIMETICONA 80 mg</v>
          </cell>
        </row>
        <row r="20">
          <cell r="C20" t="str">
            <v>TONOPAN</v>
          </cell>
        </row>
        <row r="21">
          <cell r="C21" t="str">
            <v>TRAMAL 50mg</v>
          </cell>
        </row>
        <row r="22">
          <cell r="C22" t="str">
            <v>DIMENHIDRINATO 50mg</v>
          </cell>
        </row>
        <row r="23">
          <cell r="C23" t="str">
            <v>CLORFERINAMINA 10mg/Ml</v>
          </cell>
        </row>
        <row r="24">
          <cell r="C24" t="str">
            <v>DEXAMETASONA 4mg/2mL</v>
          </cell>
        </row>
        <row r="25">
          <cell r="C25" t="str">
            <v>DIAZEPAM 10 mg/2ml</v>
          </cell>
        </row>
        <row r="26">
          <cell r="C26" t="str">
            <v>DICLOFENACO 75mg/3mL</v>
          </cell>
        </row>
        <row r="27">
          <cell r="C27" t="str">
            <v>DIMENHIDRINATO 50mg/5ml</v>
          </cell>
        </row>
        <row r="28">
          <cell r="C28" t="str">
            <v>EPINEFRINA 1% 1mL</v>
          </cell>
        </row>
        <row r="29">
          <cell r="C29" t="str">
            <v>ESCOPOLAMINA 20mg/1ml</v>
          </cell>
        </row>
        <row r="30">
          <cell r="C30" t="str">
            <v>FUROSEMIDA 20mg/2mL</v>
          </cell>
        </row>
        <row r="31">
          <cell r="C31" t="str">
            <v>KETOROLACO 60mg/2mL</v>
          </cell>
        </row>
        <row r="32">
          <cell r="C32" t="str">
            <v>METAMIZOL 1gr/2mL</v>
          </cell>
        </row>
        <row r="33">
          <cell r="C33" t="str">
            <v>ORFENADRINA 60mg/2mL</v>
          </cell>
        </row>
        <row r="34">
          <cell r="C34" t="str">
            <v>RANITIDINA 50mg/2mL</v>
          </cell>
        </row>
        <row r="35">
          <cell r="C35" t="str">
            <v>TRAMAL 100mg/2mL</v>
          </cell>
        </row>
        <row r="36">
          <cell r="C36" t="str">
            <v xml:space="preserve">BEROTEC </v>
          </cell>
        </row>
        <row r="37">
          <cell r="C37" t="str">
            <v>BETAMETASONA 0.05%</v>
          </cell>
        </row>
        <row r="38">
          <cell r="C38" t="str">
            <v>COLIRIO EYE-MO</v>
          </cell>
        </row>
        <row r="39">
          <cell r="C39" t="str">
            <v>DICLOFENACO 1% GEL</v>
          </cell>
        </row>
        <row r="40">
          <cell r="C40" t="str">
            <v>ENCICORT TOPICO BUCAL TOQUES 15 ML</v>
          </cell>
        </row>
        <row r="41">
          <cell r="C41" t="str">
            <v>FRAMYCORT</v>
          </cell>
        </row>
        <row r="42">
          <cell r="C42" t="str">
            <v>OTOZAMBON SOLUCIÓN</v>
          </cell>
        </row>
        <row r="43">
          <cell r="C43" t="str">
            <v xml:space="preserve">SILVERDIAZINA </v>
          </cell>
        </row>
        <row r="44">
          <cell r="C44" t="str">
            <v xml:space="preserve">SILVERDIAZINA </v>
          </cell>
        </row>
        <row r="45">
          <cell r="C45" t="str">
            <v>SOLCOSERYL</v>
          </cell>
        </row>
        <row r="46">
          <cell r="C46" t="str">
            <v xml:space="preserve">TERRAMICINA </v>
          </cell>
        </row>
        <row r="47">
          <cell r="C47" t="str">
            <v>XILONEST 2% JALEA</v>
          </cell>
        </row>
        <row r="48">
          <cell r="C48" t="str">
            <v>ABBOCATH-T 18G</v>
          </cell>
        </row>
        <row r="49">
          <cell r="C49" t="str">
            <v>ABBOCATH-T 20G</v>
          </cell>
        </row>
        <row r="50">
          <cell r="C50" t="str">
            <v xml:space="preserve">AGUA DESTILADA </v>
          </cell>
        </row>
        <row r="51">
          <cell r="C51" t="str">
            <v>AGUA OXIGENADA</v>
          </cell>
        </row>
        <row r="52">
          <cell r="C52" t="str">
            <v>AGUJAS DESCARTABLES 21G</v>
          </cell>
        </row>
        <row r="53">
          <cell r="C53" t="str">
            <v>AGUJAS DESCARTABLES 23G</v>
          </cell>
        </row>
        <row r="54">
          <cell r="C54" t="str">
            <v>AGUJAS DESCARTABLES 25G</v>
          </cell>
        </row>
        <row r="55">
          <cell r="C55" t="str">
            <v>ALCOHOL 96°</v>
          </cell>
        </row>
        <row r="56">
          <cell r="C56" t="str">
            <v xml:space="preserve">ALGODÓN </v>
          </cell>
        </row>
        <row r="57">
          <cell r="C57" t="str">
            <v>BAJALENGUAS DESCARTABLE</v>
          </cell>
        </row>
        <row r="58">
          <cell r="C58" t="str">
            <v>CANULA BINASAL</v>
          </cell>
        </row>
        <row r="59">
          <cell r="C59" t="str">
            <v>CLORURO DE SODIO AL 0,9%</v>
          </cell>
        </row>
        <row r="60">
          <cell r="C60" t="str">
            <v>ELECTRORAL NF</v>
          </cell>
        </row>
        <row r="61">
          <cell r="C61" t="str">
            <v>EQUIPO DE VENOCLISIS</v>
          </cell>
        </row>
        <row r="62">
          <cell r="C62" t="str">
            <v>ESPARADRAPO DURAPORE 2.5 cm x 5 m</v>
          </cell>
        </row>
        <row r="63">
          <cell r="C63" t="str">
            <v>ESTETOSCOPIO PLOMO</v>
          </cell>
        </row>
        <row r="64">
          <cell r="C64" t="str">
            <v>GASA PARAFINADA (PARAFINET de 10cm x 10cm)</v>
          </cell>
        </row>
        <row r="65">
          <cell r="C65" t="str">
            <v xml:space="preserve">GASA QUIRÚRGICA ABSORVENTE </v>
          </cell>
        </row>
        <row r="66">
          <cell r="C66" t="str">
            <v xml:space="preserve">DEXTROSA AL 33.3% </v>
          </cell>
        </row>
        <row r="67">
          <cell r="C67" t="str">
            <v>GUANTES DE LATEX DE EXAMEN TALLA M</v>
          </cell>
        </row>
        <row r="68">
          <cell r="C68" t="str">
            <v>GUANTES QUIRÚRGICOS N°7</v>
          </cell>
        </row>
        <row r="69">
          <cell r="C69" t="str">
            <v>GUANTES QUIRÚRGICOS N°7 1/2</v>
          </cell>
        </row>
        <row r="70">
          <cell r="C70" t="str">
            <v xml:space="preserve">GUANTES QUIRURGICOS N°8 </v>
          </cell>
        </row>
        <row r="71">
          <cell r="C71" t="str">
            <v>HISOPOS DESCARTABLES 6" ESTERIL</v>
          </cell>
        </row>
        <row r="72">
          <cell r="C72" t="str">
            <v>HOJA DE BISTURI N°10</v>
          </cell>
        </row>
        <row r="73">
          <cell r="C73" t="str">
            <v>JERINGA 20cc</v>
          </cell>
        </row>
        <row r="74">
          <cell r="C74" t="str">
            <v>JERINGA 5cc</v>
          </cell>
        </row>
        <row r="75">
          <cell r="C75" t="str">
            <v>LIDOCAINA AL 2% 20mg/mL</v>
          </cell>
        </row>
        <row r="76">
          <cell r="C76" t="str">
            <v>MASCARILLA DE NEBULIZACION ADULTO</v>
          </cell>
        </row>
        <row r="77">
          <cell r="C77" t="str">
            <v>MASCARILLA DE NEBULIZACION PEDIATRICA</v>
          </cell>
        </row>
        <row r="78">
          <cell r="C78" t="str">
            <v>MASCARILLA DE RESERVORIO</v>
          </cell>
        </row>
        <row r="79">
          <cell r="C79" t="str">
            <v>Nylon monofilamento 3/0 TC 20</v>
          </cell>
        </row>
        <row r="80">
          <cell r="C80" t="str">
            <v>nylon monofilamento 4/0 TC 20</v>
          </cell>
        </row>
        <row r="81">
          <cell r="C81" t="str">
            <v>SCALP VEIN  21G X 3/4 "</v>
          </cell>
        </row>
        <row r="82">
          <cell r="C82" t="str">
            <v>SCALP VEIN  23G X 3/4 "</v>
          </cell>
        </row>
        <row r="83">
          <cell r="C83" t="str">
            <v>Seda Negra 3/0 TC 20</v>
          </cell>
        </row>
        <row r="84">
          <cell r="C84" t="str">
            <v>STERI STRIP 1541 1/4 X 3"</v>
          </cell>
        </row>
        <row r="85">
          <cell r="C85" t="str">
            <v>TENSIOMETRO PLOMO</v>
          </cell>
        </row>
        <row r="86">
          <cell r="C86" t="str">
            <v>TERMOMETRO ORAL</v>
          </cell>
        </row>
        <row r="87">
          <cell r="C87" t="str">
            <v>VENDAS ELASTICAS 2"</v>
          </cell>
        </row>
        <row r="88">
          <cell r="C88" t="str">
            <v>VENDAS ELASTICAS 4"</v>
          </cell>
        </row>
        <row r="89">
          <cell r="C89" t="str">
            <v>VENDAS ELASTICAS 6"</v>
          </cell>
        </row>
        <row r="90">
          <cell r="C90" t="str">
            <v>YODO EN ESPUMA</v>
          </cell>
        </row>
        <row r="91">
          <cell r="C91" t="str">
            <v>YODO EN SOLUCIÓN</v>
          </cell>
        </row>
        <row r="92">
          <cell r="C92" t="str">
            <v>MASCARILLA DE NEBULIZACION PEDIATRICA</v>
          </cell>
        </row>
        <row r="93">
          <cell r="C93" t="str">
            <v>MASCARILLA DE RESERVORIO</v>
          </cell>
        </row>
        <row r="94">
          <cell r="C94" t="str">
            <v>Nylon monofilamento 3/0 TC 20</v>
          </cell>
        </row>
        <row r="95">
          <cell r="C95" t="str">
            <v>nylon monofilamento 4/0 TC 20</v>
          </cell>
        </row>
        <row r="96">
          <cell r="C96" t="str">
            <v>SCALP VEIN  21G X 3/4 "</v>
          </cell>
        </row>
        <row r="97">
          <cell r="C97" t="str">
            <v>SCALP VEIN  23G X 3/4 "</v>
          </cell>
        </row>
        <row r="98">
          <cell r="C98" t="str">
            <v>Seda Negra 3/0 TC 20</v>
          </cell>
        </row>
        <row r="99">
          <cell r="C99" t="str">
            <v>STERI STRIP 1541 1/4 X 3"</v>
          </cell>
        </row>
        <row r="100">
          <cell r="C100" t="str">
            <v>TENSIOMETRO PLOMO</v>
          </cell>
        </row>
        <row r="101">
          <cell r="C101" t="str">
            <v>TERMOMETRO ORAL</v>
          </cell>
        </row>
        <row r="102">
          <cell r="C102" t="str">
            <v>VENDAS ELASTICAS 2"</v>
          </cell>
        </row>
        <row r="103">
          <cell r="C103" t="str">
            <v>VENDAS ELASTICAS 4"</v>
          </cell>
        </row>
        <row r="104">
          <cell r="C104" t="str">
            <v>VENDAS ELASTICAS 6"</v>
          </cell>
        </row>
        <row r="105">
          <cell r="C105" t="str">
            <v>YODO EN ESPUMA</v>
          </cell>
        </row>
        <row r="106">
          <cell r="C106" t="str">
            <v>YODO EN SOLUCIÓN</v>
          </cell>
        </row>
        <row r="107">
          <cell r="C107" t="str">
            <v>YOVISOL ESPUMA</v>
          </cell>
        </row>
      </sheetData>
      <sheetData sheetId="11" refreshError="1">
        <row r="4">
          <cell r="A4" t="str">
            <v>DR. PESTANA</v>
          </cell>
          <cell r="C4" t="str">
            <v>ANTONIO PADILLA</v>
          </cell>
          <cell r="E4" t="str">
            <v>EMPLEADO</v>
          </cell>
          <cell r="G4" t="str">
            <v>ASMA/HRB( crisis asmatica)</v>
          </cell>
          <cell r="J4" t="str">
            <v>ADMINIS.CENTRAL</v>
          </cell>
          <cell r="L4" t="str">
            <v>LESION INCAPACITANTE</v>
          </cell>
          <cell r="N4" t="str">
            <v>CONSULTA</v>
          </cell>
        </row>
        <row r="5">
          <cell r="A5" t="str">
            <v>DRA. JIMÉNEZ</v>
          </cell>
          <cell r="C5" t="str">
            <v>MANUEL QUISPE</v>
          </cell>
          <cell r="E5" t="str">
            <v>OBRERO</v>
          </cell>
          <cell r="G5" t="str">
            <v>BRONQUITIS AGUDA</v>
          </cell>
          <cell r="J5" t="str">
            <v>BALANC.LIMA</v>
          </cell>
          <cell r="L5" t="str">
            <v>LESION CON TRANSFERENCIA A OTRO PUESTO DE TRABAJO O RESTRICTIVO</v>
          </cell>
          <cell r="N5" t="str">
            <v>URGENCIA</v>
          </cell>
        </row>
        <row r="6">
          <cell r="A6" t="str">
            <v>DR. SANCHEZ F</v>
          </cell>
          <cell r="C6" t="str">
            <v>WALTER PRADO</v>
          </cell>
          <cell r="E6" t="str">
            <v>PRACTICANTE</v>
          </cell>
          <cell r="G6" t="str">
            <v>CEFALEA (CEFALEA TENSIONAL, MIGRAÑA )</v>
          </cell>
          <cell r="J6" t="str">
            <v>COPSA</v>
          </cell>
          <cell r="L6" t="str">
            <v>LESIONES MENORES CON TRATAMIENTO MÉDICO</v>
          </cell>
          <cell r="N6" t="str">
            <v>EMERGENCIA</v>
          </cell>
        </row>
        <row r="7">
          <cell r="A7" t="str">
            <v>DRA. CABEZAS</v>
          </cell>
          <cell r="C7" t="str">
            <v>VICTOR GUERRERO</v>
          </cell>
          <cell r="E7" t="str">
            <v>CONTRATISTA</v>
          </cell>
          <cell r="G7" t="str">
            <v>CONTROL DE PA / TEMPERATURA</v>
          </cell>
          <cell r="J7" t="str">
            <v>DISTRIBUCION</v>
          </cell>
          <cell r="L7" t="str">
            <v>LESIONES MENORES ATENDIDAS CON PRIMEROS AUXILIOS</v>
          </cell>
          <cell r="N7" t="str">
            <v>PROCEDIMIENTO</v>
          </cell>
        </row>
        <row r="8">
          <cell r="A8" t="str">
            <v>DRA. SANCHEZ G</v>
          </cell>
          <cell r="C8" t="str">
            <v>CARLOS SIMEÓN</v>
          </cell>
          <cell r="E8" t="str">
            <v>VISITANTE</v>
          </cell>
          <cell r="G8" t="str">
            <v xml:space="preserve">CONTUSIONES </v>
          </cell>
          <cell r="J8" t="str">
            <v>FIDEER.ALIANZA</v>
          </cell>
        </row>
        <row r="9">
          <cell r="A9" t="str">
            <v>DRA. PIMENTEL</v>
          </cell>
          <cell r="C9" t="str">
            <v>JORGE CHAVEZ</v>
          </cell>
          <cell r="E9" t="str">
            <v>OTRO</v>
          </cell>
          <cell r="G9" t="str">
            <v>CONVULSION GENERALIZADA</v>
          </cell>
          <cell r="J9" t="str">
            <v>FIDEER.LIMA</v>
          </cell>
        </row>
        <row r="10">
          <cell r="A10" t="str">
            <v>DR. MUÑANTE</v>
          </cell>
          <cell r="C10" t="str">
            <v>JENNER GOMERO</v>
          </cell>
          <cell r="G10" t="str">
            <v>CURACIONES</v>
          </cell>
          <cell r="J10" t="str">
            <v>GALLET.CALLAO</v>
          </cell>
        </row>
        <row r="11">
          <cell r="A11" t="str">
            <v>DR. VILLAR</v>
          </cell>
          <cell r="C11" t="str">
            <v>JENNER GOMERO</v>
          </cell>
          <cell r="G11" t="str">
            <v>DERMATOLOGICAS (micosis, herpes infectado)</v>
          </cell>
          <cell r="J11" t="str">
            <v>LAMBORGHINI</v>
          </cell>
        </row>
        <row r="12">
          <cell r="A12" t="str">
            <v>DR. CANEPA</v>
          </cell>
          <cell r="C12" t="str">
            <v xml:space="preserve"> </v>
          </cell>
          <cell r="G12" t="str">
            <v>DERMATOLOGICAS(urticaria,picadura de insecto, aftas orales)</v>
          </cell>
          <cell r="J12" t="str">
            <v>MARKETING</v>
          </cell>
          <cell r="N12" t="str">
            <v>INCAPACITANTE</v>
          </cell>
        </row>
        <row r="13">
          <cell r="A13" t="str">
            <v>DRA. SAMANIEGO</v>
          </cell>
          <cell r="G13" t="str">
            <v>DISPEPSIA/GASTRITIS</v>
          </cell>
          <cell r="J13" t="str">
            <v>MOL.STA. ROSA</v>
          </cell>
          <cell r="N13" t="str">
            <v>MENOR</v>
          </cell>
        </row>
        <row r="14">
          <cell r="G14" t="str">
            <v>DORSALGIA/TORTICOLIS</v>
          </cell>
          <cell r="J14" t="str">
            <v>MOLINO CALLAO</v>
          </cell>
          <cell r="N14" t="str">
            <v>FUERA DEL PREDIO</v>
          </cell>
        </row>
        <row r="15">
          <cell r="G15" t="str">
            <v>ESGUINCE</v>
          </cell>
          <cell r="J15" t="str">
            <v>MOLINO FAUCETT</v>
          </cell>
          <cell r="N15" t="str">
            <v>EVENTO DEPORTIVO</v>
          </cell>
        </row>
        <row r="16">
          <cell r="G16" t="str">
            <v>GECA´s(DIARREAS)</v>
          </cell>
          <cell r="J16" t="str">
            <v>OFIC.PRINCIPAL</v>
          </cell>
          <cell r="N16" t="str">
            <v>EVENTO DEPORTIVO</v>
          </cell>
        </row>
        <row r="17">
          <cell r="G17" t="str">
            <v>GINEGOLOGICAS(dismenorrea HUD, dolor pelvico)</v>
          </cell>
          <cell r="J17" t="str">
            <v>CALIXTO ROMERO</v>
          </cell>
        </row>
        <row r="18">
          <cell r="G18" t="str">
            <v>HERIDAS/EXCORIACIONES</v>
          </cell>
          <cell r="J18" t="str">
            <v>PLANEAMIENTO</v>
          </cell>
        </row>
        <row r="19">
          <cell r="G19" t="str">
            <v>HTA</v>
          </cell>
          <cell r="J19" t="str">
            <v>PLANTA BREÑA</v>
          </cell>
        </row>
        <row r="20">
          <cell r="G20" t="str">
            <v>INYECTABLES</v>
          </cell>
          <cell r="J20" t="str">
            <v>VENTAS LIMA</v>
          </cell>
        </row>
        <row r="21">
          <cell r="G21" t="str">
            <v>IRA´s(INFECCIONES DEL TRACTO RESPIRATORIO ALTO)</v>
          </cell>
          <cell r="J21" t="str">
            <v>CONTRATISTAS</v>
          </cell>
        </row>
        <row r="22">
          <cell r="G22" t="str">
            <v>LUMBALGIA</v>
          </cell>
          <cell r="J22" t="str">
            <v>VISITAS / WAWA WASI</v>
          </cell>
        </row>
        <row r="23">
          <cell r="G23" t="str">
            <v>MATERNIDAD(mareos, dolor)</v>
          </cell>
        </row>
        <row r="24">
          <cell r="G24" t="str">
            <v>ODONTOLOGICAS( odontalgia)</v>
          </cell>
        </row>
        <row r="25">
          <cell r="G25" t="str">
            <v>OFTALMOLOGICAS(conjuntivitis, chalazion, orzuelo)</v>
          </cell>
        </row>
        <row r="26">
          <cell r="G26" t="str">
            <v>OFTALMOLOGICAS(ojo rojo, cuerpo extraño, midriasis)</v>
          </cell>
        </row>
        <row r="27">
          <cell r="G27" t="str">
            <v>OSTEOCONDRITIS</v>
          </cell>
        </row>
        <row r="28">
          <cell r="G28" t="str">
            <v>OTORRINO (epistaxis, rinitis alergica)</v>
          </cell>
        </row>
        <row r="29">
          <cell r="G29" t="str">
            <v>OTORRINO (otitis/ sinusitis)</v>
          </cell>
        </row>
        <row r="30">
          <cell r="G30" t="str">
            <v>OTRAS INFECCIONES (ITU, HEPATITIS, ETC)</v>
          </cell>
        </row>
        <row r="31">
          <cell r="G31" t="str">
            <v>QUEMADURAS</v>
          </cell>
        </row>
        <row r="32">
          <cell r="G32" t="str">
            <v>SD ANSIOSO</v>
          </cell>
        </row>
        <row r="33">
          <cell r="G33" t="str">
            <v>SD DOLOROSO ABD(colico, hernia)</v>
          </cell>
        </row>
        <row r="34">
          <cell r="G34" t="str">
            <v>SD FEBRIL EAD</v>
          </cell>
        </row>
        <row r="35">
          <cell r="G35" t="str">
            <v>SINCOPE, MAREOS, NAUSEAS</v>
          </cell>
        </row>
        <row r="36">
          <cell r="G36" t="str">
            <v>SOMA (mialgia)</v>
          </cell>
        </row>
        <row r="37">
          <cell r="G37" t="str">
            <v>TENDINITIS/BURSITIS</v>
          </cell>
        </row>
        <row r="38">
          <cell r="G38" t="str">
            <v>UROLOGICAS(litiasis,orquitis)</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ACCIDENTES"/>
      <sheetName val="HORAS TRABAJADAS"/>
      <sheetName val="TABLA 1 "/>
      <sheetName val="TABLA 2 "/>
      <sheetName val="TABLA 3"/>
      <sheetName val="TABLA 4"/>
      <sheetName val="TABLA RESUMEN"/>
      <sheetName val="Molino Arequipa"/>
      <sheetName val="Galletera Trujillo"/>
      <sheetName val="Lamborgini"/>
      <sheetName val="Detergentes"/>
      <sheetName val="Oficinas Administrativas"/>
      <sheetName val="CDC"/>
      <sheetName val="Calixto"/>
      <sheetName val="Copsa"/>
      <sheetName val="Balanceados Trujillo"/>
      <sheetName val="Balanceados Lima"/>
      <sheetName val="Galletera"/>
      <sheetName val="Sidsur"/>
      <sheetName val="Fideeria Alianza"/>
      <sheetName val="Fideeria Lima"/>
      <sheetName val="Planta Breña"/>
      <sheetName val="Molino Faucett"/>
      <sheetName val="Molino Santa Rosa"/>
      <sheetName val="Molino Callao"/>
      <sheetName val="LESIONES NO INCAPACITANTES"/>
      <sheetName val="LESIONES CON DMR"/>
      <sheetName val="LESIONES INCAPACITANTES"/>
      <sheetName val="DIAS DMR"/>
      <sheetName val="DIAS PERDIDOS"/>
      <sheetName val="METAS HISTORICAS"/>
      <sheetName val="INDICES HISTORICOS"/>
      <sheetName val="ACCIDENTES CASA"/>
      <sheetName val="SALUD"/>
      <sheetName val="ERRORES REPORTE"/>
      <sheetName val="AUXILIARES"/>
    </sheetNames>
    <sheetDataSet>
      <sheetData sheetId="0" refreshError="1"/>
      <sheetData sheetId="1">
        <row r="2">
          <cell r="A2" t="str">
            <v>FECHA</v>
          </cell>
          <cell r="B2" t="str">
            <v>AÑO</v>
          </cell>
          <cell r="C2" t="str">
            <v>MES</v>
          </cell>
          <cell r="D2" t="str">
            <v>TIPO</v>
          </cell>
          <cell r="E2" t="str">
            <v>PLANTA</v>
          </cell>
          <cell r="F2" t="str">
            <v>ORIGEN LESIONADO</v>
          </cell>
          <cell r="G2" t="str">
            <v>DIAS</v>
          </cell>
          <cell r="H2" t="str">
            <v>Accidentados</v>
          </cell>
          <cell r="I2" t="str">
            <v>ÁREA</v>
          </cell>
          <cell r="J2" t="str">
            <v>CÓDIGO</v>
          </cell>
          <cell r="K2" t="str">
            <v>LESIONADO</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ow r="2">
          <cell r="U2" t="str">
            <v>MOL.STA ROSA + APT</v>
          </cell>
          <cell r="V2" t="str">
            <v>MOL. FAUCETT  + APT</v>
          </cell>
          <cell r="W2" t="str">
            <v>MOL. CALLAO + APT</v>
          </cell>
          <cell r="X2" t="str">
            <v>PLANTA BREÑA</v>
          </cell>
          <cell r="Y2" t="str">
            <v>FIDEERIA LIMA + APT</v>
          </cell>
          <cell r="Z2" t="str">
            <v>FIDEERIA ALIANZA  + APT</v>
          </cell>
          <cell r="AA2" t="str">
            <v>SIDSUR + CDR</v>
          </cell>
          <cell r="AB2" t="str">
            <v>GALLETERA CALLAO + APT</v>
          </cell>
          <cell r="AC2" t="str">
            <v>BALANCEADOS LIMA</v>
          </cell>
          <cell r="AD2" t="str">
            <v>BALANCEADOS TRUJILLO + CDR</v>
          </cell>
          <cell r="AE2" t="str">
            <v>COPSA</v>
          </cell>
          <cell r="AF2" t="str">
            <v>CALIXTO + CDR</v>
          </cell>
          <cell r="AG2" t="str">
            <v>CDC</v>
          </cell>
          <cell r="AH2" t="str">
            <v>OTRAS SUCURSALES</v>
          </cell>
          <cell r="AI2" t="str">
            <v>OFICINAS ADMINISTRATIVAS</v>
          </cell>
          <cell r="AJ2" t="str">
            <v>DETERGENTES</v>
          </cell>
          <cell r="AK2" t="str">
            <v>LAMBORGINI</v>
          </cell>
          <cell r="AM2" t="str">
            <v>MOL.STA ROSA + APT</v>
          </cell>
          <cell r="AN2" t="str">
            <v>MOL. FAUCETT  + APT</v>
          </cell>
          <cell r="AO2" t="str">
            <v>MOL. CALLAO + APT</v>
          </cell>
          <cell r="AP2" t="str">
            <v>PLANTA BREÑA</v>
          </cell>
          <cell r="AQ2" t="str">
            <v>FIDEERIA LIMA + APT</v>
          </cell>
          <cell r="AR2" t="str">
            <v>FIDEERIA ALIANZA  + APT</v>
          </cell>
          <cell r="AS2" t="str">
            <v>SIDSUR + CDR</v>
          </cell>
          <cell r="AT2" t="str">
            <v>GALLETERA CALLAO + APT</v>
          </cell>
          <cell r="AU2" t="str">
            <v>BALANCEADOS LIMA</v>
          </cell>
          <cell r="AV2" t="str">
            <v>BALANCEADOS TRUJILLO + CDR</v>
          </cell>
          <cell r="AW2" t="str">
            <v>COPSA</v>
          </cell>
          <cell r="AX2" t="str">
            <v>CALIXTO + CDR</v>
          </cell>
          <cell r="AY2" t="str">
            <v>CDC</v>
          </cell>
          <cell r="AZ2" t="str">
            <v>OTRAS SUCURSALES</v>
          </cell>
          <cell r="BA2" t="str">
            <v>OFICINAS ADMINISTRATIVAS</v>
          </cell>
          <cell r="BB2" t="str">
            <v>DETERGENTES</v>
          </cell>
          <cell r="BC2" t="str">
            <v>LAMBORGINI</v>
          </cell>
          <cell r="BD2" t="str">
            <v>ESQUIMO</v>
          </cell>
        </row>
      </sheetData>
      <sheetData sheetId="27">
        <row r="2">
          <cell r="U2" t="str">
            <v>MOL.STA ROSA + APT</v>
          </cell>
          <cell r="V2" t="str">
            <v>MOL. FAUCETT  + APT</v>
          </cell>
          <cell r="W2" t="str">
            <v>MOL. CALLAO + APT</v>
          </cell>
          <cell r="X2" t="str">
            <v>PLANTA BREÑA</v>
          </cell>
          <cell r="Y2" t="str">
            <v>FIDEERIA LIMA + APT</v>
          </cell>
          <cell r="Z2" t="str">
            <v>FIDEERIA ALIANZA  + APT</v>
          </cell>
          <cell r="AA2" t="str">
            <v>SIDSUR + CDR</v>
          </cell>
          <cell r="AB2" t="str">
            <v>GALLETERA CALLAO + APT</v>
          </cell>
          <cell r="AC2" t="str">
            <v>BALANCEADOS LIMA</v>
          </cell>
          <cell r="AD2" t="str">
            <v>BALANCEADOS TRUJILLO + CDR</v>
          </cell>
          <cell r="AE2" t="str">
            <v>COPSA</v>
          </cell>
          <cell r="AF2" t="str">
            <v>CALIXTO + CDR</v>
          </cell>
          <cell r="AG2" t="str">
            <v>CDC</v>
          </cell>
          <cell r="AH2" t="str">
            <v>OTRAS SUCURSALES</v>
          </cell>
          <cell r="AI2" t="str">
            <v>OFICINAS ADMINISTRATIVAS</v>
          </cell>
          <cell r="AJ2" t="str">
            <v>DETERGENTES</v>
          </cell>
          <cell r="AK2" t="str">
            <v>LAMBORGINI</v>
          </cell>
          <cell r="AL2" t="str">
            <v>ESQUIMO</v>
          </cell>
          <cell r="AM2" t="str">
            <v>MOL.STA ROSA + APT</v>
          </cell>
          <cell r="AN2" t="str">
            <v>MOL. FAUCETT  + APT</v>
          </cell>
          <cell r="AO2" t="str">
            <v>MOL. CALLAO + APT</v>
          </cell>
          <cell r="AP2" t="str">
            <v>PLANTA BREÑA</v>
          </cell>
          <cell r="AQ2" t="str">
            <v>FIDEERIA LIMA + APT</v>
          </cell>
          <cell r="AR2" t="str">
            <v>FIDEERIA ALIANZA  + APT</v>
          </cell>
          <cell r="AS2" t="str">
            <v>SIDSUR + CDR</v>
          </cell>
          <cell r="AT2" t="str">
            <v>GALLETERA CALLAO + APT</v>
          </cell>
          <cell r="AU2" t="str">
            <v>BALANCEADOS LIMA</v>
          </cell>
          <cell r="AV2" t="str">
            <v>BALANCEADOS TRUJILLO + CDR</v>
          </cell>
          <cell r="AW2" t="str">
            <v>COPSA</v>
          </cell>
          <cell r="AX2" t="str">
            <v>CALIXTO + CDR</v>
          </cell>
          <cell r="AY2" t="str">
            <v>CDC</v>
          </cell>
          <cell r="AZ2" t="str">
            <v>OTRAS SUCURSALES</v>
          </cell>
          <cell r="BA2" t="str">
            <v>OFICINAS ADMINISTRATIVAS</v>
          </cell>
          <cell r="BB2" t="str">
            <v>DETERGENTES</v>
          </cell>
          <cell r="BC2" t="str">
            <v>LAMBORGINI</v>
          </cell>
          <cell r="BD2" t="str">
            <v>ESQUIMO</v>
          </cell>
        </row>
      </sheetData>
      <sheetData sheetId="28">
        <row r="2">
          <cell r="U2" t="str">
            <v>MOL.STA ROSA + APT</v>
          </cell>
          <cell r="V2" t="str">
            <v>MOL. FAUCETT  + APT</v>
          </cell>
          <cell r="W2" t="str">
            <v>MOL. CALLAO + APT</v>
          </cell>
          <cell r="X2" t="str">
            <v>PLANTA BREÑA</v>
          </cell>
          <cell r="Y2" t="str">
            <v>FIDEERIA LIMA + APT</v>
          </cell>
          <cell r="Z2" t="str">
            <v>FIDEERIA ALIANZA  + APT</v>
          </cell>
          <cell r="AA2" t="str">
            <v>SIDSUR + CDR</v>
          </cell>
          <cell r="AB2" t="str">
            <v>GALLETERA CALLAO + APT</v>
          </cell>
          <cell r="AC2" t="str">
            <v>BALANCEADOS LIMA</v>
          </cell>
          <cell r="AD2" t="str">
            <v>BALANCEADOS TRUJILLO + CDR</v>
          </cell>
          <cell r="AE2" t="str">
            <v>COPSA</v>
          </cell>
          <cell r="AF2" t="str">
            <v>CALIXTO + CDR</v>
          </cell>
          <cell r="AG2" t="str">
            <v>CDC</v>
          </cell>
          <cell r="AH2" t="str">
            <v>OTRAS SUCURSALES</v>
          </cell>
          <cell r="AI2" t="str">
            <v>OFICINAS ADMINISTRATIVAS</v>
          </cell>
          <cell r="AJ2" t="str">
            <v>DETERGENTES</v>
          </cell>
          <cell r="AK2" t="str">
            <v>LAMBORGINI</v>
          </cell>
          <cell r="AL2" t="str">
            <v>ESQUIMO</v>
          </cell>
          <cell r="AM2" t="str">
            <v>MOL.STA ROSA + APT</v>
          </cell>
          <cell r="AN2" t="str">
            <v>MOL. FAUCETT  + APT</v>
          </cell>
          <cell r="AO2" t="str">
            <v>MOL. CALLAO + APT</v>
          </cell>
          <cell r="AP2" t="str">
            <v>PLANTA BREÑA</v>
          </cell>
          <cell r="AQ2" t="str">
            <v>FIDEERIA LIMA + APT</v>
          </cell>
          <cell r="AR2" t="str">
            <v>FIDEERIA ALIANZA  + APT</v>
          </cell>
          <cell r="AS2" t="str">
            <v>SIDSUR + CDR</v>
          </cell>
          <cell r="AT2" t="str">
            <v>GALLETERA CALLAO + APT</v>
          </cell>
          <cell r="AU2" t="str">
            <v>BALANCEADOS LIMA</v>
          </cell>
          <cell r="AV2" t="str">
            <v>BALANCEADOS TRUJILLO + CDR</v>
          </cell>
          <cell r="AW2" t="str">
            <v>COPSA</v>
          </cell>
          <cell r="AX2" t="str">
            <v>CALIXTO + CDR</v>
          </cell>
          <cell r="AY2" t="str">
            <v>CDC</v>
          </cell>
          <cell r="AZ2" t="str">
            <v>OTRAS SUCURSALES</v>
          </cell>
          <cell r="BA2" t="str">
            <v>OFICINAS ADMINISTRATIVAS</v>
          </cell>
          <cell r="BB2" t="str">
            <v>DETERGENTES</v>
          </cell>
          <cell r="BC2" t="str">
            <v>LAMBORGINI</v>
          </cell>
          <cell r="BD2" t="str">
            <v>ESQUIMO</v>
          </cell>
        </row>
      </sheetData>
      <sheetData sheetId="29">
        <row r="2">
          <cell r="U2" t="str">
            <v>MOL.STA ROSA + APT</v>
          </cell>
          <cell r="V2" t="str">
            <v>MOL. FAUCETT  + APT</v>
          </cell>
          <cell r="W2" t="str">
            <v>MOL. CALLAO + APT</v>
          </cell>
          <cell r="X2" t="str">
            <v>PLANTA BREÑA</v>
          </cell>
          <cell r="Y2" t="str">
            <v>FIDEERIA LIMA + APT</v>
          </cell>
          <cell r="Z2" t="str">
            <v>FIDEERIA ALIANZA  + APT</v>
          </cell>
          <cell r="AA2" t="str">
            <v>SIDSUR + CDR</v>
          </cell>
          <cell r="AB2" t="str">
            <v>GALLETERA CALLAO + APT</v>
          </cell>
          <cell r="AC2" t="str">
            <v>BALANCEADOS LIMA</v>
          </cell>
          <cell r="AD2" t="str">
            <v>BALANCEADOS TRUJILLO + CDR</v>
          </cell>
          <cell r="AE2" t="str">
            <v>COPSA</v>
          </cell>
          <cell r="AF2" t="str">
            <v>CALIXTO + CDR</v>
          </cell>
          <cell r="AG2" t="str">
            <v>CDC</v>
          </cell>
          <cell r="AH2" t="str">
            <v>OTRAS SUCURSALES</v>
          </cell>
          <cell r="AI2" t="str">
            <v>OFICINAS ADMINISTRATIVAS</v>
          </cell>
          <cell r="AJ2" t="str">
            <v>DETERGENTES</v>
          </cell>
          <cell r="AK2" t="str">
            <v>LAMBORGINI</v>
          </cell>
          <cell r="AL2" t="str">
            <v>ESQUIMO</v>
          </cell>
          <cell r="AM2" t="str">
            <v>MOL.STA ROSA + APT</v>
          </cell>
          <cell r="AN2" t="str">
            <v>MOL. FAUCETT  + APT</v>
          </cell>
          <cell r="AO2" t="str">
            <v>MOL. CALLAO + APT</v>
          </cell>
          <cell r="AP2" t="str">
            <v>PLANTA BREÑA</v>
          </cell>
          <cell r="AQ2" t="str">
            <v>FIDEERIA LIMA + APT</v>
          </cell>
          <cell r="AR2" t="str">
            <v>FIDEERIA ALIANZA  + APT</v>
          </cell>
          <cell r="AS2" t="str">
            <v>SIDSUR + CDR</v>
          </cell>
          <cell r="AT2" t="str">
            <v>GALLETERA CALLAO + APT</v>
          </cell>
          <cell r="AU2" t="str">
            <v>BALANCEADOS LIMA</v>
          </cell>
          <cell r="AV2" t="str">
            <v>BALANCEADOS TRUJILLO + CDR</v>
          </cell>
          <cell r="AW2" t="str">
            <v>COPSA</v>
          </cell>
          <cell r="AX2" t="str">
            <v>CALIXTO + CDR</v>
          </cell>
          <cell r="AY2" t="str">
            <v>CDC</v>
          </cell>
          <cell r="AZ2" t="str">
            <v>OTRAS SUCURSALES</v>
          </cell>
          <cell r="BA2" t="str">
            <v>OFICINAS ADMINISTRATIVAS</v>
          </cell>
          <cell r="BB2" t="str">
            <v>DETERGENTES</v>
          </cell>
          <cell r="BC2" t="str">
            <v>LAMBORGINI</v>
          </cell>
          <cell r="BD2" t="str">
            <v>ESQUIMO</v>
          </cell>
        </row>
      </sheetData>
      <sheetData sheetId="30">
        <row r="2">
          <cell r="U2" t="str">
            <v>MOL.STA ROSA + APT</v>
          </cell>
          <cell r="V2" t="str">
            <v>MOL. FAUCETT  + APT</v>
          </cell>
          <cell r="W2" t="str">
            <v>MOL. CALLAO + APT</v>
          </cell>
          <cell r="X2" t="str">
            <v>PLANTA BREÑA</v>
          </cell>
          <cell r="Y2" t="str">
            <v>FIDEERIA LIMA + APT</v>
          </cell>
          <cell r="Z2" t="str">
            <v>FIDEERIA ALIANZA  + APT</v>
          </cell>
          <cell r="AA2" t="str">
            <v>SIDSUR + CDR</v>
          </cell>
          <cell r="AB2" t="str">
            <v>GALLETERA CALLAO + APT</v>
          </cell>
          <cell r="AC2" t="str">
            <v>BALANCEADOS LIMA</v>
          </cell>
          <cell r="AD2" t="str">
            <v>BALANCEADOS TRUJILLO + CDR</v>
          </cell>
          <cell r="AE2" t="str">
            <v>COPSA</v>
          </cell>
          <cell r="AF2" t="str">
            <v>CALIXTO + CDR</v>
          </cell>
          <cell r="AG2" t="str">
            <v>CDC</v>
          </cell>
          <cell r="AH2" t="str">
            <v>OTRAS SUCURSALES</v>
          </cell>
          <cell r="AI2" t="str">
            <v>OFICINAS ADMINISTRATIVAS</v>
          </cell>
          <cell r="AJ2" t="str">
            <v>DETERGENTES</v>
          </cell>
          <cell r="AK2" t="str">
            <v>LAMBORGINI</v>
          </cell>
          <cell r="AL2" t="str">
            <v>ESQUIMO</v>
          </cell>
          <cell r="AM2" t="str">
            <v>MOL.STA ROSA + APT</v>
          </cell>
          <cell r="AN2" t="str">
            <v>MOL. FAUCETT  + APT</v>
          </cell>
          <cell r="AO2" t="str">
            <v>MOL. CALLAO + APT</v>
          </cell>
          <cell r="AP2" t="str">
            <v>PLANTA BREÑA</v>
          </cell>
          <cell r="AQ2" t="str">
            <v>FIDEERIA LIMA + APT</v>
          </cell>
          <cell r="AR2" t="str">
            <v>FIDEERIA ALIANZA  + APT</v>
          </cell>
          <cell r="AS2" t="str">
            <v>SIDSUR + CDR</v>
          </cell>
          <cell r="AT2" t="str">
            <v>GALLETERA CALLAO + APT</v>
          </cell>
          <cell r="AU2" t="str">
            <v>BALANCEADOS LIMA</v>
          </cell>
          <cell r="AV2" t="str">
            <v>BALANCEADOS TRUJILLO + CDR</v>
          </cell>
          <cell r="AW2" t="str">
            <v>COPSA</v>
          </cell>
          <cell r="AX2" t="str">
            <v>CALIXTO + CDR</v>
          </cell>
          <cell r="AY2" t="str">
            <v>CDC</v>
          </cell>
          <cell r="AZ2" t="str">
            <v>OTRAS SUCURSALES</v>
          </cell>
          <cell r="BA2" t="str">
            <v>OFICINAS ADMINISTRATIVAS</v>
          </cell>
          <cell r="BB2" t="str">
            <v>DETERGENTES</v>
          </cell>
          <cell r="BC2" t="str">
            <v>LAMBORGINI</v>
          </cell>
          <cell r="BD2" t="str">
            <v>ESQUIMO</v>
          </cell>
        </row>
      </sheetData>
      <sheetData sheetId="31" refreshError="1"/>
      <sheetData sheetId="32" refreshError="1"/>
      <sheetData sheetId="33" refreshError="1"/>
      <sheetData sheetId="34" refreshError="1"/>
      <sheetData sheetId="35" refreshError="1"/>
      <sheetData sheetId="36">
        <row r="1">
          <cell r="M1" t="str">
            <v>AÑO</v>
          </cell>
          <cell r="N1" t="str">
            <v>MES</v>
          </cell>
          <cell r="O1" t="str">
            <v>TIPO</v>
          </cell>
          <cell r="P1" t="str">
            <v>PLANTA</v>
          </cell>
          <cell r="Q1" t="str">
            <v>ORIGEN LESIONADO</v>
          </cell>
        </row>
        <row r="2">
          <cell r="A2" t="str">
            <v>MOLINOS LIMA</v>
          </cell>
          <cell r="C2">
            <v>1</v>
          </cell>
          <cell r="D2">
            <v>2</v>
          </cell>
          <cell r="E2">
            <v>3</v>
          </cell>
          <cell r="H2" t="str">
            <v>ENERO</v>
          </cell>
          <cell r="K2">
            <v>1</v>
          </cell>
          <cell r="M2">
            <v>2007</v>
          </cell>
          <cell r="N2" t="str">
            <v>MAYO</v>
          </cell>
          <cell r="O2" t="str">
            <v>INCAPACITANTE</v>
          </cell>
          <cell r="P2" t="str">
            <v>BALANCEADOS TRUJILLO + CDR</v>
          </cell>
          <cell r="Q2" t="str">
            <v>ALICORP</v>
          </cell>
        </row>
        <row r="3">
          <cell r="A3" t="str">
            <v>GALLETERA - PLANTA BREÑA</v>
          </cell>
          <cell r="C3">
            <v>4</v>
          </cell>
          <cell r="D3">
            <v>8</v>
          </cell>
          <cell r="H3" t="str">
            <v>FEBRERO</v>
          </cell>
          <cell r="K3">
            <v>13</v>
          </cell>
        </row>
        <row r="4">
          <cell r="A4" t="str">
            <v>FIDEERIAS</v>
          </cell>
          <cell r="C4">
            <v>5</v>
          </cell>
          <cell r="D4">
            <v>6</v>
          </cell>
          <cell r="H4" t="str">
            <v>MARZO</v>
          </cell>
          <cell r="K4">
            <v>2010</v>
          </cell>
          <cell r="M4" t="str">
            <v>DIAS</v>
          </cell>
        </row>
        <row r="5">
          <cell r="A5" t="str">
            <v>SIDSUR</v>
          </cell>
          <cell r="C5">
            <v>7</v>
          </cell>
          <cell r="H5" t="str">
            <v>ABRIL</v>
          </cell>
          <cell r="K5">
            <v>1</v>
          </cell>
          <cell r="N5" t="str">
            <v>LESNOINCAP</v>
          </cell>
          <cell r="O5" t="str">
            <v>NO INCAPACITANTE</v>
          </cell>
          <cell r="P5" t="str">
            <v>LESIONES NO INCAPACITANTES</v>
          </cell>
        </row>
        <row r="6">
          <cell r="A6" t="str">
            <v>COPSA - BALANCEADOS LIMA</v>
          </cell>
          <cell r="C6">
            <v>9</v>
          </cell>
          <cell r="D6">
            <v>11</v>
          </cell>
          <cell r="H6" t="str">
            <v>MAYO</v>
          </cell>
          <cell r="K6">
            <v>2010</v>
          </cell>
          <cell r="N6" t="str">
            <v>LESDMR</v>
          </cell>
          <cell r="O6" t="str">
            <v>RELATIVO</v>
          </cell>
          <cell r="P6" t="str">
            <v>LESIONES CON DMR</v>
          </cell>
        </row>
        <row r="7">
          <cell r="A7" t="str">
            <v>BALANCEADOS TRUJILLO</v>
          </cell>
          <cell r="C7">
            <v>10</v>
          </cell>
          <cell r="H7" t="str">
            <v>JUNIO</v>
          </cell>
          <cell r="K7">
            <v>12</v>
          </cell>
          <cell r="N7" t="str">
            <v>LESINCAP</v>
          </cell>
          <cell r="O7" t="str">
            <v>INCAPACITANTE</v>
          </cell>
          <cell r="P7" t="str">
            <v>LESIONES INCAPACITANTES</v>
          </cell>
        </row>
        <row r="8">
          <cell r="A8" t="str">
            <v>CALIXTO ROMERO</v>
          </cell>
          <cell r="C8">
            <v>12</v>
          </cell>
          <cell r="H8" t="str">
            <v>JULIO</v>
          </cell>
          <cell r="N8" t="str">
            <v>DIASDMR</v>
          </cell>
          <cell r="O8" t="str">
            <v>RELATIVO</v>
          </cell>
          <cell r="P8" t="str">
            <v>DIAS DMR</v>
          </cell>
        </row>
        <row r="9">
          <cell r="A9" t="str">
            <v>DISTRIBUCION</v>
          </cell>
          <cell r="C9">
            <v>13</v>
          </cell>
          <cell r="D9">
            <v>14</v>
          </cell>
          <cell r="H9" t="str">
            <v>AGOSTO</v>
          </cell>
          <cell r="J9" t="str">
            <v>POR PLANTA</v>
          </cell>
          <cell r="N9" t="str">
            <v>DIASPERD</v>
          </cell>
          <cell r="O9" t="str">
            <v>INCAPACITANTE</v>
          </cell>
          <cell r="P9" t="str">
            <v>DIAS PERDIDOS</v>
          </cell>
        </row>
        <row r="10">
          <cell r="A10" t="str">
            <v>DETERGENTES</v>
          </cell>
          <cell r="C10">
            <v>16</v>
          </cell>
          <cell r="H10" t="str">
            <v>SEPTIEMBRE</v>
          </cell>
          <cell r="J10" t="str">
            <v>POR PROGRAMA</v>
          </cell>
        </row>
        <row r="11">
          <cell r="A11" t="str">
            <v>LAMBORGINI</v>
          </cell>
          <cell r="C11">
            <v>17</v>
          </cell>
          <cell r="H11" t="str">
            <v>OCTUBRE</v>
          </cell>
          <cell r="J11" t="str">
            <v>PROGRAMAS ALICORP</v>
          </cell>
        </row>
        <row r="12">
          <cell r="A12" t="str">
            <v>ARROZ</v>
          </cell>
          <cell r="C12">
            <v>18</v>
          </cell>
          <cell r="H12" t="str">
            <v>NOVIEMBRE</v>
          </cell>
          <cell r="J12" t="str">
            <v>PLANTAS ALICORP</v>
          </cell>
        </row>
        <row r="13">
          <cell r="H13" t="str">
            <v>DICIEMBRE</v>
          </cell>
        </row>
        <row r="15">
          <cell r="A15" t="str">
            <v>MOL.STA ROSA + APT</v>
          </cell>
        </row>
        <row r="16">
          <cell r="A16" t="str">
            <v>MOL. FAUCETT  + APT</v>
          </cell>
        </row>
        <row r="17">
          <cell r="A17" t="str">
            <v>MOL. CALLAO + APT</v>
          </cell>
        </row>
        <row r="18">
          <cell r="A18" t="str">
            <v>PLANTA BREÑA</v>
          </cell>
        </row>
        <row r="19">
          <cell r="A19" t="str">
            <v>FIDEERIA LIMA + APT</v>
          </cell>
        </row>
        <row r="20">
          <cell r="A20" t="str">
            <v>FIDEERIA ALIANZA  + APT</v>
          </cell>
        </row>
        <row r="21">
          <cell r="A21" t="str">
            <v>SIDSUR + CDR</v>
          </cell>
        </row>
        <row r="22">
          <cell r="A22" t="str">
            <v>GALLETERA CALLAO + APT</v>
          </cell>
        </row>
        <row r="23">
          <cell r="A23" t="str">
            <v>BALANCEADOS LIMA</v>
          </cell>
        </row>
        <row r="24">
          <cell r="A24" t="str">
            <v>BALANCEADOS TRUJILLO + CDR</v>
          </cell>
        </row>
        <row r="25">
          <cell r="A25" t="str">
            <v>COPSA</v>
          </cell>
        </row>
        <row r="26">
          <cell r="A26" t="str">
            <v>CALIXTO + CDR</v>
          </cell>
        </row>
        <row r="27">
          <cell r="A27" t="str">
            <v>CDC</v>
          </cell>
        </row>
        <row r="28">
          <cell r="A28" t="str">
            <v>OTRAS SUCURSALES</v>
          </cell>
        </row>
        <row r="29">
          <cell r="A29" t="str">
            <v>OFICINAS ADMINISTRATIVAS</v>
          </cell>
        </row>
        <row r="30">
          <cell r="A30" t="str">
            <v>DETERGENTES</v>
          </cell>
        </row>
        <row r="31">
          <cell r="A31" t="str">
            <v>LAMBORGINI</v>
          </cell>
        </row>
        <row r="32">
          <cell r="A32" t="str">
            <v>ARROZ</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
      <sheetName val="2012"/>
      <sheetName val="2013."/>
      <sheetName val="CONSOLIDADO"/>
      <sheetName val="IND BASE 10X6"/>
      <sheetName val="IND BASE 2X5"/>
      <sheetName val="HH 2014"/>
      <sheetName val="HH"/>
      <sheetName val="Gráficos"/>
      <sheetName val="G2013"/>
      <sheetName val="Calculos"/>
      <sheetName val="Cálculos2"/>
      <sheetName val="HH2015"/>
      <sheetName val="OBJ-ESP-REAC"/>
      <sheetName val="HH2013"/>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8">
          <cell r="C18">
            <v>16453.330000000002</v>
          </cell>
          <cell r="D18">
            <v>0</v>
          </cell>
          <cell r="G18">
            <v>0</v>
          </cell>
        </row>
      </sheetData>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 Justo"/>
      <sheetName val="Bahía Blanca"/>
      <sheetName val="San Juan"/>
      <sheetName val="Morón"/>
      <sheetName val="Garín"/>
      <sheetName val="Argentina"/>
      <sheetName val="Hoja3"/>
    </sheetNames>
    <sheetDataSet>
      <sheetData sheetId="0" refreshError="1"/>
      <sheetData sheetId="1" refreshError="1"/>
      <sheetData sheetId="2" refreshError="1"/>
      <sheetData sheetId="3" refreshError="1"/>
      <sheetData sheetId="4" refreshError="1"/>
      <sheetData sheetId="5">
        <row r="3">
          <cell r="C3">
            <v>527784</v>
          </cell>
          <cell r="D3">
            <v>197662</v>
          </cell>
          <cell r="E3">
            <v>330122</v>
          </cell>
          <cell r="F3">
            <v>0</v>
          </cell>
          <cell r="G3">
            <v>0</v>
          </cell>
          <cell r="H3">
            <v>0</v>
          </cell>
          <cell r="I3">
            <v>0</v>
          </cell>
          <cell r="J3">
            <v>0</v>
          </cell>
          <cell r="K3">
            <v>0</v>
          </cell>
          <cell r="L3">
            <v>0</v>
          </cell>
          <cell r="M3">
            <v>0</v>
          </cell>
          <cell r="N3">
            <v>0</v>
          </cell>
          <cell r="O3">
            <v>0</v>
          </cell>
        </row>
        <row r="4">
          <cell r="C4">
            <v>25</v>
          </cell>
          <cell r="D4">
            <v>12</v>
          </cell>
          <cell r="E4">
            <v>13</v>
          </cell>
          <cell r="F4">
            <v>0</v>
          </cell>
          <cell r="G4">
            <v>0</v>
          </cell>
          <cell r="H4">
            <v>0</v>
          </cell>
          <cell r="I4">
            <v>0</v>
          </cell>
          <cell r="J4">
            <v>0</v>
          </cell>
          <cell r="K4">
            <v>0</v>
          </cell>
          <cell r="L4">
            <v>0</v>
          </cell>
          <cell r="M4">
            <v>0</v>
          </cell>
          <cell r="N4">
            <v>0</v>
          </cell>
          <cell r="O4">
            <v>0</v>
          </cell>
        </row>
        <row r="5">
          <cell r="C5">
            <v>782</v>
          </cell>
          <cell r="D5">
            <v>381</v>
          </cell>
          <cell r="E5">
            <v>401</v>
          </cell>
          <cell r="F5">
            <v>0</v>
          </cell>
          <cell r="G5">
            <v>0</v>
          </cell>
          <cell r="H5">
            <v>0</v>
          </cell>
          <cell r="I5">
            <v>0</v>
          </cell>
          <cell r="J5">
            <v>0</v>
          </cell>
          <cell r="K5">
            <v>0</v>
          </cell>
          <cell r="L5">
            <v>0</v>
          </cell>
          <cell r="M5">
            <v>0</v>
          </cell>
          <cell r="N5">
            <v>0</v>
          </cell>
          <cell r="O5">
            <v>0</v>
          </cell>
        </row>
        <row r="8">
          <cell r="C8">
            <v>66</v>
          </cell>
          <cell r="D8">
            <v>0</v>
          </cell>
          <cell r="E8">
            <v>66</v>
          </cell>
          <cell r="F8">
            <v>0</v>
          </cell>
          <cell r="G8">
            <v>0</v>
          </cell>
          <cell r="H8">
            <v>0</v>
          </cell>
          <cell r="I8">
            <v>0</v>
          </cell>
          <cell r="J8">
            <v>0</v>
          </cell>
          <cell r="K8">
            <v>0</v>
          </cell>
          <cell r="L8">
            <v>0</v>
          </cell>
          <cell r="M8">
            <v>0</v>
          </cell>
          <cell r="N8">
            <v>0</v>
          </cell>
          <cell r="O8">
            <v>0</v>
          </cell>
        </row>
        <row r="9">
          <cell r="C9">
            <v>28</v>
          </cell>
          <cell r="D9">
            <v>0</v>
          </cell>
          <cell r="E9">
            <v>28</v>
          </cell>
          <cell r="F9">
            <v>0</v>
          </cell>
          <cell r="G9">
            <v>0</v>
          </cell>
          <cell r="H9">
            <v>0</v>
          </cell>
          <cell r="I9">
            <v>0</v>
          </cell>
          <cell r="J9">
            <v>0</v>
          </cell>
          <cell r="K9">
            <v>0</v>
          </cell>
          <cell r="L9">
            <v>0</v>
          </cell>
          <cell r="M9">
            <v>0</v>
          </cell>
          <cell r="N9">
            <v>0</v>
          </cell>
          <cell r="O9">
            <v>0</v>
          </cell>
        </row>
        <row r="11">
          <cell r="C11">
            <v>617</v>
          </cell>
          <cell r="D11">
            <v>0</v>
          </cell>
          <cell r="E11">
            <v>617</v>
          </cell>
          <cell r="F11">
            <v>0</v>
          </cell>
          <cell r="G11">
            <v>0</v>
          </cell>
          <cell r="H11">
            <v>0</v>
          </cell>
          <cell r="I11">
            <v>0</v>
          </cell>
          <cell r="J11">
            <v>0</v>
          </cell>
          <cell r="K11">
            <v>0</v>
          </cell>
          <cell r="L11">
            <v>0</v>
          </cell>
          <cell r="M11">
            <v>0</v>
          </cell>
          <cell r="N11">
            <v>0</v>
          </cell>
          <cell r="O11">
            <v>0</v>
          </cell>
        </row>
        <row r="12">
          <cell r="C12">
            <v>472</v>
          </cell>
          <cell r="D12">
            <v>0</v>
          </cell>
          <cell r="E12">
            <v>472</v>
          </cell>
          <cell r="F12">
            <v>0</v>
          </cell>
          <cell r="G12">
            <v>0</v>
          </cell>
          <cell r="H12">
            <v>0</v>
          </cell>
          <cell r="I12">
            <v>0</v>
          </cell>
          <cell r="J12">
            <v>0</v>
          </cell>
          <cell r="K12">
            <v>0</v>
          </cell>
          <cell r="L12">
            <v>0</v>
          </cell>
          <cell r="M12">
            <v>0</v>
          </cell>
          <cell r="N12">
            <v>0</v>
          </cell>
          <cell r="O12">
            <v>0</v>
          </cell>
        </row>
        <row r="13">
          <cell r="C13">
            <v>6</v>
          </cell>
          <cell r="D13">
            <v>0</v>
          </cell>
          <cell r="E13">
            <v>6</v>
          </cell>
          <cell r="F13">
            <v>0</v>
          </cell>
          <cell r="G13">
            <v>0</v>
          </cell>
          <cell r="H13">
            <v>0</v>
          </cell>
          <cell r="I13">
            <v>0</v>
          </cell>
          <cell r="J13">
            <v>0</v>
          </cell>
          <cell r="K13">
            <v>0</v>
          </cell>
          <cell r="L13">
            <v>0</v>
          </cell>
          <cell r="M13">
            <v>0</v>
          </cell>
          <cell r="N13">
            <v>0</v>
          </cell>
          <cell r="O13">
            <v>0</v>
          </cell>
        </row>
        <row r="14">
          <cell r="C14">
            <v>184</v>
          </cell>
          <cell r="D14">
            <v>0</v>
          </cell>
          <cell r="E14">
            <v>184</v>
          </cell>
          <cell r="F14">
            <v>0</v>
          </cell>
          <cell r="G14">
            <v>0</v>
          </cell>
          <cell r="H14">
            <v>0</v>
          </cell>
          <cell r="I14">
            <v>0</v>
          </cell>
          <cell r="J14">
            <v>0</v>
          </cell>
          <cell r="K14">
            <v>0</v>
          </cell>
          <cell r="L14">
            <v>0</v>
          </cell>
          <cell r="M14">
            <v>0</v>
          </cell>
          <cell r="N14">
            <v>0</v>
          </cell>
          <cell r="O14">
            <v>0</v>
          </cell>
        </row>
        <row r="15">
          <cell r="C15">
            <v>88</v>
          </cell>
          <cell r="D15">
            <v>0</v>
          </cell>
          <cell r="E15">
            <v>88</v>
          </cell>
          <cell r="F15">
            <v>0</v>
          </cell>
          <cell r="G15">
            <v>0</v>
          </cell>
          <cell r="H15">
            <v>0</v>
          </cell>
          <cell r="I15">
            <v>0</v>
          </cell>
          <cell r="J15">
            <v>0</v>
          </cell>
          <cell r="K15">
            <v>0</v>
          </cell>
          <cell r="L15">
            <v>0</v>
          </cell>
          <cell r="M15">
            <v>0</v>
          </cell>
          <cell r="N15">
            <v>0</v>
          </cell>
          <cell r="O15">
            <v>0</v>
          </cell>
        </row>
        <row r="16">
          <cell r="C16">
            <v>0</v>
          </cell>
          <cell r="D16">
            <v>0</v>
          </cell>
          <cell r="E16">
            <v>0</v>
          </cell>
          <cell r="F16">
            <v>0</v>
          </cell>
          <cell r="G16">
            <v>0</v>
          </cell>
          <cell r="H16">
            <v>0</v>
          </cell>
          <cell r="I16">
            <v>0</v>
          </cell>
          <cell r="J16">
            <v>0</v>
          </cell>
          <cell r="K16">
            <v>0</v>
          </cell>
          <cell r="L16">
            <v>0</v>
          </cell>
          <cell r="M16">
            <v>0</v>
          </cell>
          <cell r="N16">
            <v>0</v>
          </cell>
          <cell r="O16">
            <v>0</v>
          </cell>
        </row>
        <row r="17">
          <cell r="C17">
            <v>86</v>
          </cell>
          <cell r="D17">
            <v>0</v>
          </cell>
          <cell r="E17">
            <v>86</v>
          </cell>
          <cell r="F17">
            <v>0</v>
          </cell>
          <cell r="G17">
            <v>0</v>
          </cell>
          <cell r="H17">
            <v>0</v>
          </cell>
          <cell r="I17">
            <v>0</v>
          </cell>
          <cell r="J17">
            <v>0</v>
          </cell>
          <cell r="K17">
            <v>0</v>
          </cell>
          <cell r="L17">
            <v>0</v>
          </cell>
          <cell r="M17">
            <v>0</v>
          </cell>
          <cell r="N17">
            <v>0</v>
          </cell>
          <cell r="O17">
            <v>0</v>
          </cell>
        </row>
        <row r="18">
          <cell r="C18">
            <v>49</v>
          </cell>
          <cell r="D18">
            <v>0</v>
          </cell>
          <cell r="E18">
            <v>49</v>
          </cell>
          <cell r="F18">
            <v>0</v>
          </cell>
          <cell r="G18">
            <v>0</v>
          </cell>
          <cell r="H18">
            <v>0</v>
          </cell>
          <cell r="I18">
            <v>0</v>
          </cell>
          <cell r="J18">
            <v>0</v>
          </cell>
          <cell r="K18">
            <v>0</v>
          </cell>
          <cell r="L18">
            <v>0</v>
          </cell>
          <cell r="M18">
            <v>0</v>
          </cell>
          <cell r="N18">
            <v>0</v>
          </cell>
          <cell r="O18">
            <v>0</v>
          </cell>
        </row>
        <row r="19">
          <cell r="C19">
            <v>2</v>
          </cell>
          <cell r="D19">
            <v>0</v>
          </cell>
          <cell r="E19">
            <v>2</v>
          </cell>
          <cell r="F19">
            <v>0</v>
          </cell>
          <cell r="G19">
            <v>0</v>
          </cell>
          <cell r="H19">
            <v>0</v>
          </cell>
          <cell r="I19">
            <v>0</v>
          </cell>
          <cell r="J19">
            <v>0</v>
          </cell>
          <cell r="K19">
            <v>0</v>
          </cell>
          <cell r="L19">
            <v>0</v>
          </cell>
          <cell r="M19">
            <v>0</v>
          </cell>
          <cell r="N19">
            <v>0</v>
          </cell>
          <cell r="O19">
            <v>0</v>
          </cell>
        </row>
        <row r="20">
          <cell r="C20">
            <v>41</v>
          </cell>
          <cell r="D20">
            <v>0</v>
          </cell>
          <cell r="E20">
            <v>41</v>
          </cell>
          <cell r="F20">
            <v>0</v>
          </cell>
          <cell r="G20">
            <v>0</v>
          </cell>
          <cell r="H20">
            <v>0</v>
          </cell>
          <cell r="I20">
            <v>0</v>
          </cell>
          <cell r="J20">
            <v>0</v>
          </cell>
          <cell r="K20">
            <v>0</v>
          </cell>
          <cell r="L20">
            <v>0</v>
          </cell>
          <cell r="M20">
            <v>0</v>
          </cell>
          <cell r="N20">
            <v>0</v>
          </cell>
          <cell r="O20">
            <v>0</v>
          </cell>
        </row>
        <row r="21">
          <cell r="C21">
            <v>30</v>
          </cell>
          <cell r="D21">
            <v>0</v>
          </cell>
          <cell r="E21">
            <v>30</v>
          </cell>
          <cell r="F21">
            <v>0</v>
          </cell>
          <cell r="G21">
            <v>0</v>
          </cell>
          <cell r="H21">
            <v>0</v>
          </cell>
          <cell r="I21">
            <v>0</v>
          </cell>
          <cell r="J21">
            <v>0</v>
          </cell>
          <cell r="K21">
            <v>0</v>
          </cell>
          <cell r="L21">
            <v>0</v>
          </cell>
          <cell r="M21">
            <v>0</v>
          </cell>
          <cell r="N21">
            <v>0</v>
          </cell>
          <cell r="O21">
            <v>0</v>
          </cell>
        </row>
        <row r="22">
          <cell r="C22">
            <v>0</v>
          </cell>
          <cell r="D22">
            <v>0</v>
          </cell>
          <cell r="E22">
            <v>0</v>
          </cell>
          <cell r="F22">
            <v>0</v>
          </cell>
          <cell r="G22">
            <v>0</v>
          </cell>
          <cell r="H22">
            <v>0</v>
          </cell>
          <cell r="I22">
            <v>0</v>
          </cell>
          <cell r="J22">
            <v>0</v>
          </cell>
          <cell r="K22">
            <v>0</v>
          </cell>
          <cell r="L22">
            <v>0</v>
          </cell>
          <cell r="M22">
            <v>0</v>
          </cell>
          <cell r="N22">
            <v>0</v>
          </cell>
          <cell r="O22">
            <v>0</v>
          </cell>
        </row>
      </sheetData>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2010"/>
      <sheetName val="ENE"/>
      <sheetName val="FEB"/>
      <sheetName val="MAR"/>
      <sheetName val="NVO IOM"/>
      <sheetName val="Descarga"/>
      <sheetName val="INDICADORES"/>
      <sheetName val="RESUMEN IOM ALICORP"/>
      <sheetName val="IOM"/>
      <sheetName val="Graphics"/>
      <sheetName val="Dias Sin Accidentes"/>
      <sheetName val="MTBA"/>
      <sheetName val="Graficos"/>
      <sheetName val="Otros indicadores"/>
      <sheetName val="estadistrica dias sin accidente"/>
      <sheetName val="Graf Det"/>
      <sheetName val="Graf Fideerías"/>
      <sheetName val="COPSA"/>
      <sheetName val="Hoja1"/>
    </sheetNames>
    <sheetDataSet>
      <sheetData sheetId="0" refreshError="1"/>
      <sheetData sheetId="1" refreshError="1"/>
      <sheetData sheetId="2" refreshError="1"/>
      <sheetData sheetId="3" refreshError="1"/>
      <sheetData sheetId="4" refreshError="1"/>
      <sheetData sheetId="5" refreshError="1"/>
      <sheetData sheetId="6">
        <row r="5">
          <cell r="AH5">
            <v>0</v>
          </cell>
        </row>
        <row r="6">
          <cell r="AD6">
            <v>0</v>
          </cell>
          <cell r="AH6">
            <v>0</v>
          </cell>
        </row>
        <row r="7">
          <cell r="AD7">
            <v>0</v>
          </cell>
          <cell r="AH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2010"/>
      <sheetName val="ENE"/>
      <sheetName val="FEB"/>
      <sheetName val="MAR"/>
      <sheetName val="NVO IOM"/>
      <sheetName val="INDICADORES"/>
      <sheetName val="IOM"/>
      <sheetName val="RESUMEN IOM ALICORP"/>
      <sheetName val="Dias Sin Accidentes"/>
      <sheetName val="MTBA"/>
      <sheetName val="Graficos"/>
      <sheetName val="Otros indicadores"/>
    </sheetNames>
    <sheetDataSet>
      <sheetData sheetId="0"/>
      <sheetData sheetId="1"/>
      <sheetData sheetId="2"/>
      <sheetData sheetId="3"/>
      <sheetData sheetId="4"/>
      <sheetData sheetId="5">
        <row r="16">
          <cell r="W16">
            <v>1354371.78</v>
          </cell>
        </row>
      </sheetData>
      <sheetData sheetId="6"/>
      <sheetData sheetId="7"/>
      <sheetData sheetId="8"/>
      <sheetData sheetId="9"/>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Indicadores"/>
    </sheetNames>
    <sheetDataSet>
      <sheetData sheetId="0">
        <row r="17">
          <cell r="B17" t="str">
            <v>Administración</v>
          </cell>
        </row>
      </sheetData>
      <sheetData sheetId="1"/>
      <sheetData sheetId="2"/>
      <sheetData sheetId="3">
        <row r="17">
          <cell r="B17">
            <v>504874.5</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PROGRAMA 2010"/>
      <sheetName val="ENE"/>
      <sheetName val="FEB"/>
      <sheetName val="MAR"/>
      <sheetName val="NVO IOM"/>
      <sheetName val="INDICADORES"/>
      <sheetName val="IOM"/>
      <sheetName val="RESUMEN IOM ALICORP"/>
      <sheetName val="Dias Sin Accidentes"/>
      <sheetName val="MTBA"/>
      <sheetName val="Graficos"/>
      <sheetName val="Otros indicador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
          <cell r="B1" t="str">
            <v xml:space="preserve">Ene </v>
          </cell>
        </row>
      </sheetData>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2010"/>
      <sheetName val="ENE"/>
      <sheetName val="FEB"/>
      <sheetName val="MAR"/>
      <sheetName val="NVO IOM"/>
      <sheetName val="Gráfico1"/>
      <sheetName val="HISTORICO ACCIDENTES"/>
      <sheetName val="HH 3EROS"/>
      <sheetName val="HH ALICORP"/>
      <sheetName val="HORAS HOMBRE"/>
      <sheetName val="ACCIDENTES INCAPACITANTES"/>
      <sheetName val="ACCIDENTES MENORES"/>
      <sheetName val="DIAS PERDIDOS"/>
      <sheetName val="INDICADORES"/>
      <sheetName val="BSC CORP"/>
      <sheetName val="RESUMEN IOM ALICORP"/>
      <sheetName val="IND EXTRANJEROS"/>
      <sheetName val="IOM"/>
      <sheetName val="MTBA"/>
      <sheetName val="Graficos"/>
      <sheetName val="Otros indicadores"/>
      <sheetName val="Graphics"/>
      <sheetName val="Graficos 2012-2016"/>
      <sheetName val="Graf FP - Activ"/>
      <sheetName val="Dias Sin Accidentes"/>
      <sheetName val="estadistica dias sin accidente"/>
      <sheetName val="Graf Det"/>
      <sheetName val="COPSA"/>
      <sheetName val="INDECI"/>
      <sheetName val="CURSOS PERM TRAB"/>
      <sheetName val="mapeo procesos"/>
      <sheetName val="POR ACTIVIDAD"/>
      <sheetName val="EVALUACIONES - REASEG"/>
      <sheetName val="CAPACITACION OBR"/>
      <sheetName val="JABONERIA"/>
      <sheetName val="ERGONOMIA"/>
      <sheetName val="SEGUIMIENTO IPER"/>
      <sheetName val="ESTADISTICA A JUlIO"/>
      <sheetName val="Hoja3"/>
      <sheetName val="PROMOTORES"/>
      <sheetName val="IPER"/>
      <sheetName val="VOLUMENES PRODUCCION"/>
      <sheetName val="BCP"/>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row r="36">
          <cell r="O36">
            <v>7125</v>
          </cell>
          <cell r="P36">
            <v>73</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PROGRAMA 2010"/>
      <sheetName val="ENE"/>
      <sheetName val="FEB"/>
      <sheetName val="MAR"/>
      <sheetName val="NVO IOM"/>
      <sheetName val="INDICADORES"/>
      <sheetName val="RESUMEN IOM ALICORP"/>
      <sheetName val="INDECI"/>
      <sheetName val="IOM"/>
      <sheetName val="Dias Sin Accidentes"/>
      <sheetName val="MTBA"/>
      <sheetName val="Graficos"/>
      <sheetName val="Otros indicadores"/>
      <sheetName val="Hoja1"/>
      <sheetName val="Hoja2"/>
      <sheetName val="CIERRE AÑO"/>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2010"/>
      <sheetName val="ENE"/>
      <sheetName val="FEB"/>
      <sheetName val="MAR"/>
      <sheetName val="NVO IOM"/>
      <sheetName val="INDICADORES"/>
      <sheetName val="RESUMEN IOM ALICORP"/>
      <sheetName val="INDECI"/>
      <sheetName val="IOM"/>
      <sheetName val="Dias Sin Accidentes"/>
      <sheetName val="MTBA"/>
      <sheetName val="Graficos"/>
      <sheetName val="Otros indicadores"/>
      <sheetName val="Hoja1"/>
      <sheetName val="Hoja2"/>
      <sheetName val="Graf Det"/>
      <sheetName val="Graf Fideerí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9">
          <cell r="B9">
            <v>40909</v>
          </cell>
          <cell r="C9">
            <v>40940</v>
          </cell>
          <cell r="D9">
            <v>40969</v>
          </cell>
          <cell r="E9">
            <v>41000</v>
          </cell>
          <cell r="F9">
            <v>41030</v>
          </cell>
          <cell r="G9">
            <v>41061</v>
          </cell>
          <cell r="H9">
            <v>41091</v>
          </cell>
          <cell r="I9">
            <v>41122</v>
          </cell>
          <cell r="J9">
            <v>41153</v>
          </cell>
          <cell r="K9">
            <v>41183</v>
          </cell>
          <cell r="L9">
            <v>41214</v>
          </cell>
          <cell r="M9">
            <v>41244</v>
          </cell>
          <cell r="N9">
            <v>41275</v>
          </cell>
          <cell r="O9">
            <v>41306</v>
          </cell>
        </row>
        <row r="10">
          <cell r="A10" t="str">
            <v>IF</v>
          </cell>
          <cell r="B10">
            <v>2.4</v>
          </cell>
          <cell r="C10">
            <v>2.4</v>
          </cell>
          <cell r="D10">
            <v>7.3</v>
          </cell>
          <cell r="E10">
            <v>7.3</v>
          </cell>
          <cell r="F10">
            <v>4.9000000000000004</v>
          </cell>
          <cell r="G10">
            <v>4.8</v>
          </cell>
          <cell r="H10">
            <v>4.9000000000000004</v>
          </cell>
          <cell r="I10">
            <v>4.9000000000000004</v>
          </cell>
          <cell r="J10">
            <v>5.0999999999999996</v>
          </cell>
          <cell r="K10">
            <v>5.0999999999999996</v>
          </cell>
          <cell r="L10">
            <v>5.0999999999999996</v>
          </cell>
          <cell r="M10">
            <v>10.1</v>
          </cell>
          <cell r="N10">
            <v>10</v>
          </cell>
          <cell r="O10">
            <v>10.3</v>
          </cell>
        </row>
        <row r="11">
          <cell r="A11" t="str">
            <v>IS</v>
          </cell>
          <cell r="B11">
            <v>5</v>
          </cell>
          <cell r="C11">
            <v>5</v>
          </cell>
          <cell r="D11">
            <v>97</v>
          </cell>
          <cell r="E11">
            <v>97</v>
          </cell>
          <cell r="F11">
            <v>93</v>
          </cell>
          <cell r="G11">
            <v>92</v>
          </cell>
          <cell r="H11">
            <v>92</v>
          </cell>
          <cell r="I11">
            <v>94</v>
          </cell>
          <cell r="J11">
            <v>97</v>
          </cell>
          <cell r="K11">
            <v>97</v>
          </cell>
          <cell r="L11">
            <v>97</v>
          </cell>
          <cell r="M11">
            <v>142</v>
          </cell>
          <cell r="N11">
            <v>140</v>
          </cell>
          <cell r="O11">
            <v>144</v>
          </cell>
        </row>
        <row r="13">
          <cell r="A13" t="str">
            <v>IA</v>
          </cell>
          <cell r="B13">
            <v>1.2E-2</v>
          </cell>
          <cell r="C13">
            <v>1.2E-2</v>
          </cell>
          <cell r="D13">
            <v>0.70810000000000006</v>
          </cell>
          <cell r="E13">
            <v>0.70810000000000006</v>
          </cell>
          <cell r="F13">
            <v>0.45570000000000005</v>
          </cell>
          <cell r="G13">
            <v>0.44159999999999999</v>
          </cell>
          <cell r="H13">
            <v>0.45080000000000003</v>
          </cell>
          <cell r="I13">
            <v>0.46060000000000001</v>
          </cell>
          <cell r="J13">
            <v>0.49469999999999997</v>
          </cell>
          <cell r="K13">
            <v>0.49469999999999997</v>
          </cell>
          <cell r="L13">
            <v>0.49469999999999997</v>
          </cell>
          <cell r="M13">
            <v>1.4342000000000001</v>
          </cell>
          <cell r="N13">
            <v>1.4</v>
          </cell>
          <cell r="O13">
            <v>1.4832000000000001</v>
          </cell>
        </row>
        <row r="14">
          <cell r="B14" t="str">
            <v>Ene</v>
          </cell>
          <cell r="C14" t="str">
            <v>Feb</v>
          </cell>
          <cell r="D14" t="str">
            <v>Mar</v>
          </cell>
          <cell r="E14" t="str">
            <v>Abr</v>
          </cell>
          <cell r="F14" t="str">
            <v>May</v>
          </cell>
          <cell r="G14" t="str">
            <v>Jun</v>
          </cell>
          <cell r="H14" t="str">
            <v>Jul</v>
          </cell>
          <cell r="I14" t="str">
            <v>Ago</v>
          </cell>
          <cell r="J14" t="str">
            <v>Sep</v>
          </cell>
          <cell r="K14" t="str">
            <v>Oct</v>
          </cell>
          <cell r="L14" t="str">
            <v>Nov</v>
          </cell>
          <cell r="M14" t="str">
            <v>Dic</v>
          </cell>
        </row>
        <row r="15">
          <cell r="A15">
            <v>2011</v>
          </cell>
          <cell r="B15">
            <v>7.4</v>
          </cell>
          <cell r="C15">
            <v>7.4</v>
          </cell>
          <cell r="D15">
            <v>7.5</v>
          </cell>
          <cell r="E15">
            <v>7.3</v>
          </cell>
          <cell r="F15">
            <v>9.9</v>
          </cell>
          <cell r="G15">
            <v>7.6</v>
          </cell>
          <cell r="H15">
            <v>2.4</v>
          </cell>
          <cell r="I15">
            <v>2.4</v>
          </cell>
          <cell r="J15">
            <v>2.4</v>
          </cell>
          <cell r="K15">
            <v>2.4</v>
          </cell>
          <cell r="L15">
            <v>2.4</v>
          </cell>
          <cell r="M15">
            <v>2.4</v>
          </cell>
        </row>
        <row r="16">
          <cell r="A16">
            <v>2012</v>
          </cell>
          <cell r="B16">
            <v>2.4</v>
          </cell>
          <cell r="C16">
            <v>2.4</v>
          </cell>
          <cell r="D16">
            <v>7.3</v>
          </cell>
          <cell r="E16">
            <v>7.3</v>
          </cell>
          <cell r="F16">
            <v>4.9000000000000004</v>
          </cell>
          <cell r="G16">
            <v>4.8</v>
          </cell>
          <cell r="H16">
            <v>4.9000000000000004</v>
          </cell>
          <cell r="I16">
            <v>4.9000000000000004</v>
          </cell>
          <cell r="J16">
            <v>5.0999999999999996</v>
          </cell>
          <cell r="K16">
            <v>5.0999999999999996</v>
          </cell>
          <cell r="L16">
            <v>5.0999999999999996</v>
          </cell>
          <cell r="M16">
            <v>10.1</v>
          </cell>
        </row>
        <row r="17">
          <cell r="A17">
            <v>2013</v>
          </cell>
          <cell r="B17">
            <v>5</v>
          </cell>
          <cell r="C17">
            <v>3.4</v>
          </cell>
        </row>
        <row r="45">
          <cell r="B45" t="str">
            <v>Ene</v>
          </cell>
          <cell r="C45" t="str">
            <v>Feb</v>
          </cell>
          <cell r="D45" t="str">
            <v>Mar</v>
          </cell>
          <cell r="E45" t="str">
            <v>Abr</v>
          </cell>
          <cell r="F45" t="str">
            <v>May</v>
          </cell>
          <cell r="G45" t="str">
            <v>Jun</v>
          </cell>
          <cell r="H45" t="str">
            <v>Jul</v>
          </cell>
          <cell r="I45" t="str">
            <v>Ago</v>
          </cell>
          <cell r="J45" t="str">
            <v>Sep</v>
          </cell>
          <cell r="K45" t="str">
            <v>Oct</v>
          </cell>
          <cell r="L45" t="str">
            <v>Nov</v>
          </cell>
          <cell r="M45" t="str">
            <v>Dic</v>
          </cell>
        </row>
        <row r="46">
          <cell r="A46">
            <v>2011</v>
          </cell>
          <cell r="B46">
            <v>0</v>
          </cell>
          <cell r="C46">
            <v>0</v>
          </cell>
          <cell r="D46">
            <v>0</v>
          </cell>
          <cell r="E46">
            <v>0</v>
          </cell>
          <cell r="F46">
            <v>1</v>
          </cell>
          <cell r="G46">
            <v>0</v>
          </cell>
          <cell r="H46">
            <v>0</v>
          </cell>
          <cell r="I46">
            <v>0</v>
          </cell>
          <cell r="J46">
            <v>0</v>
          </cell>
          <cell r="K46">
            <v>0</v>
          </cell>
          <cell r="L46">
            <v>0</v>
          </cell>
          <cell r="M46">
            <v>0</v>
          </cell>
        </row>
        <row r="47">
          <cell r="A47">
            <v>2012</v>
          </cell>
          <cell r="B47">
            <v>0</v>
          </cell>
          <cell r="C47">
            <v>0</v>
          </cell>
          <cell r="D47">
            <v>2</v>
          </cell>
          <cell r="E47">
            <v>0</v>
          </cell>
          <cell r="F47">
            <v>0</v>
          </cell>
          <cell r="G47">
            <v>0</v>
          </cell>
          <cell r="H47">
            <v>0</v>
          </cell>
          <cell r="I47">
            <v>0</v>
          </cell>
          <cell r="J47">
            <v>0</v>
          </cell>
          <cell r="K47">
            <v>0</v>
          </cell>
          <cell r="L47">
            <v>0</v>
          </cell>
          <cell r="M47">
            <v>2</v>
          </cell>
        </row>
        <row r="48">
          <cell r="A48">
            <v>2013</v>
          </cell>
          <cell r="B48">
            <v>0</v>
          </cell>
          <cell r="C48">
            <v>0</v>
          </cell>
        </row>
        <row r="51">
          <cell r="K51" t="str">
            <v>Incapacitantes</v>
          </cell>
          <cell r="L51">
            <v>40969</v>
          </cell>
          <cell r="M51">
            <v>41000</v>
          </cell>
          <cell r="N51">
            <v>41030</v>
          </cell>
          <cell r="O51">
            <v>41061</v>
          </cell>
          <cell r="P51">
            <v>41091</v>
          </cell>
          <cell r="Q51">
            <v>41122</v>
          </cell>
          <cell r="R51">
            <v>41153</v>
          </cell>
          <cell r="S51">
            <v>41183</v>
          </cell>
          <cell r="T51">
            <v>41214</v>
          </cell>
          <cell r="U51">
            <v>41244</v>
          </cell>
          <cell r="V51">
            <v>41275</v>
          </cell>
          <cell r="W51">
            <v>41306</v>
          </cell>
        </row>
        <row r="52">
          <cell r="L52">
            <v>2</v>
          </cell>
          <cell r="M52">
            <v>0</v>
          </cell>
          <cell r="N52">
            <v>0</v>
          </cell>
          <cell r="O52">
            <v>0</v>
          </cell>
          <cell r="P52">
            <v>0</v>
          </cell>
          <cell r="Q52">
            <v>0</v>
          </cell>
          <cell r="R52">
            <v>0</v>
          </cell>
          <cell r="S52">
            <v>0</v>
          </cell>
          <cell r="T52">
            <v>0</v>
          </cell>
          <cell r="U52">
            <v>2</v>
          </cell>
          <cell r="V52">
            <v>0</v>
          </cell>
          <cell r="W52">
            <v>0</v>
          </cell>
        </row>
      </sheetData>
      <sheetData sheetId="16">
        <row r="2">
          <cell r="B2" t="str">
            <v>Ene</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Generales"/>
      <sheetName val="PILARES"/>
      <sheetName val="NUEVO Protocolo"/>
      <sheetName val="Capacitación Nivel Jerárquico"/>
      <sheetName val="Capacitación Trabajadores"/>
      <sheetName val="Graficos"/>
      <sheetName val="ENTREVISTAS"/>
      <sheetName val="Hoja1"/>
    </sheetNames>
    <sheetDataSet>
      <sheetData sheetId="0"/>
      <sheetData sheetId="1"/>
      <sheetData sheetId="2"/>
      <sheetData sheetId="3"/>
      <sheetData sheetId="4"/>
      <sheetData sheetId="5">
        <row r="2">
          <cell r="B2" t="str">
            <v>LIDERAZGO Y PARTICIPACION</v>
          </cell>
        </row>
        <row r="3">
          <cell r="B3" t="str">
            <v>COMPETENCIA</v>
          </cell>
        </row>
        <row r="4">
          <cell r="B4" t="str">
            <v>CULTURA</v>
          </cell>
        </row>
        <row r="5">
          <cell r="B5" t="str">
            <v>COMPLIANCE</v>
          </cell>
        </row>
        <row r="6">
          <cell r="B6" t="str">
            <v>SEGURIDAD EN LOS PROCESOS</v>
          </cell>
        </row>
        <row r="7">
          <cell r="B7" t="str">
            <v>DISEÑO SEGURO Y SALUDABLE</v>
          </cell>
        </row>
        <row r="8">
          <cell r="B8" t="str">
            <v>% TOTAL DE CUMPLIMIENTO</v>
          </cell>
        </row>
      </sheetData>
      <sheetData sheetId="6"/>
      <sheetData sheetId="7"/>
    </sheetDataSet>
  </externalBook>
</externalLink>
</file>

<file path=xl/persons/person.xml><?xml version="1.0" encoding="utf-8"?>
<personList xmlns="http://schemas.microsoft.com/office/spreadsheetml/2018/threadedcomments" xmlns:x="http://schemas.openxmlformats.org/spreadsheetml/2006/main">
  <person displayName="Maricruz del Pilar Paico Briceño" id="{5CBE052E-4729-4137-B1A2-9175D81EEA40}" userId="S::MPaicoB@alicorp.com.pe::b98d2cff-be54-4bea-b9ad-3d52bf62e99e"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P:\Users\jbricenop\AppData\Local\Microsoft\Windows\INetCache\Content.Outlook\PXXSE1CT\Resultados%20SST.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P:\Users\jbricenop\AppData\Local\Microsoft\Windows\INetCache\Content.Outlook\PXXSE1CT\Resultados%20SST.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me Guillermo Briceño Pajuelo" refreshedDate="43108.604163773147" createdVersion="4" refreshedVersion="4" minRefreshableVersion="3" recordCount="377" xr:uid="{00000000-000A-0000-FFFF-FFFF00000000}">
  <cacheSource type="worksheet">
    <worksheetSource ref="A1:AA378" sheet="Accid incapacitantes 2012-2016" r:id="rId2"/>
  </cacheSource>
  <cacheFields count="35">
    <cacheField name="Presentación" numFmtId="0">
      <sharedItems containsBlank="1"/>
    </cacheField>
    <cacheField name="Planta " numFmtId="0">
      <sharedItems/>
    </cacheField>
    <cacheField name="fda" numFmtId="0">
      <sharedItems containsBlank="1"/>
    </cacheField>
    <cacheField name="Área de responsabilidad" numFmtId="0">
      <sharedItems containsBlank="1"/>
    </cacheField>
    <cacheField name="Código" numFmtId="0">
      <sharedItems containsBlank="1"/>
    </cacheField>
    <cacheField name="NOMBRE " numFmtId="0">
      <sharedItems containsBlank="1"/>
    </cacheField>
    <cacheField name="Edad" numFmtId="0">
      <sharedItems containsBlank="1" containsMixedTypes="1" containsNumber="1" containsInteger="1" minValue="18" maxValue="63"/>
    </cacheField>
    <cacheField name="Puesto de Trabajo" numFmtId="0">
      <sharedItems containsBlank="1"/>
    </cacheField>
    <cacheField name="SEXO" numFmtId="0">
      <sharedItems containsBlank="1"/>
    </cacheField>
    <cacheField name="TURNO" numFmtId="0">
      <sharedItems containsBlank="1" containsMixedTypes="1" containsNumber="1" containsInteger="1" minValue="1" maxValue="3"/>
    </cacheField>
    <cacheField name="Tipo de Contrato" numFmtId="0">
      <sharedItems containsBlank="1"/>
    </cacheField>
    <cacheField name="Tiempo de Experiencia en el Puesto de Trabajo" numFmtId="0">
      <sharedItems containsBlank="1"/>
    </cacheField>
    <cacheField name="Fecha y Hora del Ocurrencia" numFmtId="0">
      <sharedItems containsDate="1" containsBlank="1" containsMixedTypes="1" minDate="2012-01-09T00:00:00" maxDate="2017-12-24T00:00:00"/>
    </cacheField>
    <cacheField name="Gravedad del Accidente de Trabajo" numFmtId="0">
      <sharedItems containsBlank="1"/>
    </cacheField>
    <cacheField name="Grado del Accidente Incapacitante de ser el Caso" numFmtId="0">
      <sharedItems containsBlank="1"/>
    </cacheField>
    <cacheField name="Descripción del Accidente de Trabajo" numFmtId="0">
      <sharedItems containsBlank="1" longText="1"/>
    </cacheField>
    <cacheField name="Parte Cuerpo" numFmtId="0">
      <sharedItems containsBlank="1"/>
    </cacheField>
    <cacheField name="IPER" numFmtId="0">
      <sharedItems containsBlank="1"/>
    </cacheField>
    <cacheField name="NIVEL DE RIESGO" numFmtId="0">
      <sharedItems containsBlank="1"/>
    </cacheField>
    <cacheField name="Año" numFmtId="0">
      <sharedItems containsString="0" containsBlank="1" containsNumber="1" containsInteger="1" minValue="2012" maxValue="2017" count="7">
        <n v="2015"/>
        <n v="2014"/>
        <n v="2013"/>
        <n v="2012"/>
        <n v="2016"/>
        <n v="2017"/>
        <m/>
      </sharedItems>
    </cacheField>
    <cacheField name="Mes" numFmtId="0">
      <sharedItems containsBlank="1"/>
    </cacheField>
    <cacheField name="D" numFmtId="0">
      <sharedItems containsString="0" containsBlank="1" containsNumber="1" containsInteger="1" minValue="1" maxValue="7"/>
    </cacheField>
    <cacheField name="Días Perdidos x Lesión" numFmtId="0">
      <sharedItems containsString="0" containsBlank="1" containsNumber="1" containsInteger="1" minValue="1" maxValue="349"/>
    </cacheField>
    <cacheField name="Cargo ANSI" numFmtId="0">
      <sharedItems containsString="0" containsBlank="1" containsNumber="1" containsInteger="1" minValue="60" maxValue="4500"/>
    </cacheField>
    <cacheField name="Dias + ansi" numFmtId="0">
      <sharedItems containsString="0" containsBlank="1" containsNumber="1" containsInteger="1" minValue="1" maxValue="4590"/>
    </cacheField>
    <cacheField name="HORA " numFmtId="0">
      <sharedItems containsDate="1" containsBlank="1" containsMixedTypes="1" minDate="1899-12-30T00:10:00" maxDate="1899-12-30T23:50:00"/>
    </cacheField>
    <cacheField name="CODIGO" numFmtId="0">
      <sharedItems containsBlank="1" containsMixedTypes="1" containsNumber="1" containsInteger="1" minValue="1110" maxValue="60093"/>
    </cacheField>
    <cacheField name="DIA SEM" numFmtId="0">
      <sharedItems containsBlank="1" containsMixedTypes="1" containsNumber="1" containsInteger="1" minValue="1" maxValue="7"/>
    </cacheField>
    <cacheField name="FR" numFmtId="0">
      <sharedItems containsBlank="1" count="112">
        <s v="Batería"/>
        <s v="Escobilla metálica"/>
        <s v="Vidrio"/>
        <s v="Equipo"/>
        <s v="Stocka"/>
        <s v="Order Piker"/>
        <s v="cuchillo"/>
        <s v="Andamio"/>
        <s v="Altura"/>
        <s v="Madero"/>
        <s v="Bicicleta"/>
        <s v="Sacos"/>
        <s v="ERE"/>
        <s v="Plataforma de acero"/>
        <s v="Camión"/>
        <s v="Soldadura"/>
        <s v="Equipo en Movimiento"/>
        <s v="Instalación"/>
        <s v="Montacargas"/>
        <s v="Sustancia Quimica"/>
        <s v="Piso"/>
        <s v="Saco"/>
        <s v="Faja en movimiento"/>
        <s v="Cuchilla"/>
        <s v="Aceite"/>
        <s v="Equipo "/>
        <s v="Molde"/>
        <s v="Paleta"/>
        <s v="Salto sobre equipo"/>
        <s v="Manivela horno"/>
        <s v="Escalera Tijera"/>
        <s v="Rodaje cae de altura"/>
        <s v="Broma con Cizalla"/>
        <s v="Detergente al ojo"/>
        <s v="Puerta"/>
        <s v="Parihuela metalica"/>
        <s v="Tubo durante corte"/>
        <s v="Silla"/>
        <s v="Herramienta"/>
        <s v="Llave ducha"/>
        <s v="Otro"/>
        <s v="bobina"/>
        <s v="Caida objeto"/>
        <s v="Silicona"/>
        <s v="Producto"/>
        <s v="Coches masa galleta"/>
        <s v="Lubricante"/>
        <s v="Rampa metalica"/>
        <s v="Tubería"/>
        <s v="Electricidad"/>
        <s v="Faja de Transmisión"/>
        <s v="Escalera portatil"/>
        <s v="Esquirla"/>
        <s v="Escalera fija"/>
        <s v="Salta por encima de equipo"/>
        <s v="Esclusa"/>
        <s v="Tubo"/>
        <s v="lata"/>
        <s v="Strech"/>
        <s v="Buzón"/>
        <s v="Contenedor"/>
        <s v="Extintor"/>
        <s v="Clavo"/>
        <s v="HUECO EN PISO"/>
        <s v="Calamina"/>
        <s v="Agua caliente"/>
        <s v="Dertergente caliente"/>
        <s v="Coche detergente"/>
        <s v="Cajas"/>
        <s v="Rosca"/>
        <s v="Placa metal"/>
        <s v="Escoba"/>
        <s v="Quimico"/>
        <s v="Vapor"/>
        <s v="Vehiculo"/>
        <s v="Jabón"/>
        <s v="Montacarga"/>
        <s v="Cilindros"/>
        <s v="Caldero"/>
        <s v="Amoladora"/>
        <s v="Cartón"/>
        <m/>
        <s v="voladura equipo"/>
        <s v="Taladro"/>
        <s v="Envase vidrio"/>
        <s v="Puerta enrollable"/>
        <s v="Jarabe"/>
        <s v="Otros"/>
        <s v="Torno"/>
        <s v="Lejia"/>
        <s v="solución alcalina caliente"/>
        <s v="CAMION"/>
        <s v="CASILLERO"/>
        <s v="PARTICULA"/>
        <s v="PORTON"/>
        <s v="COCHE"/>
        <s v="HORNO"/>
        <s v="ESCALERA"/>
        <s v="REPUESTO"/>
        <s v="traspaleta"/>
        <s v="CISTERNA"/>
        <s v="MANGUERA DE AIRE"/>
        <s v="MATERIAL PARTICULADO"/>
        <s v="PALETAS"/>
        <s v="MONTACARGA ELECTRICO"/>
        <s v="TUBERIA"/>
        <s v="BANDA TRANSPORTADORA"/>
        <s v="plancha TR4"/>
        <s v="ACIDO ACETICO"/>
        <s v="ORDER PICKER"/>
        <s v="puertta"/>
        <s v="CAJA STRETCH FILM" u="1"/>
      </sharedItems>
    </cacheField>
    <cacheField name="Actividad" numFmtId="0">
      <sharedItems containsBlank="1"/>
    </cacheField>
    <cacheField name="Tipo Contacto" numFmtId="0">
      <sharedItems containsBlank="1"/>
    </cacheField>
    <cacheField name="Tipo de Contacto _x000a_(según TASC)" numFmtId="0">
      <sharedItems containsBlank="1"/>
    </cacheField>
    <cacheField name="Causa" numFmtId="0">
      <sharedItems containsBlank="1"/>
    </cacheField>
    <cacheField name="Contrata" numFmtId="0">
      <sharedItems containsBlank="1"/>
    </cacheField>
    <cacheField name="OBS 3ROS CRITICO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me Guillermo Briceño Pajuelo" refreshedDate="43108.604163888886" createdVersion="4" refreshedVersion="4" minRefreshableVersion="3" recordCount="329" xr:uid="{00000000-000A-0000-FFFF-FFFF01000000}">
  <cacheSource type="worksheet">
    <worksheetSource ref="A1:Z330" sheet="Accid incapacitantes 2012-2016" r:id="rId2"/>
  </cacheSource>
  <cacheFields count="34">
    <cacheField name="Presentación" numFmtId="0">
      <sharedItems containsBlank="1"/>
    </cacheField>
    <cacheField name="Planta " numFmtId="0">
      <sharedItems/>
    </cacheField>
    <cacheField name="fda" numFmtId="0">
      <sharedItems containsBlank="1"/>
    </cacheField>
    <cacheField name="Área de responsabilidad" numFmtId="0">
      <sharedItems containsBlank="1"/>
    </cacheField>
    <cacheField name="Código" numFmtId="0">
      <sharedItems containsBlank="1"/>
    </cacheField>
    <cacheField name="NOMBRE " numFmtId="0">
      <sharedItems containsBlank="1"/>
    </cacheField>
    <cacheField name="Edad" numFmtId="0">
      <sharedItems containsBlank="1" containsMixedTypes="1" containsNumber="1" containsInteger="1" minValue="18" maxValue="63"/>
    </cacheField>
    <cacheField name="Puesto de Trabajo" numFmtId="0">
      <sharedItems containsBlank="1"/>
    </cacheField>
    <cacheField name="SEXO" numFmtId="0">
      <sharedItems containsBlank="1"/>
    </cacheField>
    <cacheField name="TURNO" numFmtId="0">
      <sharedItems containsBlank="1" containsMixedTypes="1" containsNumber="1" containsInteger="1" minValue="1" maxValue="3"/>
    </cacheField>
    <cacheField name="Tipo de Contrato" numFmtId="0">
      <sharedItems containsBlank="1"/>
    </cacheField>
    <cacheField name="Tiempo de Experiencia en el Puesto de Trabajo" numFmtId="0">
      <sharedItems containsBlank="1"/>
    </cacheField>
    <cacheField name="Fecha y Hora del Ocurrencia" numFmtId="0">
      <sharedItems containsDate="1" containsMixedTypes="1" minDate="2012-01-09T00:00:00" maxDate="2017-03-24T00:00:00"/>
    </cacheField>
    <cacheField name="Gravedad del Accidente de Trabajo" numFmtId="0">
      <sharedItems/>
    </cacheField>
    <cacheField name="Grado del Accidente Incapacitante de ser el Caso" numFmtId="0">
      <sharedItems containsBlank="1"/>
    </cacheField>
    <cacheField name="Descripción del Accidente de Trabajo" numFmtId="0">
      <sharedItems longText="1"/>
    </cacheField>
    <cacheField name="Parte Cuerpo" numFmtId="0">
      <sharedItems/>
    </cacheField>
    <cacheField name="IPER" numFmtId="0">
      <sharedItems containsBlank="1"/>
    </cacheField>
    <cacheField name="NIVEL DE RIESGO" numFmtId="0">
      <sharedItems containsBlank="1"/>
    </cacheField>
    <cacheField name="Año" numFmtId="0">
      <sharedItems containsSemiMixedTypes="0" containsString="0" containsNumber="1" containsInteger="1" minValue="2012" maxValue="2017" count="6">
        <n v="2015"/>
        <n v="2014"/>
        <n v="2013"/>
        <n v="2012"/>
        <n v="2016"/>
        <n v="2017"/>
      </sharedItems>
    </cacheField>
    <cacheField name="Mes" numFmtId="0">
      <sharedItems/>
    </cacheField>
    <cacheField name="D" numFmtId="0">
      <sharedItems containsString="0" containsBlank="1" containsNumber="1" containsInteger="1" minValue="1" maxValue="7"/>
    </cacheField>
    <cacheField name="Días Perdidos x Lesión" numFmtId="0">
      <sharedItems containsSemiMixedTypes="0" containsString="0" containsNumber="1" containsInteger="1" minValue="1" maxValue="349"/>
    </cacheField>
    <cacheField name="Cargo ANSI" numFmtId="0">
      <sharedItems containsString="0" containsBlank="1" containsNumber="1" containsInteger="1" minValue="60" maxValue="4500"/>
    </cacheField>
    <cacheField name="Dias + ansi" numFmtId="0">
      <sharedItems containsSemiMixedTypes="0" containsString="0" containsNumber="1" containsInteger="1" minValue="1" maxValue="4590"/>
    </cacheField>
    <cacheField name="HORA " numFmtId="0">
      <sharedItems containsDate="1" containsBlank="1" containsMixedTypes="1" minDate="1899-12-30T00:10:00" maxDate="1899-12-30T23:50:00"/>
    </cacheField>
    <cacheField name="CODIGO" numFmtId="0">
      <sharedItems containsBlank="1" containsMixedTypes="1" containsNumber="1" containsInteger="1" minValue="1110" maxValue="60093"/>
    </cacheField>
    <cacheField name="DIA SEM" numFmtId="0">
      <sharedItems containsBlank="1" containsMixedTypes="1" containsNumber="1" containsInteger="1" minValue="2" maxValue="7"/>
    </cacheField>
    <cacheField name="FR" numFmtId="0">
      <sharedItems containsBlank="1" count="101">
        <s v="Batería"/>
        <s v="Escobilla metálica"/>
        <s v="Vidrio"/>
        <s v="Equipo"/>
        <s v="Stocka"/>
        <s v="Order Piker"/>
        <s v="cuchillo"/>
        <s v="Andamio"/>
        <s v="Altura"/>
        <s v="Madero"/>
        <s v="Bicicleta"/>
        <s v="Sacos"/>
        <s v="ERE"/>
        <s v="Plataforma de acero"/>
        <s v="Camión"/>
        <s v="Soldadura"/>
        <s v="Equipo en Movimiento"/>
        <s v="Instalación"/>
        <s v="Montacargas"/>
        <s v="Sustancia Quimica"/>
        <s v="Piso"/>
        <s v="Saco"/>
        <s v="Faja en movimiento"/>
        <s v="Cuchilla"/>
        <s v="Aceite"/>
        <s v="Equipo "/>
        <s v="Molde"/>
        <s v="Paleta"/>
        <s v="Salto sobre equipo"/>
        <s v="Manivela horno"/>
        <s v="Escalera Tijera"/>
        <s v="Rodaje cae de altura"/>
        <s v="Broma con Cizalla"/>
        <s v="Detergente al ojo"/>
        <s v="Puerta"/>
        <s v="Parihuela metalica"/>
        <s v="Tubo durante corte"/>
        <s v="Silla"/>
        <s v="Herramienta"/>
        <s v="Llave ducha"/>
        <s v="Otro"/>
        <s v="bobina"/>
        <s v="Caida objeto"/>
        <s v="Silicona"/>
        <s v="Producto"/>
        <s v="Coches masa galleta"/>
        <s v="Lubricante"/>
        <s v="Rampa metalica"/>
        <s v="Tubería"/>
        <s v="Electricidad"/>
        <s v="Faja de Transmisión"/>
        <s v="Escalera portatil"/>
        <s v="Esquirla"/>
        <s v="Escalera fija"/>
        <s v="Salta por encima de equipo"/>
        <s v="Esclusa"/>
        <s v="Tubo"/>
        <s v="lata"/>
        <s v="Strech"/>
        <s v="Buzón"/>
        <s v="Contenedor"/>
        <s v="Extintor"/>
        <s v="Clavo"/>
        <s v="HUECO EN PISO"/>
        <s v="Calamina"/>
        <s v="Agua caliente"/>
        <s v="Dertergente caliente"/>
        <s v="Coche detergente"/>
        <s v="Cajas"/>
        <s v="Rosca"/>
        <s v="Placa metal"/>
        <s v="Escoba"/>
        <s v="Quimico"/>
        <s v="Vapor"/>
        <s v="Vehiculo"/>
        <s v="Jabón"/>
        <s v="Montacarga"/>
        <s v="Cilindros"/>
        <s v="Caldero"/>
        <s v="Amoladora"/>
        <s v="Cartón"/>
        <m/>
        <s v="voladura equipo"/>
        <s v="Taladro"/>
        <s v="Envase vidrio"/>
        <s v="Puerta enrollable"/>
        <s v="Jarabe"/>
        <s v="Otros"/>
        <s v="Torno"/>
        <s v="Lejia"/>
        <s v="solución alcalina caliente"/>
        <s v="CAMION"/>
        <s v="CASILLERO"/>
        <s v="PARTICULA"/>
        <s v="PORTON"/>
        <s v="COCHE"/>
        <s v="HORNO"/>
        <s v="ESCALERA"/>
        <s v="REPUESTO"/>
        <s v="traspaleta"/>
        <s v="ROLLO TERMO" u="1"/>
      </sharedItems>
    </cacheField>
    <cacheField name="Actividad" numFmtId="0">
      <sharedItems/>
    </cacheField>
    <cacheField name="Tipo Contacto" numFmtId="0">
      <sharedItems/>
    </cacheField>
    <cacheField name="Tipo de Contacto _x000a_(según TASC)" numFmtId="0">
      <sharedItems containsBlank="1"/>
    </cacheField>
    <cacheField name="Causa" numFmtId="0">
      <sharedItems containsBlank="1"/>
    </cacheField>
    <cacheField name="Contrat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7">
  <r>
    <s v="si"/>
    <s v="SIDSUR"/>
    <m/>
    <s v="DISTRIBUCIÓN"/>
    <s v="DIS5501"/>
    <s v="Oswaldo Andrade Torres"/>
    <n v="46"/>
    <s v="Operador Montacarga Eléctrico Supervisor"/>
    <s v="M"/>
    <s v="2do "/>
    <s v="28/04/2015_x000a_20:30 "/>
    <s v="Accidente Incapacitante "/>
    <s v="28/04/2015_x000a_20:30 "/>
    <s v="Accidente Incapacitante"/>
    <s v="Parcial Temporal"/>
    <s v="Esguince de tobillo durante un cambio de batería de elevador eléctrico"/>
    <s v="PIE"/>
    <s v="NO"/>
    <m/>
    <x v="0"/>
    <s v="Abril"/>
    <m/>
    <n v="7"/>
    <m/>
    <n v="7"/>
    <m/>
    <m/>
    <m/>
    <x v="0"/>
    <s v="Maniobras de equipos"/>
    <s v="Esguince"/>
    <s v="Atrapado entre"/>
    <m/>
    <m/>
    <m/>
  </r>
  <r>
    <s v="si"/>
    <s v="MOLINO SANTA ROSA"/>
    <m/>
    <s v="PROYECTOS"/>
    <s v="TEC7199"/>
    <s v="Eder García Isla"/>
    <n v="29"/>
    <s v="TERCERO"/>
    <s v="M"/>
    <s v="1ro"/>
    <m/>
    <m/>
    <s v="29/09/2015_x000a_13:30 "/>
    <s v="Accidente Incapacitante"/>
    <s v="Parcial Temporal "/>
    <s v="Escobilla metálica impacta contra structura ocasionándo corte de guante y herida en el dedo  índice durante limpieza mecánica."/>
    <s v="MANO "/>
    <s v="NO"/>
    <m/>
    <x v="0"/>
    <s v="Setiembre"/>
    <m/>
    <n v="1"/>
    <m/>
    <n v="1"/>
    <m/>
    <m/>
    <m/>
    <x v="1"/>
    <s v="proyectos"/>
    <s v="Corte"/>
    <m/>
    <s v=" por impacto "/>
    <s v="AC y M"/>
    <m/>
  </r>
  <r>
    <s v="si"/>
    <s v="MOLINO FAUCETT"/>
    <m/>
    <s v="MANTENIMIENTO"/>
    <s v="MFA5446"/>
    <s v="Robert Anaya Esteban"/>
    <n v="42"/>
    <s v="Ayudante de Planta "/>
    <s v="M"/>
    <s v="1ro"/>
    <s v="23/04/2015_x000a_13:30 "/>
    <s v="Accidente Incapacitante "/>
    <s v="23/04/2015_x000a_13:30 "/>
    <s v="Accidente Incapacitante"/>
    <s v="Parcial Temporal"/>
    <s v="Corte de antepalma mano izquierda por caída de vidrio."/>
    <s v="MANO "/>
    <s v="NO"/>
    <m/>
    <x v="0"/>
    <s v="Abril"/>
    <m/>
    <n v="84"/>
    <m/>
    <n v="84"/>
    <m/>
    <m/>
    <m/>
    <x v="2"/>
    <s v="Durante operación productiva"/>
    <s v="Corte"/>
    <s v="Golpeado por"/>
    <m/>
    <m/>
    <m/>
  </r>
  <r>
    <s v="si"/>
    <s v="TEAL"/>
    <m/>
    <s v="PRODUCCIÓN"/>
    <m/>
    <s v="James Robert Choquehuanca Montalvo"/>
    <n v="50"/>
    <s v="Maquinista"/>
    <s v="M"/>
    <s v="2do"/>
    <s v="17/04/2015 _x000a_18:18"/>
    <s v="Accidente Incapacitante "/>
    <s v="17/04/2015 _x000a_18:18"/>
    <s v="Accidente Incapacitante"/>
    <s v="Parcial Temporal"/>
    <s v="Herida cortante abierta 1ra falange dedo pulgar mano derecha"/>
    <s v="MANO "/>
    <s v="SI"/>
    <s v="ver IPER TEAL"/>
    <x v="0"/>
    <s v="Abril "/>
    <m/>
    <n v="51"/>
    <m/>
    <n v="51"/>
    <m/>
    <m/>
    <m/>
    <x v="3"/>
    <s v="Calibrando/Regulando"/>
    <s v="Corte"/>
    <m/>
    <m/>
    <m/>
    <m/>
  </r>
  <r>
    <s v="si"/>
    <s v="APT CERCADO"/>
    <s v="APT CERCADO"/>
    <s v="DISTRIBUCIÓN"/>
    <s v="DIS6581"/>
    <s v="Matías Alva Soto"/>
    <n v="55"/>
    <s v="TERCERO"/>
    <s v="M"/>
    <s v="1ro"/>
    <m/>
    <m/>
    <s v="09/11/2015_x000a_13:45"/>
    <s v="Accidente Incapacitante"/>
    <s v="Parcial Temporal "/>
    <s v="Manipulación de stocka durante estiba en contenedor produce golpe en la pierna del accidentado. Herida abierta. "/>
    <s v="PIERNA"/>
    <s v="NO"/>
    <m/>
    <x v="0"/>
    <s v="Noviembre"/>
    <m/>
    <n v="3"/>
    <m/>
    <n v="3"/>
    <m/>
    <m/>
    <m/>
    <x v="4"/>
    <s v="carga/descarga de camión"/>
    <s v="Golpe"/>
    <m/>
    <m/>
    <s v="IOLSA"/>
    <m/>
  </r>
  <r>
    <s v="si"/>
    <s v="CDC"/>
    <m/>
    <s v="DISTRIBUCIÓN"/>
    <s v="DIS6191"/>
    <s v="Edwin Roy Cabrera Chuquihuaccha"/>
    <n v="26"/>
    <s v="Ayudande de almacén B"/>
    <s v="M"/>
    <s v="3ro"/>
    <m/>
    <m/>
    <s v="14/08/2015_x000a_04:05"/>
    <s v="Accidente Incapacitante "/>
    <s v="Parcial Temporal "/>
    <s v="Golpe en la pierna y tobillo por order piker"/>
    <s v="PIE"/>
    <s v="SI"/>
    <s v="MODERADO"/>
    <x v="0"/>
    <s v="Agosto"/>
    <m/>
    <n v="16"/>
    <m/>
    <n v="16"/>
    <m/>
    <m/>
    <m/>
    <x v="5"/>
    <s v="Manejando traspaleta/Montacarga"/>
    <s v="Golpe"/>
    <s v="Golpeado por"/>
    <m/>
    <m/>
    <m/>
  </r>
  <r>
    <s v="si"/>
    <s v="FIDEERIA LIMA"/>
    <m/>
    <s v="PRODUCCIÓN"/>
    <s v="PFL6051"/>
    <s v="Miguel Tolentino Escudero"/>
    <n v="45"/>
    <s v="Mecánico"/>
    <s v="M"/>
    <s v="1ro"/>
    <m/>
    <m/>
    <s v="24/08/2015_x000a_09:05"/>
    <s v="Accidente Incapacitante "/>
    <s v="Parcial Permanente"/>
    <s v="Amputación tercio distal del dedo índice por cambio de rótula del regulador de fideos."/>
    <s v="MANO "/>
    <s v="NO"/>
    <m/>
    <x v="0"/>
    <s v="Agosto"/>
    <m/>
    <n v="139"/>
    <n v="100"/>
    <n v="239"/>
    <m/>
    <m/>
    <m/>
    <x v="3"/>
    <s v="Mantenimiento"/>
    <s v="Pérdida Falanges"/>
    <s v="Atrapado entre"/>
    <m/>
    <m/>
    <m/>
  </r>
  <r>
    <s v="si"/>
    <s v="TEAL "/>
    <m/>
    <s v="PRODUCCIÓN"/>
    <m/>
    <s v="Julio Cesar Muñoz Garfias"/>
    <n v="32"/>
    <s v="Operario de producción"/>
    <s v="M"/>
    <s v="1ro"/>
    <m/>
    <m/>
    <s v="05/08/2015_x000a_09:20"/>
    <s v="Accidente Incapacitante "/>
    <s v="Parcial Temporal "/>
    <s v="Herida contusa abierta en la 1ra y 2da falange del segundo dedo de la mano por atrapamiento en su intento de acomodar la masa de caramelo en la guia de la maquina"/>
    <s v="MANO "/>
    <s v="SI"/>
    <s v="ver IPER TEAL"/>
    <x v="0"/>
    <s v="Agosto"/>
    <m/>
    <n v="33"/>
    <m/>
    <n v="33"/>
    <m/>
    <m/>
    <m/>
    <x v="3"/>
    <s v="Mantenimiento"/>
    <s v="Corte"/>
    <m/>
    <m/>
    <m/>
    <m/>
  </r>
  <r>
    <s v="si"/>
    <s v="TEAL "/>
    <m/>
    <s v="PRODUCCIÓN"/>
    <m/>
    <s v="Precy Cesar Ruiz Secaira"/>
    <n v="41"/>
    <s v="Operario de producción"/>
    <s v="M"/>
    <s v="2do"/>
    <m/>
    <m/>
    <s v="14/08/2015_x000a_15:20"/>
    <s v="Accidente Incapacitante "/>
    <s v="Parcial Temporal "/>
    <s v="Herida cortante abierta en 3er dedo de la mano derecha por contacto con cuchillo, mientras se manipulaba la masa de panetón hacia la olla."/>
    <s v="MANO "/>
    <s v="SI"/>
    <s v="ver IPER TEAL"/>
    <x v="0"/>
    <s v="Agosto"/>
    <m/>
    <n v="15"/>
    <m/>
    <n v="15"/>
    <m/>
    <m/>
    <m/>
    <x v="6"/>
    <s v="Durante operación productiva"/>
    <s v="Corte"/>
    <m/>
    <m/>
    <m/>
    <m/>
  </r>
  <r>
    <s v="si"/>
    <s v="TEAL "/>
    <m/>
    <s v="PRODUCCIÓN"/>
    <m/>
    <s v="Alex Mateo Aguilar Estrella"/>
    <n v="31"/>
    <s v="Operario de producción"/>
    <s v="M"/>
    <s v="2do"/>
    <m/>
    <m/>
    <s v="24/08/2015_x000a_15:05"/>
    <s v="Accidente Incapacitante "/>
    <s v="Parcial Permanente"/>
    <s v="Amputación traumática parcial de la falange distal del tercer dedo de la mano izquierda por atrapamiento de dedo por mordaza accionada accidentalmente por el mismo accidentado."/>
    <s v="MANO "/>
    <s v="SI"/>
    <s v="ver IPER TEAL"/>
    <x v="0"/>
    <s v="Agosto"/>
    <m/>
    <n v="144"/>
    <n v="75"/>
    <n v="219"/>
    <m/>
    <m/>
    <m/>
    <x v="3"/>
    <s v="Mantenimiento"/>
    <s v="Pérdida Falanges"/>
    <m/>
    <m/>
    <m/>
    <m/>
  </r>
  <r>
    <s v="si"/>
    <s v="GALLETERA LIMA"/>
    <m/>
    <s v="PROYECTOS"/>
    <s v="TEC5916"/>
    <s v="Nicolás Mauricio Toledo Pachas "/>
    <n v="23"/>
    <s v="TERCERO "/>
    <s v="M "/>
    <s v="1ro"/>
    <m/>
    <m/>
    <s v="10/06/2015_x000a_14:50 "/>
    <s v="Accidente Incapacitante "/>
    <s v="Parcial Temporal "/>
    <s v="Baranda del primer nivel de andamio cae sobre casco del trabajador mientras retiraba una soga."/>
    <s v="CABEZA"/>
    <s v="NO"/>
    <m/>
    <x v="0"/>
    <s v="Junio "/>
    <m/>
    <n v="1"/>
    <m/>
    <n v="1"/>
    <m/>
    <m/>
    <m/>
    <x v="7"/>
    <s v="proyectos"/>
    <s v="Golpe"/>
    <m/>
    <m/>
    <s v="BUILMEP"/>
    <m/>
  </r>
  <r>
    <s v="si"/>
    <s v="NUTRICION ANIMAL TRUJILLO "/>
    <m/>
    <s v="PRODUCCIÓN"/>
    <m/>
    <s v="Juan Carlos Horna Bocanegra"/>
    <m/>
    <s v="Operador de rociado"/>
    <s v="M"/>
    <s v="3ro"/>
    <m/>
    <m/>
    <s v="20/08/2015_x000a_11:05"/>
    <s v="Accidente Incapacitante "/>
    <s v="Parcial Temporal "/>
    <s v="Esguince en el tobillo izquierdo al bajar de un montacargas "/>
    <s v="PIE"/>
    <s v="NO"/>
    <m/>
    <x v="0"/>
    <s v="Agosto"/>
    <m/>
    <n v="7"/>
    <m/>
    <n v="7"/>
    <m/>
    <m/>
    <m/>
    <x v="8"/>
    <s v="Manejando traspaleta/Montacarga"/>
    <s v="Esguince"/>
    <m/>
    <m/>
    <m/>
    <m/>
  </r>
  <r>
    <s v="si"/>
    <s v="TEAL"/>
    <m/>
    <s v="OTROS"/>
    <m/>
    <s v="Omar Jesus Silva Leyton"/>
    <n v="36"/>
    <s v="TERCERO "/>
    <s v="M"/>
    <s v="1ro"/>
    <s v="18/04/2015_x000a_15:00"/>
    <s v="Accidente Incapacitante "/>
    <s v="18/04/2015_x000a_15:00"/>
    <s v="Accidente Incapacitante"/>
    <s v="Parcial Temporal"/>
    <s v="Herida contusa abierta en la frente, contusión parte posterior de la cabeza y luxación dedo medio de la mano derecha."/>
    <s v="CUERPO"/>
    <s v="NO"/>
    <m/>
    <x v="0"/>
    <s v="Abril "/>
    <m/>
    <n v="21"/>
    <m/>
    <n v="21"/>
    <m/>
    <m/>
    <m/>
    <x v="7"/>
    <s v="Mantenimiento"/>
    <s v="Golpe"/>
    <m/>
    <m/>
    <m/>
    <m/>
  </r>
  <r>
    <s v="si"/>
    <s v="MOLINO SANTA ROSA"/>
    <m/>
    <s v="PROYECTOS"/>
    <s v="TEC6053"/>
    <s v="Rafael Fermin Rosales Mendoza  "/>
    <n v="36"/>
    <s v="TERCERO"/>
    <s v="M"/>
    <s v="1ro"/>
    <m/>
    <m/>
    <s v="09/07/2015_x000a_15:00"/>
    <s v="Accidente Incapacitante "/>
    <s v="Parcial Temporal "/>
    <s v="Fractura  en 2°, 3° y 4° metacarpiano de la mano derecha y laceración del brazo izquierdo por impacto con listón de madera desprendida."/>
    <s v="BRAZO/HOMBRO"/>
    <s v="NO"/>
    <m/>
    <x v="0"/>
    <s v="Julio"/>
    <m/>
    <n v="35"/>
    <m/>
    <n v="35"/>
    <m/>
    <m/>
    <m/>
    <x v="9"/>
    <s v="proyectos"/>
    <s v="Golpe"/>
    <m/>
    <m/>
    <s v="AC&amp;M"/>
    <m/>
  </r>
  <r>
    <s v="si"/>
    <s v="COPSA "/>
    <m/>
    <s v="PRODUCCIÓN"/>
    <s v=" PCO 7358"/>
    <s v="Constante Mendocilla Diestra"/>
    <n v="63"/>
    <s v="LIDER LINEA EXTRACCION MECANICA"/>
    <s v="M"/>
    <s v="1ro"/>
    <m/>
    <m/>
    <s v="27/08/2015_x000a_11:10"/>
    <s v="Accidente Incapacitante "/>
    <s v="Parcial Temporal "/>
    <s v="Traumatismo en cabeza y heridas en el rostro por choque con parte posterior de camión mientras manejaba bicicleta."/>
    <s v="CABEZA"/>
    <s v="NO"/>
    <m/>
    <x v="0"/>
    <s v="Agosto"/>
    <m/>
    <n v="16"/>
    <m/>
    <n v="16"/>
    <m/>
    <m/>
    <m/>
    <x v="10"/>
    <s v="Trasladandose"/>
    <s v="Golpe"/>
    <s v="Golpeado contra"/>
    <m/>
    <m/>
    <m/>
  </r>
  <r>
    <s v="si"/>
    <s v="NUTRICION ANIMAL TRUJILLO "/>
    <m/>
    <s v="VITAPRO"/>
    <m/>
    <m/>
    <m/>
    <m/>
    <m/>
    <m/>
    <m/>
    <m/>
    <d v="2015-12-18T00:00:00"/>
    <s v="Accidente Incapacitante"/>
    <s v="Parcial Temporal "/>
    <s v="Esquince en el hombro derecho durante el repaletizado de sacos de harina"/>
    <s v="BRAZO/HOMBRO"/>
    <s v="SI"/>
    <m/>
    <x v="0"/>
    <s v="Diciembre"/>
    <m/>
    <n v="5"/>
    <m/>
    <n v="5"/>
    <m/>
    <m/>
    <m/>
    <x v="11"/>
    <s v="Durante operación productiva"/>
    <s v="Esguince"/>
    <m/>
    <m/>
    <m/>
    <m/>
  </r>
  <r>
    <s v="si"/>
    <s v="DETERGENTES"/>
    <m/>
    <s v="PRODUCCIÓN"/>
    <s v="DET6816"/>
    <s v="Benigno Huamán Corillo "/>
    <n v="29"/>
    <s v="Ayudante de Planta"/>
    <s v="M "/>
    <s v="3ro"/>
    <m/>
    <m/>
    <s v="17/12/2015_x000a_05:46 "/>
    <s v="Accidente Incapacitante"/>
    <s v="Parcial Temporal "/>
    <s v="Durante conducción en reversa de tranpaleta eléctrico, el trabajador se baja y su pie queda atrapado entre plataforma y ruma de paletas"/>
    <s v="PIE"/>
    <s v="NO"/>
    <m/>
    <x v="0"/>
    <s v="Diciembre"/>
    <m/>
    <n v="11"/>
    <m/>
    <n v="11"/>
    <m/>
    <m/>
    <m/>
    <x v="12"/>
    <s v="Manejando traspaleta/Montacarga"/>
    <s v="Golpe"/>
    <s v="Atrapado entre "/>
    <m/>
    <m/>
    <m/>
  </r>
  <r>
    <s v="si"/>
    <s v="INSTANTANEOS"/>
    <m/>
    <s v="PRODUCCIÓN"/>
    <s v="BRÑ4879"/>
    <s v="Jhon Janic Vela Sandoval "/>
    <n v="32"/>
    <s v="Mezclador Instantáneos "/>
    <s v="M"/>
    <s v="2do"/>
    <s v="OBRERO ESTABLE"/>
    <s v="7 años y 10 meses"/>
    <s v="17/01/2015_x000a_19:20"/>
    <s v="Accidente Incapacitante"/>
    <s v="Parcial Temporal "/>
    <s v="Contusión en pie derecho por aplastamiento con plataforma de acero (equipo de mezclado). Breña"/>
    <s v="PIE"/>
    <s v="SI"/>
    <s v="ACEPTABLE"/>
    <x v="0"/>
    <s v="Enero"/>
    <m/>
    <n v="20"/>
    <m/>
    <n v="20"/>
    <m/>
    <m/>
    <m/>
    <x v="13"/>
    <s v="Durante operación productiva"/>
    <s v="Golpe"/>
    <s v="Golpeado por"/>
    <m/>
    <m/>
    <m/>
  </r>
  <r>
    <s v="si"/>
    <s v="DETERGENTES"/>
    <m/>
    <s v="ALMACEN DE INSUMOS "/>
    <s v="DET4862"/>
    <s v="Andrés Avelino Quispe Carhuaz"/>
    <n v="51"/>
    <s v="TERCERO"/>
    <s v="M"/>
    <s v="1ro"/>
    <s v="TERCERO"/>
    <s v="3 años"/>
    <s v="14/01/2015_x000a_10:59"/>
    <s v="Accidente Incapacitante "/>
    <s v="Parcial Temporal "/>
    <s v="Golpe e inflamación de pierna izquierda por estoca de montacargas. Detergentes"/>
    <s v="PIERNA"/>
    <s v="NO"/>
    <m/>
    <x v="0"/>
    <s v="Enero"/>
    <m/>
    <n v="2"/>
    <m/>
    <n v="2"/>
    <m/>
    <m/>
    <m/>
    <x v="4"/>
    <s v="Maniobras de equipos"/>
    <s v="Golpe"/>
    <m/>
    <m/>
    <s v="BAS PERUANA_x000a_TRANSPORTES GIRASOLES"/>
    <m/>
  </r>
  <r>
    <s v="si"/>
    <s v="VITAPRO "/>
    <m/>
    <s v="CENTRO EXPERIMENTAL - TUMBES"/>
    <m/>
    <s v="Juan Pablo Moreno Peña"/>
    <m/>
    <m/>
    <s v="M"/>
    <m/>
    <m/>
    <m/>
    <d v="2015-09-29T16:45:00"/>
    <s v="Accidente Incapacitante"/>
    <s v="Parcial Temporal "/>
    <s v="cintas metálicas  del alimentador enrolladas a presión se rompe y se expande súbitamente, ocasionándole un corte en la parte superior de la mano derecha"/>
    <s v="MANO "/>
    <s v="NO"/>
    <m/>
    <x v="0"/>
    <s v="Setiembre"/>
    <m/>
    <n v="15"/>
    <m/>
    <n v="15"/>
    <m/>
    <m/>
    <m/>
    <x v="3"/>
    <s v="Durante operación productiva"/>
    <s v="Corte"/>
    <m/>
    <m/>
    <m/>
    <m/>
  </r>
  <r>
    <s v="si"/>
    <s v="TEAL"/>
    <m/>
    <s v="DISTRIBUCIÓN"/>
    <m/>
    <s v="Eujenio Baldeon Cosme"/>
    <n v="57"/>
    <s v="TERCERO"/>
    <s v="M"/>
    <s v="1ro"/>
    <m/>
    <m/>
    <s v="17/10/2015_x000a_16:10"/>
    <s v="Accidente Incapacitante"/>
    <s v="Parcial Temporal "/>
    <s v="Contusión en el hombro izquiero por impacto con liston de metal durante estibado de producto terminado"/>
    <s v="BRAZO/HOMBRO"/>
    <s v="NO"/>
    <m/>
    <x v="0"/>
    <s v="Octubre"/>
    <m/>
    <n v="4"/>
    <m/>
    <n v="4"/>
    <m/>
    <m/>
    <m/>
    <x v="14"/>
    <s v="carga/descarga de camión"/>
    <s v="Golpe"/>
    <m/>
    <m/>
    <s v="IOLSA"/>
    <m/>
  </r>
  <r>
    <s v="si"/>
    <s v="PROYECTOS"/>
    <m/>
    <s v="PROYECTOS"/>
    <s v="TEC7212"/>
    <s v="Freddy Rodriguez Chinchay"/>
    <m/>
    <s v="TERCERO"/>
    <s v="M"/>
    <s v="1ro"/>
    <m/>
    <m/>
    <d v="2015-12-15T00:00:00"/>
    <s v="Accidente Incapacitante"/>
    <s v="Parcial Temporal "/>
    <s v="Quemadura en dedo durante trabajo de soldadura"/>
    <s v="MANO "/>
    <s v="NO"/>
    <m/>
    <x v="0"/>
    <s v="Diciembre"/>
    <m/>
    <n v="16"/>
    <m/>
    <n v="16"/>
    <m/>
    <m/>
    <m/>
    <x v="15"/>
    <s v="proyectos"/>
    <s v="Quemadura"/>
    <m/>
    <m/>
    <s v="MANPAN"/>
    <m/>
  </r>
  <r>
    <s v="si"/>
    <s v="MOLINCA"/>
    <m/>
    <s v="PRODUCCIÓN"/>
    <m/>
    <s v="Pedro Ynfantes Vasquez"/>
    <n v="36"/>
    <s v="Preparador de Cremas"/>
    <s v="M"/>
    <s v="2do"/>
    <m/>
    <m/>
    <s v="03/12/2015_x000a_20:05"/>
    <s v="Accidente Incapacitante"/>
    <s v="Parcial Temporal "/>
    <s v="Atrapamiento de mano y antebrazo derecho mientras realiza labores de dosificador de sal en máquina esparcidora"/>
    <s v="MANO "/>
    <s v="NO"/>
    <m/>
    <x v="0"/>
    <s v="Diciembre"/>
    <m/>
    <n v="60"/>
    <m/>
    <n v="60"/>
    <m/>
    <m/>
    <m/>
    <x v="16"/>
    <s v="Limpiando equipo"/>
    <s v="Fractura"/>
    <m/>
    <m/>
    <m/>
    <m/>
  </r>
  <r>
    <s v="si"/>
    <s v="SIDSUR"/>
    <m/>
    <s v="PRODUCCIÓN"/>
    <s v="SID4930"/>
    <s v="Vitaliano Silloca Silloca "/>
    <n v="41"/>
    <s v="Pesador de ingredientes"/>
    <s v="M"/>
    <s v="1ro"/>
    <s v="OBRERO ESTABLE"/>
    <s v="12 años y 8 meses"/>
    <s v="27/01/2015_x000a_08:30 "/>
    <s v="Accidente Incapacitante"/>
    <s v="Parcial Temporal "/>
    <s v="Luxación-hombro por resbalón durante la limpieza y lavado de escalera de emergencia. Galletera "/>
    <s v="BRAZO/HOMBRO"/>
    <s v="SI"/>
    <s v="MODERADO"/>
    <x v="0"/>
    <s v="Enero"/>
    <m/>
    <n v="30"/>
    <m/>
    <n v="30"/>
    <m/>
    <m/>
    <m/>
    <x v="17"/>
    <s v="Limpiando instalaciones"/>
    <s v="Luxación "/>
    <s v="Caída a un desnivel"/>
    <m/>
    <m/>
    <m/>
  </r>
  <r>
    <s v="si"/>
    <s v="CDC"/>
    <m/>
    <s v="DISTRIBUCIÓN"/>
    <s v="DIS4974"/>
    <s v="Juan Jibaja Rojas"/>
    <n v="42"/>
    <s v="TERCERO"/>
    <s v="M"/>
    <s v="1ro "/>
    <s v="TERCERO"/>
    <s v="10 años"/>
    <s v="30/01/2015 _x000a_14:20 "/>
    <s v="Accidente Incapacitante"/>
    <s v="Parcial Temporal "/>
    <s v="Impacto con neumático de montacargas en el tobillo genera una contusión. CDC"/>
    <s v="PIERNA"/>
    <s v="SI"/>
    <s v="MODERADO"/>
    <x v="0"/>
    <s v="Enero"/>
    <m/>
    <n v="261"/>
    <m/>
    <n v="261"/>
    <m/>
    <m/>
    <m/>
    <x v="18"/>
    <s v="Manejando traspaleta/Montacarga"/>
    <s v="Golpe"/>
    <m/>
    <m/>
    <s v="Transportes Pacífico"/>
    <s v="X"/>
  </r>
  <r>
    <s v="si"/>
    <s v="DETERGENTES"/>
    <m/>
    <s v="MANTENIMIENTO"/>
    <s v="DET4863"/>
    <s v="José Danilo Llanos Mego"/>
    <n v="28"/>
    <s v="Técnico Mecánico "/>
    <s v="M"/>
    <s v="1ro"/>
    <s v="OBRERO ESTABLE"/>
    <m/>
    <s v="17/01/2015_x000a_09:30 "/>
    <s v="Accidente Incapacitante"/>
    <s v="Parcial Temporal "/>
    <s v="Fractura y corte de ligamento dedo meñique de mano derecha por atratamiento con compuerta de acero; máquina HH N°5"/>
    <s v="MANO "/>
    <s v="SI"/>
    <s v="ACEPTABLE"/>
    <x v="0"/>
    <s v="Enero "/>
    <m/>
    <n v="110"/>
    <m/>
    <n v="110"/>
    <m/>
    <m/>
    <m/>
    <x v="3"/>
    <s v="Mantenimiento"/>
    <s v="Fractura"/>
    <s v="Atrapado entre"/>
    <s v="Falta bloqueo mecánico"/>
    <m/>
    <m/>
  </r>
  <r>
    <s v="si"/>
    <s v="COPSA"/>
    <m/>
    <s v="PROYECTOS"/>
    <s v="TEC5074"/>
    <s v="Samuel Chávez Tinoco"/>
    <n v="34"/>
    <s v="TERCERO"/>
    <s v="M"/>
    <s v="1ro"/>
    <s v="TERCERO"/>
    <m/>
    <s v="28/01/2015_x000a_11:10 "/>
    <s v="Accidente Incapacitante"/>
    <s v="Parcial Temporal "/>
    <s v="Exposición a gas (amoniaco) genera una afección respiratoria en azotea de planta Margarinas"/>
    <s v="AFECCIÓN RESPIRATORIA"/>
    <s v="NO"/>
    <m/>
    <x v="0"/>
    <s v="Enero"/>
    <m/>
    <n v="2"/>
    <m/>
    <n v="2"/>
    <m/>
    <m/>
    <m/>
    <x v="19"/>
    <s v="proyectos"/>
    <s v="Contacto sustancia Quimica"/>
    <m/>
    <m/>
    <s v="ALTA"/>
    <m/>
  </r>
  <r>
    <s v="si"/>
    <s v="COPSA"/>
    <m/>
    <s v="PROYECTOS"/>
    <s v="TEC5074"/>
    <s v="Cristian Javier Arias Medina"/>
    <n v="39"/>
    <s v="TERCERO"/>
    <s v="M"/>
    <s v="1ro"/>
    <s v="TERCERO"/>
    <m/>
    <s v="28/01/2015_x000a_11:10 "/>
    <s v="Accidente Incapacitante"/>
    <s v="Parcial Temporal "/>
    <s v="Exposición a gas (amoniaco) genera una cefalea en azotea de planta Margarinas"/>
    <s v="AFECCIÓN RESPIRATORIA"/>
    <s v="NO"/>
    <m/>
    <x v="0"/>
    <s v="Enero"/>
    <m/>
    <n v="1"/>
    <m/>
    <n v="1"/>
    <m/>
    <m/>
    <m/>
    <x v="19"/>
    <s v="proyectos"/>
    <s v="Contacto sustancia Quimica"/>
    <m/>
    <m/>
    <s v="ALTA"/>
    <m/>
  </r>
  <r>
    <s v="si"/>
    <s v="DETERGENTES"/>
    <m/>
    <s v="PRODUCCIÓN"/>
    <s v="DET4947"/>
    <s v="Bruno Díaz "/>
    <n v="26"/>
    <s v="Ayudante "/>
    <s v="M"/>
    <s v="3ro"/>
    <m/>
    <m/>
    <s v="04/02/2015_x000a_02:20 am"/>
    <s v="Accidente Incapacitante "/>
    <s v="Parcial Temporal"/>
    <s v="Fractura de muñequa. Trabajador resbala y todo su peso cae sobre su cadera y muñequa."/>
    <s v="MANO "/>
    <s v="NO"/>
    <m/>
    <x v="0"/>
    <s v="Febrero "/>
    <m/>
    <n v="24"/>
    <m/>
    <n v="24"/>
    <m/>
    <m/>
    <m/>
    <x v="20"/>
    <s v="Trasladandose"/>
    <s v="Fractura"/>
    <s v="Caída a un mismo nivel"/>
    <m/>
    <m/>
    <m/>
  </r>
  <r>
    <s v="si"/>
    <s v="MOLINO CALLAO"/>
    <m/>
    <s v="DISTRIBUCIÓN"/>
    <s v="DIS6866"/>
    <s v="Joaquin Oscco Chati "/>
    <n v="47"/>
    <s v="TERCERO "/>
    <s v="M"/>
    <s v="2do"/>
    <m/>
    <m/>
    <s v="22/12/2015_x000a_20:15"/>
    <s v="Accidente Incapacitante"/>
    <s v="Parcial Temporal "/>
    <s v="Durante operación de repaletizado trabajador siente un fuerte dolor en la rodilla izquierda. Esguince en menisco."/>
    <s v="PIERNA"/>
    <s v="NO"/>
    <m/>
    <x v="0"/>
    <s v="Diciembre"/>
    <m/>
    <n v="8"/>
    <m/>
    <n v="8"/>
    <m/>
    <m/>
    <m/>
    <x v="21"/>
    <s v="Durante operación productiva"/>
    <s v="Esguince"/>
    <m/>
    <m/>
    <s v="IOLSA"/>
    <m/>
  </r>
  <r>
    <m/>
    <s v="GALLETERA LIMA"/>
    <m/>
    <s v="ADMINISTRACIÓN"/>
    <m/>
    <s v="Hilda Vásquez  Segovia "/>
    <m/>
    <s v="TERCERO"/>
    <s v="F"/>
    <s v="2do "/>
    <m/>
    <m/>
    <s v="17/03/2015_x000a_21:20 "/>
    <s v="Accidente Incapacitante "/>
    <s v="Parcial Temporal"/>
    <s v="Policontusa al resbalarse en los SSHH_x000a_"/>
    <s v="CUERPO"/>
    <s v="NO"/>
    <m/>
    <x v="0"/>
    <s v="Marzo"/>
    <m/>
    <n v="2"/>
    <m/>
    <n v="2"/>
    <m/>
    <m/>
    <m/>
    <x v="20"/>
    <s v="Trasladandose"/>
    <s v="policontusa"/>
    <m/>
    <m/>
    <s v="LIMTEK"/>
    <m/>
  </r>
  <r>
    <s v="si"/>
    <s v="DETERGENTES"/>
    <m/>
    <s v="PRODUCCIÓN"/>
    <s v="DET5118"/>
    <s v="Percy Antonio Carranza Izaguirre  "/>
    <n v="40"/>
    <s v="Operador de Máquina Envasadora "/>
    <s v="M"/>
    <s v="3ro"/>
    <m/>
    <m/>
    <s v="25/02/2015_x000a_03:20 "/>
    <s v="Accidente Incapacitante "/>
    <s v="Parcial Temporal"/>
    <s v="Atrapamiento con mordaza horizontal de máquina envasadora. Corte y quemadura 2do grado "/>
    <s v="MANO "/>
    <s v="SI"/>
    <s v="MODERADO"/>
    <x v="0"/>
    <s v="Febrero "/>
    <m/>
    <n v="59"/>
    <m/>
    <n v="59"/>
    <m/>
    <m/>
    <m/>
    <x v="3"/>
    <s v="Calibrando/Regulando"/>
    <s v="Atricción"/>
    <s v="Atrapado entre"/>
    <m/>
    <m/>
    <m/>
  </r>
  <r>
    <s v="si"/>
    <s v="NUTRICION ANIMAL TRUJILLO "/>
    <m/>
    <s v="VITAPRO"/>
    <m/>
    <s v="Iván Fuentes De La Cruz"/>
    <n v="19"/>
    <s v="TERCERO"/>
    <s v="M"/>
    <s v="1ro"/>
    <m/>
    <m/>
    <s v="10/03/2015_x000a_13:45 "/>
    <s v="Accidente Incapacitante "/>
    <s v="Parcial Temporal"/>
    <s v="Esguince 2do Grado Pulgar Mano Derecho durante limpieza en Lavatorio_x000a_"/>
    <s v="MANO "/>
    <s v="NO"/>
    <m/>
    <x v="0"/>
    <s v="Marzo"/>
    <m/>
    <n v="7"/>
    <m/>
    <n v="7"/>
    <m/>
    <m/>
    <m/>
    <x v="3"/>
    <s v="Limpiando equipo"/>
    <s v="Esguince"/>
    <m/>
    <m/>
    <s v="LIMTEK"/>
    <m/>
  </r>
  <r>
    <s v="si"/>
    <s v="CDC"/>
    <m/>
    <s v="DISTRIBUCIÓN"/>
    <s v="DIS5675"/>
    <s v="Franque Leonel Reluz Sosa "/>
    <n v="29"/>
    <s v="Ayudante de paletizador "/>
    <s v="M"/>
    <s v="1ro"/>
    <m/>
    <m/>
    <s v="04/06/2015_x000a_14:20"/>
    <s v="Accidente Incapacitante "/>
    <s v="Parcial Temporal "/>
    <s v="coge uno de los fardos de detergentes apoyando el dorso de la mano derecha sobre la faja, esto ocasionó que la faja arrastre su mano en dirección del movimiento y quede atrapada entre el protector del rodillo y la faja "/>
    <s v="MANO "/>
    <s v="SI"/>
    <s v="IMPORTANTE"/>
    <x v="0"/>
    <s v="Junio"/>
    <m/>
    <n v="26"/>
    <m/>
    <n v="26"/>
    <m/>
    <m/>
    <m/>
    <x v="22"/>
    <s v="Durante operación productiva"/>
    <s v="Quemadura"/>
    <s v="Atrapado entre"/>
    <m/>
    <m/>
    <m/>
  </r>
  <r>
    <s v="si"/>
    <s v="COPSA "/>
    <m/>
    <s v="PRODUCCIÓN"/>
    <s v="PCO7359"/>
    <s v="Hector Albites Neyra "/>
    <n v="41"/>
    <s v="Operador volante de aceites "/>
    <s v="M"/>
    <s v="1ro "/>
    <m/>
    <m/>
    <s v="08/06/2015_x000a_15:00 "/>
    <s v="Accidente Incapacitante "/>
    <s v="Parcial Temporal "/>
    <s v="corte en los dedos índice y medio de la mano izquierda con una cuchilla retráctil, debido a que la tenía sujetada con la hoja de corte expuesta, al momento de entregarla al Sr. Rojas."/>
    <s v="MANO "/>
    <s v="NO"/>
    <m/>
    <x v="0"/>
    <s v="Junio"/>
    <m/>
    <n v="48"/>
    <m/>
    <n v="48"/>
    <m/>
    <m/>
    <m/>
    <x v="23"/>
    <s v="Otros"/>
    <s v="Corte"/>
    <s v="Contacto con "/>
    <m/>
    <m/>
    <m/>
  </r>
  <r>
    <s v="si"/>
    <s v="MOLINCA"/>
    <m/>
    <s v="PRODUCCIÓN"/>
    <m/>
    <s v="Anselmo Mendoza Acevedo"/>
    <n v="58"/>
    <m/>
    <s v="M"/>
    <s v="1ro"/>
    <m/>
    <m/>
    <s v="25/03/2015_x000a_07:35 "/>
    <s v="Accidente Incapacitante "/>
    <s v="Parcial Temporal"/>
    <s v="Pérdida de  falanges distales de dedo Índice  y dedo  medio de la mano derecha al intentar asegurar visor del volumétrico_x000a_"/>
    <s v="MANO "/>
    <s v="SI"/>
    <m/>
    <x v="0"/>
    <s v="Marzo"/>
    <m/>
    <n v="90"/>
    <n v="175"/>
    <n v="265"/>
    <m/>
    <m/>
    <m/>
    <x v="3"/>
    <s v="Mantenimiento"/>
    <s v="Pérdida Falanges"/>
    <m/>
    <m/>
    <m/>
    <m/>
  </r>
  <r>
    <s v="si"/>
    <s v="MOLINO CALLAO"/>
    <m/>
    <s v="DISTRIBUCIÓN"/>
    <s v="DIS5445"/>
    <s v="Juan José Chinguel Carhuayocllo"/>
    <n v="27"/>
    <s v="TERCERO "/>
    <s v="M"/>
    <s v="2do  "/>
    <s v="22/04/2015_x000a_16:00 "/>
    <s v="Accidente Incapacitante "/>
    <s v="22/04/2015_x000a_16:00 "/>
    <s v="Accidente Incapacitante"/>
    <s v="Parcial Temporal"/>
    <s v="Esguince Tobillo derecho (IOLSA) por golpe con montacarga durante carga del contenedor "/>
    <s v="PIE"/>
    <s v="SI"/>
    <s v="IMPORTANTE"/>
    <x v="0"/>
    <s v="Abril "/>
    <m/>
    <n v="4"/>
    <m/>
    <n v="4"/>
    <m/>
    <m/>
    <m/>
    <x v="18"/>
    <s v="Manejando traspaleta/Montacarga"/>
    <s v="Esguince"/>
    <m/>
    <m/>
    <s v="IOLSA"/>
    <m/>
  </r>
  <r>
    <s v="si"/>
    <s v="TEAL "/>
    <m/>
    <s v="DISTRIBUCIÓN"/>
    <m/>
    <s v="Edgar Gaber Turpo Quispe"/>
    <n v="41"/>
    <s v="TERCERO"/>
    <s v="M"/>
    <s v="2do"/>
    <m/>
    <m/>
    <s v="05/06/2015_x000a_15:45 "/>
    <s v="Accidente Incapacitante "/>
    <s v="Parcial Temporal "/>
    <s v="Chofer desplaza las puertas horizontalmente y dedo meñique queda atrapado entre puertas laterales. "/>
    <s v="MANO "/>
    <s v="NO"/>
    <m/>
    <x v="0"/>
    <s v="Junio"/>
    <m/>
    <n v="16"/>
    <m/>
    <n v="16"/>
    <m/>
    <m/>
    <m/>
    <x v="14"/>
    <s v="carga/descarga de camión"/>
    <s v="Golpe"/>
    <m/>
    <m/>
    <s v="Transportes CR "/>
    <m/>
  </r>
  <r>
    <s v="si"/>
    <s v="TEAL "/>
    <m/>
    <s v="PRODUCCIÓN"/>
    <m/>
    <s v="Augusto Vladimir Córdova "/>
    <n v="34"/>
    <s v="Operario de producción"/>
    <s v="M"/>
    <s v="1ro "/>
    <m/>
    <m/>
    <s v="08/06/2015_x000a_12:18 "/>
    <s v="Accidente Incapacitante "/>
    <s v="Parcial Temporal "/>
    <s v="Baja la compuerta con la mano izquierda dejando el dedo medio de la mano derecha expuesto en el marco de la compuerta aprisionando  dicho dedo y causándole la lesión ."/>
    <s v="MANO "/>
    <s v="SI"/>
    <s v="ver IPER TEAL"/>
    <x v="0"/>
    <s v="Junio"/>
    <m/>
    <n v="95"/>
    <m/>
    <n v="95"/>
    <m/>
    <m/>
    <m/>
    <x v="3"/>
    <s v="Durante operación productiva"/>
    <s v="Golpe"/>
    <m/>
    <m/>
    <m/>
    <m/>
  </r>
  <r>
    <s v="si"/>
    <s v="COPSA "/>
    <m/>
    <s v="PRODUCCIÓN"/>
    <s v="PCO5926"/>
    <s v="Enrique Cuadrado Dominguez"/>
    <n v="49"/>
    <s v="Líder Planta Refinación Física "/>
    <s v="M"/>
    <s v="3ro"/>
    <m/>
    <m/>
    <s v="09/06/2015_x000a_00:10 "/>
    <s v="Accidente Incapacitante "/>
    <s v="Parcial Temporal "/>
    <s v="Quemaduras de 1er y 2do grado en manos y pantorrilla derecha por salpicadura de aciete caliente a través de visor."/>
    <s v="CUERPO"/>
    <s v="NO"/>
    <m/>
    <x v="0"/>
    <s v="Junio "/>
    <m/>
    <n v="20"/>
    <m/>
    <n v="20"/>
    <m/>
    <m/>
    <m/>
    <x v="24"/>
    <s v="Durante operación productiva"/>
    <s v="Quemadura"/>
    <s v="Contacto con"/>
    <m/>
    <m/>
    <m/>
  </r>
  <r>
    <s v="si"/>
    <s v="MOLINO FAUCETT"/>
    <m/>
    <s v="PRODUCCIÓN"/>
    <s v="MFA5156"/>
    <s v="Mario Joya Chumpitaz"/>
    <n v="46"/>
    <s v="Coordinador de envasado      "/>
    <s v="M"/>
    <s v="3ro"/>
    <m/>
    <m/>
    <s v="09/03/2015_x000a_06:00 "/>
    <s v="Accidente Incapacitante "/>
    <s v="Parcial Temporal"/>
    <s v="Herida en primer dedo de mano izquierda con daño de uña/ Fractura de dedo pulgar mano izquierda al revisar sensor en máquina SIG.        "/>
    <s v="MANO "/>
    <s v="NO"/>
    <m/>
    <x v="0"/>
    <s v="Marzo"/>
    <m/>
    <n v="117"/>
    <m/>
    <n v="117"/>
    <m/>
    <m/>
    <m/>
    <x v="3"/>
    <s v="Calibrando/Regulando"/>
    <s v="Fractura"/>
    <s v="Atrapado entre"/>
    <m/>
    <m/>
    <m/>
  </r>
  <r>
    <s v="si"/>
    <s v="SIDSUR"/>
    <m/>
    <s v="PRODUCCIÓN"/>
    <s v="SID5644"/>
    <s v="Gilmar Darwin Viza Ayquipa"/>
    <n v="22"/>
    <s v="Ayudante de Planta  "/>
    <s v="M"/>
    <s v="3ro"/>
    <m/>
    <m/>
    <s v="29/05/2015_x000a_01:45"/>
    <s v="Accidente Incapacitante"/>
    <s v="Parcial Temporal"/>
    <s v="la tarea de reproceso de harina, el trabajador Gilmar Viza Ayquipa se dobla el  1er dedo de mano izquierda con un saco con harina. "/>
    <s v="MANO "/>
    <s v="NO"/>
    <m/>
    <x v="0"/>
    <s v="Mayo"/>
    <m/>
    <n v="5"/>
    <m/>
    <n v="5"/>
    <m/>
    <m/>
    <m/>
    <x v="21"/>
    <s v="Durante operación productiva"/>
    <s v="Esguince"/>
    <s v="Sobreesfuerzo"/>
    <m/>
    <m/>
    <m/>
  </r>
  <r>
    <s v="si"/>
    <s v="COPSA"/>
    <m/>
    <s v="MANTENIMIENTO"/>
    <s v="PCO6686"/>
    <s v="Miguel Angel Marrujo Villanera"/>
    <n v="25"/>
    <s v="Instrumentista"/>
    <s v="M"/>
    <s v="1ro"/>
    <m/>
    <m/>
    <s v="02/11/2015_x000a_09:00"/>
    <s v="Accidente Incapacitante"/>
    <s v="Parcial Temporal "/>
    <s v="Aprisión de falange distal al momento de montado de válvula neumática genera fractura de falange."/>
    <s v="MANO "/>
    <s v="SI"/>
    <s v="MODERADO"/>
    <x v="0"/>
    <s v="Noviembre"/>
    <m/>
    <n v="109"/>
    <m/>
    <n v="109"/>
    <m/>
    <m/>
    <m/>
    <x v="25"/>
    <s v="Mantenimiento"/>
    <s v="Fractura"/>
    <s v="Atrapado entre "/>
    <m/>
    <m/>
    <m/>
  </r>
  <r>
    <s v="si"/>
    <s v="FIDEERIA LIMA"/>
    <m/>
    <s v="PRODUCCIÓN"/>
    <s v="PFL6577"/>
    <s v="Marco Santana "/>
    <n v="21"/>
    <s v="Ayudante de Producción"/>
    <s v="M"/>
    <s v="3ro"/>
    <m/>
    <m/>
    <s v="13/11/2015_x000a_04:00"/>
    <s v="Accidente Incapacitante"/>
    <s v="Parcial Temporal "/>
    <s v="Fractura de falange durante cambio de molde por atrapamiento de dedo entre gancho de tecle y molde. "/>
    <s v="MANO "/>
    <s v="SI"/>
    <s v="IMPORTANTE"/>
    <x v="0"/>
    <s v="Noviembre"/>
    <m/>
    <n v="62"/>
    <m/>
    <n v="62"/>
    <m/>
    <m/>
    <m/>
    <x v="26"/>
    <s v="Maniobras de equipos"/>
    <s v="Fractura"/>
    <s v="Atrapado entre"/>
    <m/>
    <m/>
    <m/>
  </r>
  <r>
    <s v="si"/>
    <s v="FIDEERIA LIMA"/>
    <m/>
    <s v="PRODUCCIÓN"/>
    <s v="PFL6484"/>
    <s v="Diter Iván Liviapoma Nuñez"/>
    <n v="28"/>
    <s v="Operador Materias Primas"/>
    <s v="M"/>
    <s v="2do"/>
    <m/>
    <m/>
    <s v="24/10/2015_x000a_19:08"/>
    <s v="Accidente Incapacitante"/>
    <s v="Parcial Temporal "/>
    <s v="Atricción de dedos entre cadena y molde en Línea L23 durante el cambio de molde genera herida contusa cortante"/>
    <s v="MANO "/>
    <s v="SI"/>
    <s v="IMPORTANTE"/>
    <x v="0"/>
    <s v="Octubre"/>
    <m/>
    <n v="2"/>
    <m/>
    <n v="2"/>
    <m/>
    <m/>
    <m/>
    <x v="26"/>
    <s v="Durante operación productiva"/>
    <s v="Atricción"/>
    <s v="Atrapado en"/>
    <m/>
    <m/>
    <m/>
  </r>
  <r>
    <s v="si"/>
    <s v="MOLINO FAUCETT"/>
    <m/>
    <s v="PRODUCCIÓN"/>
    <s v="MFA6365"/>
    <s v="Josué Antonio Burgos Campos      "/>
    <n v="23"/>
    <s v="Ayudante de Planta       "/>
    <s v="M"/>
    <s v="2do"/>
    <m/>
    <m/>
    <s v="22/09/2015_x000a_20:40 "/>
    <s v="Accidente Incapacitante"/>
    <s v="Parcial Temporal "/>
    <s v="Contusión del pie izquierdo al quedar atrapado entre las maderas de una parihuela por saltar sobre ella."/>
    <s v="PIE"/>
    <s v="SI"/>
    <s v="MODERADO"/>
    <x v="0"/>
    <s v="Setiembre"/>
    <m/>
    <n v="5"/>
    <m/>
    <n v="5"/>
    <m/>
    <m/>
    <m/>
    <x v="8"/>
    <s v="Durante operación productiva"/>
    <s v="Golpe"/>
    <s v="Atrapado entre"/>
    <m/>
    <m/>
    <m/>
  </r>
  <r>
    <m/>
    <s v="SIDSUR"/>
    <m/>
    <s v="DISTRIBUCIÓN"/>
    <s v="SID3618"/>
    <s v="Heraldo Neyra Díaz"/>
    <m/>
    <s v="TERCERO"/>
    <s v="M"/>
    <s v="3ro"/>
    <s v="TERCERO"/>
    <m/>
    <s v="12/07/2014  _x000a_06:55:00 a.m."/>
    <s v="Lesión Incapacitante"/>
    <s v="Lesión Incapacitante"/>
    <s v="Esguince en tobillo derecho por caida de paleta sobre su pierna durante carguio del camión"/>
    <s v="PIERNA"/>
    <m/>
    <m/>
    <x v="1"/>
    <s v="Julio"/>
    <m/>
    <n v="21"/>
    <m/>
    <n v="21"/>
    <m/>
    <m/>
    <m/>
    <x v="27"/>
    <s v="carga/descarga de camión"/>
    <s v="Golpe"/>
    <m/>
    <m/>
    <s v="Transporte Pablo Nuñez"/>
    <m/>
  </r>
  <r>
    <m/>
    <s v="CDC"/>
    <m/>
    <s v="DISTRIBUCIÓN"/>
    <s v="DIS3639"/>
    <s v="JUAN ALFONSO ZEVALLOS DIAZ "/>
    <m/>
    <s v="TERCERO"/>
    <s v="M"/>
    <m/>
    <s v="TERCERO"/>
    <m/>
    <d v="2014-07-24T00:00:00"/>
    <s v="Lesión Incapacitante"/>
    <s v="Lesión Incapacitante"/>
    <s v="Amputación de falange distal dedo índice mano derecha, corte y fractura falange distal dedo II durante el retiro de la bateria del montacarga para su recarga"/>
    <s v="MANO "/>
    <m/>
    <m/>
    <x v="1"/>
    <s v="Julio"/>
    <m/>
    <n v="349"/>
    <n v="75"/>
    <n v="424"/>
    <m/>
    <m/>
    <m/>
    <x v="0"/>
    <s v="Maniobras de equipos"/>
    <s v="Pérdida Falanges"/>
    <m/>
    <m/>
    <s v="Agencia Alemana Del Peru"/>
    <s v="X"/>
  </r>
  <r>
    <s v="si"/>
    <s v="GALLETERA LIMA"/>
    <s v="Yury"/>
    <s v="PROYECTOS"/>
    <m/>
    <s v="ELLIO VILLAJUAN PRINCIPE"/>
    <m/>
    <s v="TERCERO"/>
    <s v="M"/>
    <s v="2do"/>
    <s v="TERCERO"/>
    <m/>
    <s v="13/10/2014_x000a_15:20"/>
    <s v="Lesión Incapacitante"/>
    <s v="Lesión Incapacitante"/>
    <s v="En evaluación, fractura múltiple de antebrazo derecho al intentar limpiar polín con faja en movimiento"/>
    <s v="BRAZO/HOMBRO"/>
    <m/>
    <m/>
    <x v="1"/>
    <s v="Octubre"/>
    <m/>
    <n v="208"/>
    <m/>
    <n v="208"/>
    <m/>
    <m/>
    <m/>
    <x v="22"/>
    <s v="Trajando en corrida de prueba"/>
    <s v="Fractura"/>
    <m/>
    <m/>
    <s v="ROMEWA"/>
    <s v="X"/>
  </r>
  <r>
    <m/>
    <s v="MOLINO SANTA ROSA "/>
    <m/>
    <s v="PRODUCCIÓN"/>
    <s v="MSR4347"/>
    <s v="GILBERT EDUARDO ESPINO GUERRERO "/>
    <n v="46"/>
    <s v="Personal Alicorp "/>
    <s v="M"/>
    <s v="2ro"/>
    <s v="OBRERO ESTABLE"/>
    <s v="17 años"/>
    <s v="07/11/2014_x000a_15:10"/>
    <s v="Lesión Incapacitante"/>
    <s v="Lesión Incapacitante"/>
    <s v="Siendo la 15:15, luego de hacer la limpieza respectiva de fin de turno y estando la planta parada, el Sr. Gilbert Espino intenta cruzar por encima de la faja transportadora de sacos, enganchando su pie derecho con la baranda posterior, lo que origina que su rodilla derecha impacte con la baranda anterior."/>
    <s v="PIERNA"/>
    <m/>
    <m/>
    <x v="1"/>
    <s v="Noviembre"/>
    <m/>
    <n v="178"/>
    <m/>
    <n v="178"/>
    <m/>
    <m/>
    <m/>
    <x v="28"/>
    <s v="Otros"/>
    <s v="Golpe"/>
    <m/>
    <m/>
    <m/>
    <m/>
  </r>
  <r>
    <m/>
    <s v="TEAL"/>
    <m/>
    <s v="DISTRIBUCIÓN"/>
    <m/>
    <s v="LEANDRO ESTRADA SABINO"/>
    <m/>
    <s v="TERCERO"/>
    <s v="M"/>
    <s v="2do"/>
    <s v="TERCERO"/>
    <m/>
    <s v="31/12/2014_x000a_18:20  "/>
    <s v="Lesión Incapacitante"/>
    <s v="Lesión Incapacitante"/>
    <s v="Al término de la carga de productos, los estibadores procedieron a bajar del camión, siendo el ultimo el estibador Sr. Leandro Estrada Sabino, quien para bajar de la ruma de parihuelas hacia el piso decide sentarse sobre la misma y apoyarse con la mano derecha sobre el filo posterior de la plataforma del camión, dando un pequeño salto hacia el piso, en forma paralela el Chofer de la Unidad de Transporte de la Empresa Megatrans S.R.L. Sr. Crescencio Alberca Huaman cierra la puerta posterior izquierda de manera intempestiva sin percatarse de la presencia del Sr. Estrada, aprisionando los dedos de su mano derecha entre la plataforma y la parte inferior de la puerta, provocándole una lesión que tuvo como consecuencia la amputación traumática parcial de la falange distal del tercer y cuarto dedo de dicha mano."/>
    <s v="MANO "/>
    <m/>
    <m/>
    <x v="1"/>
    <s v="Diciembre"/>
    <m/>
    <n v="263"/>
    <n v="135"/>
    <n v="398"/>
    <m/>
    <m/>
    <m/>
    <x v="14"/>
    <s v="carga/descarga de camión"/>
    <s v="Pérdida Falanges"/>
    <m/>
    <m/>
    <m/>
    <s v="X"/>
  </r>
  <r>
    <m/>
    <s v="TEAL"/>
    <m/>
    <s v="PRODUCCIÓN"/>
    <m/>
    <s v="Rosmel Tenorio Ortiz"/>
    <n v="19"/>
    <s v="Personal TEAL"/>
    <s v="M"/>
    <s v="2do"/>
    <m/>
    <s v="7 meses "/>
    <s v="04/01/2014_x000a_16:00"/>
    <s v="Lesión Incapacitante"/>
    <s v="Lesión Incapacitante"/>
    <s v="En circunstancias que el Sr. Tenorio había encendido la maquina envolvedora de caramelo perita para el inicio de las operaciones y procedía a guiar la lamina de envoltura con caramelo perita con sus dedos de su mano derecha entre las fajas de transporte hacia la mordaza, apoya inconscientemente su mano izquierda en el rodillo vertical que da movimiento a la faja en sentido anti horario, quedando la primera falange de su dedo anular aprisionado entre la faja y el rodillo en referencia, provocándole una herida contusa abierta en dicha zona._x000a__x000a_Cabe precisar que el Sr. Tenorio no estaba autorizado para la operación de esta maquina envolvedora, la misma que se utiliza esporádicamente (bimensualmente) y solamente es operado por los maquinistas Brenner Panta y Cesar Ore._x000a__x000a_En el momento del accidente, el Supervisor de Turno Oscar Orrego se encontraba relevándose con su compañero Sr. Urrutia._x000a_"/>
    <s v="MANO "/>
    <m/>
    <m/>
    <x v="1"/>
    <s v="Enero"/>
    <m/>
    <n v="9"/>
    <m/>
    <n v="9"/>
    <m/>
    <m/>
    <m/>
    <x v="3"/>
    <s v="Calibrando/Regulando"/>
    <s v="Atricción"/>
    <m/>
    <m/>
    <m/>
    <m/>
  </r>
  <r>
    <s v="si"/>
    <s v="TEAL"/>
    <m/>
    <s v="PRODUCCIÓN"/>
    <m/>
    <m/>
    <m/>
    <s v="Personal TEAL"/>
    <m/>
    <m/>
    <m/>
    <m/>
    <s v="06/01/2014_x000a_"/>
    <s v="Lesión Incapacitante"/>
    <s v="Lesión Incapacitante"/>
    <s v="Encajado Galletas Soda Granel.Atricción dedo polin y faja"/>
    <s v="MANO "/>
    <m/>
    <m/>
    <x v="1"/>
    <s v="Enero"/>
    <m/>
    <n v="6"/>
    <m/>
    <n v="6"/>
    <m/>
    <m/>
    <m/>
    <x v="22"/>
    <s v="Durante operación productiva"/>
    <s v="Atricción"/>
    <m/>
    <m/>
    <m/>
    <m/>
  </r>
  <r>
    <s v="si"/>
    <s v="GALLETERA LIMA"/>
    <m/>
    <s v="PRODUCCIÓN"/>
    <s v="PGL2436"/>
    <s v="Narciso Vergaray Enrique "/>
    <n v="39"/>
    <s v="Personal Alicorp "/>
    <s v="M"/>
    <s v="2do Turno"/>
    <s v="OBRERO ESTABLE"/>
    <s v="6 años 3 meses "/>
    <s v="07/01/2014  _x000a_15:30"/>
    <s v="Lesión incapacitante "/>
    <s v="Lesión incapacitante "/>
    <s v="Perdida de falange distal del dedo indice de la mano derecha del señor Narciso Vergaray Enrique en circunstancia que introdujo su mano derecha a la transmision de la cadena de la maquina envasadora A1 de la linea 3."/>
    <s v="MANO "/>
    <m/>
    <m/>
    <x v="1"/>
    <s v="Enero"/>
    <m/>
    <n v="93"/>
    <n v="100"/>
    <n v="193"/>
    <d v="1899-12-30T15:32:00"/>
    <n v="10346"/>
    <m/>
    <x v="3"/>
    <s v="Mantenimiento"/>
    <s v="Pérdida Falanges"/>
    <m/>
    <m/>
    <m/>
    <m/>
  </r>
  <r>
    <m/>
    <s v="SIDSUR"/>
    <m/>
    <s v="PRODUCCIÓN"/>
    <s v="SID2486"/>
    <s v="RENZO SUAREZ OLARTE"/>
    <n v="28"/>
    <s v="Personal Alicorp "/>
    <s v="M"/>
    <s v="2do"/>
    <s v="OBRERO CONTRATADO"/>
    <s v="0 Años"/>
    <d v="2014-01-21T04:20:00"/>
    <s v="Lesión Incapacitante"/>
    <s v="Lesión Incapacitante"/>
    <s v="Siendo aproximadamente las 4:20 pm, se suscita un corte de energía eléctrica de aproximadamente 4 segundos, el mismo que origina que el horno de la Galletería pare, cuando estos eventos suceden el personal acude al horno a dar manivela (como se ve en la foto adjunta), para que la malla del horno continúe avanzando y así poder sacar la galleta que aún permanece dentro del horno, esta operación se debe realizar con celeridad debido a que mientras más tiempo permanezca la galleta en el horno mayor será la probabilidad de que esta se incendie. _x000a_El horno tiene dos manivelas una a cada lado, en el lado izquierdo se encontraba Renzo dando manivela y es en esta operación que la manivela se sale de su posición de trabajo  y por inercia de la acción el colaborador se da un golpe en la nariz con la misma manivela_x000a_"/>
    <s v="CABEZA"/>
    <m/>
    <m/>
    <x v="1"/>
    <s v="Enero"/>
    <m/>
    <n v="9"/>
    <m/>
    <n v="9"/>
    <m/>
    <n v="22896"/>
    <m/>
    <x v="29"/>
    <s v="Durante operación productiva"/>
    <s v="Golpe"/>
    <m/>
    <m/>
    <m/>
    <m/>
  </r>
  <r>
    <m/>
    <s v="TEAL"/>
    <m/>
    <s v="CALIDAD"/>
    <m/>
    <s v="Jenny Najarro Barrientos"/>
    <n v="35"/>
    <s v="Personal TEAL"/>
    <s v="F"/>
    <s v="1ro"/>
    <m/>
    <s v="1 año 8 meses "/>
    <d v="2014-01-21T00:00:00"/>
    <s v="Lesión Incapacitante"/>
    <s v="Lesión Incapacitante"/>
    <s v="En circunstancias que la Srta. Jenny Najarro realizaba el corte de una hoja de papel bond A4 utilizando un cortador con cierre de deslizamiento de toque único con la mano derecha sobre una base metálica (móvil) y una guía de regla metálica, el cortador se desliza sobre la regla impactando sobre el dedo pulgar de la mano izquierda con el cual fijaba la hoja de papel sobre la base metálica, originándole un corte profundo en dicha zona._x000a_Cabe precisar que la Srta. Jenny estaba rotulando archivadores con etiquetas de papel bond y para facilitar su trabajo de corte de papel, utilizo en vez de una tijera, el cortador con cierre de deslizamiento de toque único que es utilizado para el corte de cartones y embalajes._x000a_"/>
    <s v="MANO "/>
    <m/>
    <m/>
    <x v="1"/>
    <s v="Enero"/>
    <m/>
    <n v="10"/>
    <m/>
    <n v="10"/>
    <m/>
    <m/>
    <m/>
    <x v="23"/>
    <s v="Otros"/>
    <s v="Corte"/>
    <m/>
    <m/>
    <m/>
    <m/>
  </r>
  <r>
    <m/>
    <s v="INSTANTANEOS"/>
    <m/>
    <s v="PRODUCCIÓN"/>
    <s v="BRÑ2619"/>
    <s v="Marco Barandarian Jimenez"/>
    <n v="34"/>
    <s v="Personal Alicorp "/>
    <s v="M"/>
    <s v="1ro"/>
    <s v="OBRERO ESTABLE"/>
    <s v="4 años "/>
    <d v="2014-01-22T09:50:00"/>
    <s v="Lesión Incapacitante"/>
    <s v="Lesión Incapacitante"/>
    <s v="El colaborador se encontraba alimentando azúcar a la Tolva 1 y al realizar el traspaso de sacos de azúcar de 50 kg. de la paleta hacia la plataforma de alimentación sin ayuda es cuando siente una molestia en el hombro del brazo izquierdo y avisó al coordinador._x000a_"/>
    <s v="BRAZO/HOMBRO"/>
    <m/>
    <m/>
    <x v="1"/>
    <s v="Enero"/>
    <m/>
    <n v="6"/>
    <m/>
    <n v="6"/>
    <d v="1899-12-30T09:55:00"/>
    <n v="15639"/>
    <m/>
    <x v="11"/>
    <s v="Manipulación Materiales/Herramientas"/>
    <s v="Esguince"/>
    <m/>
    <m/>
    <m/>
    <m/>
  </r>
  <r>
    <m/>
    <s v="DETERGENTES"/>
    <m/>
    <s v="PRODUCCIÓN"/>
    <s v="DET2768"/>
    <s v="PEÑA VILCHEZ MIGUEL ANGEL"/>
    <n v="25"/>
    <s v="Personal Alicorp "/>
    <s v="M"/>
    <s v="2do"/>
    <s v="OBRERO CONTRATADO"/>
    <s v="8 meses"/>
    <s v="18/02/2014 _x000a_21:30"/>
    <s v="Lesión Incapacitante"/>
    <s v="Lesión Incapacitante"/>
    <s v="EL Trabajador Miguel Peña Vilchez se encontraba regulando el film de Bolívar Matic 1.5 kg luego de haberla bloqueado la Envasadora y al estar con la mano izquierda jalando el film a la altura de las mordazas, con la derecha se apoya en la mordaza cerrándola sobre los dedos de su mano izquierda sufriendo las quemaduras ( cuando la máquina está bloqueada las mordazas están sueltas, pueden correr con la mano. No tienen presión ) . "/>
    <s v="MANO "/>
    <m/>
    <m/>
    <x v="1"/>
    <s v="febrero"/>
    <m/>
    <n v="16"/>
    <m/>
    <n v="16"/>
    <d v="1899-12-30T09:30:00"/>
    <n v="21717"/>
    <m/>
    <x v="3"/>
    <s v="Calibrando/Regulando"/>
    <s v="Quemadura"/>
    <m/>
    <m/>
    <m/>
    <m/>
  </r>
  <r>
    <s v="si"/>
    <s v="MOLINO CALLAO"/>
    <m/>
    <s v="PRODUCCIÓN"/>
    <s v="MCA2716"/>
    <s v="Jose Chavez Sanchez"/>
    <n v="54"/>
    <s v="TERCERO"/>
    <s v="M"/>
    <s v="1ro"/>
    <s v="TERCERO"/>
    <s v="16 años"/>
    <d v="2014-02-18T13:50:00"/>
    <s v="Lesión Incapacitante"/>
    <s v="Lesión Incapacitante"/>
    <s v="Mientras se realizaba el reproceso de sacos rotos, el Sr. José Chavez, procedía a bajar uno de los sacos que se encontraba en la parte superior de la parihuela (6 camas de alto), dicha operación la realizaba sosteniendo una cuchilla en su mano derecha. En el momento de bajar el saco este se rompe originando un corte en su pierna derecha con la cuchilla que sostenía. _x000a_"/>
    <s v="PIERNA"/>
    <m/>
    <m/>
    <x v="1"/>
    <s v="febrero"/>
    <m/>
    <n v="10"/>
    <m/>
    <n v="10"/>
    <m/>
    <m/>
    <m/>
    <x v="23"/>
    <s v="Recuperación producto terminado"/>
    <s v="Corte"/>
    <m/>
    <m/>
    <s v="OILSA"/>
    <m/>
  </r>
  <r>
    <m/>
    <s v="GALLETERA LIMA"/>
    <m/>
    <s v="RELACIONES LABORALES"/>
    <s v="PGL2674"/>
    <s v="Reyna Casavilca Huatay"/>
    <n v="29"/>
    <s v="TERCERO"/>
    <s v="F"/>
    <s v="1er Turno "/>
    <s v="TERCERO"/>
    <s v="1 mes y 15 dias "/>
    <s v="19/02/2014_x000a_ 11:00"/>
    <s v="Lesión incapacitante "/>
    <s v="Lesión incapacitante "/>
    <s v="El día del accidente a la hora del almuerzo en pleno servicio, a falta de abastecimiento de verduras en el Salad Bar, la jefa del Concesionario REGIS “Ana Romero” le indicó a la moza que apoyara en el corte de lechuga._x000a__x000a_Mientras la moza realizaba el corte con un cuchillo es que se ocasiona a ella misma un corte en el dedo medio de la mano izquierda._x000a_"/>
    <s v="MANO "/>
    <m/>
    <m/>
    <x v="1"/>
    <s v="febrero"/>
    <m/>
    <n v="2"/>
    <m/>
    <n v="2"/>
    <m/>
    <m/>
    <m/>
    <x v="6"/>
    <s v="Cocinando"/>
    <s v="Corte"/>
    <m/>
    <m/>
    <s v="Regis"/>
    <m/>
  </r>
  <r>
    <m/>
    <s v="INSTANTANEOS"/>
    <m/>
    <s v="ADMINISTRACIÓN"/>
    <s v="BRÑ2804"/>
    <s v="Jose Inca Quispe"/>
    <s v="19"/>
    <s v="TERCERO"/>
    <s v="M"/>
    <s v="2do"/>
    <s v="TERCERO"/>
    <s v="2 mese "/>
    <d v="2014-02-24T19:45:00"/>
    <s v="Lesión Incapacitante"/>
    <s v="Lesión Incapacitante"/>
    <s v="El operario Jose Luis Inca Condori se disponía a realizar el mechoneo del segundo piso de planta de producción (sector de abastos - a un lado del área de mezclado). Para cambiar el mechón, el operario usó una cuchilla hechiza para cortar los precintos de plástico con los cuales se había asegurado el mechón a la base. Mientras cortaba el precinto se produce un corte profundo en la palma izquierda.  _x000a_"/>
    <s v="MANO "/>
    <m/>
    <m/>
    <x v="1"/>
    <s v="febrero"/>
    <m/>
    <n v="3"/>
    <m/>
    <n v="3"/>
    <m/>
    <m/>
    <m/>
    <x v="23"/>
    <s v="Manipulación Materiales/Herramientas"/>
    <s v="Corte"/>
    <m/>
    <m/>
    <s v="LIMTEK"/>
    <m/>
  </r>
  <r>
    <s v="si"/>
    <s v="MOLINO CALLAO"/>
    <m/>
    <s v="DISTRIBUCIÓN"/>
    <s v="DIS2704"/>
    <s v="Daniel Fernandez Chavez"/>
    <s v="57"/>
    <s v="TERCERO"/>
    <s v="M"/>
    <s v="3ro"/>
    <s v="TERCERO"/>
    <s v="2 años 5 meses"/>
    <d v="2014-02-24T05:00:00"/>
    <s v="Lesión Incapacitante"/>
    <s v="Lesión Incapacitante"/>
    <s v="Debido a trabajos de pintado y reparación de techos en el CD NPI por recomendaciones de DIGESA, se había trasladado parte del producto al patio de maniobras._x000a__x000a_La madrugada del lunes 24-Feb comenzó a llover, el asistente de turno, Juan Sihuas, se da cuenta que parte del producto en patio se encontraba desmantado, para lo cual indica al operario  de montacargas Marco Santos que revise el estado del material._x000a__x000a_Marco Santos, se acerca a la zona y solicita apoyo al personal de Limtek para mantear el producto, el Sr. Santos se retira de la zona dejando al personal de Limtek, Daniel Fernandez y Hamilton Canales, realizando la tarea. _x000a__x000a_El Sr. Fernandez sube por sus propios medios sobre la ruma de 2.7 m de alto y termina de mantear el producto con ayuda del Sr. Canales quien se encontraba en la parte de abajo. Finalizada la tarea el Sr. Canales va a buscar apoyo para bajar a su compañero Fernandez y al volver lo encuentra en el piso producto de haber pisado un espacio vacío entre paletas. _x000a__x000a_"/>
    <s v="CABEZA"/>
    <m/>
    <m/>
    <x v="1"/>
    <s v="febrero"/>
    <m/>
    <n v="7"/>
    <m/>
    <n v="7"/>
    <m/>
    <m/>
    <m/>
    <x v="8"/>
    <s v="Manipulación Materiales/Herramientas"/>
    <s v="Golpe"/>
    <s v="Caida"/>
    <m/>
    <s v="LIMTEK"/>
    <m/>
  </r>
  <r>
    <m/>
    <s v="SIDSUR"/>
    <m/>
    <s v="PRODUCCIÓN"/>
    <s v="SID2957"/>
    <s v="MIGUEL CHOQUE TARIFA"/>
    <n v="47"/>
    <s v="Personal Alicorp "/>
    <s v="M"/>
    <s v="2do"/>
    <s v="OBRERO ESTABLE"/>
    <s v="13 Años"/>
    <d v="2014-03-22T19:55:00"/>
    <s v="Lesión Incapacitante"/>
    <s v="Lesión Incapacitante"/>
    <s v="A las 7:55 pm el colaborador Miguel Choque Tarifa detecta fuga de harina en el 4° piso del molino Victoria por la tubería de reproceso. Para acceder a la zona afectada utiliza una escalera de tijera, una vez eliminada la fuga se dispone a recoger la harina derramada y limpiar el piso._x000a_Mientras continua con la limpieza del sector, se da cuenta que la harina no fluye normalmente, por o que procede a acceder nuevamente a la zona afectada. Mientras esta subiendo por la escalera siente que esta se desliza lo que origina que Miguel se desestabilice, Miguel acentúa el pie derecho sobre la escalera originando que esta se voltee y él caiga al piso sobre su brazo izquierdo, Miguel llama por teléfono al coordinador del molino para informarle que sufrió un accidente , el coordinador  procede a llamar a la ambulancia Rescate 11-11 para que sea atendido, seguidamente es evacuado a la Clínica San Juan de Dios, donde el traumatólogo de turno diagnostica fractura del húmero brazo izquierdo_x000a_"/>
    <s v="BRAZO/HOMBRO"/>
    <m/>
    <m/>
    <x v="1"/>
    <s v="Marzo"/>
    <m/>
    <n v="120"/>
    <m/>
    <n v="120"/>
    <d v="1899-12-30T19:55:00"/>
    <n v="6897"/>
    <m/>
    <x v="30"/>
    <s v="Durante operación productiva"/>
    <s v="Fractura"/>
    <m/>
    <m/>
    <m/>
    <m/>
  </r>
  <r>
    <s v="si"/>
    <s v="TEAL"/>
    <m/>
    <s v="PRODUCCIÓN"/>
    <m/>
    <m/>
    <m/>
    <s v="Personal TEAL"/>
    <m/>
    <m/>
    <m/>
    <m/>
    <d v="2014-04-03T00:00:00"/>
    <s v="Lesión Incapacitante"/>
    <s v="Lesión Incapacitante"/>
    <s v="contucion en el tobillo por rodaje que cae de altura"/>
    <s v="PIERNA"/>
    <m/>
    <m/>
    <x v="1"/>
    <s v="Abril"/>
    <m/>
    <n v="2"/>
    <m/>
    <n v="2"/>
    <m/>
    <m/>
    <m/>
    <x v="31"/>
    <s v="Otros"/>
    <s v="Golpe"/>
    <m/>
    <m/>
    <m/>
    <m/>
  </r>
  <r>
    <s v="si"/>
    <s v="FIDEERIA LIMA"/>
    <m/>
    <s v="PROYECTOS"/>
    <s v="TEC3217"/>
    <s v="Jarol Jonathan Huamán Tilce"/>
    <m/>
    <s v="TERCERO"/>
    <s v="M"/>
    <s v="1ro"/>
    <s v="TERCERO"/>
    <s v="6 años"/>
    <s v="24/04/2014_x000a_09:00"/>
    <s v="Lesión Incapacitante"/>
    <s v="Lesión Incapacitante"/>
    <s v="Siendo alrededor de las 09:00am del día jueves 24 de abril. El señor Jarol Huamán se encontraba vistiéndose para el inicio de actividades, cuando le preguntó a su compañero, el Sr. Vicente Guzmán; si el porta martillo de su cinturón podría ser cortado con la cizalla que el Sr. Guzmán portaba en ese momento. El Sr. Guzmán respondió que sí se podía, por lo que intento cortarlo. El señor Huamán se opone y comenzaron en un “juego” sobre si lo cortaba uno u otro. Producto de ello, el Sr. Guzmán intenta cortar el porta-martillo en el preciso momento en que el Sr. Huaman aproxima su mano a la cizalla ocasionándole el corte._x000a_"/>
    <s v="MANO "/>
    <m/>
    <m/>
    <x v="1"/>
    <s v="Abril"/>
    <m/>
    <n v="10"/>
    <m/>
    <n v="10"/>
    <m/>
    <m/>
    <m/>
    <x v="32"/>
    <s v="Otros"/>
    <s v="Corte"/>
    <m/>
    <m/>
    <s v="MMG"/>
    <m/>
  </r>
  <r>
    <m/>
    <s v="COPSA"/>
    <m/>
    <s v="PROYECTOS"/>
    <s v="TEC3528"/>
    <s v="Roberto Rivera Ramos"/>
    <n v="63"/>
    <s v="Personal Alicorp "/>
    <s v="M"/>
    <s v="1ro"/>
    <s v="OBRERO ESTABLE"/>
    <s v="7 años"/>
    <s v="27/04/2014 _x000a_ 11:30"/>
    <s v="Lesión Incapacitante"/>
    <s v="Lesion Incapacitante"/>
    <s v="El colaborador se acerca a la zona de envasado de baldes para recoger una escoba que necesitaba para realizar limpieza de su área de trabajo. Según indica el accidentado, al ver que la escoba estaba siendo usada por unos contratistas que se encontraban en el área, procede a acercarse al módulo de la operadora de la línea LEOPAT para coger unos trapos. Es en ese momento que no se percata de la presencia del  tobogán, que está en   modificación por el Proyecto LINEA PATTYN ACEITES, se choca contra el mismo y sufre un corte en la región fronto – parietal. Los trabajadores del área al ver que el accidentado estaba sangrando lo asisten y activan la alarma de emergencia._x000a_"/>
    <s v="CABEZA"/>
    <m/>
    <m/>
    <x v="1"/>
    <s v="Abril"/>
    <m/>
    <n v="8"/>
    <m/>
    <n v="8"/>
    <d v="1899-12-30T11:25:00"/>
    <n v="10099"/>
    <m/>
    <x v="17"/>
    <s v="Otros"/>
    <s v="Golpe"/>
    <m/>
    <m/>
    <m/>
    <m/>
  </r>
  <r>
    <m/>
    <s v="CDC"/>
    <m/>
    <s v="DISTRIBUCIÓN"/>
    <s v="DIS3115"/>
    <s v="ROBERTO SANTOS SUGUENZA CUEVA"/>
    <m/>
    <s v="TERCERO"/>
    <s v="M"/>
    <s v="3ro"/>
    <s v="TERCERO"/>
    <s v="3 meses"/>
    <s v="30/04/2014_x000a_04:00"/>
    <s v="Lesión Incapacitante"/>
    <s v="Lesión Incapacitante"/>
    <s v="Resbalón en rampa Resbalón en rampa_x000a_Esguince tobillo y lesión meniscal en rodilla derecha"/>
    <s v="PIERNA"/>
    <m/>
    <m/>
    <x v="1"/>
    <s v="Abril"/>
    <m/>
    <n v="4"/>
    <m/>
    <n v="4"/>
    <m/>
    <m/>
    <m/>
    <x v="20"/>
    <s v="Trasladandose"/>
    <s v="Esguince"/>
    <m/>
    <m/>
    <s v="Transporte Carranza"/>
    <m/>
  </r>
  <r>
    <s v="si"/>
    <s v="CDC"/>
    <m/>
    <s v="DISTRIBUCIÓN"/>
    <s v="DIS3237"/>
    <s v="JUAN CARLOS CORONADO YPANAQUE"/>
    <m/>
    <s v="Personal Alicorp "/>
    <s v="M"/>
    <s v="3ro"/>
    <s v="OBRERO CONTRATADO"/>
    <s v="4 meses"/>
    <s v="06/05/2014_x000a_04:00"/>
    <s v="Lesión Incapacitante"/>
    <s v="Lesión Incapacitante"/>
    <s v="Siendo las 04:00 a.m. aprox. el Sr. Juan Carlos Coronado Ypanaque, ayudante de almacén de la línea de detergente, quien se encontraba realizando sus labores de paletizador en dicha área, estaba verificando el estado de los paquetes que se desplazaban por la faja para separar los paquetes en mal estado (merma). Cuando se encontraba en su puesto fijo en la línea, final de la faja, se disponía a colocar uno de los paquetes en el pallet para paletizar, cuando lo encontró inflado con aire. Se dispuso a sacar el aire con la mano, dando palmadas, lo que ocasiona que le salpique detergente a su ojo izquierdo. _x000a_Al creer que no era nada grave, acudió a los servicios higiénicos a lavarse, y no reportó lo ocurrido oportunamente. Al día siguiente evoluciono el dolor, aumentando el volumen de la hinchazón del ojo y disminución de la agudeza visual en el ojo izquierdo. _x000a_Recién en ese momento acudió al tópico donde en una primera evaluación indican que posiblemente es una conjuntivis química, luego es derivado a la Clinica San Gabriel donde es examinado por el oftalmólogo quien determino que sufrió. Finalmente le dieron DM de 2 días y evolucionó favorablemente con la aplicación de gotas."/>
    <s v="OJO"/>
    <m/>
    <m/>
    <x v="1"/>
    <s v="Mayo"/>
    <m/>
    <n v="2"/>
    <m/>
    <n v="2"/>
    <d v="1899-12-30T14:45:00"/>
    <n v="23124"/>
    <m/>
    <x v="33"/>
    <s v="Durante operación productiva"/>
    <s v="Producto al ojo"/>
    <m/>
    <m/>
    <m/>
    <m/>
  </r>
  <r>
    <m/>
    <s v="FIDEERIA LIMA"/>
    <m/>
    <s v="MANTENIMIENTO"/>
    <s v="PFL3155"/>
    <s v="JERRY ESQUECHE"/>
    <n v="45"/>
    <s v="Personal Alicorp "/>
    <s v="M"/>
    <s v="1ro"/>
    <s v="OBRERO ESTABLE"/>
    <s v="14 años"/>
    <s v="07/05/2014_x000a_09:00"/>
    <s v="Lesión Incapacitante"/>
    <s v="Lesión Incapacitante"/>
    <s v="Siendo alrededor de las 09:00 am del día Miércoles  07 de Mayo , nos dirigimos con  Sr. Jerry Esqueche al depósito de repuestos usados para buscar  un elemento de una máquina. Al llegar al depósito (detrás de Galletera/ línea del tren)  saco su llavero y se dispuso a abrir el candado , lo cual hizo y luego jaló de izquierda a derecha_x000a_ al final de la carrera de la puerta sufre el atrapamiento entre la puerta fija y la móvil. Al ver la parte herida (dedo índice derecho-ultima falange) muestra  su uña estaba morado y salía sangre por los costados "/>
    <s v="MANO "/>
    <m/>
    <m/>
    <x v="1"/>
    <s v="Mayo"/>
    <m/>
    <n v="30"/>
    <m/>
    <n v="30"/>
    <d v="1899-12-30T08:30:00"/>
    <n v="5606"/>
    <m/>
    <x v="34"/>
    <s v="Maniobras de equipos"/>
    <s v="Atricción"/>
    <m/>
    <m/>
    <m/>
    <m/>
  </r>
  <r>
    <s v="si"/>
    <s v="TEAL"/>
    <m/>
    <s v="PRODUCCIÓN"/>
    <m/>
    <m/>
    <m/>
    <s v="Personal TEAL"/>
    <m/>
    <m/>
    <m/>
    <m/>
    <d v="2014-05-28T00:00:00"/>
    <s v="Lesión Incapacitante"/>
    <s v="Lesión Incapacitante"/>
    <s v="Caida por resbalón cargando balde 20lts solución láctea originando dolor lumbar"/>
    <s v="CUERPO"/>
    <m/>
    <m/>
    <x v="1"/>
    <s v="Mayo"/>
    <m/>
    <n v="3"/>
    <m/>
    <n v="3"/>
    <m/>
    <m/>
    <m/>
    <x v="20"/>
    <s v="Manipulación Materiales/Herramientas"/>
    <s v="Golpe"/>
    <s v="Caida"/>
    <m/>
    <m/>
    <m/>
  </r>
  <r>
    <m/>
    <s v="COPSA"/>
    <m/>
    <s v="PROYECTOS"/>
    <s v="TEC3530"/>
    <s v="Juan Jose Jave Burgos"/>
    <m/>
    <s v="TERCERO"/>
    <s v="M"/>
    <s v="1ro"/>
    <s v="TERCERO"/>
    <s v="15 años"/>
    <s v="29/05/2014  _x000a_14:15"/>
    <s v="Lesión Incapacitante"/>
    <s v="Lesion Incapacitante"/>
    <s v="El día en mención el trabajador de la empresa ALBARQ se encontraba junto a sus compañeros desmontando los vidrios templados de una mampara,  es cuando al retirar el antepenúltimo paño de vidrio, la compresión de la estructura de acero inoxidable dificulta, y al forzarlo rompe el vidrio en fragmentos pequeños, produciendo dos cortes en la mano derecha del trabajador. _x000a_"/>
    <s v="MANO "/>
    <m/>
    <m/>
    <x v="1"/>
    <s v="Mayo"/>
    <m/>
    <n v="1"/>
    <m/>
    <n v="1"/>
    <m/>
    <m/>
    <m/>
    <x v="2"/>
    <s v="Otros"/>
    <s v="Corte"/>
    <m/>
    <m/>
    <s v="Albarq"/>
    <m/>
  </r>
  <r>
    <m/>
    <s v="MOLINO SANTA ROSA "/>
    <m/>
    <s v="ALMACEN DE INSUMOS "/>
    <s v="MSR3360"/>
    <s v="Gamarra Quinto Edwin"/>
    <n v="43"/>
    <s v="TERCERO"/>
    <s v="M"/>
    <s v="1ro"/>
    <s v="TERCERO"/>
    <s v="25 años"/>
    <d v="2014-06-10T11:00:00"/>
    <s v="Lesión Incapacitante"/>
    <s v="Lesión Incapacitante"/>
    <s v="Durante la operación de carga de parihuelas metálicas (ruma de 5 parihuelas de 180 kg. c/u); el Sr. Edwin Gamarra (chofer) ingresa al furgón del camión para dirigir esta carga. _x000a_Cuando el operario de almacén acomodaba la ruma de parihuelas estas se deslizan, ocasionando que la rejilla (20 Kg. aprox.) de la paleta superior impacte sobre el pie izquierdo del chofer._x000a_"/>
    <s v="PIE"/>
    <m/>
    <m/>
    <x v="1"/>
    <s v="Junio"/>
    <m/>
    <n v="23"/>
    <m/>
    <n v="23"/>
    <m/>
    <m/>
    <m/>
    <x v="35"/>
    <s v="Manejando traspaleta/Montacarga"/>
    <s v="Golpe"/>
    <m/>
    <m/>
    <s v="CHOFER"/>
    <m/>
  </r>
  <r>
    <m/>
    <s v="COPSA"/>
    <m/>
    <s v="PROYECTOS"/>
    <s v="TEC3531"/>
    <s v="Jose Antonio Ramirez Condori "/>
    <n v="22"/>
    <s v="TERCERO"/>
    <s v="M"/>
    <s v="1ro"/>
    <s v="TERCERO"/>
    <s v="2 años"/>
    <s v="17/06/2014 _x000a_ 12:00"/>
    <s v="Lesión Incapacitante"/>
    <s v="Lesion Incapacitante"/>
    <s v="El día en mención el trabajador de la empresa SIGE se encontraba junto a un compañero, cortando con maquina plasma (equipo con función similar al oxicorte y; funciona con energía eléctrica y aire comprimido) un tubo cuadrado de 5m de longitud,  16” de alto x 8” de ancho. En el transcurso de su labor, el trabajador accidentado no termina de cortar completamente el tubo cuadrado, quedando una pulgada de diferencia, por lo que en una decisión incorrecta levanta el tubo cuadrado para golpear contra la losa de concreto y así terminar de romper la pulgada de diferencia. Es ahí donde el tubo se abre y golpea el dedo pulgar izquierdo del trabajador contra la losa, causando una contusión en dicho dedo._x000a_"/>
    <s v="MANO "/>
    <m/>
    <m/>
    <x v="1"/>
    <s v="Junio"/>
    <m/>
    <n v="17"/>
    <m/>
    <n v="17"/>
    <m/>
    <m/>
    <m/>
    <x v="36"/>
    <s v="Mantenimiento"/>
    <s v="Fractura"/>
    <m/>
    <m/>
    <s v="SIGE"/>
    <m/>
  </r>
  <r>
    <m/>
    <s v="COPSA"/>
    <m/>
    <s v="ALMACEN DE INSUMOS "/>
    <s v="PCO3650"/>
    <s v="NAVARRO MIRANDA ALEJANDRO FELIX"/>
    <n v="42"/>
    <s v="Personal Alicorp "/>
    <s v="M"/>
    <s v="1ro"/>
    <s v="OBRERO ESTABLE"/>
    <s v="7 años"/>
    <s v="04/07/2014 _x000a_ 13:10"/>
    <s v="Lesión Incapacitante"/>
    <s v="Lesión Incapacitante"/>
    <s v="dispone a mover su silla giratoria, para lo cual la carga en la posición mostrada en la foto y al realizar un movimiento brusco y ejercer fuerza, tuerce su dedo meñique que estaba atrapado en la rendija del respaldo del asiento."/>
    <s v="MANO "/>
    <m/>
    <m/>
    <x v="1"/>
    <s v="Julio"/>
    <m/>
    <n v="80"/>
    <m/>
    <n v="80"/>
    <d v="1899-12-30T13:25:00"/>
    <n v="14923"/>
    <m/>
    <x v="37"/>
    <s v="Moviendo silla"/>
    <s v="Fractura"/>
    <m/>
    <m/>
    <m/>
    <m/>
  </r>
  <r>
    <s v="si"/>
    <s v="TEAL"/>
    <m/>
    <s v="PRODUCCIÓN"/>
    <m/>
    <m/>
    <m/>
    <s v="Personal TEAL"/>
    <s v="M"/>
    <s v="1er"/>
    <m/>
    <m/>
    <d v="2013-07-18T11:20:00"/>
    <s v="Lesión Incapacitante"/>
    <s v="Lesión Incapacitante"/>
    <s v="Contusión brazo durante limpieza máquina amasadora no bloqueada "/>
    <s v="BRAZO/HOMBRO"/>
    <m/>
    <m/>
    <x v="1"/>
    <s v="Julio"/>
    <m/>
    <n v="2"/>
    <m/>
    <n v="2"/>
    <d v="1899-12-30T11:20:00"/>
    <m/>
    <m/>
    <x v="3"/>
    <s v="Durante operación productiva"/>
    <s v="Golpe"/>
    <m/>
    <m/>
    <m/>
    <m/>
  </r>
  <r>
    <m/>
    <s v="FIDEERIA LIMA"/>
    <m/>
    <s v="PRODUCCIÓN"/>
    <s v="PFL3638"/>
    <s v="SABOGAL CARBAJAL MOISES"/>
    <n v="36"/>
    <s v="Personal Alicorp "/>
    <s v="M"/>
    <s v="2do"/>
    <s v="OBRERO ESTABLE"/>
    <s v="14 años "/>
    <s v="25/07/2014_x000a_20:00"/>
    <s v="Lesión Incapacitante"/>
    <s v="Lesión Incapacitante"/>
    <s v="Corte en dedos mientras manipulaba herramienta hexagonal "/>
    <s v="MANO "/>
    <m/>
    <m/>
    <x v="1"/>
    <s v="Julio"/>
    <m/>
    <n v="22"/>
    <m/>
    <n v="22"/>
    <d v="1899-12-30T20:00:00"/>
    <n v="60093"/>
    <m/>
    <x v="38"/>
    <s v="Durante operación productiva"/>
    <s v="Corte"/>
    <m/>
    <m/>
    <m/>
    <m/>
  </r>
  <r>
    <s v="si"/>
    <s v="FIDEERIA LIMA"/>
    <m/>
    <s v="PRODUCCIÓN"/>
    <s v="PFL3848"/>
    <s v="REYNER QUIROZ QUINTANA"/>
    <n v="21"/>
    <s v="TERCERO"/>
    <s v="M"/>
    <s v="2do"/>
    <s v="TERCERO"/>
    <s v="3 meses"/>
    <s v="02/08/2014_x000a_15:15"/>
    <s v="Lesión Incapacitante"/>
    <s v="Lesión Incapacitante"/>
    <s v="Atricción de antebrazo izquierdo. Herida excoriativa en antebrazo izquierdo entre faja y polin, retirando producto de la linea aun en pruebas_x000a__x000a_"/>
    <s v="BRAZO/HOMBRO"/>
    <m/>
    <m/>
    <x v="1"/>
    <s v="Agosto "/>
    <m/>
    <n v="10"/>
    <m/>
    <n v="10"/>
    <d v="1899-12-30T15:15:00"/>
    <m/>
    <m/>
    <x v="22"/>
    <s v="Trajando en corrida de prueba"/>
    <s v="Atricción"/>
    <m/>
    <m/>
    <s v="EIG"/>
    <m/>
  </r>
  <r>
    <s v="si"/>
    <s v="GALLETERA LIMA"/>
    <m/>
    <s v="PRODUCCIÓN"/>
    <s v="PGL3619"/>
    <s v="LADINES MILLA JOSE "/>
    <n v="44"/>
    <s v="Personal Alicorp "/>
    <s v="M"/>
    <s v="1ro"/>
    <s v="OBRERO ESTABLE"/>
    <s v="12 años"/>
    <s v="04/08/2014_x000a_08:05"/>
    <s v="Lesión Incapacitante"/>
    <s v="Lesión Incapacitante"/>
    <s v="golpe produciendo una herida en brazo izquierdo , herida de aprox 2 cm, sangrante , sin limitación funcional."/>
    <s v="MANO "/>
    <m/>
    <m/>
    <x v="1"/>
    <s v="Agosto "/>
    <m/>
    <n v="64"/>
    <m/>
    <n v="64"/>
    <d v="1899-12-30T08:05:00"/>
    <n v="10276"/>
    <m/>
    <x v="3"/>
    <s v="Trasladandose"/>
    <s v="Corte"/>
    <m/>
    <m/>
    <m/>
    <m/>
  </r>
  <r>
    <s v="si"/>
    <s v="GALLETERA LIMA"/>
    <m/>
    <s v="PRODUCCIÓN"/>
    <s v="PGL3828"/>
    <s v="Farith Bulnes Pinto "/>
    <n v="18"/>
    <s v="Personal Alicorp "/>
    <s v="M"/>
    <s v="2do"/>
    <s v="APRENDIZ SENATI"/>
    <s v="5 dias"/>
    <s v="05/08/2014_x000a_15:30"/>
    <s v="Lesión Incapacitante"/>
    <s v="Lesión Incapacitante"/>
    <s v="contusión frontal con la llave del agua, al momento de agacharse a recoger el shampoo en la ducha."/>
    <s v="CABEZA"/>
    <m/>
    <m/>
    <x v="1"/>
    <s v="Agosto "/>
    <m/>
    <n v="2"/>
    <m/>
    <n v="2"/>
    <m/>
    <m/>
    <m/>
    <x v="39"/>
    <s v="Otros"/>
    <s v="Golpe"/>
    <m/>
    <m/>
    <m/>
    <m/>
  </r>
  <r>
    <s v="si"/>
    <s v="GALLETERA LIMA"/>
    <m/>
    <s v="PRODUCCIÓN"/>
    <s v="PGL3629"/>
    <s v="HUMAN CASTILLO JIM LEONARDO"/>
    <n v="18"/>
    <s v="Personal Alicorp "/>
    <s v="F"/>
    <s v="2do"/>
    <s v="CLJ"/>
    <s v="6 meses"/>
    <s v="06/08/2014_x000a_16:00"/>
    <s v="Lesión Incapacitante"/>
    <s v="Lesión Incapacitante"/>
    <s v="Paciente se encontraba  en la zona de encajado en galletera manipulando una galleta sufre una atrición de dedo de la mano entre 2 fajas  produciendo  herida y daño en  la uña."/>
    <s v="MANO "/>
    <m/>
    <m/>
    <x v="1"/>
    <s v="Agosto "/>
    <m/>
    <n v="7"/>
    <m/>
    <n v="7"/>
    <d v="1899-12-30T16:00:00"/>
    <n v="23245"/>
    <m/>
    <x v="22"/>
    <s v="Desatorando línea"/>
    <s v="Atricción"/>
    <m/>
    <m/>
    <m/>
    <m/>
  </r>
  <r>
    <s v="si"/>
    <s v="TEAL"/>
    <m/>
    <s v="PRODUCCIÓN"/>
    <m/>
    <s v="PAREDES AMESQUITA, ROGER CIRILO"/>
    <m/>
    <s v="Personal TEAL"/>
    <s v="M"/>
    <s v="1ro"/>
    <s v="OBRERO CONTRATADO"/>
    <s v="1 año"/>
    <s v="07/08/2014_x000a_14:00"/>
    <s v="Lesión Incapacitante"/>
    <s v="Lesión Incapacitante"/>
    <s v="EN CIRCUNSTANCIA QUE EL OPERARIO PAREDES RETORNABA DE LOS SERVICIOS HIGIENICOS HACIA SU PUESTO DE TRABAJO, NO SE PERCATA QUE EL PISO SE ENCONTRABA MOJADO DEBIDO A LAS LABORES DE LIMPIEZA QUE SE ESTABAN REALIZANDO AL INGRESO DE LA PLANTA, POR LO CUAL RESBALA Y CAE DE ESPALDA GOLPEANDOSE LA PARTE  POSTERIOR DE LA CABEZA Y COLUMNA DORSAL OCASIONANDOLE UNA HERIDA CONTUSA Y UN TRAUMATISMO ENCEFALO CRANEANO LEVE."/>
    <s v="CABEZA"/>
    <m/>
    <m/>
    <x v="1"/>
    <s v="Agosto "/>
    <m/>
    <n v="3"/>
    <m/>
    <n v="3"/>
    <m/>
    <m/>
    <m/>
    <x v="20"/>
    <s v="Trasladandose"/>
    <s v="Golpe"/>
    <m/>
    <m/>
    <m/>
    <m/>
  </r>
  <r>
    <s v="si"/>
    <s v="NUTRICION ANIMAL TRUJILLO "/>
    <m/>
    <s v="PRODUCCIÓN"/>
    <m/>
    <s v="ANGEL RODRIGUEZ"/>
    <m/>
    <s v="Personal Alicorp "/>
    <s v="M"/>
    <s v="1ro"/>
    <m/>
    <s v="4 años"/>
    <s v="10/08/2014_x000a_08:25"/>
    <s v="Lesión Incapacitante"/>
    <s v="Lesión Incapacitante"/>
    <s v="Atrición de dedo meñique mano izquierda desatorando tolva"/>
    <s v="MANO "/>
    <m/>
    <m/>
    <x v="1"/>
    <s v="Agosto "/>
    <m/>
    <n v="7"/>
    <m/>
    <n v="7"/>
    <d v="1899-12-30T08:15:00"/>
    <m/>
    <m/>
    <x v="3"/>
    <s v="Desatorando línea"/>
    <s v="Atricción"/>
    <m/>
    <m/>
    <m/>
    <m/>
  </r>
  <r>
    <s v="si"/>
    <s v="FIDEERIA LIMA"/>
    <m/>
    <s v="PRODUCCIÓN"/>
    <s v="PFL3850 "/>
    <s v="Kelly Vilchez"/>
    <m/>
    <s v="TERCERO"/>
    <s v="F"/>
    <s v="2do"/>
    <s v="TERCERO"/>
    <s v="2 años"/>
    <s v="14/08/2014_x000a_19:15"/>
    <s v="Lesión Incapacitante"/>
    <s v="Lesión Incapacitante"/>
    <s v="Luxacion en Tobillo pie derecho"/>
    <s v="PIE"/>
    <m/>
    <m/>
    <x v="1"/>
    <s v="Agosto "/>
    <m/>
    <n v="1"/>
    <m/>
    <n v="1"/>
    <d v="1899-12-30T17:15:00"/>
    <m/>
    <m/>
    <x v="40"/>
    <s v="Otros"/>
    <s v="Luxación "/>
    <m/>
    <m/>
    <s v="E&amp;G"/>
    <m/>
  </r>
  <r>
    <s v="si"/>
    <s v="TEAL"/>
    <m/>
    <s v="PRODUCCIÓN"/>
    <m/>
    <s v="CURILLA VILLAVERDE, PETER ADOLFO"/>
    <m/>
    <s v="Personal TEAL"/>
    <s v="M"/>
    <s v="1ro"/>
    <s v="OBRERO CONTRATADO"/>
    <s v="15 dias"/>
    <s v="21/08/2014_x000a_13:15"/>
    <s v="Lesión Incapacitante"/>
    <s v="Lesión Incapacitante"/>
    <s v="EN CIRCUNSTANCIAS QUE EL SEÑOR ADOLFO CURILLA VILLAVERDE PERSONAL DEL ÁREA DE LA  CÁMARA  DE FERMENTACIÓN DE GALLETA SODA, REALIZABA LA OPERACIÓN VOLCADO DE COCHE CON REMEZCLA DE MASA PARA GALLETA SODA, UNA VEZ QUE EL COCHE SE ENCUENTRA EN POSICIÓN HORIZONTAL DECIDE LIMPIAR CON UNA ESPÁTULA METÁLICA DE MANGO LARGO LAS PAREDES INTERNAS DEL COCHE DEBIDO A LA PRESENCIA DE  RESTOS DE MASA ADHERIDAS, LUEGO PROCEDE A RECOGER LOS RESTOS DE MASA CON EL RECOGEDOR DEJANDO DENTRO DEL COCHE LA ESPÁTULA EN POSICIÓN VERTICAL, EL CUAL FUE IMPACTADO EN LA BASE CON EL RECOGEDOR EN LA OPERACIÓN DE RECOJO, EL CUAL HACE PALANCA Y SE VOLTEA, IMPACTANDO EL MANGO CON EL ROSTRO DEL OPERARIO, PROVOCÁNDOLE UNA HERIDA CONTUSA ABIERTA EN LA BOCA."/>
    <s v="CABEZA"/>
    <m/>
    <m/>
    <x v="1"/>
    <s v="Agosto "/>
    <m/>
    <n v="2"/>
    <m/>
    <n v="2"/>
    <m/>
    <m/>
    <m/>
    <x v="38"/>
    <s v="Limpiando equipo"/>
    <s v="Golpe"/>
    <m/>
    <m/>
    <m/>
    <m/>
  </r>
  <r>
    <m/>
    <s v="MOLINO CALLAO"/>
    <m/>
    <s v="MANTENIMIENTO"/>
    <s v="MCA3798 "/>
    <s v="Manuel Veintimilla Noblecilla "/>
    <n v="24"/>
    <s v="TERCERO"/>
    <s v="M"/>
    <s v="1ro"/>
    <s v="TERCERO"/>
    <m/>
    <s v="26/08/2014_x000a_11:30"/>
    <s v="Lesión Incapacitante"/>
    <s v="Lesión Incapacitante"/>
    <s v="Realizando Mnto a los robots salta desde una cama de paletas y cae sobre un tubo perdiendo el equilibrio y cayendo sobre su brazo izquierdo."/>
    <s v="BRAZO/HOMBRO"/>
    <m/>
    <m/>
    <x v="1"/>
    <s v="Agosto "/>
    <m/>
    <n v="30"/>
    <m/>
    <n v="30"/>
    <d v="1899-12-30T11:30:00"/>
    <m/>
    <m/>
    <x v="8"/>
    <s v="Mantenimiento"/>
    <s v="Golpe"/>
    <m/>
    <m/>
    <s v="Andes Technology SAC"/>
    <m/>
  </r>
  <r>
    <s v="si"/>
    <s v="COPSA"/>
    <s v="Yacqueline Madueño"/>
    <s v="RELACIONES LABORALES"/>
    <s v="ADM3984"/>
    <s v="MAURICIO RAUL VIDAL "/>
    <m/>
    <s v="TERCERO"/>
    <s v="M"/>
    <s v="1ro"/>
    <s v="TERCERO"/>
    <s v="2 mese "/>
    <s v="10/09/2014_x000a_13:11"/>
    <s v="Lesión Incapacitante"/>
    <s v="Lesión Incapacitante"/>
    <s v="Presenta herida cortante de 4 cm aprox rn dedo meñique de mano derecha con abundante sangrado."/>
    <s v="MANO "/>
    <m/>
    <m/>
    <x v="1"/>
    <s v="Septiembre"/>
    <m/>
    <n v="5"/>
    <m/>
    <n v="5"/>
    <m/>
    <m/>
    <m/>
    <x v="6"/>
    <s v="Cocinando"/>
    <s v="Corte"/>
    <m/>
    <m/>
    <s v="Balvino"/>
    <m/>
  </r>
  <r>
    <m/>
    <s v="CDC"/>
    <s v="Rodrigo S."/>
    <s v="DISTRIBUCIÓN"/>
    <m/>
    <s v="OCAMPO AGUILAR JHONNY"/>
    <n v="18"/>
    <s v="Personal Alicorp "/>
    <s v="M"/>
    <s v="2do"/>
    <s v="CLJ"/>
    <s v="4 meses"/>
    <s v="11/09/2014_x000a_21:20"/>
    <s v="Lesión Incapacitante"/>
    <s v="Lesión Incapacitante"/>
    <s v="Atricción Pie Izquierdo entre paletas"/>
    <s v="PIE"/>
    <m/>
    <m/>
    <x v="1"/>
    <s v="Septiembre"/>
    <m/>
    <n v="3"/>
    <m/>
    <n v="3"/>
    <m/>
    <m/>
    <m/>
    <x v="27"/>
    <s v="Otros"/>
    <s v="Atricción"/>
    <m/>
    <m/>
    <m/>
    <m/>
  </r>
  <r>
    <s v="si"/>
    <s v="TEAL"/>
    <s v="Eduardo Isaias"/>
    <s v="PRODUCCIÓN"/>
    <m/>
    <s v="Richard Alonso Hinojosa Barbaron"/>
    <m/>
    <s v="Personal TEAL"/>
    <s v="M"/>
    <s v="1ro"/>
    <s v="OBRERO CONTRATADO"/>
    <m/>
    <s v="12/09/2014_x000a_07:50"/>
    <s v="Lesión Incapacitante"/>
    <s v="Lesión Incapacitante"/>
    <s v="Herida contusa abierta por aplastamiento del dedo con compuerta de la sig"/>
    <s v="MANO "/>
    <m/>
    <m/>
    <x v="1"/>
    <s v="Septiembre"/>
    <m/>
    <n v="15"/>
    <m/>
    <n v="15"/>
    <m/>
    <m/>
    <m/>
    <x v="3"/>
    <s v="Calibrando/Regulando"/>
    <s v="Atricción"/>
    <m/>
    <m/>
    <m/>
    <m/>
  </r>
  <r>
    <s v="si"/>
    <s v="SIDSUR"/>
    <s v="Edgar Manzano"/>
    <s v="PRODUCCIÓN"/>
    <s v="SID 3996"/>
    <s v="Carlos Manuel Gaona Torres"/>
    <n v="41"/>
    <s v="Personal Alicorp "/>
    <s v="M"/>
    <s v="1ro"/>
    <s v="OBRERO ESTABLE"/>
    <s v="18 años "/>
    <s v="17/09/2014_x000a_09:00"/>
    <s v="Lesión Incapacitante"/>
    <s v="Lesión Incapacitante"/>
    <s v="Realizando la limpieza del área de paletizado con el sistema mecanizado (Brazo robot), el colaborador Carlos Manuel Gaona Torres se sube sobre los polines de  desplazamiento, instante en que se resbala y se golpea la pierna derecha sufriendo una herida contuso cortante. Se solicita la presencia de la ambulancia Rescate 11-11, quienes  le dan las primeras atenciones . "/>
    <s v="PIERNA"/>
    <m/>
    <m/>
    <x v="1"/>
    <s v="Septiembre"/>
    <m/>
    <n v="4"/>
    <m/>
    <n v="4"/>
    <m/>
    <m/>
    <m/>
    <x v="3"/>
    <s v="Limpiando equipo"/>
    <s v="Golpe"/>
    <s v="Caida"/>
    <m/>
    <m/>
    <m/>
  </r>
  <r>
    <m/>
    <s v="TEAL"/>
    <s v="Eduardo Isaias"/>
    <s v="PRODUCCIÓN"/>
    <m/>
    <s v="BUSTAMANTE RIVERA HENRRY"/>
    <m/>
    <s v="TERCERO"/>
    <s v="M"/>
    <s v="1ro"/>
    <s v="TERCERO"/>
    <m/>
    <s v="23/09/2014_x000a_12:30"/>
    <s v="Lesión Incapacitante"/>
    <s v="Lesión Incapacitante"/>
    <s v="FRACTURA DE DEDO durante calibración del detector de metales"/>
    <s v="MANO "/>
    <m/>
    <m/>
    <x v="1"/>
    <s v="Septiembre"/>
    <m/>
    <n v="9"/>
    <m/>
    <n v="9"/>
    <m/>
    <m/>
    <m/>
    <x v="3"/>
    <s v="Calibrando/Regulando"/>
    <s v="Fractura"/>
    <m/>
    <m/>
    <m/>
    <m/>
  </r>
  <r>
    <s v="si"/>
    <s v="NUTRICION ANIMAL TRUJILLO "/>
    <m/>
    <s v="ALMACEN DE INSUMOS "/>
    <m/>
    <s v="MARCO MENDOZA CORREA"/>
    <m/>
    <s v="TERCERO"/>
    <s v="M"/>
    <s v="1ro"/>
    <s v="TERCERO"/>
    <s v="4 meses"/>
    <s v="23/09/2014_x000a_08:00"/>
    <s v="Lesión Incapacitante"/>
    <s v="Lesión Incapacitante"/>
    <s v="golpe en el hombro con bobina plastica"/>
    <s v="BRAZO/HOMBRO"/>
    <m/>
    <m/>
    <x v="1"/>
    <s v="Septiembre"/>
    <m/>
    <n v="3"/>
    <m/>
    <n v="3"/>
    <m/>
    <m/>
    <m/>
    <x v="41"/>
    <s v="Manipulación Materiales/Herramientas"/>
    <s v="Golpe"/>
    <m/>
    <m/>
    <m/>
    <m/>
  </r>
  <r>
    <m/>
    <s v="PROYECTOS"/>
    <s v="Yury"/>
    <s v="PROYECTOS"/>
    <m/>
    <s v="ESPINO REYES ALEXIS "/>
    <n v="22"/>
    <s v="TERCERO"/>
    <s v="M"/>
    <s v="2do"/>
    <s v="TERCERO"/>
    <m/>
    <s v="24/09/2014_x000a_15:20"/>
    <s v="Lesión Incapacitante"/>
    <s v="Lesión Incapacitante"/>
    <s v="Dx traumatismo y aplastamiento de rodilla izq al bajar maquina de soldar por las escaleras"/>
    <s v="PIERNA"/>
    <m/>
    <m/>
    <x v="1"/>
    <s v="Septiembre"/>
    <m/>
    <n v="26"/>
    <m/>
    <n v="26"/>
    <m/>
    <m/>
    <m/>
    <x v="42"/>
    <s v="Maniobras de equipos"/>
    <s v="Golpe"/>
    <m/>
    <m/>
    <m/>
    <m/>
  </r>
  <r>
    <m/>
    <s v="TEAL"/>
    <m/>
    <s v="PRODUCCIÓN"/>
    <m/>
    <s v="ELIAS RAMIREZ TORRES"/>
    <m/>
    <s v="Personal TEAL"/>
    <s v="M"/>
    <s v="1ro"/>
    <s v="OBRERO CONTRATADO"/>
    <m/>
    <s v="02/10/2014_x000a_12:00"/>
    <s v="Lesión Incapacitante"/>
    <s v="Lesión Incapacitante"/>
    <s v="Quemadura puntual de Segundo Grado por salpicadura de silicona (panetones)"/>
    <s v="CABEZA"/>
    <m/>
    <m/>
    <x v="1"/>
    <s v="Octubre"/>
    <m/>
    <n v="5"/>
    <m/>
    <n v="5"/>
    <m/>
    <m/>
    <m/>
    <x v="43"/>
    <s v="Durante operación productiva"/>
    <s v="Quemadura"/>
    <m/>
    <m/>
    <m/>
    <m/>
  </r>
  <r>
    <m/>
    <s v="TEAL"/>
    <m/>
    <s v="PRODUCCIÓN"/>
    <m/>
    <s v="DAVID JUSTAMANTE LUNA"/>
    <m/>
    <s v="Personal TEAL"/>
    <s v="M"/>
    <s v="1ro"/>
    <s v="OBRERO CONTRATADO"/>
    <m/>
    <s v="06/10/2014_x000a_7:50"/>
    <s v="Lesión Incapacitante"/>
    <s v="Lesión Incapacitante"/>
    <s v="realizaba la operación de  limpieza y desinfección de la superficie externa de la banda sanitaria  del transportador de apilado inclinado-Enfriado Línea-3, se percata de que uno de los polines internos presentaba restos de polvillo de galletas y decide limpiarlo cuando esta se encontraba en movimiento, inclinándose para introducir su mano Izquierda utilizando un trapo industrial, en ese momento el trapo es jalado y atrapado entre el polín y la banda que giraba en sentido  horario; en ese instante el operario por tratar de retirar el trapo sus dedos índice y medio de su mano izquierda es  aprisionado,  ocasionándole una atricción severa (desgarramiento de piel) en dichos dedos."/>
    <s v="MANO "/>
    <m/>
    <m/>
    <x v="1"/>
    <s v="Octubre"/>
    <m/>
    <n v="13"/>
    <m/>
    <n v="13"/>
    <m/>
    <m/>
    <m/>
    <x v="22"/>
    <s v="Limpiando equipo"/>
    <s v="Atricción"/>
    <m/>
    <m/>
    <m/>
    <m/>
  </r>
  <r>
    <m/>
    <s v="SIDSUR"/>
    <m/>
    <s v="PRODUCCIÓN"/>
    <m/>
    <s v="JAVIER PAREDES BECERRA"/>
    <n v="36"/>
    <s v="Personal Alicorp "/>
    <s v="M"/>
    <s v="1ro"/>
    <s v="OBRERO ESTABLE"/>
    <m/>
    <s v="12/10/2014_x000a_9:20"/>
    <s v="Lesión Incapacitante"/>
    <s v="Lesión Incapacitante"/>
    <s v="Pérdida de pieza dentaria cortes internos y externos labio inferior"/>
    <s v="CABEZA"/>
    <m/>
    <m/>
    <x v="1"/>
    <s v="Octubre"/>
    <m/>
    <n v="7"/>
    <m/>
    <n v="7"/>
    <m/>
    <m/>
    <m/>
    <x v="20"/>
    <s v="Trasladandose"/>
    <s v="Golpe"/>
    <s v="Caida"/>
    <m/>
    <m/>
    <m/>
  </r>
  <r>
    <m/>
    <s v="BALANCEADOS LIMA "/>
    <s v="Sofi"/>
    <s v="ALMACEN DE INSUMOS "/>
    <m/>
    <s v="AGURTO CORONADO JEXI"/>
    <m/>
    <s v="TERCERO"/>
    <s v="M"/>
    <s v="2do"/>
    <s v="TERCERO"/>
    <m/>
    <s v="14/10/2014_x000a_15:01"/>
    <s v="Lesión Incapacitante"/>
    <s v="Lesión Incapacitante"/>
    <s v="Policontuso Contusión en rodilla d/c fractura descargando sacos de camión"/>
    <s v="PIERNA"/>
    <m/>
    <m/>
    <x v="1"/>
    <s v="Octubre"/>
    <m/>
    <n v="38"/>
    <m/>
    <n v="38"/>
    <m/>
    <m/>
    <m/>
    <x v="11"/>
    <s v="carga/descarga de camión"/>
    <s v="Golpe"/>
    <s v="Caida"/>
    <m/>
    <m/>
    <m/>
  </r>
  <r>
    <m/>
    <s v="CDI"/>
    <s v="Melina"/>
    <s v="CDI"/>
    <m/>
    <s v="ANDREA BALLARDO CUZCANO"/>
    <n v="29"/>
    <s v="Personal Alicorp "/>
    <s v="M"/>
    <s v="1ro"/>
    <s v="OBRERO CONTRATADO"/>
    <m/>
    <s v="15/10/2014_x000a_10:00"/>
    <s v="Lesión Incapacitante"/>
    <s v="Lesión Incapacitante"/>
    <s v="Quemadura de II grado en manos"/>
    <s v="MANO "/>
    <m/>
    <m/>
    <x v="1"/>
    <s v="Octubre"/>
    <m/>
    <n v="10"/>
    <m/>
    <n v="10"/>
    <m/>
    <m/>
    <m/>
    <x v="44"/>
    <s v="Cocinando"/>
    <s v="Quemadura"/>
    <m/>
    <m/>
    <m/>
    <m/>
  </r>
  <r>
    <m/>
    <s v="MOLINO SANTA ROSA "/>
    <s v="Melina"/>
    <s v="PRODUCCIÓN"/>
    <m/>
    <s v="EUSEBIO CHAPOÑAN SAN"/>
    <n v="44"/>
    <s v="Personal Alicorp "/>
    <s v="M"/>
    <s v="1ro"/>
    <s v="OBRERO ESTABLE"/>
    <m/>
    <s v="30/10/2014_x000a_12:30"/>
    <s v="Lesión Incapacitante"/>
    <s v="Lesión Incapacitante"/>
    <s v="contusion parte baja de la espalda al resbalar"/>
    <s v="CUERPO"/>
    <m/>
    <m/>
    <x v="1"/>
    <s v="Octubre"/>
    <m/>
    <n v="5"/>
    <m/>
    <n v="5"/>
    <m/>
    <m/>
    <m/>
    <x v="20"/>
    <s v="Trasladandose"/>
    <s v="Golpe"/>
    <s v="Caida"/>
    <m/>
    <m/>
    <m/>
  </r>
  <r>
    <m/>
    <s v="TEAL"/>
    <m/>
    <s v="PRODUCCIÓN"/>
    <s v="NO TIENE ROM"/>
    <s v="ANGEL JESUS PRIETO LAZO "/>
    <m/>
    <s v="Personal TEAL"/>
    <s v="M"/>
    <s v="1ro"/>
    <m/>
    <m/>
    <s v="03/11/2014_x000a_11:35"/>
    <s v="Lesión Incapacitante"/>
    <s v="Lesión Incapacitante"/>
    <s v="En circunstancias que el Operario de Producción Sr. Ángel Prieto Lazo realizaba el traslado del coche de masa de soda para ubicarlo en la parte posterior de la cámara de fermentación, por la estrechez del espacio la rueda del coche choca con la barra de protección de impacto de la pared lateral izquierdo de la cámara, haciendo que esta rebote, venciendo la fuerza del operario y choque con otro coche aledaño, aprisionándole su dedo índice de la mano derecha,  provocándole una herida contusa abierta en dicha parte de la mano."/>
    <s v="MANO "/>
    <m/>
    <m/>
    <x v="1"/>
    <s v="Noviembre"/>
    <m/>
    <n v="13"/>
    <m/>
    <n v="13"/>
    <m/>
    <m/>
    <m/>
    <x v="45"/>
    <s v="Durante operación productiva"/>
    <s v="Golpe"/>
    <m/>
    <m/>
    <m/>
    <m/>
  </r>
  <r>
    <s v="si"/>
    <s v="MOLINO SANTA ROSA "/>
    <m/>
    <s v="PRODUCCIÓN"/>
    <s v="MSR4346"/>
    <s v="JIMMY RAMOS LARROCHE"/>
    <n v="34"/>
    <s v="Personal Alicorp "/>
    <s v="M"/>
    <s v="1ro"/>
    <s v="OBRERO ESTABLE"/>
    <s v="12 años"/>
    <s v="07/11/2014_x000a_11:15"/>
    <s v="Lesión Incapacitante"/>
    <s v="Lesión Incapacitante"/>
    <s v="Siendo las 11:15am, el señor Jimmy Ramos procede a hacer la limpieza respectiva del área con aire comprimido luego de la recepción de 2900Tn de trigo. El Sr Ramos, al pasar encima de una plataforma hecha con barras de acero, como se muestra en la figura 1, dos de estas barras se desprenden de uno de los puntos de soldadura, doblándose, momento en el cual el Sr Ramos pisa en falso, aguantando su peso en la pierda izquierda. El Sr Ramos sufre de lumbalgia, por lo que este movimiento afectó mas esta condición. El Sr Ramos se comunico con mi persona y se procedió al retiro del colaborador de la zona. Se llamo a Alerta medica, se activo la Brigada de Emergencia y se traslado al Sr Ramos a la Clínica San Gabriel, donde le diagnosticaron Estiramiento de la Zona Lumbar, dándole 3 días de Descanso Médico._x000a_Se procedió con la investigación respectiva del accidente"/>
    <s v="CUERPO"/>
    <m/>
    <m/>
    <x v="1"/>
    <s v="Noviembre"/>
    <m/>
    <n v="10"/>
    <m/>
    <n v="10"/>
    <m/>
    <m/>
    <m/>
    <x v="17"/>
    <s v="Trasladandose"/>
    <s v="Luxación "/>
    <m/>
    <m/>
    <m/>
    <m/>
  </r>
  <r>
    <m/>
    <s v="MOLINCA"/>
    <m/>
    <s v="PRODUCCIÓN"/>
    <s v="NO TIENE ROM"/>
    <s v="LUIS GONZALES ASMAD"/>
    <m/>
    <s v="Personal Alicorp "/>
    <s v="M"/>
    <s v="2do"/>
    <m/>
    <s v="16 años 2 meses"/>
    <s v="11/11/2014_x000a_15:30"/>
    <s v="Lesión Incapacitante"/>
    <s v="Lesión Incapacitante"/>
    <s v="Quemadura por salpicadura de aceite caliente del dispositivo de lubricación de un banco cilindros "/>
    <s v="MANO "/>
    <m/>
    <m/>
    <x v="1"/>
    <s v="Noviembre"/>
    <m/>
    <n v="30"/>
    <m/>
    <n v="30"/>
    <m/>
    <m/>
    <m/>
    <x v="46"/>
    <s v="Durante operación productiva"/>
    <s v="Quemadura"/>
    <m/>
    <m/>
    <m/>
    <m/>
  </r>
  <r>
    <m/>
    <s v="MOLINO SANTA ROSA "/>
    <m/>
    <s v="PRODUCCIÓN"/>
    <s v="NO TIENE ROM"/>
    <s v="RAUL MONTALVO GUZMAN "/>
    <n v="43"/>
    <s v="Personal Alicorp "/>
    <s v="M"/>
    <s v="1ro"/>
    <s v="OBRERO ESTABLE"/>
    <s v="15 años"/>
    <s v="11/11/2014_x000a_14:15"/>
    <s v="Lesión Incapacitante"/>
    <s v="Lesión Incapacitante"/>
    <s v="El señor Montalvo se encontraba haciendo la regulación del alimentador del banco T1-2, luego de la regulación el señor se dirigió hacia el banco T1-1 realizando el mismo proceso. Esta tarea se hace levantando la tapa del equipo y enganchándola en uno de los costados, al momento del retorno hacia el banco T1-2  la tapa del equipo cae en forma vertical golpeando al señor Montalvo, a través de las botas de seguridad en el empeine del pie derecho. _x000a_"/>
    <s v="PIE"/>
    <m/>
    <m/>
    <x v="1"/>
    <s v="Noviembre"/>
    <m/>
    <n v="2"/>
    <m/>
    <n v="2"/>
    <m/>
    <m/>
    <m/>
    <x v="3"/>
    <s v="Durante operación productiva"/>
    <s v="Golpe"/>
    <m/>
    <m/>
    <m/>
    <m/>
  </r>
  <r>
    <m/>
    <s v="MOLINCA"/>
    <m/>
    <s v="PRODUCCIÓN"/>
    <s v="NO TIENE ROM"/>
    <s v="VIGO MOYA CESAR"/>
    <m/>
    <s v="Personal Alicorp "/>
    <s v="M"/>
    <s v="1ro"/>
    <m/>
    <s v="15 años 7 meses"/>
    <s v="11/11/2014_x000a_11:30"/>
    <s v="Lesión Incapacitante"/>
    <s v="Lesión Incapacitante"/>
    <s v="Caída al mismo nivel por tropezar con pallets de plástico"/>
    <s v="MANO "/>
    <m/>
    <m/>
    <x v="1"/>
    <s v="Noviembre"/>
    <m/>
    <n v="60"/>
    <m/>
    <n v="60"/>
    <m/>
    <m/>
    <m/>
    <x v="27"/>
    <s v="Trasladandose"/>
    <s v="Golpe"/>
    <s v="Caida"/>
    <m/>
    <m/>
    <m/>
  </r>
  <r>
    <m/>
    <s v="TEAL"/>
    <m/>
    <s v="PRODUCCIÓN"/>
    <s v="NO TIENE ROM"/>
    <s v=" ANTHONY PURISACA RISCO "/>
    <m/>
    <s v="Personal TEAL"/>
    <s v="M"/>
    <s v="1ro"/>
    <m/>
    <m/>
    <s v="11/11/2014_x000a_10:20"/>
    <s v="Lesión Incapacitante"/>
    <s v="Lesión Incapacitante"/>
    <s v="En circunstancias que el Operario de Producción Sr. Anthony Purisaca  se disponía abrir las cajas de manteca, haciendo uso de un cuchillo  procedió  a cortar la cinta de embalaje de las aletas de la caja en sentido contrario de abajo hacia arriba y con  la posición inversa  del  filo del  cuchillo, ante la rapidez y descuido del  operario  el  cuchillo  hace contacto con el dedo pulgar de la mano derecha provocándole una herida cortante en dicho dedo de la mano.                    "/>
    <s v="MANO "/>
    <m/>
    <m/>
    <x v="1"/>
    <s v="Noviembre"/>
    <m/>
    <n v="3"/>
    <m/>
    <n v="3"/>
    <m/>
    <m/>
    <m/>
    <x v="6"/>
    <s v="Durante operación productiva"/>
    <s v="Corte"/>
    <m/>
    <m/>
    <m/>
    <m/>
  </r>
  <r>
    <s v="si"/>
    <s v="SIDSUR"/>
    <m/>
    <s v="PRODUCCIÓN"/>
    <s v="SID4459"/>
    <s v="CARLOS FERNANDO VILCA BARRIGA "/>
    <n v="49"/>
    <s v="Personal Alicorp "/>
    <s v="M"/>
    <s v="2do"/>
    <s v="OBRERO ESTABLE"/>
    <s v="13 años"/>
    <s v="18/11/2014_x000a_16:45"/>
    <s v="Lesión Incapacitante"/>
    <s v="Lesión Incapacitante"/>
    <s v="En el molino Victoria, a las 16:45 horas del 18 de Noviembre del 2014, el Sr. Carlos Fernando Vilca Barriga, Ayudante de Molino, luego de salirse la faja que acciona la rosca transportadora de trigo lavado y con el sector de Limpia de Trigo parado, se dispuso a colocar la mencionada faja utilizando una escalera tipo tijera. Cuando estuvo realizando esta tarea se le cierra la escalera, lo que origina que  pierda el equilibrio y caiga al piso. Se solicita la presencia de la ambulancia 11-11 quienes le dan la primera atención. _x000a_Se procede a llevar al Sr. Carlos Vilca Barriga a la Clínica San Juan de Dios, donde el médico le diagnostica contusión en la zona izquierda del tórax y la canilla izquierda, otorgándole inicialmente 6 días de descanso médico, luego le amplían el descanso por 6 días mas. Se le toma Rayos X para descartar alguna fractura o fisura."/>
    <s v="PIERNA"/>
    <m/>
    <m/>
    <x v="1"/>
    <s v="Noviembre"/>
    <m/>
    <n v="12"/>
    <m/>
    <n v="12"/>
    <m/>
    <m/>
    <m/>
    <x v="30"/>
    <s v="Durante operación productiva"/>
    <s v="Golpe"/>
    <s v="Caida"/>
    <m/>
    <m/>
    <m/>
  </r>
  <r>
    <m/>
    <s v="CDC"/>
    <m/>
    <s v="DISTRIBUCIÓN"/>
    <s v="DIS4540"/>
    <s v="MATIAS ALVA SOTO"/>
    <n v="54"/>
    <s v="TERCERO"/>
    <s v="M"/>
    <s v="2do"/>
    <s v="TERCERO"/>
    <s v="30 años "/>
    <s v="26/11/2014_x000a_19:14"/>
    <s v="Lesión Incapacitante"/>
    <s v="Lesión Incapacitante"/>
    <s v="El Trabajador se encontraba en el muelle 29 del CDC estibando la unidad de transportes Asturias (Placa FGN918). Ya para culminar la carga (90% avance), el trabajador levantó manualmente la rampa de acero para trasladarla hacia la parte central de la puerta del furgón. _x000a_En ese momento, el trabajador en mención no se percató que su compañero se encontraba retrocediendo (dentro de la unidad); éste último pisó la rampa, lo que originó que ésta cayera sobre la mano izquierda del Sr. Alva Soto."/>
    <s v="MANO "/>
    <m/>
    <m/>
    <x v="1"/>
    <s v="Noviembre"/>
    <m/>
    <n v="25"/>
    <m/>
    <n v="25"/>
    <m/>
    <m/>
    <m/>
    <x v="47"/>
    <s v="carga/descarga de camión"/>
    <s v="Corte"/>
    <m/>
    <m/>
    <s v="IOLSA"/>
    <m/>
  </r>
  <r>
    <m/>
    <s v="PROYECTOS"/>
    <m/>
    <s v="PROYECTOS"/>
    <s v="TEC4747"/>
    <s v="GIANNONI GRADOS RAMIREZ"/>
    <n v="28"/>
    <s v="TERCERO"/>
    <s v="M"/>
    <s v="1ro"/>
    <s v="TERCERO"/>
    <s v="4 años y 3 meses"/>
    <s v="19/12/2014_x000a_08:50 "/>
    <s v="Lesión Incapacitante"/>
    <s v="Lesión Incapacitante"/>
    <s v="El día 19/12/2014 a las 08:50 am el trabajador Grados Ramirez se dirige al almacén para retirar tuberías de 1” (peso aproximado de 15 kg); mientras estaba esperando decidió apoyar para retirar él mismo la tubería. Sin embargo al momento de retirar la 3era tubería de 1” de inox retrocede  y pisa una de las tuberías apiladas en el piso, resbalándose y  asentando la pisada en el tobillo derecho._x000a__x000a_"/>
    <s v="PIE"/>
    <m/>
    <m/>
    <x v="1"/>
    <s v="Diciembre"/>
    <m/>
    <n v="10"/>
    <m/>
    <n v="10"/>
    <m/>
    <m/>
    <m/>
    <x v="48"/>
    <s v="Trasladandose"/>
    <s v="Luxación"/>
    <m/>
    <m/>
    <s v="ALTA"/>
    <m/>
  </r>
  <r>
    <m/>
    <s v="TEAL"/>
    <m/>
    <s v="PRODUCCIÓN"/>
    <m/>
    <s v="Jorge Oswaldo "/>
    <m/>
    <s v="Personal TEAL"/>
    <m/>
    <m/>
    <m/>
    <m/>
    <d v="2014-03-10T00:00:00"/>
    <s v="Lesión Incapacitante"/>
    <s v="Lesión Incapacitante"/>
    <s v="herida abierta en el dedo medio de la mano izquierda (Molino-Bco Cilindros)"/>
    <s v="MANO "/>
    <m/>
    <m/>
    <x v="1"/>
    <s v="Marzo"/>
    <m/>
    <n v="84"/>
    <m/>
    <n v="84"/>
    <m/>
    <m/>
    <m/>
    <x v="3"/>
    <s v="Desatorando línea"/>
    <s v="Atricción"/>
    <m/>
    <m/>
    <m/>
    <m/>
  </r>
  <r>
    <m/>
    <s v="SIDSUR"/>
    <m/>
    <s v="DISTRIBUCIÓN"/>
    <s v="SID2972"/>
    <s v="FERNANDO ATALAYA GOYCOCHEA"/>
    <n v="23"/>
    <s v="Personal Alicorp "/>
    <s v="M"/>
    <s v="2do"/>
    <s v="OBRERO CONTRATADO"/>
    <s v="0 Años"/>
    <d v="2014-03-19T20:00:00"/>
    <s v="Lesión Incapacitante"/>
    <s v="Lesión Incapacitante"/>
    <s v="El día 19 de Marzo del 2014, al promediar las 20:00 hrs. el colaborador Fernando Atalaya Goicochea estaba trasladando pallets desde el canal 03 hacia el muelle de carga por la puerta 03, utilizando un transportador eléctrico ERE120. _x000a__x000a_Cuando quedaban tres pallets para terminar la labor, Fernando extrae un pallet de aceite con el ERE 120, momento en el que escuchó una consulta que le realizaban a otro compañero; él quiso avisar de lo que sabía y realizar la operación de retroceso  al mismo tiempo, momento en el que no se percata del elevador Crown 004 que estaba estacionado en el canal siguiente, el cual no tenía operaciones. Esto ocasiona el impacto entre la parte posterior del ERE 120 y el Crown 004. _x000a_"/>
    <s v="PIE"/>
    <m/>
    <m/>
    <x v="1"/>
    <s v="Marzo"/>
    <m/>
    <n v="7"/>
    <m/>
    <n v="7"/>
    <d v="1899-12-30T20:00:00"/>
    <n v="22709"/>
    <m/>
    <x v="12"/>
    <s v="Manejando traspaleta/Montacarga"/>
    <s v="Golpe"/>
    <m/>
    <m/>
    <m/>
    <m/>
  </r>
  <r>
    <m/>
    <s v="DETERGENTES"/>
    <m/>
    <s v="MANTENIMIENTO"/>
    <s v="DET2973"/>
    <s v="RAMIREZ ARONES JULIO CESAR"/>
    <n v="32"/>
    <s v="Personal Alicorp "/>
    <s v="M"/>
    <s v="3ro"/>
    <s v="OBRERO ESTABLE"/>
    <s v="5 años 8 meses"/>
    <s v="23/03/2014_x000a_01:15 "/>
    <s v="Lesión Incapacitante"/>
    <s v="Lesión Incapacitante"/>
    <s v="El monitor de planta Walter Huamaní le indica al instrumentista Julio Ramirez que presentaba problemas en la dosificación de carbonato de sodio._x000a_Julio Ramirez identifica el problema en el guardamotor 62CL4. _x000a_Acción 1- Se coloca el Guardamotor de reemplazo al lado del instalado, reduciendo el espacio._x000a_Acción 2- Se traslada los cables de un equipo a otro mientras estos se encuentran energizados_x000a_Acción 3 : Ocurrencia de corto circuito entre dos fases"/>
    <s v="CABEZA"/>
    <m/>
    <m/>
    <x v="1"/>
    <s v="Marzo"/>
    <m/>
    <n v="16"/>
    <m/>
    <n v="16"/>
    <d v="1899-12-30T01:15:00"/>
    <n v="16284"/>
    <m/>
    <x v="49"/>
    <s v="Mantenimiento"/>
    <s v="Quemadura"/>
    <m/>
    <m/>
    <m/>
    <m/>
  </r>
  <r>
    <m/>
    <s v="DETERGENTES"/>
    <m/>
    <s v="PRODUCCIÓN"/>
    <s v="DET2894"/>
    <s v="SOLANO YNUMA HENRY"/>
    <n v="29"/>
    <s v="Personal Alicorp "/>
    <s v="M"/>
    <s v="1ro"/>
    <s v="OBRERO ESTABLE"/>
    <s v="3 dias "/>
    <s v="28/03/2014_x000a_13:30 "/>
    <s v="Lesión Incapacitante"/>
    <s v="Lesión Incapacitante"/>
    <s v="El Colaborador Henry Solano se encontraba rompiendo bolsas con detergente para recuperación, al abrir una de estas el detergente sale hacia arriba y una pequeña cantidad de polvo cae en el ojo del trabajador; este se lava la cara y el ojo con agua pero la molestia persiste; se le lleva al topico donde se le deriva a la clinica"/>
    <s v="OJO"/>
    <m/>
    <m/>
    <x v="1"/>
    <s v="Marzo"/>
    <m/>
    <n v="1"/>
    <m/>
    <n v="1"/>
    <d v="1899-12-30T13:30:00"/>
    <n v="23549"/>
    <m/>
    <x v="33"/>
    <s v="Recuperación producto terminado"/>
    <s v="Producto al ojo"/>
    <m/>
    <m/>
    <m/>
    <m/>
  </r>
  <r>
    <m/>
    <s v="DETERGENTES"/>
    <m/>
    <s v="MANTENIMIENTO"/>
    <s v="DET3061"/>
    <s v="ADRIANO BAZAN JOSE LUIS"/>
    <n v="27"/>
    <s v="Personal Alicorp "/>
    <s v="M"/>
    <s v="2do"/>
    <s v="OBRERO CONTRATADO"/>
    <s v="1 año"/>
    <s v="14/04/2014_x000a_16:25 "/>
    <s v="Lesión Incapacitante"/>
    <s v="Lesión Incapacitante"/>
    <s v="El Técnico Jose Luis Adriano Bazán se encontraba inspeccionando las líneas de envasado y se percata que la faja de alimentación de granel desde la tolva hacia la maquina se encontraba desalineada, por lo cual decide templar la faja regulando su rodillo tensor._x000a_La faja de alimentación gira y se detiene automáticamente alimentando producto a la maquina envasadora, en el momento de la intervención la faja se encontraba energizada._x000a_El técnico observa que el rodillo estaba sucio, por lo que decide primero retirar la suciedad del rodillo con su llave mixta -  para realizar la limpieza no bloqueo eléctricamente la faja transportadora._x000a_En el segundo golpe de limpieza del rodillo, arranca nuevamente la faja y atrapa la llave mixta, la cual era sostenida por el técnico._x000a_El técnico tenia el dedo anular izquierdo en la corona de la llave, por lo que el atrapamiento del dedo se da entre la llave y el rodillo que son de metal, generando el corte del dedo._x000a_El técnico logra desenergizar la maquina y avisa al personal de producción de su accidente para ser evacuado al tópico._x000a_"/>
    <s v="MANO "/>
    <m/>
    <m/>
    <x v="1"/>
    <s v="Abril"/>
    <m/>
    <n v="78"/>
    <m/>
    <n v="78"/>
    <d v="1899-12-30T16:25:00"/>
    <n v="21746"/>
    <m/>
    <x v="3"/>
    <s v="Calibrando/Regulando"/>
    <s v="Fractura"/>
    <m/>
    <m/>
    <m/>
    <m/>
  </r>
  <r>
    <m/>
    <s v="NUTRICION ANIMAL TRUJILLO "/>
    <m/>
    <s v="ALMACEN DE INSUMOS "/>
    <s v="NAT0028 "/>
    <s v="LOZADA AYALA JUAN JOSE"/>
    <s v="33"/>
    <s v="Personal Alicorp "/>
    <s v="M"/>
    <s v="3ro"/>
    <s v="OBRERO ESTABLE "/>
    <s v="8 años"/>
    <d v="2013-01-03T00:00:00"/>
    <s v="Lesión incapacitante "/>
    <s v="Lesión incapacitante "/>
    <s v="corta sacos utilizando como herramienta manual una cuchilla en su mano derecha , luego al jalar  el saco para abastecerlo  el mismo peso del saco con la cuchilla abierta  le hace un corte en el brazo izquierdo "/>
    <s v="BRAZO/HOMBRO"/>
    <m/>
    <m/>
    <x v="2"/>
    <s v="Enero"/>
    <n v="3"/>
    <n v="2"/>
    <m/>
    <n v="2"/>
    <d v="1899-12-30T02:05:00"/>
    <s v="12037"/>
    <m/>
    <x v="23"/>
    <s v="Abastecimiento MP"/>
    <s v="Corte"/>
    <m/>
    <s v="No seguir procedimiento"/>
    <m/>
    <m/>
  </r>
  <r>
    <m/>
    <s v="OFICINAS ADMINISTRATIVAS"/>
    <m/>
    <s v="ADMINISTRACIÓN"/>
    <s v="ADM0095 "/>
    <s v="-"/>
    <s v="-"/>
    <s v="Personal no Alicorp "/>
    <m/>
    <s v="-"/>
    <s v="TERCERO"/>
    <s v="-"/>
    <d v="2013-01-05T00:00:00"/>
    <s v="Lesión Incapacitante"/>
    <s v="Lesión Incapacitante"/>
    <s v="realizaba el cableado usando una wincha metálica, la cual al momento de ser manipulada hace contacto con la barra de distribución del tablero energizado, lo que ocasiona un fogonazo que va directo al rostro del trabajador."/>
    <s v="CABEZA"/>
    <m/>
    <m/>
    <x v="2"/>
    <s v="Enero"/>
    <n v="6"/>
    <n v="25"/>
    <m/>
    <n v="25"/>
    <s v="-"/>
    <m/>
    <m/>
    <x v="49"/>
    <s v="Mantenimiento"/>
    <s v="Quemadura"/>
    <m/>
    <s v="Mantenimiento inadecuado"/>
    <s v="REWELS"/>
    <m/>
  </r>
  <r>
    <m/>
    <s v="COPSA"/>
    <m/>
    <s v="PRODUCCIÓN"/>
    <s v="PCO0127"/>
    <s v="MIRANDA GUTIERREZ VICTOR"/>
    <s v="59"/>
    <s v="Personal Alicorp "/>
    <s v="M"/>
    <s v="2do"/>
    <s v="OBRERO ESTABLE "/>
    <s v="15 años"/>
    <d v="2013-01-10T00:00:00"/>
    <s v="Lesión incapacitante "/>
    <s v="Lesión incapacitante "/>
    <s v="Mantenimiento de equipo la manguera se suelta, salpicándole el ácido en el rostro. "/>
    <s v="OJO"/>
    <m/>
    <m/>
    <x v="2"/>
    <s v="Enero"/>
    <n v="4"/>
    <n v="2"/>
    <m/>
    <n v="2"/>
    <d v="1899-12-30T05:00:00"/>
    <s v="563"/>
    <m/>
    <x v="19"/>
    <s v="Mantenimiento"/>
    <s v="Contacto sustancia Quimica"/>
    <m/>
    <s v="Mantenimiento inadecuado"/>
    <m/>
    <m/>
  </r>
  <r>
    <m/>
    <s v="FIDEERIA LIMA"/>
    <m/>
    <s v="RELACIONES LABORALES"/>
    <s v="PFL0052 "/>
    <s v="-"/>
    <s v="-"/>
    <s v="Personal no Alicorp "/>
    <m/>
    <s v="-"/>
    <s v="TERCERO"/>
    <s v="-"/>
    <d v="2013-01-16T00:00:00"/>
    <s v="Lesión incapacitante "/>
    <s v="Lesión incapacitante "/>
    <s v="resbalar en piso de comedor que estaba mojado, sufriendo traumatismo en brazo izquierdo."/>
    <s v="BRAZO/HOMBRO"/>
    <m/>
    <m/>
    <x v="2"/>
    <s v="Enero"/>
    <n v="3"/>
    <n v="2"/>
    <m/>
    <n v="2"/>
    <s v="-"/>
    <m/>
    <m/>
    <x v="20"/>
    <s v="Trasladandose"/>
    <s v="Golpe"/>
    <s v="Caida"/>
    <s v="Falta de cuidado"/>
    <s v="CONCESIONARIO JG SERVICE"/>
    <m/>
  </r>
  <r>
    <m/>
    <s v="COPSA"/>
    <m/>
    <s v="PRODUCCIÓN"/>
    <s v="PCO0051 "/>
    <s v="TAMAYO ARANDA SANDRO DAVID"/>
    <s v="40"/>
    <s v="Personal Alicorp "/>
    <s v="M"/>
    <s v="2do"/>
    <s v="OBRERO ESTABLE "/>
    <s v="15 años"/>
    <d v="2013-01-17T00:00:00"/>
    <s v="Lesión Incapacitante"/>
    <s v="Lesión Incapacitante"/>
    <s v="queda atrapado uno de sus dedos entre la polea y la faja de la máquina descascaradora."/>
    <s v="MANO "/>
    <m/>
    <m/>
    <x v="2"/>
    <s v="Enero"/>
    <n v="4"/>
    <n v="60"/>
    <m/>
    <n v="60"/>
    <d v="1899-12-30T21:20:00"/>
    <s v="10133"/>
    <m/>
    <x v="3"/>
    <s v="Calibrando/Regulando"/>
    <s v="Atricción"/>
    <m/>
    <s v="Falta de cuidado"/>
    <m/>
    <m/>
  </r>
  <r>
    <m/>
    <s v="CDC"/>
    <m/>
    <s v="DISTRIBUCIÓN"/>
    <s v="DIS0076"/>
    <s v="-"/>
    <s v="-"/>
    <s v="Personal no Alicorp"/>
    <m/>
    <s v="-"/>
    <s v="TERCERO"/>
    <s v="-"/>
    <d v="2013-01-24T00:00:00"/>
    <s v="Lesión incapacitante "/>
    <s v="Lesión incapacitante "/>
    <s v="bajarla de la ruma, al momento de realizar esta actividad es que la paleta se le resbala, golpeándole ambas rodillas"/>
    <s v="PIERNA"/>
    <m/>
    <m/>
    <x v="2"/>
    <s v="Enero"/>
    <n v="4"/>
    <n v="23"/>
    <m/>
    <n v="23"/>
    <s v="-"/>
    <m/>
    <m/>
    <x v="27"/>
    <s v="Limpieza paletas"/>
    <s v="Golpe"/>
    <m/>
    <s v="No seguir procedimiento"/>
    <s v="LIMTEK"/>
    <m/>
  </r>
  <r>
    <m/>
    <s v="COPSA"/>
    <m/>
    <s v="PRODUCCIÓN"/>
    <s v="PCO0176 "/>
    <s v="FIGUEROA CASTILLEJO ELODIA ELIZABETH"/>
    <s v="38"/>
    <s v="Personal Alicorp "/>
    <s v="F"/>
    <s v="2do"/>
    <s v="OBRERO ESTABLE "/>
    <s v="9 años"/>
    <d v="2013-02-11T00:00:00"/>
    <s v="Lesión Incapacitante"/>
    <s v="Lesión Incapacitante"/>
    <s v="desarmaban en su área el molino coloidal una parte de éste resbala e impacta en su mano izquierda, ocasionándole herida"/>
    <s v="MANO "/>
    <m/>
    <m/>
    <x v="2"/>
    <s v="febrero"/>
    <n v="4"/>
    <n v="30"/>
    <m/>
    <n v="30"/>
    <d v="1899-12-30T19:30:00"/>
    <s v="11251"/>
    <m/>
    <x v="42"/>
    <s v="Mantenimiento"/>
    <s v="Golpe"/>
    <m/>
    <s v="Mantenimiento inadecuado"/>
    <m/>
    <m/>
  </r>
  <r>
    <m/>
    <s v="DETERGENTES"/>
    <m/>
    <s v="DISTRIBUCIÓN"/>
    <s v="DET1014"/>
    <s v="-"/>
    <s v="-"/>
    <s v="Personal no Alicorp "/>
    <m/>
    <s v="-"/>
    <s v="TERCERO"/>
    <s v="-"/>
    <d v="2013-02-15T00:00:00"/>
    <s v="Lesión Incapacitante"/>
    <s v="Lesión Incapacitante"/>
    <s v="Fractura tobillo pie izquierdo, contusión dedo meñique pie derecho al caerle una paleta al ser golpeada por Montacarga"/>
    <s v="PIERNA"/>
    <m/>
    <m/>
    <x v="2"/>
    <s v="febrero"/>
    <n v="4"/>
    <n v="30"/>
    <m/>
    <n v="30"/>
    <s v="-"/>
    <m/>
    <m/>
    <x v="18"/>
    <s v="Traslado Paletas Montacargas"/>
    <s v="Fractura"/>
    <m/>
    <s v="No seguir procedimiento"/>
    <s v="LIMTEK"/>
    <m/>
  </r>
  <r>
    <m/>
    <s v="DETERGENTES"/>
    <m/>
    <s v="PROYECTOS"/>
    <s v="PCO0178"/>
    <s v="-"/>
    <s v="-"/>
    <s v="Personal no Alicorp "/>
    <m/>
    <s v="-"/>
    <s v="TERCERO"/>
    <s v="-"/>
    <d v="2013-02-18T00:00:00"/>
    <s v="Lesión Incapacitante"/>
    <s v="Lesión Incapacitante"/>
    <s v="MMG, sube al nivel +6 del edificio de manufactura ayudándose de un andamio ubicado en la zona lateral del edificio, durante el transito de un cuerpo del andamio hacia otro, la pierna izquierda del trabajador queda atrapada en una abertura de aproximadamente 7 cm que se tenia entre las bandejas que forman la plataforma del andamio como consecuencia de ello el trabajador sufre una caída a nivel y un esquince en la rodilla izquierda."/>
    <s v="PIE"/>
    <m/>
    <m/>
    <x v="2"/>
    <s v="febrero"/>
    <n v="4"/>
    <n v="15"/>
    <m/>
    <n v="15"/>
    <s v="-"/>
    <m/>
    <m/>
    <x v="7"/>
    <s v="Trasladandose"/>
    <s v="Golpe"/>
    <s v="Caida"/>
    <s v="Identificación inadecuada peligros"/>
    <s v="MMG"/>
    <m/>
  </r>
  <r>
    <m/>
    <s v="COPSA"/>
    <m/>
    <s v="PRODUCCIÓN"/>
    <s v="PCO0154 "/>
    <s v="CHAVEZ TAPULLIMA WALTER"/>
    <s v="21"/>
    <s v="Personal Alicorp "/>
    <s v="M"/>
    <s v="1ro"/>
    <s v="CAPAC.LAB.JUVENIL"/>
    <s v="5 meses"/>
    <d v="2013-02-26T00:00:00"/>
    <s v="Lesión Incapacitante"/>
    <s v="Lesión Incapacitante"/>
    <s v="APLASTAMIENTO DE LA  MANO MUÑECA Y ANTEBRAZO DERECHA POR UNA FAJA ALIMENTADORA DE ENVASES"/>
    <s v="MANO "/>
    <m/>
    <m/>
    <x v="2"/>
    <s v="febrero"/>
    <n v="4"/>
    <n v="150"/>
    <m/>
    <n v="150"/>
    <d v="1899-12-30T07:15:00"/>
    <s v="20931"/>
    <m/>
    <x v="22"/>
    <s v="Alimentación Envases"/>
    <s v="Fractura"/>
    <m/>
    <s v="Falta de cuidado"/>
    <m/>
    <m/>
  </r>
  <r>
    <m/>
    <s v="SIDSUR"/>
    <m/>
    <s v="PROYECTOS"/>
    <s v="DIS0305 "/>
    <s v="-"/>
    <s v="-"/>
    <s v="Personal no Alicorp "/>
    <m/>
    <s v="-"/>
    <s v="TERCERO"/>
    <s v="-"/>
    <d v="2013-03-08T00:00:00"/>
    <s v="Lesión Incapacitante"/>
    <s v="Lesión Incapacitante"/>
    <s v="Esguince muñeca derecha al caérse la plancha de 30kg para encofrado (Gerenpro)"/>
    <s v="MANO "/>
    <m/>
    <m/>
    <x v="2"/>
    <s v="Marzo"/>
    <n v="4"/>
    <n v="15"/>
    <m/>
    <n v="15"/>
    <s v="-"/>
    <m/>
    <m/>
    <x v="42"/>
    <s v="Carga materiales"/>
    <s v="Esguince"/>
    <m/>
    <s v="Levantamiento inadecuado"/>
    <s v="GERENPRO"/>
    <m/>
  </r>
  <r>
    <m/>
    <s v="COPSA"/>
    <m/>
    <s v="PRODUCCIÓN"/>
    <s v="NNA0222"/>
    <s v="RIVADENEIRA MENDOZA VICTOR ANGEL"/>
    <s v="36"/>
    <s v="Personal Alicorp "/>
    <s v="M"/>
    <s v="2do"/>
    <s v="OBRERO ESTABLE "/>
    <s v="6 años"/>
    <d v="2013-03-09T00:00:00"/>
    <s v="Lesión Incapacitante"/>
    <s v="Lesión Incapacitante"/>
    <s v="se encontraba en el Segundo Piso de Balanceados cargando aditivos. Indica que al girar pisa el borde de la estoca perdiendo el equilibrio, cae al piso y sufre un golpe en pierna y torcedura de tobillo derecho."/>
    <s v="PIERNA"/>
    <m/>
    <m/>
    <x v="2"/>
    <s v="Marzo "/>
    <n v="4"/>
    <n v="3"/>
    <m/>
    <n v="3"/>
    <d v="1899-12-30T18:00:00"/>
    <s v="16507"/>
    <m/>
    <x v="4"/>
    <s v="Carga aditivos"/>
    <s v="Torcedura pie"/>
    <m/>
    <s v="Espacio restringido"/>
    <m/>
    <m/>
  </r>
  <r>
    <m/>
    <s v="FIDEERIA LIMA"/>
    <m/>
    <s v="PRODUCCIÓN"/>
    <s v="PFL0239 "/>
    <s v="AMES RODRIGUEZ HENRY"/>
    <s v="39"/>
    <s v="Personal Alicorp "/>
    <s v="M"/>
    <s v="1ro"/>
    <s v="OBRERO ESTABLE "/>
    <s v="13 años"/>
    <d v="2013-03-11T00:00:00"/>
    <s v="Lesión Incapacitante"/>
    <s v="Lesión Incapacitante"/>
    <s v="se encontraba regulando la enfardeladora de la maquina VPM de fideos cortados, su mano izquierda fue golpeada por la cadena transportadora."/>
    <s v="MANO "/>
    <m/>
    <m/>
    <x v="2"/>
    <s v="Marzo "/>
    <n v="4"/>
    <n v="10"/>
    <m/>
    <n v="10"/>
    <d v="1899-12-30T08:30:00"/>
    <s v="5659"/>
    <s v="*"/>
    <x v="3"/>
    <s v="Calibrando/Regulando"/>
    <s v="Golpe"/>
    <m/>
    <s v="Mantenimiento equipo en movimiento"/>
    <m/>
    <m/>
  </r>
  <r>
    <m/>
    <s v="SIDSUR"/>
    <m/>
    <s v="PRODUCCIÓN"/>
    <s v="SID0312"/>
    <s v="VALDIVIA SUCASACA JUAN CARLOS"/>
    <s v="36"/>
    <s v="Personal Alicorp "/>
    <s v="M"/>
    <s v="2do"/>
    <s v="OBRERO ESTABLE "/>
    <s v="9 años"/>
    <d v="2013-03-11T00:00:00"/>
    <s v="Lesión Incapacitante"/>
    <s v="Lesión Incapacitante"/>
    <s v="antideslizante en la faja plana de banco de cilindro, tarea que se realiza durante el arranque del molino. Al momento de realizar esta tarea el colaborador sufre un corte en el dorzo del antebrazo derecho"/>
    <s v="BRAZO/HOMBRO"/>
    <m/>
    <m/>
    <x v="2"/>
    <s v="Marzo "/>
    <n v="4"/>
    <n v="35"/>
    <m/>
    <n v="35"/>
    <d v="1899-12-30T16:30:00"/>
    <s v="10459"/>
    <m/>
    <x v="50"/>
    <s v="Mantenimiento"/>
    <s v="Corte"/>
    <m/>
    <s v="Mantenimiento equipo en movimiento"/>
    <m/>
    <m/>
  </r>
  <r>
    <m/>
    <s v="NUTRICION ANIMAL TRUJILLO "/>
    <m/>
    <s v="PRODUCCIÓN"/>
    <s v="NAT0258"/>
    <s v="PISCO RODRIGUEZ ANDY"/>
    <s v="28"/>
    <s v="Personal Alicorp "/>
    <s v="M"/>
    <s v="3ro"/>
    <s v="OBRERO ESTABLE "/>
    <s v="6 años"/>
    <d v="2013-03-16T00:00:00"/>
    <s v="Lesión Incapacitante"/>
    <s v="Lesión Incapacitante"/>
    <s v="escalera apoyada en el ducto vertical de descarga y procede a subir para cerciorarse si estaba vacía , al descender por la escalera utilizada, la  base de esta resbala y el colaborador cae recibiendo el peso de su cuerpo en la mano izquierda."/>
    <s v="MANO "/>
    <m/>
    <m/>
    <x v="2"/>
    <s v="Marzo "/>
    <n v="4"/>
    <n v="30"/>
    <m/>
    <n v="30"/>
    <d v="1899-12-30T05:25:00"/>
    <s v="15768"/>
    <m/>
    <x v="51"/>
    <s v="Revisión equipo en altura"/>
    <s v="Golpe"/>
    <s v="Caida"/>
    <s v="uso de equipo inadecuado"/>
    <m/>
    <m/>
  </r>
  <r>
    <m/>
    <s v="GALLETERA LIMA"/>
    <m/>
    <s v="PRODUCCIÓN"/>
    <s v="PGL0275 "/>
    <s v="REYES OLLAIS ERICKA ISABEL"/>
    <s v="33"/>
    <s v="Personal Alicorp "/>
    <s v="F"/>
    <s v="2do"/>
    <s v="OBRERO ESTABLE "/>
    <s v="9 años"/>
    <d v="2013-03-16T00:00:00"/>
    <s v="Lesión Incapacitante"/>
    <s v="Lesión Incapacitante"/>
    <s v="al trasladar un producto de la bandeja es que gira y se golpea el codo de antebrazo izquierdo en una base metálica"/>
    <s v="BRAZO/HOMBRO"/>
    <m/>
    <m/>
    <x v="2"/>
    <s v="Marzo "/>
    <n v="4"/>
    <n v="3"/>
    <m/>
    <n v="3"/>
    <d v="1899-12-30T22:00:00"/>
    <s v="10993"/>
    <m/>
    <x v="17"/>
    <s v="Alimentación producto"/>
    <s v="Golpe"/>
    <m/>
    <s v="Diseño inadecuado puesto trabajo"/>
    <m/>
    <m/>
  </r>
  <r>
    <m/>
    <s v="NUTRICION ANIMAL TRUJILLO "/>
    <m/>
    <s v="PRODUCCIÓN"/>
    <s v="NAT0303 "/>
    <s v="FASABI CEOPA MANUEL"/>
    <s v="22"/>
    <s v="Personal Alicorp "/>
    <s v="M"/>
    <s v="3ro"/>
    <s v="OBRERO CONTRATADO "/>
    <s v="7 mese"/>
    <d v="2013-03-22T00:00:00"/>
    <s v="Lesión Incapacitante"/>
    <s v="Lesión Incapacitante"/>
    <s v="introduce su mano por la abertura de inspección de la tolva pulmón , en estos instantes cuando él intenta sopletear la salida de la tolva 4 para limpiar restos de pellets, la compuerta se cierra accionada desde scada por el operario de rociado, produciéndose así la atricción de la mano derecha entre la compuerta y el marco de salida de la tolva."/>
    <s v="MANO "/>
    <m/>
    <m/>
    <x v="2"/>
    <s v="Marzo "/>
    <n v="4"/>
    <n v="2"/>
    <m/>
    <n v="2"/>
    <d v="1899-12-30T00:10:00"/>
    <s v="20764"/>
    <m/>
    <x v="3"/>
    <s v="Limpiando equipo"/>
    <s v="Atricción"/>
    <m/>
    <s v="Coordinación inadecuada"/>
    <m/>
    <m/>
  </r>
  <r>
    <m/>
    <s v="DETERGENTES"/>
    <m/>
    <s v="PROYECTOS"/>
    <s v="PCO0520 "/>
    <s v="-"/>
    <s v="-"/>
    <s v="Personal no Alicorp "/>
    <m/>
    <s v="-"/>
    <s v="TERCERO"/>
    <s v="-"/>
    <d v="2013-04-03T00:00:00"/>
    <s v="Lesión incapacitante "/>
    <s v="Lesión incapacitante "/>
    <s v="empresa GEPROIN  Trabajador sufre traumatismo por caida de concreto"/>
    <s v="CUERPO"/>
    <m/>
    <m/>
    <x v="2"/>
    <s v="Abril"/>
    <n v="4"/>
    <n v="2"/>
    <m/>
    <n v="2"/>
    <s v="-"/>
    <m/>
    <m/>
    <x v="42"/>
    <s v="Durante proyecto"/>
    <s v="Golpe"/>
    <m/>
    <s v="Falta de barreras protectoras"/>
    <s v="GEPROIN"/>
    <m/>
  </r>
  <r>
    <m/>
    <s v="DETERGENTES"/>
    <m/>
    <s v="PROYECTOS"/>
    <s v="PCO0539"/>
    <s v="-"/>
    <s v="-"/>
    <s v="Personal no Alicorp "/>
    <m/>
    <s v="-"/>
    <s v="TERCERO"/>
    <s v="-"/>
    <d v="2013-04-05T00:00:00"/>
    <s v="Lesión incapacitante "/>
    <s v="Lesión incapacitante "/>
    <s v="Empresa ALTA se encontraba detrás de un compañero que estaba esmerilando y le penetra una esquirla de metal en ojo izquierdo. _x000a_"/>
    <s v="OJO"/>
    <m/>
    <m/>
    <x v="2"/>
    <s v="Abril"/>
    <n v="4"/>
    <n v="2"/>
    <m/>
    <n v="2"/>
    <s v="-"/>
    <m/>
    <m/>
    <x v="52"/>
    <s v="Verificando esmerilado"/>
    <s v="Materia extraña al ojo"/>
    <m/>
    <s v="Inadecuado restricción de area"/>
    <s v="ALTA"/>
    <m/>
  </r>
  <r>
    <m/>
    <s v="OFICINAS ADMINISTRATIVAS"/>
    <m/>
    <s v="RELACIONES LABORALES"/>
    <s v="ADM0465"/>
    <s v="-"/>
    <s v="-"/>
    <s v="Personal no Alicorp "/>
    <m/>
    <s v="-"/>
    <s v="TERCERO"/>
    <s v="-"/>
    <d v="2013-04-15T00:00:00"/>
    <s v="Lesión incapacitante "/>
    <s v="Lesión incapacitante "/>
    <s v="transitaba por la línea de servido con dirección a la Exhibidora de Gaseosas, en ese momento sufre una caída. La caída fue a consecuencia de que el piso estaba mojado."/>
    <s v="MANO "/>
    <m/>
    <m/>
    <x v="2"/>
    <s v="Abril"/>
    <n v="4"/>
    <n v="2"/>
    <m/>
    <n v="2"/>
    <s v="-"/>
    <m/>
    <m/>
    <x v="20"/>
    <s v="Trasladandose"/>
    <s v="Golpe"/>
    <s v="Caida"/>
    <s v="Falta de cuidado"/>
    <s v="CONCESIONARIO (REGIS)"/>
    <m/>
  </r>
  <r>
    <m/>
    <s v="DETERGENTES"/>
    <m/>
    <s v="PROYECTOS"/>
    <s v="PCO0521 "/>
    <s v="-"/>
    <s v="-"/>
    <s v="Personal no Alicorp "/>
    <m/>
    <s v="-"/>
    <s v="TERCERO"/>
    <s v="-"/>
    <d v="2013-04-16T00:00:00"/>
    <s v="Lesión incapacitante "/>
    <s v="Lesión incapacitante "/>
    <s v="Empresa Geproin Pierna de trabajador se introduce en agujero. sufre un esguince en el tobillo de la pierna izquierda, opuesta a la introducida en la perforación"/>
    <s v="PIE"/>
    <m/>
    <m/>
    <x v="2"/>
    <s v="Abril"/>
    <n v="4"/>
    <n v="11"/>
    <m/>
    <n v="11"/>
    <s v="-"/>
    <m/>
    <m/>
    <x v="20"/>
    <s v="Trasladandose"/>
    <s v="Golpe"/>
    <m/>
    <s v="Falta de cuidado"/>
    <s v="GEPROIN"/>
    <m/>
  </r>
  <r>
    <m/>
    <s v="DETERGENTES"/>
    <m/>
    <s v="PROYECTOS"/>
    <s v="PCO0522 "/>
    <s v="-"/>
    <s v="-"/>
    <s v="Personal no Alicorp "/>
    <m/>
    <s v="-"/>
    <s v="TERCERO"/>
    <s v="-"/>
    <d v="2013-04-20T00:00:00"/>
    <s v="Lesión Incapacitante"/>
    <s v="Lesión Incapacitante"/>
    <s v="Empresa Fabtech levanta la careta para poder realizar el cambio del electrodo, en simultaneo se estaban realizando trabajos de soldadura en los niveles superiores de la escalera, por tanto una de las chispas de la soldadura rebota contra el silo y se introduce en el ojo derecho del trabajador "/>
    <s v="OJO"/>
    <m/>
    <m/>
    <x v="2"/>
    <s v="Abril"/>
    <n v="4"/>
    <n v="2"/>
    <m/>
    <n v="2"/>
    <s v="-"/>
    <m/>
    <m/>
    <x v="15"/>
    <s v="Soldadura"/>
    <s v="Materia extraña al ojo"/>
    <m/>
    <s v="Falta de barreras protectoras"/>
    <s v="FABTECH"/>
    <m/>
  </r>
  <r>
    <m/>
    <s v="COPSA"/>
    <m/>
    <s v="DISTRIBUCIÓN"/>
    <s v="DIS0484"/>
    <s v="MARQUEZ PARIONA JIMMY ANTONY"/>
    <m/>
    <s v="Personal Alicorp "/>
    <s v="M"/>
    <s v="2do"/>
    <s v="OBRERO CONTRATADO "/>
    <s v="1 mes, 20 dias"/>
    <d v="2013-04-22T00:00:00"/>
    <s v="Lesión Incapacitante"/>
    <s v="Lesión Incapacitante"/>
    <s v="mano izquierda quede atrapada entre los polines por unos 30 segundos, y por el roce con la faja transportadora se originó la quemadura de su mano izquierda"/>
    <s v="MANO "/>
    <m/>
    <m/>
    <x v="2"/>
    <s v="Abril"/>
    <n v="4"/>
    <n v="24"/>
    <m/>
    <n v="24"/>
    <d v="1899-12-30T15:15:00"/>
    <n v="21709"/>
    <m/>
    <x v="22"/>
    <s v="Recepción productos"/>
    <s v="Quemadura"/>
    <m/>
    <s v="Falta de cuidado"/>
    <m/>
    <m/>
  </r>
  <r>
    <m/>
    <s v="DETERGENTES"/>
    <m/>
    <s v="PRODUCCIÓN"/>
    <s v="DET0519 "/>
    <s v="SILVA PALMA MARCO ANTONIO"/>
    <s v="27"/>
    <s v="Personal Alicorp "/>
    <s v="M"/>
    <s v="1ro"/>
    <s v="OBRERO CONTRATADO "/>
    <s v="7 meses"/>
    <d v="2013-04-29T00:00:00"/>
    <s v="Lesión Incapacitante"/>
    <s v="Lesión Incapacitante"/>
    <s v="pisa en falso en la última grada doblandose el tobillo izquierdo y cae en el descanso"/>
    <s v="PIERNA"/>
    <m/>
    <m/>
    <x v="2"/>
    <s v="Abril"/>
    <n v="4"/>
    <n v="10"/>
    <m/>
    <n v="10"/>
    <d v="1899-12-30T14:45:00"/>
    <s v="21236"/>
    <m/>
    <x v="53"/>
    <s v="Trasladandose"/>
    <s v="Golpe"/>
    <s v="Caida"/>
    <s v="Falta de cuidado"/>
    <m/>
    <m/>
  </r>
  <r>
    <m/>
    <s v="MOLINO CALLAO"/>
    <m/>
    <s v="PRODUCCIÓN"/>
    <s v="MCA0530"/>
    <s v="MEJIA POCOMUCHA MIGUEL"/>
    <s v="49"/>
    <s v="Personal Alicorp "/>
    <s v="M"/>
    <s v="2do"/>
    <s v="EMPLEADO ESTABLE"/>
    <s v="15 años"/>
    <d v="2013-05-04T00:00:00"/>
    <s v="Lesión Incapacitante"/>
    <s v="Lesión Incapacitante"/>
    <s v="Atricción dedos índice y medio de la mano izquierda."/>
    <s v="MANO "/>
    <m/>
    <m/>
    <x v="2"/>
    <s v="Mayo"/>
    <n v="4"/>
    <n v="80"/>
    <m/>
    <n v="80"/>
    <d v="1899-12-30T16:00:00"/>
    <s v="2358"/>
    <m/>
    <x v="3"/>
    <s v="Limpiando equipo"/>
    <s v="Atricción"/>
    <m/>
    <s v="Coordinación inadecuada"/>
    <m/>
    <m/>
  </r>
  <r>
    <m/>
    <s v="NUTRICION ANIMAL TRUJILLO "/>
    <m/>
    <s v="PRODUCCIÓN"/>
    <s v="NAT0550"/>
    <s v="COTRINA OCAS SEGUNDO MANUEL"/>
    <s v="44"/>
    <s v="Personal Alicorp "/>
    <s v="M"/>
    <s v="3ro"/>
    <s v="OBRERO ESTABLE"/>
    <s v="16 años"/>
    <d v="2013-05-07T00:00:00"/>
    <s v="Lesión Incapacitante"/>
    <s v="Lesión Incapacitante"/>
    <s v="Golpe hombro izquierdo por caída, dirigirse al vestuario "/>
    <s v="BRAZO/HOMBRO"/>
    <m/>
    <m/>
    <x v="2"/>
    <s v="Mayo"/>
    <n v="4"/>
    <n v="15"/>
    <m/>
    <n v="15"/>
    <d v="1899-12-30T23:30:00"/>
    <s v="3178"/>
    <m/>
    <x v="20"/>
    <s v="Trasladandose"/>
    <s v="Golpe"/>
    <s v="Caida"/>
    <s v="Falta de cuidado"/>
    <m/>
    <m/>
  </r>
  <r>
    <m/>
    <s v="MOLINO FAUCETT"/>
    <m/>
    <s v="PRODUCCIÓN"/>
    <s v="MFA0640"/>
    <s v="RUBINA AVILA RAFAEL ENRIQUE"/>
    <s v="24"/>
    <s v="Personal Alicorp "/>
    <s v="M"/>
    <s v="1ro"/>
    <s v="OBRERO CONTRATADO "/>
    <s v="4 meses"/>
    <d v="2013-05-16T00:00:00"/>
    <s v="Lesión Incapacitante"/>
    <s v="Lesión Incapacitante"/>
    <s v="Paciente indica que al manipular un saco de trigo de aprox. 40 kg se golpea la mano derecha sobre una superficie de madera"/>
    <s v="MANO "/>
    <m/>
    <m/>
    <x v="2"/>
    <s v="Mayo"/>
    <n v="4"/>
    <n v="3"/>
    <m/>
    <n v="3"/>
    <d v="1899-12-30T11:45:00"/>
    <s v="21518"/>
    <m/>
    <x v="21"/>
    <s v="Manipuleo de carga"/>
    <s v="Golpe"/>
    <m/>
    <s v="Falta de cuidado"/>
    <m/>
    <m/>
  </r>
  <r>
    <m/>
    <s v="DETERGENTES"/>
    <m/>
    <s v="PROYECTOS"/>
    <s v="PCO0763"/>
    <s v="-"/>
    <s v="-"/>
    <s v="Personal no Alicorp "/>
    <m/>
    <s v="-"/>
    <s v="TERCERO"/>
    <s v="-"/>
    <d v="2013-05-23T00:00:00"/>
    <s v="Lesión Incapacitante"/>
    <s v="Lesión Incapacitante"/>
    <s v="sostener la plancha por los extremos esta se le resbaló de las manos y le cayó en el pie izquierdo en la zona del empeine"/>
    <s v="PIE"/>
    <m/>
    <m/>
    <x v="2"/>
    <s v="Mayo"/>
    <n v="4"/>
    <n v="2"/>
    <m/>
    <n v="2"/>
    <s v="-"/>
    <m/>
    <m/>
    <x v="42"/>
    <s v="Manipuleo de carga"/>
    <s v="Golpe"/>
    <m/>
    <s v="Falta de cuidado"/>
    <s v="FABTECH "/>
    <m/>
  </r>
  <r>
    <m/>
    <s v="SIDSUR"/>
    <m/>
    <s v="MANTENIMIENTO"/>
    <s v="SID0941"/>
    <s v="FIGUEROA CONDORI ALFREDO AQUILINO"/>
    <s v="58"/>
    <s v="Personal Alicorp "/>
    <s v="M"/>
    <s v="1ro"/>
    <s v="OBRERO ESTABLE"/>
    <s v="37 años"/>
    <d v="2013-05-26T00:00:00"/>
    <s v="Lesión Incapacitante"/>
    <s v="Lesión Incapacitante"/>
    <s v="Contusión de dedo con pinza amperimétrica "/>
    <s v="MANO "/>
    <m/>
    <m/>
    <x v="2"/>
    <s v="Mayo"/>
    <n v="4"/>
    <n v="5"/>
    <m/>
    <n v="5"/>
    <d v="1899-12-30T10:00:00"/>
    <s v="588"/>
    <m/>
    <x v="38"/>
    <s v="Medición de equipo "/>
    <s v="Golpe"/>
    <m/>
    <s v="Identificación inadecuada peligros"/>
    <m/>
    <m/>
  </r>
  <r>
    <m/>
    <s v="MOLINO FAUCETT"/>
    <m/>
    <s v="ADMINISTRACIÓN"/>
    <s v="MFA0873"/>
    <s v="-"/>
    <s v="-"/>
    <s v="Personal no Alicorp "/>
    <m/>
    <s v="-"/>
    <s v="TERCERO"/>
    <s v="-"/>
    <d v="2013-05-29T00:00:00"/>
    <s v="Lesión Incapacitante"/>
    <s v="Lesión Incapacitante"/>
    <s v="acción temeraria pasando por encima del transportador de cadena para realizar la limpieza en un espacio restringido. Al momento de querer salir del área intenta pasar nuevamente sobre el transportador y es en ese momento que se resbala cae al piso."/>
    <s v="PIE"/>
    <m/>
    <m/>
    <x v="2"/>
    <s v="Mayo"/>
    <n v="4"/>
    <n v="28"/>
    <m/>
    <n v="28"/>
    <s v="-"/>
    <m/>
    <m/>
    <x v="54"/>
    <s v="Trasladandose"/>
    <s v="Golpe"/>
    <s v="Caida"/>
    <s v="Inadecuado restricción de area"/>
    <s v="LIMTEK"/>
    <m/>
  </r>
  <r>
    <m/>
    <s v="COPSA"/>
    <m/>
    <s v="PRODUCCIÓN"/>
    <s v="PCO1043"/>
    <s v="GUZMAN ANGLAS MARTIN"/>
    <s v="42"/>
    <s v="Personal Alicorp "/>
    <s v="M"/>
    <s v="3ro"/>
    <s v="OBRERO ESTABLE"/>
    <s v="2 años"/>
    <d v="2013-06-20T00:00:00"/>
    <s v="Lesión Incapacitante"/>
    <s v="Lesión Incapacitante"/>
    <s v="El colaborador se encontraba revisando la operación de corte de las cuchillas en la máquina volpak pues había detectado que algunos doypacks no salían cortados correctamente en su parte inferior, para ello apertura la puerta de la máquina deteniéndose esta y procede a colocar la máquina en manual y utilizar el pulsador con su mano derecha para paso a paso observar a que se debe la falla, mientras tanto utiliza la mano izquierda para retirar los doypacks que le bloqueban la visión, en ese momento (en su intento de retirar el doypack a la vez que acciona el pulsador) el pulgar de su mano izquierda toma contacto con la cuchilla y sufre el corte."/>
    <s v="MANO "/>
    <m/>
    <m/>
    <x v="2"/>
    <s v="Junio"/>
    <n v="4"/>
    <n v="10"/>
    <m/>
    <n v="10"/>
    <d v="1899-12-30T23:50:00"/>
    <n v="10000"/>
    <m/>
    <x v="3"/>
    <s v="Calibrando/Regulando"/>
    <s v="Corte"/>
    <m/>
    <s v="Identificación inadecuada peligros"/>
    <m/>
    <m/>
  </r>
  <r>
    <m/>
    <s v="MOLINCA"/>
    <m/>
    <s v="Producción "/>
    <s v="MOLINO PAITA "/>
    <s v="ZUÑIGA HUANCAYO, JIM PAOL               "/>
    <s v="30"/>
    <s v="Molinca"/>
    <s v="M"/>
    <s v="3ro"/>
    <s v="OBRERO CONTRATADO "/>
    <s v="3 meses"/>
    <d v="2013-06-21T00:00:00"/>
    <s v="Lesión Incapacitante (MOLINCA)"/>
    <s v="Lesión Incapacitante (MOLINCA)"/>
    <s v="Corte en dedo en esclusa "/>
    <s v="MANO "/>
    <m/>
    <m/>
    <x v="2"/>
    <s v="Junio "/>
    <n v="4"/>
    <n v="5"/>
    <m/>
    <n v="5"/>
    <d v="1899-12-30T23:05:00"/>
    <m/>
    <m/>
    <x v="55"/>
    <s v="Limpiando equipo"/>
    <s v="Corte"/>
    <m/>
    <s v="Limpieza con equipo en movimiento"/>
    <m/>
    <m/>
  </r>
  <r>
    <m/>
    <s v="COPSA"/>
    <m/>
    <s v="PRODUCCIÓN"/>
    <s v="PCO1123"/>
    <s v="LOPEZ PANAYFO CARLOS HUMBERTO"/>
    <s v="46"/>
    <s v="Personal Alicorp "/>
    <s v="M"/>
    <s v="1ro"/>
    <s v="OBRERO ESTABLE"/>
    <s v="8 años"/>
    <d v="2013-06-21T00:00:00"/>
    <s v="Lesión Incapacitante"/>
    <s v="Lesión Incapacitante"/>
    <s v="Refiere que hace 5 minutos aproximadamente, se encontraba manipulando una máquina selladora de bolsa, la cual ejerció presión sobre el dedo generando un corte +- 3cm con sangrado activo en 1er dedo de mano derecha.  _x000a__x000a_"/>
    <s v="MANO "/>
    <m/>
    <m/>
    <x v="2"/>
    <s v="Junio"/>
    <n v="4"/>
    <n v="3"/>
    <m/>
    <n v="3"/>
    <d v="1899-12-30T09:20:00"/>
    <n v="12604"/>
    <m/>
    <x v="3"/>
    <s v="Calibrando/Regulando"/>
    <s v="Corte"/>
    <m/>
    <s v="Falta de barreras protectoras"/>
    <m/>
    <m/>
  </r>
  <r>
    <m/>
    <s v="SIDSUR"/>
    <m/>
    <s v="PRODUCCIÓN"/>
    <s v="SID1087"/>
    <s v="MANRIQUE QUISPE EDWARD CRISTHOPHER"/>
    <s v="30"/>
    <s v="Personal Alicorp "/>
    <s v="M"/>
    <s v="1ro"/>
    <s v="OBRERO CONTRATADO"/>
    <s v="8 dias"/>
    <d v="2013-06-24T00:00:00"/>
    <s v="Lesión Incapacitante"/>
    <s v="Lesión Incapacitante"/>
    <s v="En momentos que el Sr Manrique Quispe Edward se encontraba realizando el paletizado de sacos de harina , uno de estos sacos se desplaza provocando que el Sr Manrique caiga al piso desde una altura aproximada de 1 m . Ocasionándole un esguince en la muñeca de la mano derecha. Se comunica vía RPM a garita de vigilancia el Sr. ARANIBAR LOAYZA SAUL CLODOALDO Coordinador del Molino indicando que solicite la presencia de la ambulancia Rescate 11-11 para la atención al Sr. MANRIQUE QUISPE EDWARD CRISTHOPHER. quien acompañado por el Gestor de RRHH, es trasladado a la Clínica San Juan de Dios, donde se le toma placas sin encontrar señales de fisura o fractura. Por precaución, el médico tratante dispone un descanso de 3 días."/>
    <s v="MANO "/>
    <m/>
    <m/>
    <x v="2"/>
    <s v="Junio"/>
    <n v="4"/>
    <n v="3"/>
    <m/>
    <n v="3"/>
    <d v="1899-12-30T08:40:00"/>
    <n v="22096"/>
    <m/>
    <x v="21"/>
    <s v="Manipuleo de Carga "/>
    <s v="Esguince"/>
    <m/>
    <s v="Levantamiento inadecuado "/>
    <m/>
    <m/>
  </r>
  <r>
    <m/>
    <s v="NUTRICION ANIMAL TRUJILLO "/>
    <m/>
    <s v="DISTRIBUCIÓN"/>
    <s v="NAT1113"/>
    <s v="-"/>
    <s v="-"/>
    <s v="Personal no Alicorp "/>
    <m/>
    <s v="-"/>
    <s v="TERCERO"/>
    <s v="-"/>
    <d v="2013-06-28T00:00:00"/>
    <s v="Lesión Incapacitante"/>
    <s v="Lesión Incapacitante"/>
    <s v="El Sr. Valverde se encontraba limpiando los sacos encima del andamio y perdió el equilibrio golpeándose y golpeando a su compañero Miranda que se encontraba al pie."/>
    <s v="CUERPO"/>
    <m/>
    <m/>
    <x v="2"/>
    <s v="Junio"/>
    <n v="4"/>
    <n v="15"/>
    <m/>
    <n v="15"/>
    <s v="-"/>
    <m/>
    <m/>
    <x v="7"/>
    <s v="Limpiando instalaciones"/>
    <s v="Golpe"/>
    <m/>
    <s v="Perdida del equilibrio "/>
    <s v="LIMTEK"/>
    <m/>
  </r>
  <r>
    <m/>
    <s v="INSTANTANEOS"/>
    <m/>
    <s v="PRODUCCIÓN"/>
    <s v="BRÑ1116"/>
    <s v="Andrea Lopez La Torre"/>
    <n v="30"/>
    <s v="Personal Alicorp"/>
    <s v="F"/>
    <s v="1ro"/>
    <s v="OBRERO CONTRATADO"/>
    <s v="1año 3 mese"/>
    <d v="2013-07-02T12:00:00"/>
    <s v="Lesión Incapacitante"/>
    <s v="Lesión Incapacitante"/>
    <s v="forzara el llevarselo con la mano izquierda y por la inercia de éste movimiento su dedo índice de la mano izquierda terminó siendo golpeado por el portabolsa contra la mesa de empaquetado, "/>
    <s v="MANO "/>
    <m/>
    <m/>
    <x v="2"/>
    <s v="Julio "/>
    <n v="3"/>
    <n v="5"/>
    <m/>
    <n v="5"/>
    <d v="1899-12-30T12:00:00"/>
    <n v="19806"/>
    <m/>
    <x v="40"/>
    <s v="Forcejeo"/>
    <s v="Golpe"/>
    <m/>
    <s v="Falta de cuidado "/>
    <m/>
    <m/>
  </r>
  <r>
    <m/>
    <s v="SIDSUR"/>
    <m/>
    <s v="PRODUCCIÓN"/>
    <s v="SID1647"/>
    <s v="Piñarreta Zúñiga Juan Eduardo"/>
    <m/>
    <s v="Personal Alicorp "/>
    <s v="M"/>
    <s v="1ro"/>
    <m/>
    <m/>
    <d v="2013-07-07T00:00:00"/>
    <s v="Lesión Incapacitante"/>
    <s v="Lesión Incapacitante"/>
    <s v="Atricción del dedo índice de la mano derecha "/>
    <s v="MANO "/>
    <m/>
    <m/>
    <x v="2"/>
    <s v="Septiembre"/>
    <m/>
    <n v="6"/>
    <m/>
    <n v="6"/>
    <d v="1899-12-30T08:45:00"/>
    <n v="17868"/>
    <m/>
    <x v="40"/>
    <s v="Otros"/>
    <s v="Atricción"/>
    <m/>
    <s v="prisa "/>
    <m/>
    <m/>
  </r>
  <r>
    <m/>
    <s v="GALLETERA LIMA"/>
    <m/>
    <s v="RELACIONES LABORALES"/>
    <s v="PGL1273"/>
    <m/>
    <m/>
    <s v="Personal no Alicorp "/>
    <m/>
    <m/>
    <s v="TERCERO"/>
    <m/>
    <d v="2013-07-08T13:35:00"/>
    <s v="Lesión Incapacitante"/>
    <s v="Lesión Incapacitante"/>
    <s v=" trata de tomar el plato y es cuando se resbala, cayendo así sobre su brazo derecho. Lesión : Esguince en el hombro derecho"/>
    <s v="BRAZO/HOMBRO"/>
    <m/>
    <m/>
    <x v="2"/>
    <s v="Julio "/>
    <n v="2"/>
    <n v="30"/>
    <m/>
    <n v="30"/>
    <m/>
    <m/>
    <m/>
    <x v="20"/>
    <s v="Atención en el comedor "/>
    <s v="Esguince"/>
    <m/>
    <s v="Falta de cuidado "/>
    <s v="Regis"/>
    <m/>
  </r>
  <r>
    <m/>
    <s v="DETERGENTES"/>
    <m/>
    <s v="PROYECTOS"/>
    <s v="PCO1237"/>
    <m/>
    <m/>
    <s v="Personal no Alicorp "/>
    <m/>
    <m/>
    <s v="TERCERO"/>
    <m/>
    <d v="2013-07-09T12:00:00"/>
    <s v="Lesión Incapacitante"/>
    <s v="Lesión Incapacitante"/>
    <s v="El evento ocurre mientras el Sr. JOSE CAMPOS CHIROQUE de la empresa FABTECH se encontraba maniobrando un anillo con un tecle y sogas, en el instante que una de las sogas se solto por uno de los extremos la tuberia bajo de nivel, hasta el nivel donde se encontraba el trabajador de la empresa FABTECH, trayendo como consecuencia una contusion en la cadera del trabajador."/>
    <s v="CUERPO"/>
    <m/>
    <m/>
    <x v="2"/>
    <s v="Julio "/>
    <n v="3"/>
    <n v="1"/>
    <m/>
    <n v="1"/>
    <m/>
    <m/>
    <m/>
    <x v="56"/>
    <s v="Maniobras de equipos"/>
    <s v="Golpe"/>
    <m/>
    <s v="Coordinación inadecuada"/>
    <s v="FabTech"/>
    <m/>
  </r>
  <r>
    <m/>
    <s v="INSTANTANEOS"/>
    <m/>
    <s v="ADMINISTRACIÓN"/>
    <s v="BRÑ1285"/>
    <m/>
    <m/>
    <s v="Personal no Alicorp "/>
    <m/>
    <m/>
    <s v="TERCERO"/>
    <m/>
    <d v="2013-07-10T11:00:00"/>
    <s v="Lesión Incapacitante"/>
    <s v="Lesión Incapacitante"/>
    <s v="Irritación de ojos . Al estar lavando la ducha con la mezcla de éstos, le salpicó en los ojos, en ese momento procedió a lavarse con abundante agua. "/>
    <s v="CABEZA"/>
    <m/>
    <m/>
    <x v="2"/>
    <s v="Julio "/>
    <n v="4"/>
    <n v="3"/>
    <m/>
    <n v="3"/>
    <m/>
    <m/>
    <m/>
    <x v="19"/>
    <s v="Limpiando instalaciones"/>
    <s v="Contacto sustancia Quimica"/>
    <m/>
    <s v="Identificación inadecuada peligros"/>
    <s v="Limtek"/>
    <m/>
  </r>
  <r>
    <m/>
    <s v="COPSA"/>
    <m/>
    <s v="PRODUCCIÓN"/>
    <s v="PCO1201"/>
    <s v="Jose Jorge Huacal Sanchez "/>
    <n v="20"/>
    <s v="Personal Alicorp"/>
    <s v="M"/>
    <s v="2do"/>
    <s v="CAPAC.LAB.JUVENIL"/>
    <s v="6 meses"/>
    <d v="2013-07-10T21:00:00"/>
    <s v="Lesión Incapacitante"/>
    <s v="Lesión Incapacitante"/>
    <s v="Girando una ruma de latas el dedo anular de la mano izquierda tiene contacto con el filo cortante de la boca de la lata (orificio de llenado) ocacionandole un corte de un cm de largo en la yema del dedo. "/>
    <s v="MANO "/>
    <m/>
    <m/>
    <x v="2"/>
    <s v="Julio "/>
    <n v="4"/>
    <n v="3"/>
    <m/>
    <n v="3"/>
    <d v="1899-12-30T21:00:00"/>
    <n v="21434"/>
    <m/>
    <x v="57"/>
    <s v="Contacto con lata"/>
    <s v="Corte"/>
    <m/>
    <s v="Falta de cuidado "/>
    <m/>
    <m/>
  </r>
  <r>
    <m/>
    <s v="GALLETERA LIMA"/>
    <m/>
    <s v="PRODUCCIÓN"/>
    <s v="PGL1206"/>
    <s v="Haydee Avedaño Galindo"/>
    <n v="40"/>
    <s v="Personal Alicorp"/>
    <s v="F"/>
    <s v="1ro"/>
    <s v="OBRERO ESTABLE"/>
    <s v="10 años"/>
    <d v="2013-07-11T14:20:00"/>
    <s v="Lesión Incapacitante"/>
    <s v="Lesión Incapacitante"/>
    <s v="se encontraba sacando restos de wafer que se encontraba en el “empujador” que los lleva hacia la envasadora Easy Run,pero NO paró la envasadora a través de la botonera,sino que lo hizo sin este bloqueo y en esas circunstancias es que el “empujador” se activa y ella saca su mano y se corta el cuarto dedo de la mano derecha con los filos de la cadena transmisora,que ya estaba en movimiento. Al examen Físico, se encuentra una herida horizontal en tercio medio del 4° dedo (articulación interfalángica proximal) de la mano derecha, en la cual se evidencia la presencia del tendón flexor. "/>
    <s v="MANO "/>
    <m/>
    <m/>
    <x v="2"/>
    <s v="Julio "/>
    <n v="5"/>
    <n v="95"/>
    <m/>
    <n v="95"/>
    <d v="1899-12-30T14:20:00"/>
    <n v="10648"/>
    <m/>
    <x v="3"/>
    <s v="Limpiando equipo"/>
    <s v="Corte"/>
    <m/>
    <s v="No seguir procedimiento"/>
    <m/>
    <m/>
  </r>
  <r>
    <m/>
    <s v="GALLETERA LIMA"/>
    <m/>
    <s v="PRODUCCIÓN"/>
    <s v="PGL1332"/>
    <s v="Estefany Rodriguez"/>
    <n v="22"/>
    <s v="Personal Alicorp"/>
    <s v="F"/>
    <s v="1ro"/>
    <s v="CAPAC.LAB.JUVENIL"/>
    <s v="1 mes "/>
    <d v="2013-07-15T13:30:00"/>
    <s v="Lesión Incapacitante"/>
    <s v="Lesión Incapacitante"/>
    <s v="Se tropezo al enredarse el pie con el Stretch Film que se encontraba en el suelo proveniente del pallet donde retiraban las cajas , esto causó que se doblara el pie izquierdo dando como resultado un esguince de segundo grado en el tobillo."/>
    <s v="PIE"/>
    <m/>
    <m/>
    <x v="2"/>
    <s v="Julio "/>
    <n v="2"/>
    <n v="15"/>
    <m/>
    <n v="15"/>
    <d v="1899-12-30T13:30:00"/>
    <n v="22013"/>
    <m/>
    <x v="58"/>
    <s v="Retiro de cajas de pallet"/>
    <s v="Esguince"/>
    <m/>
    <s v="Diseño inadecuado puesto trabajo"/>
    <m/>
    <m/>
  </r>
  <r>
    <m/>
    <s v="COPSA"/>
    <m/>
    <s v="PRODUCCIÓN"/>
    <s v="PCO1243"/>
    <s v="Ronald Mauricio Ochoa"/>
    <n v="34"/>
    <s v="Personal Alicorp"/>
    <s v="M"/>
    <s v="2do"/>
    <s v="OBRERO ESTABLE"/>
    <s v="8 años"/>
    <d v="2013-07-15T16:00:00"/>
    <s v="Lesión Incapacitante"/>
    <s v="Lesión Incapacitante"/>
    <s v="EL Sr. Ochoa ayduante SCN Jaboneria, al tratar de abriri una valvula en la zona de tanque de condensos, rebala e introduce el pie derecho en un buzon de drenaje con agua caliente. Lo cual le produce quemaduras de 2do grado."/>
    <s v="PIE"/>
    <m/>
    <m/>
    <x v="2"/>
    <s v="Julio "/>
    <n v="2"/>
    <n v="45"/>
    <m/>
    <n v="45"/>
    <d v="1899-12-30T16:00:00"/>
    <n v="10057"/>
    <m/>
    <x v="59"/>
    <s v="Mantenimiento"/>
    <s v="Golpe"/>
    <s v="Caida"/>
    <s v="Identificación inadecuada peligros"/>
    <m/>
    <m/>
  </r>
  <r>
    <m/>
    <s v="COPSA"/>
    <m/>
    <s v="OTROS"/>
    <s v="PCO2433"/>
    <m/>
    <m/>
    <s v="Personal No Alicorp "/>
    <m/>
    <m/>
    <s v="TERCERO"/>
    <m/>
    <d v="2013-07-18T00:00:00"/>
    <s v="Lesión Incapacitante"/>
    <s v="Lesión Incapacitante"/>
    <s v="apertura del contenedor de Aceite Girasol de importación, el bolsón que contenía las 22 toneladas del producto (sin jaula de contención solo con reja de contención) se rompe y origina la apertura brusca de la puerta, golpeando al chofer y afectando a 2 trabajadores del Área de Refinerías COPSA, e inundando la Calle Refinerías"/>
    <s v="CUERPO"/>
    <m/>
    <m/>
    <x v="2"/>
    <s v="Julio "/>
    <n v="5"/>
    <n v="2"/>
    <m/>
    <n v="2"/>
    <m/>
    <m/>
    <m/>
    <x v="60"/>
    <s v="Recepción productos"/>
    <s v="Golpe"/>
    <m/>
    <s v="Falta de cuidado "/>
    <m/>
    <m/>
  </r>
  <r>
    <m/>
    <s v="COPSA"/>
    <m/>
    <s v="OTROS"/>
    <s v="PCO2433"/>
    <s v="Armando Peña "/>
    <n v="48"/>
    <s v="Personal Alicorp "/>
    <s v="M"/>
    <s v="1ro"/>
    <s v="EMPLEADO ESTABLE "/>
    <s v="19 años "/>
    <d v="2013-07-18T00:00:00"/>
    <s v="Lesión Incapacitante"/>
    <s v="Lesión Incapacitante"/>
    <s v="apertura del contenedor de Aceite Girasol de importación, el bolsón que contenía las 22 toneladas del producto (sin jaula de contención solo con reja de contención) se rompe y origina la apertura brusca de la puerta, golpeando al chofer y afectando a 2 trabajadores del Área de Refinerías COPSA, e inundando la Calle Refinerías"/>
    <s v="PIERNA"/>
    <m/>
    <m/>
    <x v="2"/>
    <s v="Julio "/>
    <n v="5"/>
    <n v="2"/>
    <m/>
    <n v="2"/>
    <d v="1899-12-30T09:15:00"/>
    <n v="1561"/>
    <m/>
    <x v="60"/>
    <s v="Recepción productos"/>
    <s v="Golpe"/>
    <m/>
    <s v="Falta de cuidado "/>
    <m/>
    <m/>
  </r>
  <r>
    <m/>
    <s v="NUTRICION ANIMAL TRUJILLO "/>
    <m/>
    <s v="DISTRIBUCIÓN"/>
    <s v="NAT1337"/>
    <m/>
    <m/>
    <s v="Personal No Alicorp "/>
    <m/>
    <m/>
    <s v="TERCERO"/>
    <m/>
    <d v="2013-07-27T11:30:00"/>
    <s v="Lesión Incapacitante"/>
    <s v="Lesión Incapacitante"/>
    <s v="El personal ISELSA Santos Bedon, Rafael; se presiono el dedo al querer sacar los palos de la carreta, el cual le produzco un corte de 1 cm en el dedo."/>
    <s v="MANO "/>
    <m/>
    <m/>
    <x v="2"/>
    <s v="Julio "/>
    <n v="7"/>
    <n v="3"/>
    <m/>
    <n v="3"/>
    <m/>
    <m/>
    <m/>
    <x v="14"/>
    <s v="carga/descarga de camión"/>
    <s v="Atricción"/>
    <m/>
    <s v="Falta de cuidado "/>
    <s v="Iselsa"/>
    <m/>
  </r>
  <r>
    <m/>
    <s v="COPSA"/>
    <m/>
    <s v="PRODUCCIÓN"/>
    <s v="NNA1382"/>
    <s v="CHAFLOQUE AYASTA PEDRO HUGO"/>
    <n v="44"/>
    <s v="Personal Alicorp "/>
    <s v="M"/>
    <s v="1ro"/>
    <s v="OBRERO ESTABLE"/>
    <s v="6 años "/>
    <d v="2013-08-02T00:00:00"/>
    <s v="Lesión Incapacitante"/>
    <s v="Lesión Incapacitante"/>
    <s v="alineando pequeños contenedores con OXIPET POLVO cuando quiso estibar el contenido en polvo cuando repentinamente una porción “saltó” a su ojo izquierdo. "/>
    <s v="OJO"/>
    <m/>
    <m/>
    <x v="2"/>
    <s v="Agosto "/>
    <n v="6"/>
    <n v="3"/>
    <m/>
    <n v="3"/>
    <d v="1899-12-30T14:07:00"/>
    <n v="12089"/>
    <m/>
    <x v="19"/>
    <s v="Acomodo "/>
    <s v="Contacto sustancia Quimica"/>
    <m/>
    <s v="Identificación inadecuada peligros"/>
    <m/>
    <m/>
  </r>
  <r>
    <m/>
    <s v="MOLINO FAUCETT"/>
    <m/>
    <s v="PRODUCCIÓN"/>
    <s v="MFA1461"/>
    <s v="MIO VILLEGAS HECTOR IVAN"/>
    <n v="23"/>
    <s v="Personal Alicorp "/>
    <s v="M"/>
    <s v="3er "/>
    <s v="OBRERO CONTRATADO"/>
    <s v="1año 5 meses"/>
    <d v="2013-08-15T00:00:00"/>
    <s v="Lesión Incapacitante"/>
    <s v="Lesión Incapacitante"/>
    <s v="Contusión codo brazo izquierdo  desatar el hilo que se usa para coser  los sacos de pre mezcla, resbala y cae al piso "/>
    <s v="BRAZO/HOMBRO"/>
    <m/>
    <m/>
    <x v="2"/>
    <s v="Agosto "/>
    <m/>
    <n v="2"/>
    <m/>
    <n v="2"/>
    <d v="1899-12-30T01:15:00"/>
    <n v="19880"/>
    <m/>
    <x v="3"/>
    <s v="Desatar hilo "/>
    <s v="Golpe"/>
    <s v="Caida"/>
    <s v="Falta de cuidado "/>
    <m/>
    <m/>
  </r>
  <r>
    <m/>
    <s v="COPSA"/>
    <m/>
    <s v="ALMACEN DE INSUMOS "/>
    <s v="PCO1589"/>
    <m/>
    <m/>
    <s v="Personal no Alicorp "/>
    <m/>
    <m/>
    <s v="TERCERO"/>
    <m/>
    <d v="2013-08-29T00:00:00"/>
    <s v="Lesión Incapacitante"/>
    <s v="Lesión Incapacitante"/>
    <s v="Salpicadura de Ácido Sulfúrico Rostro y Cuello (Lado derecho)"/>
    <s v="CABEZA"/>
    <m/>
    <m/>
    <x v="2"/>
    <s v="Agosto "/>
    <m/>
    <n v="10"/>
    <m/>
    <n v="10"/>
    <m/>
    <m/>
    <m/>
    <x v="19"/>
    <s v="Medición de Tanque "/>
    <s v="Contacto sustancia Quimica"/>
    <m/>
    <s v="Coordinación inadecuada"/>
    <s v="Empresa Transporte Enrique Cárcamo Granda SAC"/>
    <m/>
  </r>
  <r>
    <m/>
    <s v="GALLETERA LIMA"/>
    <m/>
    <s v="PRODUCCIÓN"/>
    <s v="PGL1659"/>
    <s v="Josselyne Perez Fajardo"/>
    <n v="19"/>
    <s v="Personal Alicorp "/>
    <s v="F"/>
    <s v="2do"/>
    <s v="CAPAC.LAB.JUVENIL"/>
    <s v="13 meses"/>
    <d v="2013-09-09T00:00:00"/>
    <s v="Lesión Incapacitante"/>
    <s v="Lesión Incapacitante"/>
    <s v="Corte en dedo Pulgar de Mano "/>
    <s v="MANO "/>
    <m/>
    <m/>
    <x v="2"/>
    <s v="Septiembre"/>
    <m/>
    <n v="3"/>
    <m/>
    <n v="3"/>
    <d v="1899-12-30T21:31:00"/>
    <n v="22584"/>
    <m/>
    <x v="17"/>
    <s v="Durante operación productiva"/>
    <s v="Corte"/>
    <m/>
    <s v="condicion sub-estandar "/>
    <m/>
    <m/>
  </r>
  <r>
    <m/>
    <s v="FIDEERIA LIMA"/>
    <m/>
    <s v="PRODUCCIÓN"/>
    <s v="PFL2499"/>
    <s v="Ivan Rugel"/>
    <m/>
    <s v="Personal Alicorp "/>
    <m/>
    <m/>
    <s v="OBRERO ESTABLE"/>
    <m/>
    <d v="2013-09-15T00:00:00"/>
    <s v="Lesión Incapacitante"/>
    <s v="Lesión Incapacitante"/>
    <s v="Material extraño al ojo "/>
    <s v="OJO"/>
    <m/>
    <m/>
    <x v="2"/>
    <s v="Septiembre"/>
    <m/>
    <n v="2"/>
    <m/>
    <n v="2"/>
    <m/>
    <m/>
    <m/>
    <x v="40"/>
    <s v="Trasladandose"/>
    <s v="PICADURA"/>
    <m/>
    <s v="condicion sub-estandar "/>
    <m/>
    <m/>
  </r>
  <r>
    <m/>
    <s v="FIDEERIA LIMA"/>
    <m/>
    <s v="PRODUCCIÓN"/>
    <s v="PFL 1738"/>
    <m/>
    <m/>
    <s v="Personal Alicorp "/>
    <m/>
    <m/>
    <m/>
    <m/>
    <d v="2013-09-20T00:00:00"/>
    <s v="Lesión Incapacitante"/>
    <s v="Lesión Incapacitante"/>
    <s v="Herida cortante en la frente"/>
    <s v="CABEZA"/>
    <m/>
    <m/>
    <x v="2"/>
    <s v="Septiembre"/>
    <m/>
    <n v="3"/>
    <m/>
    <n v="3"/>
    <m/>
    <m/>
    <m/>
    <x v="38"/>
    <s v="Mantenimiento"/>
    <s v="Golpe"/>
    <m/>
    <s v="uso de equipo inadecuado"/>
    <m/>
    <m/>
  </r>
  <r>
    <m/>
    <s v="SIDSUR"/>
    <m/>
    <s v="MANTENIMIENTO"/>
    <s v="SID1740"/>
    <s v="JESUS VILCA GUTIERREZ"/>
    <m/>
    <s v="Personal Alicorp "/>
    <s v="M"/>
    <s v="1ro"/>
    <s v="OBRERO ESTABLE"/>
    <s v="30 AÑOS"/>
    <d v="2013-09-22T00:00:00"/>
    <s v="Lesión Incapacitante"/>
    <s v="Lesión Incapacitante"/>
    <s v="Contusión en la cabeza y quemaduras eléctricas externas de segundo grado"/>
    <s v="CUERPO"/>
    <m/>
    <m/>
    <x v="2"/>
    <s v="Septiembre"/>
    <m/>
    <n v="60"/>
    <m/>
    <n v="60"/>
    <d v="1899-12-30T14:30:00"/>
    <m/>
    <m/>
    <x v="49"/>
    <s v="Mantenimiento"/>
    <s v="Quemadura"/>
    <m/>
    <s v="mal juicio"/>
    <m/>
    <m/>
  </r>
  <r>
    <m/>
    <s v="CDC"/>
    <m/>
    <s v="DISTRIBUCIÓN"/>
    <s v="DIS1743"/>
    <m/>
    <m/>
    <s v="Personal no Alicorp "/>
    <m/>
    <m/>
    <s v="TERCERO"/>
    <m/>
    <d v="2013-09-23T00:00:00"/>
    <s v="Lesión Incapacitante"/>
    <s v="Lesión Incapacitante"/>
    <s v="Golpe en mano izquierda con puerta furgoneta"/>
    <s v="MANO "/>
    <m/>
    <m/>
    <x v="2"/>
    <s v="Septiembre"/>
    <m/>
    <n v="2"/>
    <m/>
    <n v="2"/>
    <m/>
    <m/>
    <m/>
    <x v="14"/>
    <s v="carga/descarga de camión"/>
    <s v="Golpe"/>
    <m/>
    <s v="Incumplimiento del plan de mantenimiento"/>
    <s v="CR SERVICE"/>
    <m/>
  </r>
  <r>
    <m/>
    <s v="OTROS"/>
    <m/>
    <s v="Seguridad Ind."/>
    <m/>
    <s v="erickson Yaser Guerrero"/>
    <n v="24"/>
    <s v="Personal Alicorp "/>
    <s v="M"/>
    <s v="1ro"/>
    <s v="OBRERO CONTRATADO"/>
    <m/>
    <d v="2013-09-30T00:00:00"/>
    <s v="Lesión Incapacitante"/>
    <s v="Lesión Incapacitante"/>
    <s v="Esguince de 4to dedo de la mano derecha manipulando extintor"/>
    <s v="MANO "/>
    <m/>
    <m/>
    <x v="2"/>
    <s v="Septiembre"/>
    <m/>
    <n v="13"/>
    <m/>
    <n v="13"/>
    <m/>
    <n v="19756"/>
    <m/>
    <x v="61"/>
    <s v="Inspeccionando"/>
    <s v="Golpe"/>
    <m/>
    <s v="mal juicio"/>
    <m/>
    <m/>
  </r>
  <r>
    <m/>
    <s v="MOLINCA"/>
    <m/>
    <s v="Producción "/>
    <m/>
    <s v="Víctor Noé Rodríguez Aguilar"/>
    <m/>
    <s v="Molinca"/>
    <s v="M"/>
    <s v="1ro"/>
    <s v="OBRERO CONTRATADO"/>
    <s v="7 meses"/>
    <d v="2013-10-08T00:00:00"/>
    <s v="Lesión Incapacitante (MOLINCA)"/>
    <s v="Lesión Incapacitante (MOLINCA)"/>
    <s v="atrapamiento de la mano en polin y linea transportadora"/>
    <s v="MANO "/>
    <m/>
    <m/>
    <x v="2"/>
    <s v="Octubre"/>
    <m/>
    <n v="60"/>
    <m/>
    <n v="60"/>
    <d v="1899-12-30T07:20:00"/>
    <m/>
    <m/>
    <x v="22"/>
    <s v="Durante operación productiva"/>
    <s v="Atricción"/>
    <m/>
    <m/>
    <m/>
    <m/>
  </r>
  <r>
    <m/>
    <s v="NUTRICION ANIMAL TRUJILLO "/>
    <m/>
    <s v="DISTRIBUCIÓN"/>
    <s v="NAT1906"/>
    <m/>
    <m/>
    <s v="Personal no Alicorp "/>
    <m/>
    <m/>
    <s v="TERCERO"/>
    <m/>
    <d v="2013-10-15T00:00:00"/>
    <s v="Lesión Incapacitante"/>
    <s v="Lesión Incapacitante"/>
    <s v="corte con amoladora de 7 pulgadas"/>
    <s v="BRAZO/HOMBRO"/>
    <m/>
    <m/>
    <x v="2"/>
    <s v="Octubre"/>
    <m/>
    <n v="30"/>
    <m/>
    <n v="30"/>
    <m/>
    <m/>
    <m/>
    <x v="38"/>
    <s v="Mantenimiento"/>
    <s v="Corte"/>
    <m/>
    <s v="falta de pericia por parte del trabajador"/>
    <s v="CASOLI"/>
    <m/>
  </r>
  <r>
    <m/>
    <s v="NUTRICION ANIMAL TRUJILLO "/>
    <m/>
    <s v="PRODUCCIÓN"/>
    <s v=" NAT1932"/>
    <s v="Jose Rafael Leyva"/>
    <m/>
    <s v="Personal Alicorp "/>
    <s v="M"/>
    <s v="2do"/>
    <s v="OBRERO ESTABLE"/>
    <s v="8 años"/>
    <d v="2013-10-20T00:00:00"/>
    <s v="Lesión Incapacitante"/>
    <s v="Lesión Incapacitante"/>
    <s v="esguince rodilla izquierda, ruptura de menisco "/>
    <s v="PIERNA"/>
    <m/>
    <m/>
    <x v="2"/>
    <s v="Octubre"/>
    <m/>
    <n v="15"/>
    <m/>
    <n v="15"/>
    <d v="1899-12-30T16:45:00"/>
    <m/>
    <m/>
    <x v="20"/>
    <s v="Trasladandose"/>
    <s v="Golpe"/>
    <s v="Caida"/>
    <s v="Falta de señalización "/>
    <m/>
    <m/>
  </r>
  <r>
    <m/>
    <s v="FIDEERIA LIMA"/>
    <m/>
    <s v="RELACIONES LABORALES"/>
    <s v="####"/>
    <m/>
    <m/>
    <s v="Personal no Alicorp "/>
    <m/>
    <m/>
    <s v="TERCERO"/>
    <m/>
    <d v="2013-11-01T00:00:00"/>
    <s v="Lesión Incapacitante"/>
    <s v="Lesión Incapacitante"/>
    <s v="corte del 3er y 4to dedo "/>
    <s v="MANO "/>
    <m/>
    <m/>
    <x v="2"/>
    <s v="Noviembre"/>
    <m/>
    <n v="2"/>
    <m/>
    <n v="2"/>
    <m/>
    <m/>
    <m/>
    <x v="6"/>
    <s v="Cocinando"/>
    <s v="Corte"/>
    <m/>
    <s v="Falta de cuidado "/>
    <s v="FLORIMAR"/>
    <m/>
  </r>
  <r>
    <m/>
    <s v="FIDEERIA LIMA"/>
    <m/>
    <s v="PROYECTOS"/>
    <s v="PFL2074"/>
    <m/>
    <m/>
    <s v="Personal no Alicorp "/>
    <m/>
    <m/>
    <s v="TERCERO"/>
    <m/>
    <d v="2013-11-08T00:00:00"/>
    <s v="Lesión Incapacitante"/>
    <s v="Lesión Incapacitante"/>
    <s v="clavo en el pie"/>
    <s v="PIE"/>
    <m/>
    <m/>
    <x v="2"/>
    <s v="Noviembre"/>
    <m/>
    <n v="1"/>
    <m/>
    <n v="1"/>
    <m/>
    <m/>
    <m/>
    <x v="62"/>
    <s v="Trasladandose"/>
    <s v="Punzada"/>
    <m/>
    <s v="Falta orden y limpieza"/>
    <s v="MMG"/>
    <m/>
  </r>
  <r>
    <m/>
    <s v="MOLINO FAUCETT"/>
    <m/>
    <s v="PRODUCCIÓN"/>
    <s v="MFA 2185"/>
    <s v="Angel Quispe Pedraza"/>
    <n v="32"/>
    <s v="Personal Alicorp "/>
    <s v="M"/>
    <s v="3ro"/>
    <s v="OBRERO ESTABLE"/>
    <s v="7 años"/>
    <d v="2013-11-20T00:00:00"/>
    <s v="Lesión Incapacitante"/>
    <s v="Lesión Incapacitante"/>
    <s v="Atricción del tercer dedo de la mano derecha  en linea de fraccionados"/>
    <s v="MANO "/>
    <m/>
    <m/>
    <x v="2"/>
    <s v="Noviembre"/>
    <m/>
    <n v="27"/>
    <m/>
    <n v="27"/>
    <d v="1899-12-30T04:40:00"/>
    <n v="16529"/>
    <m/>
    <x v="3"/>
    <s v="Durante operación productiva"/>
    <s v="Atricción"/>
    <m/>
    <s v="mal juicio"/>
    <m/>
    <m/>
  </r>
  <r>
    <m/>
    <s v="DISTRIBUCION"/>
    <m/>
    <s v="ADMINISTRACIÓN"/>
    <s v="ADM2343"/>
    <m/>
    <m/>
    <s v="Personal no Alicorp "/>
    <m/>
    <m/>
    <s v="TERCERO"/>
    <m/>
    <d v="2013-11-25T00:00:00"/>
    <s v="Lesión Incapacitante"/>
    <s v="Lesión Incapacitante"/>
    <s v="Contusion en falange proximal 5to dedo derecho, a descartar fractura al resbalar en vestuarios CDC"/>
    <s v="MANO "/>
    <m/>
    <m/>
    <x v="2"/>
    <s v="Noviembre"/>
    <m/>
    <n v="10"/>
    <m/>
    <n v="10"/>
    <m/>
    <m/>
    <m/>
    <x v="20"/>
    <s v="Trasladandose"/>
    <s v="Golpe"/>
    <s v="Caida"/>
    <s v="No seguir procedimiento"/>
    <s v="LIMTEK"/>
    <m/>
  </r>
  <r>
    <m/>
    <s v="COPSA"/>
    <m/>
    <s v="PROYECTOS"/>
    <s v="PCO2298"/>
    <m/>
    <m/>
    <s v="TERCERO"/>
    <m/>
    <m/>
    <s v="TERCERO"/>
    <m/>
    <d v="2013-11-26T00:00:00"/>
    <s v="Lesión Incapacitante"/>
    <s v="Lesión Incapacitante"/>
    <s v="caida de 6 metros por orificio en piso tapado con madera"/>
    <s v="CUERPO"/>
    <m/>
    <m/>
    <x v="2"/>
    <s v="Noviembre"/>
    <m/>
    <n v="60"/>
    <m/>
    <n v="60"/>
    <m/>
    <m/>
    <m/>
    <x v="63"/>
    <s v="Mantenimiento"/>
    <s v="Golpe"/>
    <s v="Caida"/>
    <s v="falta de pericia por parte del trabajador"/>
    <s v="DMD"/>
    <s v="X"/>
  </r>
  <r>
    <m/>
    <s v="SIDSUR"/>
    <m/>
    <s v="PRODUCCIÓN"/>
    <s v="SID2213"/>
    <s v="Serapio Felipe Loaiza Chavez"/>
    <n v="18"/>
    <s v="Personal Alicorp "/>
    <s v="M"/>
    <s v="1ro"/>
    <m/>
    <m/>
    <d v="2013-11-27T00:00:00"/>
    <s v="Lesión Incapacitante"/>
    <s v="Lesión Incapacitante"/>
    <s v="Atrición del tercer dedo de la mano derecha al colocar faja de transmisión"/>
    <s v="BRAZO/HOMBRO"/>
    <m/>
    <m/>
    <x v="2"/>
    <s v="Noviembre"/>
    <m/>
    <n v="7"/>
    <m/>
    <n v="7"/>
    <d v="1899-12-30T14:00:00"/>
    <m/>
    <m/>
    <x v="50"/>
    <s v="Mantenimiento"/>
    <s v="Atricción"/>
    <m/>
    <s v="exeso de confianza"/>
    <m/>
    <m/>
  </r>
  <r>
    <m/>
    <s v="DETERGENTES"/>
    <m/>
    <s v="PRODUCCIÓN"/>
    <s v="DET2208"/>
    <s v="La Rosa Vilcherres, Jerry Lener"/>
    <n v="28"/>
    <s v="Personal Alicorp "/>
    <s v="F"/>
    <s v="3ro"/>
    <s v="OBRERO CONTRATADO"/>
    <s v="3 años"/>
    <d v="2013-11-28T00:00:00"/>
    <s v="Lesión Incapacitante"/>
    <s v="Lesión Incapacitante"/>
    <s v="Herida en mano por atricción mano derecha en faja y polin por no bloquear equipo"/>
    <s v="BRAZO/HOMBRO"/>
    <m/>
    <m/>
    <x v="2"/>
    <s v="Noviembre"/>
    <m/>
    <n v="15"/>
    <m/>
    <n v="15"/>
    <d v="1899-12-30T01:55:00"/>
    <n v="17508"/>
    <m/>
    <x v="22"/>
    <s v="Calibrando/Regulando"/>
    <s v="Atricción"/>
    <m/>
    <s v=" Falta de conocimiento "/>
    <m/>
    <m/>
  </r>
  <r>
    <m/>
    <s v="INSTANTANEOS"/>
    <m/>
    <s v="ALMACEN DE INSUMOS "/>
    <s v="BRÑ2236"/>
    <s v="Jose Luis Quispe Diaz "/>
    <m/>
    <s v="Personal Alicorp "/>
    <s v="M"/>
    <m/>
    <m/>
    <s v="10 años"/>
    <d v="2013-11-30T00:00:00"/>
    <s v="Lesión Incapacitante"/>
    <s v="Lesión Incapacitante"/>
    <s v="Aplastamiento con montacarga contra rack"/>
    <s v="CUERPO"/>
    <m/>
    <m/>
    <x v="2"/>
    <s v="Noviembre"/>
    <m/>
    <n v="17"/>
    <m/>
    <n v="17"/>
    <m/>
    <n v="14925"/>
    <m/>
    <x v="18"/>
    <s v="Manejando traspaleta/Montacarga"/>
    <s v="Atricción"/>
    <m/>
    <s v="uso de equipo inadecuado"/>
    <m/>
    <m/>
  </r>
  <r>
    <m/>
    <s v="COPSA"/>
    <m/>
    <s v="PROYECTOS"/>
    <s v="PCO2438"/>
    <m/>
    <m/>
    <s v="Personal no Alicorp "/>
    <m/>
    <m/>
    <s v="TERCERO"/>
    <m/>
    <d v="2013-12-09T00:00:00"/>
    <s v="Lesión Incapacitante"/>
    <s v="Lesión Incapacitante"/>
    <s v="caida de dos metro de altura (muñeca)"/>
    <s v="MANO "/>
    <m/>
    <m/>
    <x v="2"/>
    <s v="Diciembre"/>
    <m/>
    <n v="23"/>
    <m/>
    <n v="23"/>
    <m/>
    <m/>
    <m/>
    <x v="7"/>
    <s v="Mantenimiento"/>
    <s v="Golpe"/>
    <s v="Caida"/>
    <s v="exeso de confianza"/>
    <s v="GRACO"/>
    <m/>
  </r>
  <r>
    <m/>
    <s v="CDC"/>
    <m/>
    <s v="DISTRIBUCIÓN"/>
    <s v="DIS2333"/>
    <m/>
    <m/>
    <s v="Personal no Alicorp "/>
    <m/>
    <m/>
    <s v="TERCERO"/>
    <m/>
    <d v="2013-12-14T00:00:00"/>
    <s v="Lesión Incapacitante"/>
    <s v="Lesión Incapacitante"/>
    <s v="mientras realizaba sus labores de supervisión en los camiones en el estacionamiento de CDC , caminando en el interior de l mismo cubierto por unos cartones se encontraba un agujero el cual al pisarlo cae intempestivamente produciendo politraumatismo ."/>
    <s v="PIE"/>
    <m/>
    <m/>
    <x v="2"/>
    <s v="Diciembre"/>
    <m/>
    <n v="10"/>
    <m/>
    <n v="10"/>
    <m/>
    <m/>
    <m/>
    <x v="14"/>
    <s v="carga/descarga de camión"/>
    <s v="Golpe"/>
    <s v="Caida"/>
    <s v="mal juicio "/>
    <s v="JMA"/>
    <m/>
  </r>
  <r>
    <m/>
    <s v="INSTANTANEOS"/>
    <m/>
    <s v="PRODUCCIÓN"/>
    <s v="BRÑ2443"/>
    <s v="SILVANO CERVANTES AMBROCIA LUCIA"/>
    <n v="31"/>
    <s v="Personal Alicorp "/>
    <m/>
    <m/>
    <s v="OBRERO ESTABLE"/>
    <m/>
    <d v="2013-12-26T00:00:00"/>
    <s v="Lesión Incapacitante"/>
    <s v="Lesión Incapacitante"/>
    <s v="Atrición del primer dedo de la mano derecha; selladora manual de la máquina P-3 "/>
    <s v="MANO "/>
    <m/>
    <m/>
    <x v="2"/>
    <s v="Diciembre"/>
    <m/>
    <n v="11"/>
    <m/>
    <n v="11"/>
    <m/>
    <n v="11829"/>
    <m/>
    <x v="3"/>
    <s v="Durante operación productiva"/>
    <s v="Atricción"/>
    <m/>
    <s v="exeso de confianza "/>
    <m/>
    <m/>
  </r>
  <r>
    <m/>
    <s v="DISTRIBUCION"/>
    <m/>
    <s v="DISTRIBUCIÓN"/>
    <s v="R-DIS-2012-008375"/>
    <s v="ZAPATA RAMOS ROSSANA"/>
    <n v="52"/>
    <s v="Personal Alicorp"/>
    <s v="F"/>
    <s v="1ro"/>
    <s v="EMPLEADO ESTABLE"/>
    <s v="13 años"/>
    <d v="2012-01-09T00:00:00"/>
    <s v="Lesión Incapacitante"/>
    <s v="Lesión Incapacitante"/>
    <s v="Albajar del Bus Rossana zapata recibe un diario y al caminar distraida sufre una caída al piso sufirendo un esguince en el tobillo-"/>
    <s v="PIE"/>
    <m/>
    <m/>
    <x v="3"/>
    <s v="Enero"/>
    <n v="1"/>
    <n v="27"/>
    <m/>
    <n v="27"/>
    <d v="1899-12-30T08:20:00"/>
    <n v="6783"/>
    <m/>
    <x v="20"/>
    <s v="Trasladandose"/>
    <s v="Esguince"/>
    <m/>
    <m/>
    <m/>
    <m/>
  </r>
  <r>
    <m/>
    <s v="INSTANTANEOS"/>
    <m/>
    <s v="ADMINISTRACIÓN"/>
    <s v="R-BRÑ-2012-002518_x000a_nueva ROM: R-BRÑ-2012-002546"/>
    <s v="-"/>
    <s v="-"/>
    <s v="Personal No Alicorp"/>
    <m/>
    <s v="-"/>
    <s v="TERCERO"/>
    <s v="-"/>
    <d v="2012-01-14T00:00:00"/>
    <s v="Lesión Incapacitante"/>
    <s v="Lesión Incapacitante"/>
    <s v="colaborador de limtek Guillermo Villegas Burga sufre caida de escalera tipo tijera y es trasladado a la clinica san gabriel."/>
    <s v="MANO "/>
    <m/>
    <m/>
    <x v="3"/>
    <s v="Enero"/>
    <n v="6"/>
    <n v="30"/>
    <m/>
    <n v="30"/>
    <s v="-"/>
    <m/>
    <m/>
    <x v="30"/>
    <s v="Mantenimiento"/>
    <s v="Golpe"/>
    <s v="Caida"/>
    <m/>
    <s v="LIMTEK"/>
    <m/>
  </r>
  <r>
    <m/>
    <s v="SIDSUR"/>
    <m/>
    <s v="PRODUCCIÓN"/>
    <s v="R-SID-2012-009607"/>
    <s v="PINGO CASTRO SAMUEL"/>
    <n v="40"/>
    <s v="Personal Alicorp"/>
    <s v="M"/>
    <s v="2do"/>
    <s v="OBRERO ESTABLE"/>
    <s v="13 años"/>
    <d v="2012-01-16T00:00:00"/>
    <s v="Lesión Incapacitante"/>
    <s v="Lesión Incapacitante"/>
    <s v="Atricción de falanges distales 3er y 4to dedos mano derecha cambiando molde  fideería"/>
    <s v="MANO "/>
    <m/>
    <m/>
    <x v="3"/>
    <s v="Enero"/>
    <n v="1"/>
    <n v="90"/>
    <m/>
    <n v="90"/>
    <d v="1899-12-30T15:00:00"/>
    <n v="4189"/>
    <m/>
    <x v="26"/>
    <s v="Durante operación productiva"/>
    <s v="Atricción"/>
    <m/>
    <m/>
    <m/>
    <m/>
  </r>
  <r>
    <m/>
    <s v="GALLETERA LIMA"/>
    <m/>
    <s v="PRODUCCIÓN"/>
    <s v="R-PGL-2012-006101"/>
    <s v="GONZALES RODRIGUES, ROSA"/>
    <n v="40"/>
    <s v="Personal Alicorp"/>
    <s v="F"/>
    <s v="2do"/>
    <s v="OBRERO ESTABLE"/>
    <s v="5 años"/>
    <d v="2012-01-17T00:00:00"/>
    <s v="Lesión Incapacitante"/>
    <s v="Lesión Incapacitante"/>
    <s v="Golpe de mano derecha ocasionado por atricción con puertas abatibles."/>
    <s v="MANO "/>
    <m/>
    <m/>
    <x v="3"/>
    <s v="Enero"/>
    <n v="2"/>
    <n v="10"/>
    <m/>
    <n v="10"/>
    <d v="1899-12-30T21:19:00"/>
    <n v="15188"/>
    <m/>
    <x v="34"/>
    <s v="Trasladandose"/>
    <s v="Golpe"/>
    <m/>
    <m/>
    <m/>
    <m/>
  </r>
  <r>
    <m/>
    <s v="PROYECTOS"/>
    <m/>
    <s v="PROYECTOS"/>
    <s v="R-PIN-2012-000001; SE ANULO ESTA ROM Y SE CREO OTRA _x000a_R-PFL-2012-003762  _x000a_Etapa: EN EJECUCION  _x000a_"/>
    <s v="-"/>
    <s v="-"/>
    <s v="TERCERO"/>
    <m/>
    <s v="-"/>
    <s v="TERCERO"/>
    <s v="-"/>
    <d v="2012-01-25T00:00:00"/>
    <s v="Lesión Incapacitante"/>
    <s v="Lesión Incapacitante"/>
    <s v="CORTE PROFUNDO EN MUÑECA MANO DERECHA"/>
    <s v="MANO "/>
    <m/>
    <m/>
    <x v="3"/>
    <s v="Enero"/>
    <n v="3"/>
    <n v="45"/>
    <m/>
    <n v="45"/>
    <s v="-"/>
    <m/>
    <m/>
    <x v="64"/>
    <s v="Mantenimiento"/>
    <s v="Corte"/>
    <m/>
    <m/>
    <m/>
    <s v="X"/>
  </r>
  <r>
    <m/>
    <s v="COPSA"/>
    <m/>
    <s v="PRODUCCIÓN"/>
    <s v="R-PCO-2012-014273"/>
    <s v="MONTALVO VERA RAMON PRIMITIVO"/>
    <n v="61"/>
    <s v="Personal Alicorp"/>
    <s v="M"/>
    <s v="3ro"/>
    <s v="EMPLEADO ESTABLE"/>
    <s v="23 años"/>
    <d v="2012-02-16T00:00:00"/>
    <s v="Lesión Incapacitante"/>
    <s v="Lesión Incapacitante"/>
    <s v="Salpicadura de agua de tanque de condensos al colaborador Ramon Montalvo"/>
    <s v="PIERNA"/>
    <m/>
    <m/>
    <x v="3"/>
    <s v="febrero"/>
    <n v="4"/>
    <n v="15"/>
    <m/>
    <n v="15"/>
    <d v="1899-12-30T05:40:00"/>
    <n v="1110"/>
    <m/>
    <x v="65"/>
    <s v="Durante operación productiva"/>
    <s v="Quemadura"/>
    <m/>
    <m/>
    <m/>
    <m/>
  </r>
  <r>
    <m/>
    <s v="DETERGENTES"/>
    <m/>
    <s v="PRODUCCIÓN"/>
    <s v="R-DET-2012-001788"/>
    <s v="AZAÑERO CUEVA WILMER DE LA CRUZ"/>
    <n v="34"/>
    <s v="Personal Alicorp"/>
    <s v="M"/>
    <s v="1ro"/>
    <s v="OBRERO ESTABLE"/>
    <s v="6 años"/>
    <d v="2012-03-02T00:00:00"/>
    <s v="Lesión Incapacitante"/>
    <s v="Lesión Incapacitante"/>
    <s v="Quemadura de brazo derecho por detergente liquido caliente"/>
    <s v="BRAZO/HOMBRO"/>
    <m/>
    <m/>
    <x v="3"/>
    <s v="Marzo"/>
    <n v="5"/>
    <n v="16"/>
    <m/>
    <n v="16"/>
    <d v="1899-12-30T10:33:00"/>
    <n v="12298"/>
    <m/>
    <x v="66"/>
    <s v="Durante operación productiva"/>
    <s v="Quemadura"/>
    <m/>
    <m/>
    <m/>
    <m/>
  </r>
  <r>
    <m/>
    <s v="FIDEERIA LIMA"/>
    <m/>
    <s v="DISTRIBUCIÓN"/>
    <s v="R-PFL-2012-003767 "/>
    <s v="Alexander Cabezas Galvez"/>
    <n v="29"/>
    <s v="Personal Alicorp"/>
    <s v="M"/>
    <s v="1ro"/>
    <s v="OBRERO CONTRATADO"/>
    <s v="1año"/>
    <d v="2012-03-15T00:00:00"/>
    <s v="Lesión Incapacitante"/>
    <s v="Lesión Incapacitante"/>
    <s v="Choque de paleta vacia contra el tobillo del Ayudante Paletizador (Sr. Alexander Cabezas Galvez, Fideería Lima)"/>
    <s v="PIE"/>
    <m/>
    <m/>
    <x v="3"/>
    <s v="Marzo"/>
    <n v="4"/>
    <n v="2"/>
    <m/>
    <n v="2"/>
    <d v="1899-12-30T10:15:00"/>
    <m/>
    <m/>
    <x v="27"/>
    <s v="Durante operación productiva"/>
    <s v="Golpe"/>
    <m/>
    <m/>
    <m/>
    <m/>
  </r>
  <r>
    <m/>
    <s v="DISTRIBUCION"/>
    <m/>
    <s v="DISTRIBUCIÓN"/>
    <s v="R-DIS-2012-008462 "/>
    <s v="Pedro Phil Renato Bocanegra Colacc"/>
    <n v="33"/>
    <s v="Personal Alicorp"/>
    <s v="M"/>
    <s v="2do"/>
    <s v="OBRERO ESTABLE"/>
    <s v="8 años"/>
    <d v="2012-03-26T00:00:00"/>
    <s v="Lesión Incapacitante"/>
    <s v="Lesión Incapacitante"/>
    <s v="Sr. Pedro Phil Renato Bocanegra Colacci (CDC), mientras se encontraba manejando una maquina (traspaletas) es golpeado por otra maquina (elevador electrico) golpeandose a nivel de hemitorax anterior izquierdo cayendo al suelo en posicion sentada de una altura aproximada de 15 cm."/>
    <s v="CUERPO"/>
    <m/>
    <m/>
    <x v="3"/>
    <s v="Marzo"/>
    <n v="1"/>
    <n v="14"/>
    <m/>
    <n v="14"/>
    <d v="1899-12-30T17:37:00"/>
    <n v="11297"/>
    <m/>
    <x v="12"/>
    <s v="Manejando traspaleta/Montacarga"/>
    <s v="Golpe"/>
    <m/>
    <m/>
    <m/>
    <m/>
  </r>
  <r>
    <m/>
    <s v="DETERGENTES"/>
    <m/>
    <s v="PRODUCCIÓN"/>
    <s v="R-DET-2012-001799 "/>
    <s v="Cesar Alarcon "/>
    <n v="37"/>
    <s v="Personal Alicorp"/>
    <s v="M"/>
    <s v="2do"/>
    <s v="OBRERO ESTABLE"/>
    <s v="4años"/>
    <d v="2012-03-28T00:00:00"/>
    <s v="Lesión Incapacitante"/>
    <s v="Lesión Incapacitante"/>
    <s v="Trabajador Cesar Alarcon , operador Receptor de Granel,  se encontraba jalando un carro de granel de Bolivar para la alimentación de las maquinas HH, el carro se corre a un lado aprisionandole la canilla de la pierna izquierda entre la base de la rueda y la baranda de protección de la Massipak &quot; D &quot;. "/>
    <s v="PIERNA"/>
    <m/>
    <m/>
    <x v="3"/>
    <s v="Marzo"/>
    <n v="3"/>
    <n v="22"/>
    <m/>
    <n v="22"/>
    <d v="1899-12-30T18:15:00"/>
    <n v="15756"/>
    <m/>
    <x v="67"/>
    <s v="Durante operación productiva"/>
    <s v="Golpe"/>
    <m/>
    <m/>
    <m/>
    <m/>
  </r>
  <r>
    <m/>
    <s v="FIDEERIA LIMA"/>
    <m/>
    <s v="DISTRIBUCIÓN"/>
    <s v="R-PFL-2012-003777"/>
    <s v="-"/>
    <s v="-"/>
    <s v="Personal no Alicorp"/>
    <m/>
    <s v="-"/>
    <s v="TERCERO"/>
    <s v="-"/>
    <d v="2012-03-29T00:00:00"/>
    <s v="Lesión Incapacitante"/>
    <s v="Lesión Incapacitante"/>
    <s v="Sr. Alejandro Ross Zuñiga  de la empresa ISELSA. Golpe en la cabeza con la puerta del container."/>
    <s v="CABEZA"/>
    <m/>
    <m/>
    <x v="3"/>
    <s v="Marzo"/>
    <n v="4"/>
    <n v="2"/>
    <m/>
    <n v="2"/>
    <s v="-"/>
    <m/>
    <m/>
    <x v="14"/>
    <s v="carga/descarga de camión"/>
    <s v="Golpe"/>
    <m/>
    <m/>
    <s v="ISELSA"/>
    <m/>
  </r>
  <r>
    <m/>
    <s v="FIDEERIA ALIANZA"/>
    <m/>
    <s v="PRODUCCIÓN"/>
    <s v="R-PFA-2012-003572"/>
    <s v="JHON TARAZONA BERNUY"/>
    <n v="40"/>
    <s v="Personal Alicorp"/>
    <s v="M"/>
    <s v="2do"/>
    <s v="OBRERO ESTABLE"/>
    <s v="10 años"/>
    <d v="2012-04-04T00:00:00"/>
    <s v="Lesión Incapacitante"/>
    <s v="Lesión Incapacitante"/>
    <s v="Sr. John Tarazona Bernuy, colaborador de Fideería Alianza. Corte en el dedo índice de la mano derecha"/>
    <s v="MANO "/>
    <m/>
    <m/>
    <x v="3"/>
    <s v="Abril"/>
    <n v="3"/>
    <n v="11"/>
    <m/>
    <n v="11"/>
    <d v="1899-12-30T22:58:00"/>
    <n v="10221"/>
    <s v="*"/>
    <x v="3"/>
    <s v="Limpiando instalaciones"/>
    <s v="Corte"/>
    <m/>
    <m/>
    <m/>
    <m/>
  </r>
  <r>
    <m/>
    <s v="GALLETERA LIMA"/>
    <m/>
    <s v="RELACIONES LABORALES"/>
    <s v="R-PGL-2012-006166 "/>
    <s v="-"/>
    <s v="-"/>
    <s v="Personal no alicorp"/>
    <m/>
    <s v="-"/>
    <s v="TERCERO"/>
    <s v="-"/>
    <d v="2012-04-26T00:00:00"/>
    <s v="Lesión Incapacitante"/>
    <s v="Lesión Incapacitante"/>
    <s v="Sr Jose luis Astupiñan Tantaruna, trabajador (empresa Regis) del comedor de planta Galletera. Quemadura de Primer grado en cara y antebrazo."/>
    <s v="CABEZA"/>
    <m/>
    <m/>
    <x v="3"/>
    <s v="Abril"/>
    <n v="4"/>
    <n v="4"/>
    <m/>
    <n v="4"/>
    <s v="-"/>
    <m/>
    <m/>
    <x v="65"/>
    <s v="Cocinando"/>
    <s v="Quemadura"/>
    <m/>
    <m/>
    <s v="REGIS"/>
    <m/>
  </r>
  <r>
    <m/>
    <s v="SIDSUR"/>
    <m/>
    <s v="PRODUCCIÓN"/>
    <s v="R-SID-2012-009638 "/>
    <s v="Alfredo Alvarez Pinto"/>
    <n v="25"/>
    <s v="Personal Alicorp"/>
    <s v="M"/>
    <s v="2do"/>
    <s v="OBRERO CONTRATADO"/>
    <m/>
    <d v="2012-05-09T00:00:00"/>
    <s v="Lesión Incapacitante"/>
    <s v="Lesión Incapacitante"/>
    <s v="Sr. Alfredo Alvarez Pinto, colaborador Molino Victoria. Esguince en el metacarpo del dedo pulgar derecho."/>
    <s v="MANO "/>
    <m/>
    <m/>
    <x v="3"/>
    <s v="Mayo"/>
    <n v="3"/>
    <n v="11"/>
    <m/>
    <n v="11"/>
    <d v="1899-12-30T16:55:00"/>
    <n v="10702"/>
    <m/>
    <x v="21"/>
    <s v="Estibando"/>
    <s v="Esguince"/>
    <m/>
    <m/>
    <m/>
    <m/>
  </r>
  <r>
    <m/>
    <s v="DISTRIBUCION"/>
    <m/>
    <s v="DISTRIBUCIÓN"/>
    <s v="R-DIS-2012-008520"/>
    <s v="Luis Cavero Martinez"/>
    <n v="26"/>
    <s v="Personal Alicorp"/>
    <s v="M"/>
    <s v="2do"/>
    <s v="OBRERO CONTRATADO"/>
    <s v="11 meses"/>
    <d v="2012-05-21T00:00:00"/>
    <s v="Lesión Incapacitante"/>
    <s v="Lesión Incapacitante"/>
    <s v="Sr. Luis Cavero Martinez, colaborador de Distribucion. Esguinse de muñeca cargando lata_x000a_"/>
    <s v="MANO "/>
    <m/>
    <m/>
    <x v="3"/>
    <s v="Mayo"/>
    <n v="1"/>
    <n v="1"/>
    <m/>
    <n v="1"/>
    <d v="1899-12-30T20:17:00"/>
    <n v="18960"/>
    <m/>
    <x v="57"/>
    <s v="Estibando"/>
    <s v="Esguince"/>
    <m/>
    <m/>
    <m/>
    <m/>
  </r>
  <r>
    <m/>
    <s v="COPSA"/>
    <m/>
    <s v="PRODUCCIÓN"/>
    <s v="R-PCO-2012-014318"/>
    <s v="BURGOS RIBOTTE JEFFERSON"/>
    <n v="21"/>
    <s v="Personal Alicorp"/>
    <s v="M"/>
    <s v="3ro"/>
    <s v="CAPAC.LAB.JUVENIL"/>
    <s v="5 mese"/>
    <d v="2012-05-23T00:00:00"/>
    <s v="Lesión Incapacitante"/>
    <s v="Lesión Incapacitante"/>
    <s v="Sr. BURGOS RIBOTTE JEFFERSON, del sector de COPSA ENVASAMIENTO ACEITES. En circunstancias en que manipulaba haciendo cortes de bidones en la maquina Romela es que se le resbala y la cuchilla le produce un corte en el antebrazo izquierdo."/>
    <s v="BRAZO/HOMBRO"/>
    <m/>
    <m/>
    <x v="3"/>
    <s v="Mayo"/>
    <n v="3"/>
    <n v="12"/>
    <m/>
    <n v="12"/>
    <d v="1899-12-30T06:25:00"/>
    <n v="19674"/>
    <m/>
    <x v="23"/>
    <s v="Durante operación productiva"/>
    <s v="Corte"/>
    <m/>
    <m/>
    <m/>
    <m/>
  </r>
  <r>
    <m/>
    <s v="COPSA"/>
    <m/>
    <s v="PRODUCCIÓN"/>
    <s v="R-PCO-2012-014319"/>
    <s v="José Matos Silva"/>
    <n v="43"/>
    <s v="Personal Alicorp"/>
    <s v="M"/>
    <s v="1ro"/>
    <s v="OBRERO ESTABLE"/>
    <s v="15 años"/>
    <d v="2012-05-26T00:00:00"/>
    <s v="Lesión Incapacitante"/>
    <s v="Lesión Incapacitante"/>
    <s v="SR JOSE MATOS SILVA (COPSA). QUEMADURA (EN LA CARA) QUIMICA POR AMONIACO "/>
    <s v="CABEZA"/>
    <m/>
    <m/>
    <x v="3"/>
    <s v="Mayo"/>
    <n v="6"/>
    <n v="15"/>
    <m/>
    <n v="15"/>
    <d v="1899-12-30T09:00:00"/>
    <n v="10033"/>
    <m/>
    <x v="19"/>
    <s v="Durante operación productiva"/>
    <s v="Contacto sustancia Quimica"/>
    <m/>
    <m/>
    <m/>
    <m/>
  </r>
  <r>
    <m/>
    <s v="MOLINO CALLAO"/>
    <m/>
    <s v="DISTRIBUCIÓN"/>
    <s v="R-MCA-2012-004342"/>
    <s v="-"/>
    <s v="-"/>
    <s v="Personal No Alicorp"/>
    <m/>
    <s v="-"/>
    <s v="TERCERO"/>
    <s v="-"/>
    <d v="2012-06-07T00:00:00"/>
    <s v="Lesión Incapacitante"/>
    <s v="Lesión Incapacitante"/>
    <s v="Durante la operación estibado de sacos, luego de hacer la inspección respectiva de la plataforma del vehículo con Placa YD3807 de la Empresa Guzmán, se procede a cargar el camión, es en estos momentos que el estibador Antonio Guzmán, pisa una de las tablas la cual se rompe transversalmente, ocasionando que su pie derecho se introduzca en el espacio generado; no llega a caerse totalmente porque su pie encuentra apoyo en un soporte metálico que tenía el vehículo (APT - MCA)"/>
    <s v="PIE"/>
    <m/>
    <m/>
    <x v="3"/>
    <s v="Junio"/>
    <n v="4"/>
    <n v="3"/>
    <m/>
    <n v="3"/>
    <s v="-"/>
    <m/>
    <m/>
    <x v="14"/>
    <s v="carga/descarga de camión"/>
    <s v="Golpe"/>
    <m/>
    <m/>
    <m/>
    <m/>
  </r>
  <r>
    <m/>
    <s v="FIDEERIA LIMA"/>
    <m/>
    <s v="DISTRIBUCIÓN"/>
    <s v="R-PFL-2012-003792 "/>
    <s v="-"/>
    <s v="-"/>
    <s v="Personal No Alicorp"/>
    <m/>
    <s v="-"/>
    <s v="TERCERO"/>
    <s v="-"/>
    <d v="2012-06-08T00:00:00"/>
    <s v="Lesión Incapacitante"/>
    <s v="Lesión Incapacitante"/>
    <s v="Planta Fideria APT: Sr. Deivis Allca Huaraca de la Empresa Hermanos Cure, mientras se encontraba en el camión acomodando con la malla los sacos de afrecho ,se resbala de una altura de 4.5 metros aprox.  Paciente refiere que al resbalar se coge de la malla para no caer al suelo ,posteriormente cae al suelo en posición de pie._x000a_D/C Fractura de Calcaneo vs Fractura de Astragalo."/>
    <s v="PIE"/>
    <m/>
    <m/>
    <x v="3"/>
    <s v="Junio"/>
    <n v="5"/>
    <n v="2"/>
    <m/>
    <n v="2"/>
    <s v="-"/>
    <m/>
    <m/>
    <x v="8"/>
    <s v="Durante operación productiva"/>
    <s v="Golpe"/>
    <s v="Caida"/>
    <m/>
    <m/>
    <m/>
  </r>
  <r>
    <m/>
    <s v="FIDEERIA LIMA"/>
    <m/>
    <s v="ADMINISTRACIÓN"/>
    <s v="R-PFL-2012-003795 "/>
    <s v="-"/>
    <s v="-"/>
    <s v="Personal No Alicorp"/>
    <m/>
    <s v="-"/>
    <s v="TERCERO"/>
    <s v="-"/>
    <d v="2012-06-15T00:00:00"/>
    <s v="Lesión Incapacitante"/>
    <s v="Lesión Incapacitante"/>
    <s v="SR. CHUCCHUCAN  HUARIPATA LUIS FERNANDO (LIMTECK). PACIENTE REFIERE AL ENCONTRARSE LIMPIANDO EN FIDERIA , MOLINO  3ER PISO AL LEVANTAR DEL SUELO UN TUBO DE FIERRO QUE SIRVE PARA ARMAR ANDAMIO  SE  LE RESBALA  DE LA MANO Y CAE SOBRE SU PIE IZQUIERDO PRODUCIENDO TRAUMATISMO SUPERFICIAL CAUSANDO DOLOR AGUDO_x000a_"/>
    <s v="PIE"/>
    <m/>
    <m/>
    <x v="3"/>
    <s v="Junio"/>
    <n v="5"/>
    <n v="9"/>
    <m/>
    <n v="9"/>
    <s v="-"/>
    <m/>
    <m/>
    <x v="56"/>
    <s v="Limpiando instalaciones"/>
    <s v="Golpe"/>
    <m/>
    <m/>
    <m/>
    <m/>
  </r>
  <r>
    <m/>
    <s v="COPSA"/>
    <m/>
    <s v="PRODUCCIÓN"/>
    <s v="R-PCO-2012-014329"/>
    <s v="Cesar Dominguez"/>
    <n v="37"/>
    <s v="Personal Alicorp"/>
    <s v="M"/>
    <s v="2do"/>
    <s v="OBRERO ESTABLE"/>
    <s v="15 años"/>
    <d v="2012-06-18T00:00:00"/>
    <s v="Lesión Incapacitante"/>
    <s v="Lesión Incapacitante"/>
    <s v="Sr. César Augusto Domínguez Rodríguez , trabajador de COPSA. Paciente se encontraba ayudando a reparar una &quot;máquina Petri&quot;, indica que al manipularla con una llave esta aplasta su mano derecha sobre una superficie. _x000a_Presenta 2 heridas superficiales en primer dedo, sangrado escaso. Refiere dolor moderado en primer y tercer dedo de la mano derecha."/>
    <s v="MANO "/>
    <m/>
    <m/>
    <x v="3"/>
    <s v="Junio"/>
    <n v="1"/>
    <n v="20"/>
    <m/>
    <n v="20"/>
    <d v="1899-12-30T20:20:00"/>
    <n v="9959"/>
    <m/>
    <x v="38"/>
    <s v="Mantenimiento"/>
    <s v="Golpe"/>
    <m/>
    <m/>
    <m/>
    <m/>
  </r>
  <r>
    <m/>
    <s v="RELACIONES LABORALES"/>
    <m/>
    <s v="RELACIONES LABORALES"/>
    <s v="R-ADM-2012-000256 "/>
    <s v="-"/>
    <s v="-"/>
    <s v="Personal No Alicorp"/>
    <m/>
    <s v="-"/>
    <s v="TERCERO"/>
    <s v="-"/>
    <d v="2012-06-20T00:00:00"/>
    <s v="Lesión Incapacitante"/>
    <s v="Lesión Incapacitante"/>
    <s v="Sr. Hector Cuellar Caceres, personal que brinda servicios a la Empresa  &quot;Servicios Balbinito&quot;, refiere que mientras se encontraba cortando lechuga con cuchillo, sufre lesión en región palmar de mano izquierda provocando sangrado de regular cantidad. "/>
    <s v="MANO "/>
    <m/>
    <m/>
    <x v="3"/>
    <s v="Junio"/>
    <n v="3"/>
    <n v="7"/>
    <m/>
    <n v="7"/>
    <s v="-"/>
    <m/>
    <m/>
    <x v="6"/>
    <s v="Cocinando"/>
    <s v="Corte"/>
    <m/>
    <m/>
    <m/>
    <m/>
  </r>
  <r>
    <m/>
    <s v="FIDEERIA ALIANZA"/>
    <m/>
    <s v="PRODUCCIÓN"/>
    <s v="R-PFA-2012-003608 "/>
    <s v="-"/>
    <s v="-"/>
    <s v="Personal No Alicorp"/>
    <m/>
    <s v="-"/>
    <s v="TERCERO"/>
    <s v="-"/>
    <d v="2012-06-25T00:00:00"/>
    <s v="Lesión Incapacitante"/>
    <s v="Lesión Incapacitante"/>
    <s v="Sarita Alarcón Medina, contratista de la empresa ACCESS LINE SRL (accidente ocurrido en Fidería Alianza. Mientras se encontraba sellando envoltura con la máquina selladora, en el área  de envasados manuales, el segundo dedo de mano derecha queda atrapado provocándole lesión en región distal de dicho dedo acompañado de abundante sangrado. _x000a_"/>
    <s v="MANO "/>
    <m/>
    <m/>
    <x v="3"/>
    <s v="Junio"/>
    <n v="1"/>
    <n v="13"/>
    <m/>
    <n v="13"/>
    <s v="-"/>
    <m/>
    <m/>
    <x v="3"/>
    <s v="Durante operación productiva"/>
    <s v="Corte"/>
    <m/>
    <m/>
    <m/>
    <m/>
  </r>
  <r>
    <m/>
    <s v="FIDEERIA LIMA"/>
    <m/>
    <s v="MANTENIMIENTO"/>
    <s v="R-PFL-2012-003797 "/>
    <s v="-"/>
    <s v="-"/>
    <s v="Personal No Alicorp"/>
    <m/>
    <s v="-"/>
    <s v="TERCERO"/>
    <s v="-"/>
    <d v="2012-06-30T00:00:00"/>
    <s v="Lesión Incapacitante"/>
    <s v="Lesión Incapacitante"/>
    <s v="Sr Edson Rodriguez de Baca, contratista de la empresa San Silvestre. Paciente refiere que mientras hacia lubricación de la maquinaria de la línea 24 de la planta de Fideria, se quedo atrapado el trapo en la cadena y al tratar de sacarlo se le atriccionó la mano.  "/>
    <s v="MANO "/>
    <m/>
    <m/>
    <x v="3"/>
    <s v="Junio"/>
    <n v="6"/>
    <n v="13"/>
    <m/>
    <n v="13"/>
    <s v="-"/>
    <m/>
    <m/>
    <x v="16"/>
    <s v="Mantenimiento"/>
    <s v="Atricción"/>
    <m/>
    <m/>
    <m/>
    <m/>
  </r>
  <r>
    <m/>
    <s v="VENTAS"/>
    <m/>
    <m/>
    <s v="OFIC VTAS CUZCO"/>
    <m/>
    <m/>
    <s v="Personal Alicorp"/>
    <m/>
    <m/>
    <m/>
    <m/>
    <d v="2012-07-02T00:00:00"/>
    <s v="Lesión Incapacitante"/>
    <s v="Lesión Incapacitante"/>
    <s v="Srta Grecia mientras se encontraba bajando los escalones del segundo al primer piso luego de sacar copias, sufre un resbalón ocasionándole golpes en las piernas y la nalga."/>
    <s v="PIERNA"/>
    <m/>
    <m/>
    <x v="3"/>
    <s v="Julio"/>
    <n v="1"/>
    <n v="7"/>
    <m/>
    <n v="7"/>
    <m/>
    <m/>
    <m/>
    <x v="53"/>
    <s v="Trasladandose"/>
    <s v="Golpe"/>
    <s v="Caida"/>
    <m/>
    <m/>
    <m/>
  </r>
  <r>
    <m/>
    <s v="COPSA"/>
    <m/>
    <s v="PRODUCCIÓN"/>
    <s v="R-PCO-2012-014345 "/>
    <s v="Castillo Luna Jacqueline"/>
    <n v="43"/>
    <s v="Personal Alicorp"/>
    <s v="F"/>
    <s v="1ro"/>
    <s v="OBRERO ESTABLE"/>
    <s v="6 años"/>
    <d v="2012-07-14T00:00:00"/>
    <s v="Lesión Incapacitante"/>
    <s v="Lesión Incapacitante"/>
    <s v="SRA CASTILLO LUNA JACQUELINE SOLEDAD, TRABAJADORA DEL ÁREA DE COPSA ENVASAMIENTO MARGARINA. MIENTRAS TRABAJABA EN LA FAJA TRANSPORTADORA DE CAJAS, ESTAS NO CIRCULABAN POR LO CUAL CON LA MANO DERECHA EMPUJA LA CAJA OBSTRUIDA Y CON LA IZQUIERDA RETIENE LAS DEMAS, AL GIRAR LA VISTA HACIA EL LADO IZQUIERO BAJA LA MANO DERECHA LA CUAL QUEDA ATRAPADA ENTRE LA FAJA Y EL POLIN POR UN LAPSO APROX. DE 3 MINUTOS, SIENDO AUXILIADA POR SUS COMPAÑEROS Y EL EQUIPO DE SEGURIDAD INDUSTRIAL. "/>
    <s v="MANO "/>
    <m/>
    <m/>
    <x v="3"/>
    <s v="Julio"/>
    <n v="6"/>
    <n v="28"/>
    <m/>
    <n v="28"/>
    <d v="1899-12-30T10:00:00"/>
    <n v="12607"/>
    <m/>
    <x v="22"/>
    <s v="Durante operación productiva"/>
    <s v="Atricción"/>
    <m/>
    <m/>
    <m/>
    <m/>
  </r>
  <r>
    <m/>
    <s v="NUTRICION ANIMAL TRUJILLO "/>
    <m/>
    <s v="PRODUCCIÓN"/>
    <s v="R-NAT-2012-004026"/>
    <s v="GUANILO LEON ALBERTO RAPHAEL"/>
    <n v="38"/>
    <s v="Personal Alicorp"/>
    <s v="M"/>
    <s v="1ro"/>
    <s v="OBRERO CONTRATADO"/>
    <s v="7 dias"/>
    <d v="2012-07-22T00:00:00"/>
    <s v="Lesión Incapacitante"/>
    <s v="Lesión Incapacitante"/>
    <s v="el envasador utiliza el montacargas para retirar el big bag de finos de Krs , en ese momento el montacargas arranca pero pierde aceleración ^balón de gas nivel mínimo, casi vacío^, al no avanzar  insiste con el acelerador , tras varios intentos arranca a alta velocidad  y gira el volante para no atropellar a compañero que se encontraba a aproximadamente 1 metro trabajando como segundo emparrillador, éste trata de evitar el impacto pero la parte lateral del castillo de montacargas le golpea el hombro derecho."/>
    <s v="BRAZO/HOMBRO"/>
    <m/>
    <m/>
    <x v="3"/>
    <s v="Julio"/>
    <n v="7"/>
    <n v="3"/>
    <m/>
    <n v="3"/>
    <d v="1899-12-30T12:10:00"/>
    <n v="20527"/>
    <m/>
    <x v="18"/>
    <s v="Manejando traspaleta/Montacarga"/>
    <s v="Atropello"/>
    <m/>
    <m/>
    <m/>
    <m/>
  </r>
  <r>
    <m/>
    <s v="GALLETERA LIMA"/>
    <m/>
    <s v="PRODUCCIÓN"/>
    <s v="R-PGL-2012-006263"/>
    <s v="FUENTES LEON RONALD"/>
    <n v="22"/>
    <s v="Personal Alicorp"/>
    <s v="M"/>
    <s v="3ro"/>
    <s v="OBRERO CONTRATADO"/>
    <s v="2.5 meses"/>
    <d v="2012-08-18T00:00:00"/>
    <s v="Lesión incapacitante "/>
    <s v="Lesión incapacitante "/>
    <s v="Al iniciar el tercer turno el colaborador Ronald Fuentes ^Contratado^se dirigió a su puesto de armado de cajas de la línea 3. Al momento de coger un paquete de cajas que estaban ubicadas sobre una paleta de madera se le incrustó una astilla en un dedo de la mano derecha. Dicha astilla era de 1.2 cm aprox, se dirigió al tópico y el doctor indico que tenía que ser trasladado a la clínica para la extracción de dicha astilla.En la clínica el doctor le realizo una pequeña cirugía para la extracción de la astilla otorgándole un descanso relativo de 5 días."/>
    <s v="MANO "/>
    <m/>
    <m/>
    <x v="3"/>
    <s v="Agosto "/>
    <n v="5"/>
    <n v="13"/>
    <m/>
    <n v="13"/>
    <d v="1899-12-30T23:10:00"/>
    <n v="20249"/>
    <m/>
    <x v="68"/>
    <s v="Durante operación productiva"/>
    <s v="Incrustación astilla"/>
    <m/>
    <m/>
    <m/>
    <m/>
  </r>
  <r>
    <m/>
    <s v="MOLINCA"/>
    <m/>
    <s v="Producción "/>
    <s v="Galletera Trujillo "/>
    <s v="Nelson Alberto Quiroz Jimenez"/>
    <n v="59"/>
    <s v="Molinca "/>
    <s v="M"/>
    <s v="1ro"/>
    <s v="OBRERO ESTABLE"/>
    <s v="15 años"/>
    <d v="2012-08-22T00:00:00"/>
    <s v="Lesión Incapacitante (MOLINCA)"/>
    <s v="Lesión Incapacitante (MOLINCA)"/>
    <s v="Cuando el trabajador se encontraba retirando la manta que cubría un lote de cajas almacenadas de manera temporal en el patio de maniobras para su atención a planta, la manta queda enganchada en una parihuela, por lo que el trabajador decide subir sobre una parihuela con cajas que se encontraba junto a los pallets a fin de desenganchar la manta. Al ejercer presión sobre la parihuela con cajas, éstas se deslizan parcialmente, ocasionando la caída del trabajador.Esta zona de almacenamiento ha sido habilitada temporalmente a fin de poder efectuar trabajos de obras civiles en el Almacén de Envases (unión a media caña) de acuerdo a exigencias sanitarias."/>
    <s v="PIERNA"/>
    <m/>
    <m/>
    <x v="3"/>
    <s v="Agosto "/>
    <n v="3"/>
    <n v="7"/>
    <m/>
    <n v="7"/>
    <d v="1899-12-30T09:00:00"/>
    <m/>
    <m/>
    <x v="8"/>
    <s v="Durante operación productiva"/>
    <s v="Golpe"/>
    <s v="Caida"/>
    <m/>
    <m/>
    <m/>
  </r>
  <r>
    <m/>
    <s v="FIDEERIA ALIANZA"/>
    <m/>
    <s v="Administración "/>
    <s v="R-PFA-2012-003636"/>
    <s v="-"/>
    <s v="-"/>
    <s v="Personal No Alicorp "/>
    <m/>
    <s v="-"/>
    <s v="TERCERO"/>
    <s v="-"/>
    <d v="2012-08-23T00:00:00"/>
    <s v="Lesión incapacitante "/>
    <s v="Lesión incapacitante "/>
    <s v="El accidente ocurre en circunstancias que el trabajador de Limtek luego de desechar bolsas de basura bajaba las escaleras de la Oficina del Molino- Balanza y al estar en el penúltimo peldaño resbala torciendo se el tobillo. Evaluado en la Clínica San Gabriel diagnostican fractura distal del pie izquierdo."/>
    <s v="PIE"/>
    <m/>
    <m/>
    <x v="3"/>
    <s v="Agosto "/>
    <n v="4"/>
    <n v="30"/>
    <m/>
    <n v="30"/>
    <s v="-"/>
    <m/>
    <m/>
    <x v="53"/>
    <s v="Trasladandose"/>
    <s v="Fractura"/>
    <m/>
    <m/>
    <m/>
    <m/>
  </r>
  <r>
    <m/>
    <s v="COPSA"/>
    <m/>
    <s v="Producción "/>
    <s v="R-PCO-2012-014359"/>
    <s v="-"/>
    <s v="-"/>
    <s v="Personal No Alicorp "/>
    <m/>
    <s v="-"/>
    <s v="TERCERO"/>
    <s v="-"/>
    <d v="2012-08-23T00:00:00"/>
    <s v="Lesión incapacitante "/>
    <s v="Lesión incapacitante "/>
    <s v="Siendo las 15:45hrs del día de hoy, 23^08^2012 acude al Tópico el Sr. Felipe Atauje Muñoz, de 47 años de edad, trabajador de la empresa CONSORCIO ARAL colaboradora de SEDAPAL, debido a que, mientras cortaba un tubo de agua con un esmeril en el pozo Nro 3 de COPSA el disco del equipo queda atrapado en la zona cortada de la tubería, por lo que opta por jalarlo con fuerza, fuerza que no es controlada ocasionando que el disco del esmeril le corte el rostro por debajo del pómulo derecho."/>
    <s v="CABEZA"/>
    <m/>
    <m/>
    <x v="3"/>
    <s v="Agosto "/>
    <n v="4"/>
    <n v="7"/>
    <m/>
    <n v="7"/>
    <s v="-"/>
    <m/>
    <m/>
    <x v="38"/>
    <s v="Mantenimiento"/>
    <s v="Corte"/>
    <m/>
    <m/>
    <m/>
    <m/>
  </r>
  <r>
    <m/>
    <s v="OFICINAS ADMINISTRATIVAS"/>
    <m/>
    <s v="Administración "/>
    <s v="R-ADM-2012-000258"/>
    <s v="Michael LLactas Ataucusi"/>
    <n v="23"/>
    <s v="Personal Alicorp "/>
    <s v="M"/>
    <s v="3ro"/>
    <s v="CAPAC.LAB.JUVENIL"/>
    <s v="3 meses"/>
    <d v="2012-08-24T00:00:00"/>
    <s v="Lesión incapacitante "/>
    <s v="Lesión incapacitante "/>
    <s v="SIENDO LAS 7:10AM ACUDE A TOPICO EL SR MICHAEL LLACTAS ATAUCUSI DE 19 AÑOS, CON CODIGO 20496, CLJ DE BALANCEADOS LIMA. PACIENTE REFIERE QUE SE RESBALO EN EL BAÑO DEBIDO A QUE EL PISO SE ENCONTRABA MOJADO. Y  AL CAER DE ESPALDAS PARA NO GOLPEARSE PONE LA MANO IZQUIERDA EXTENDIDA.SE EVALUA AL PACIENTE  SE APLICA ANALGESICO Y SE DECIDE EL TRASLADO A LA CLINICA SAN GABRIEL PARA RX DE MANO. DX: CONTUSION DE MANO Y MUÑECA, D/C FX DE HUESOS DEL CARPO (ESCAFORIDES)"/>
    <s v="MANO "/>
    <m/>
    <m/>
    <x v="3"/>
    <s v="Agosto "/>
    <n v="5"/>
    <n v="8"/>
    <m/>
    <n v="8"/>
    <d v="1899-12-30T06:50:00"/>
    <n v="22106"/>
    <m/>
    <x v="20"/>
    <s v="Trasladandose"/>
    <s v="Golpe"/>
    <m/>
    <m/>
    <m/>
    <m/>
  </r>
  <r>
    <m/>
    <s v="FIDEERIA ALIANZA"/>
    <m/>
    <s v="MANTENIMIENTO"/>
    <s v="R-PFA-2012-003644"/>
    <s v="CCOLCCA AVALOS ZACARIAS"/>
    <n v="28"/>
    <s v="Personal Alicorp "/>
    <s v="M"/>
    <s v="1ro"/>
    <s v="OBRERO ESTABLE"/>
    <s v="2.5 años"/>
    <d v="2012-08-28T00:00:00"/>
    <s v="Lesión incapacitante "/>
    <s v="Lesión incapacitante "/>
    <s v="Cuando se encontraba realizando el cambio de empaquetadura de vibradores de cisterna, siendo las 12:45pm, el mecanico Zacarias Ccolcca Avalos con codigo 18060 sufre un corte profundo en el dedo anular de la mano derecha con una cuchilla, se procede a llamar a Alerta Medica luego de ser evaluado se determina su traslado a la clinica San Gabriel, en la clinica le colocaron 4 puntos y le otorgan 5 dias de descanso medico"/>
    <s v="MANO "/>
    <m/>
    <m/>
    <x v="3"/>
    <s v="Agosto "/>
    <n v="2"/>
    <n v="9"/>
    <m/>
    <n v="9"/>
    <d v="1899-12-30T12:45:00"/>
    <n v="18060"/>
    <m/>
    <x v="23"/>
    <s v="Mantenimiento"/>
    <s v="Corte"/>
    <m/>
    <m/>
    <m/>
    <m/>
  </r>
  <r>
    <m/>
    <s v="GALLETERA LIMA"/>
    <m/>
    <s v="Producción "/>
    <s v="R-PGL-2012-006280"/>
    <s v="Norma Chira Romanet "/>
    <n v="27"/>
    <s v="Personal Alicorp "/>
    <s v="F"/>
    <s v="2do"/>
    <s v="OBRERO CONTRATADO"/>
    <s v="5 años"/>
    <d v="2012-08-29T00:00:00"/>
    <s v="Lesión incapacitante "/>
    <s v="Lesión incapacitante "/>
    <s v="Siendo las 09:30 p.m. del día 29-08-12, la colaboradora Norma Chira Romanet se encontraba encajando galletas Miniglacitas, cuando al momento de jalar las bolsitas con galletas que se encontraban sobre la faja, su dedo anular de la mano izquierda queda atrapado entre la faja y una plancha de metal provocandole una herida, la colaboradora es llevado al tópico, es evaluada por el médico quien decide envíarla a la clínica San Gabriel para descartar fractura a donde va acompañada del Ing. Francisco Medrano, En la clinica se le saca una radiografía no encontrandose fractura, se le cura la herida y se le otorga descanso médico hasta el día sábado, día en que tiene que ir a la clínica para ser nuevamente evaluada."/>
    <s v="MANO "/>
    <m/>
    <m/>
    <x v="3"/>
    <s v="Agosto "/>
    <n v="3"/>
    <n v="7"/>
    <m/>
    <n v="7"/>
    <d v="1899-12-30T21:30:00"/>
    <n v="19882"/>
    <m/>
    <x v="22"/>
    <s v="Durante operación productiva"/>
    <s v="Corte"/>
    <m/>
    <m/>
    <m/>
    <m/>
  </r>
  <r>
    <m/>
    <s v="MOLINCA"/>
    <m/>
    <s v="Producción "/>
    <m/>
    <s v="Juan Villarroel Rojas "/>
    <n v="62"/>
    <s v="Molinca "/>
    <s v="M"/>
    <s v="2do"/>
    <s v="OBRERO ESTABLE"/>
    <s v="37 años"/>
    <d v="2012-09-01T00:00:00"/>
    <s v="Lesión Incapacitante (MOLINCA)"/>
    <s v="Lesión Incapacitante (MOLINCA)"/>
    <s v="Habiéndose cortado la carga de la Línea “B” para la parada semanal del molino, el trabajador Juan Villarroel Rojas junto con el Coordinador de Molino, Fernando Guevara Tuesta, al tener que reprocesar unos sacos de harina provenientes de un atoro de la rosca en el Sótano de esta línea, procedieron a retirar un sector de la tapa de la rosca transportadora para vaciar el producto, y en estas circunstancias el saco de polipropileno es atrapado por las paletas de la rosca, jalando y atrapando el brazo izquierdo del trabajador Juan Villarroel. El Coordinador de Molino, quien se encontraba en el lugar, trabó la rosca con un madero, sacándola fuera de servicio. El Supervisor de Operaciones y brigadistas procedieron a liberar el brazo del trabajador, brindándole los primeros auxilios y evacuándolo al Hospital Víctor Lazarte Echegaray. El trabajador se encuentra internado en dicho hospital, presenta una buena evolución y en evaluación permanente por parte del cuerpo médico."/>
    <s v="BRAZO/HOMBRO"/>
    <m/>
    <m/>
    <x v="3"/>
    <s v="Septiembre"/>
    <n v="6"/>
    <n v="180"/>
    <m/>
    <n v="180"/>
    <d v="1899-12-30T22:45:00"/>
    <m/>
    <m/>
    <x v="69"/>
    <s v="Durante operación productiva"/>
    <s v="Fractura"/>
    <m/>
    <m/>
    <m/>
    <m/>
  </r>
  <r>
    <m/>
    <s v="PROYECTOS"/>
    <m/>
    <s v="Proyectos "/>
    <m/>
    <s v="-"/>
    <s v="-"/>
    <s v="Personal No Alicorp "/>
    <m/>
    <s v="-"/>
    <s v="TERCERO"/>
    <s v="-"/>
    <d v="2012-09-11T00:00:00"/>
    <s v="Lesión incapacitante "/>
    <s v="Lesión incapacitante "/>
    <s v="Siendo las 17:09 hrs del día de hoy acude a Tópico el Sr. Roberto Rivas Prieto, de 51 años, colaborador de MMG Mientras realizaba el desencofrado de una viga de concreto, al intentar retirar una placa de encofrado metálico de 1.20mx0.35m realizó una incorrecta manipulación de la placa de encofrado tomando la placa por la parte inferior. Al momento que la placa fue removida, por la fuerza misma utilizada,  la mano derecha quedó atrapada entre la placa de encofrado y un canal metálico ubicado debajo de la placa de encofrado provocando la lesión. El señor es derivado a la Clínica San Gabriel y se le otorgan 08 días de descanso medico. En la clínica se descarta fractura de dedo._x000a_"/>
    <s v="MANO "/>
    <m/>
    <m/>
    <x v="3"/>
    <s v="Septiembre"/>
    <n v="2"/>
    <n v="8"/>
    <m/>
    <n v="8"/>
    <s v="-"/>
    <m/>
    <m/>
    <x v="70"/>
    <s v="proyectos"/>
    <s v="Atricción"/>
    <m/>
    <m/>
    <m/>
    <m/>
  </r>
  <r>
    <m/>
    <s v="DISTRIBUCION"/>
    <m/>
    <s v="DISTRIBUCIÓN"/>
    <s v="R-MCA-2012-004357"/>
    <s v="-"/>
    <s v="-"/>
    <s v="Personal No Alicorp "/>
    <m/>
    <s v="-"/>
    <s v="TERCERO"/>
    <s v="-"/>
    <d v="2012-09-16T00:00:00"/>
    <s v="Lesión incapacitante "/>
    <s v="Lesión incapacitante "/>
    <s v="El Sr. Lingán había terminado de realizar la tarea de “desenmantar la tolva del camión”, cuando se disponía a bajar de la tolva usando las escaleras cae de una altura aproximada de 2 mt sufriendo un golpe en la cabeza. Se le diagnostica Herida contusa en cabeza. Es trasladado a la clínica San Gabriel "/>
    <s v="CABEZA"/>
    <m/>
    <m/>
    <x v="3"/>
    <s v="Septiembre"/>
    <n v="7"/>
    <n v="10"/>
    <m/>
    <n v="10"/>
    <s v="-"/>
    <m/>
    <m/>
    <x v="14"/>
    <s v="carga/descarga de camión"/>
    <s v="Golpe"/>
    <s v="Caida"/>
    <m/>
    <m/>
    <m/>
  </r>
  <r>
    <m/>
    <s v="DISTRIBUCION"/>
    <m/>
    <s v="DISTRIBUCIÓN"/>
    <s v=" R-PFL-2012-003833"/>
    <s v="Davod Infante Huahualuque"/>
    <n v="20"/>
    <s v="Personal Alicorp "/>
    <s v="M"/>
    <s v="1ro"/>
    <s v="OBRERO CONTRATADO"/>
    <s v="2 semanas"/>
    <d v="2012-10-13T00:00:00"/>
    <s v="Lesión incapacitante "/>
    <s v="Lesión incapacitante "/>
    <s v="Bajaba paquetes de la línea 26 de Fideería, su pie izquierdo fue golpeado por la uña de equipo Traspaleta Eléctrico, cuando el Ayudante Edi Mayuri procedía a retirar el pallet completo de producto terminado."/>
    <s v="PIE"/>
    <m/>
    <m/>
    <x v="3"/>
    <s v="Octubre"/>
    <n v="6"/>
    <n v="3"/>
    <m/>
    <n v="3"/>
    <d v="1899-12-30T13:45:00"/>
    <n v="20651"/>
    <m/>
    <x v="12"/>
    <s v="Durante operación productiva"/>
    <s v="Golpe"/>
    <m/>
    <m/>
    <m/>
    <m/>
  </r>
  <r>
    <m/>
    <s v="GALLETERA LIMA"/>
    <m/>
    <s v="Producción "/>
    <s v=" R-PGL-2012-006334"/>
    <s v="Jose Inoñan"/>
    <n v="21"/>
    <s v="Personal Alicorp "/>
    <s v="M"/>
    <s v="2do"/>
    <s v="CAPAC.LAB.JUVENIL"/>
    <s v="5 meses"/>
    <d v="2012-10-17T00:00:00"/>
    <s v="Lesión incapacitante "/>
    <s v="Lesión incapacitante "/>
    <s v="Siendo las 17:10 horas cuatro operarios intentan mover (acomodar) una paleta cargada con producto que se encontraba mal ubicada en el segundo nivel de un rack en el almacén de frio. Cuando ya estaban por acomodarla esta resbaló y golpeó la mano izquierda de Jose Miguel Inoñan contra el rack causándole una contusión y raspado de la mano izquierda."/>
    <s v="MANO "/>
    <m/>
    <m/>
    <x v="3"/>
    <s v="Octubre"/>
    <n v="3"/>
    <n v="6"/>
    <m/>
    <n v="6"/>
    <d v="1899-12-30T17:10:00"/>
    <n v="20303"/>
    <m/>
    <x v="27"/>
    <s v="Almacenando"/>
    <s v="Golpe"/>
    <m/>
    <m/>
    <m/>
    <m/>
  </r>
  <r>
    <m/>
    <s v="DISTRIBUCION"/>
    <m/>
    <s v="DISTRIBUCIÓN"/>
    <s v="R-DIS-2012-008638"/>
    <s v="-"/>
    <s v="-"/>
    <s v="Personal No Alicorp "/>
    <m/>
    <s v="-"/>
    <s v="TERCERO"/>
    <s v="-"/>
    <d v="2012-10-22T00:00:00"/>
    <s v="Lesión incapacitante "/>
    <s v="Lesión incapacitante "/>
    <s v="Mientras descargaba galleta molida una de las puertas corredizas se desliza atrapando el dedo de la mano derecha , ocasionándole un corte en el pulgar de la maño derecha."/>
    <s v="MANO "/>
    <m/>
    <m/>
    <x v="3"/>
    <s v="Octubre"/>
    <n v="1"/>
    <n v="3"/>
    <m/>
    <n v="3"/>
    <s v="-"/>
    <m/>
    <m/>
    <x v="3"/>
    <s v="Durante operación productiva"/>
    <s v="Corte"/>
    <m/>
    <m/>
    <m/>
    <m/>
  </r>
  <r>
    <m/>
    <s v="OFICINAS ADMINISTRATIVAS"/>
    <m/>
    <s v="ADMINISTRACIÓN"/>
    <m/>
    <s v="-"/>
    <s v="-"/>
    <s v="Personal No Alicorp "/>
    <m/>
    <s v="-"/>
    <s v="TERCERO"/>
    <s v="-"/>
    <d v="2012-11-02T00:00:00"/>
    <s v="Lesión incapacitante "/>
    <s v="Lesión incapacitante "/>
    <s v="Golpe con palo de mopa en los testiculos (LIMTEK)"/>
    <s v="CUERPO"/>
    <m/>
    <m/>
    <x v="3"/>
    <s v="Noviembre"/>
    <n v="5"/>
    <n v="2"/>
    <m/>
    <n v="2"/>
    <s v="-"/>
    <m/>
    <m/>
    <x v="71"/>
    <s v="Limpiando instalaciones"/>
    <s v="Golpe"/>
    <m/>
    <m/>
    <m/>
    <m/>
  </r>
  <r>
    <m/>
    <s v="DISTRIBUCION"/>
    <m/>
    <s v="DISTRIBUCIÓN"/>
    <m/>
    <s v="-"/>
    <s v="-"/>
    <s v="Personal No Alicorp "/>
    <m/>
    <s v="-"/>
    <s v="TERCERO"/>
    <s v="-"/>
    <d v="2012-11-06T00:00:00"/>
    <s v="Lesión incapacitante "/>
    <s v="Lesión incapacitante "/>
    <s v="Aplastamiento de chofer entre dos vehículos (Empresa transporte ELIZ SA)"/>
    <s v="CUERPO"/>
    <m/>
    <m/>
    <x v="3"/>
    <s v="Noviembre"/>
    <n v="2"/>
    <n v="18"/>
    <m/>
    <n v="18"/>
    <s v="-"/>
    <m/>
    <m/>
    <x v="14"/>
    <s v="carga/descarga de camión"/>
    <s v="Atricción"/>
    <m/>
    <m/>
    <m/>
    <m/>
  </r>
  <r>
    <m/>
    <s v="COPSA"/>
    <m/>
    <s v="Almacén Insumos"/>
    <m/>
    <s v="-"/>
    <s v="-"/>
    <s v="Personal No Alicorp "/>
    <m/>
    <s v="-"/>
    <s v="TERCERO"/>
    <s v="-"/>
    <d v="2012-11-14T00:00:00"/>
    <s v="Lesión incapacitante "/>
    <s v="Lesión incapacitante "/>
    <s v="Trauma acústico por voladura bolsa de aire del sistema de suspensión neumática. (ayudante de transporte)"/>
    <s v="CABEZA"/>
    <m/>
    <m/>
    <x v="3"/>
    <s v="Noviembre"/>
    <n v="3"/>
    <n v="2"/>
    <m/>
    <n v="2"/>
    <s v="-"/>
    <m/>
    <m/>
    <x v="14"/>
    <s v="carga/descarga de camión"/>
    <s v="Trauma acustico"/>
    <m/>
    <m/>
    <m/>
    <m/>
  </r>
  <r>
    <m/>
    <s v="COPSA"/>
    <m/>
    <s v="PRODUCCIÓN"/>
    <s v="R-PCO-2012-014420 "/>
    <s v="FIGUEROA CASTILLEJO ELODIA ELIZABETH"/>
    <n v="37"/>
    <s v="Personal Alicorp "/>
    <s v="F"/>
    <s v="3ro"/>
    <s v="OBRERO ESTABLE"/>
    <s v="9 años"/>
    <d v="2012-11-17T00:00:00"/>
    <s v="Lesión incapacitante "/>
    <s v="Lesión incapacitante "/>
    <s v="Torcedura de Tobillo al bajar ultimo peldaño de escalera vesturarios COPSA"/>
    <s v="PIE"/>
    <m/>
    <m/>
    <x v="3"/>
    <s v="Noviembre"/>
    <n v="6"/>
    <n v="25"/>
    <m/>
    <n v="25"/>
    <d v="1899-12-30T03:05:00"/>
    <s v="11251"/>
    <m/>
    <x v="53"/>
    <s v="Trasladandose"/>
    <s v="Esguince"/>
    <m/>
    <m/>
    <m/>
    <m/>
  </r>
  <r>
    <m/>
    <s v="SIDSUR"/>
    <m/>
    <s v="MANTENIMIENTO"/>
    <s v="Sidsur "/>
    <s v="ARISPE CHALCO RONY WARDO"/>
    <n v="30"/>
    <s v="Personal Alicorp "/>
    <s v="M"/>
    <s v="3ro"/>
    <s v="OBRERO ESTABLE"/>
    <s v="3 años"/>
    <d v="2012-11-18T00:00:00"/>
    <s v="Lesión incapacitante "/>
    <s v="Lesión incapacitante "/>
    <s v="Fractura en falange distal dedo medio mano izquierda al intentar levantar molde fideería con desarmador"/>
    <s v="MANO "/>
    <m/>
    <m/>
    <x v="3"/>
    <s v="Noviembre"/>
    <n v="7"/>
    <n v="15"/>
    <m/>
    <n v="15"/>
    <d v="1899-12-30T23:50:00"/>
    <n v="15324"/>
    <m/>
    <x v="26"/>
    <s v="Durante operación productiva"/>
    <s v="Fractura"/>
    <m/>
    <m/>
    <m/>
    <m/>
  </r>
  <r>
    <m/>
    <s v="OFICINAS ADMINISTRATIVAS"/>
    <m/>
    <s v="ADMINISTRACIÓN"/>
    <m/>
    <s v="Analy Troncoso"/>
    <n v="31"/>
    <s v="Personal Alicorp "/>
    <s v="M"/>
    <s v="1ro"/>
    <s v="EMPLEADO ESTABLE"/>
    <s v="9 meses"/>
    <d v="2012-11-20T00:00:00"/>
    <s v="Lesión incapacitante "/>
    <s v="Lesión incapacitante "/>
    <s v="Caída por resbalón por piso mojado goteo aire acondicionado (Ofic.NNAA)"/>
    <s v="CUERPO"/>
    <m/>
    <m/>
    <x v="3"/>
    <s v="Noviembre"/>
    <n v="2"/>
    <n v="7"/>
    <m/>
    <n v="7"/>
    <d v="1899-12-30T11:50:00"/>
    <n v="19929"/>
    <m/>
    <x v="20"/>
    <s v="Trasladandose"/>
    <s v="Golpe"/>
    <s v="Caida"/>
    <m/>
    <m/>
    <m/>
  </r>
  <r>
    <m/>
    <s v="NUTRICION ANIMAL TRUJILLO "/>
    <m/>
    <s v="Producción "/>
    <s v="R-NAT-2012-004082"/>
    <s v="PLASENCIA LEON CARLOS ENRIQUE"/>
    <n v="31"/>
    <s v="Personal Alicorp "/>
    <s v="M"/>
    <s v="3ro"/>
    <s v="OBRERO CONTRATADO"/>
    <s v="5 meses"/>
    <d v="2012-11-23T00:00:00"/>
    <s v="Lesión incapacitante "/>
    <s v="Lesión incapacitante "/>
    <s v="Pérdida falange en limpieza interna del enfriador."/>
    <s v="MANO "/>
    <m/>
    <m/>
    <x v="3"/>
    <s v="Noviembre"/>
    <n v="5"/>
    <n v="60"/>
    <n v="400"/>
    <n v="460"/>
    <d v="1899-12-30T23:30:00"/>
    <n v="20534"/>
    <m/>
    <x v="55"/>
    <s v="Limpiando equipo"/>
    <s v="Pérdida Falanges"/>
    <m/>
    <m/>
    <m/>
    <m/>
  </r>
  <r>
    <m/>
    <s v="NUTRICION ANIMAL TRUJILLO "/>
    <m/>
    <s v="Producción "/>
    <s v="R-NAT-2012-004083"/>
    <s v="RIVASPLATA CUEVA CESAR RAUL"/>
    <n v="41"/>
    <s v="Personal Alicorp "/>
    <s v="M"/>
    <s v="2do"/>
    <s v="OBRERO CONTRATADO"/>
    <m/>
    <d v="2012-11-23T00:00:00"/>
    <s v="Lesión incapacitante "/>
    <s v="Lesión incapacitante "/>
    <s v="Caída por saco roto "/>
    <s v="PIERNA"/>
    <m/>
    <m/>
    <x v="3"/>
    <s v="Noviembre"/>
    <n v="5"/>
    <n v="7"/>
    <m/>
    <n v="7"/>
    <d v="1899-12-30T15:20:00"/>
    <n v="20132"/>
    <m/>
    <x v="21"/>
    <s v="Durante operación productiva"/>
    <s v="Esguince"/>
    <m/>
    <m/>
    <m/>
    <m/>
  </r>
  <r>
    <m/>
    <s v="DETERGENTES"/>
    <m/>
    <s v="Producción "/>
    <s v="Detergentes"/>
    <s v="Carlos Guzman de la Cruz"/>
    <n v="32"/>
    <s v="Personal Alicorp "/>
    <s v="M"/>
    <s v="2do"/>
    <s v="OBRERO ESTABLE"/>
    <s v="2 años"/>
    <d v="2012-12-11T00:00:00"/>
    <s v="Lesión incapacitante "/>
    <s v="Lesión incapacitante "/>
    <s v="operando el Traspaleta eléctrico en retroceso impactando contra una paleta llena de insumos sólidos golpeándose parte del pecho contra el manubrio del timón del Traspaleta eléctrico"/>
    <s v="CUERPO"/>
    <m/>
    <m/>
    <x v="3"/>
    <s v="Diciembre"/>
    <n v="2"/>
    <n v="7"/>
    <m/>
    <n v="7"/>
    <d v="1899-12-30T03:00:00"/>
    <n v="17506"/>
    <m/>
    <x v="12"/>
    <s v="Transitando"/>
    <s v="Golpe"/>
    <m/>
    <m/>
    <m/>
    <m/>
  </r>
  <r>
    <m/>
    <s v="COPSA"/>
    <m/>
    <s v="Producción "/>
    <s v="Copsa "/>
    <s v="GOMEZ LEZAMA FERNANDO LUIS"/>
    <n v="21"/>
    <s v="Personal Alicorp "/>
    <s v="M"/>
    <s v="3ro"/>
    <s v="OBRERO ESTABLE"/>
    <s v="14 meses"/>
    <d v="2012-12-12T00:00:00"/>
    <s v="Lesión incapacitante "/>
    <s v="Lesión incapacitante "/>
    <s v="desplazando con prisa para desatorar la tolva de tapas de la máquina y es ahí cuando se resbala y al tratar de sujetarse del eje de las bobinas para no caerse, no logra hacerlo y su brazo entra en contacto con el eje que sobresale de la máquina y le produce el corte.  "/>
    <s v="BRAZO/HOMBRO"/>
    <m/>
    <m/>
    <x v="3"/>
    <s v="Diciembre "/>
    <n v="3"/>
    <n v="26"/>
    <m/>
    <n v="26"/>
    <d v="1899-12-30T05:10:00"/>
    <n v="19280"/>
    <m/>
    <x v="3"/>
    <s v="Durante operación productiva"/>
    <s v="Golpe"/>
    <m/>
    <m/>
    <m/>
    <m/>
  </r>
  <r>
    <m/>
    <s v="DETERGENTES"/>
    <m/>
    <s v="Producción "/>
    <s v="Detergentes"/>
    <s v="CARHUAPOMA PALMA GIAN CARLOS MANUEL"/>
    <n v="26"/>
    <s v="Personal Alicorp "/>
    <s v="M"/>
    <s v="3ro"/>
    <s v="OBRERO CONTRATADO"/>
    <s v="1.5 años"/>
    <d v="2012-12-31T00:00:00"/>
    <s v="Lesión incapacitante "/>
    <s v="Lesión incapacitante "/>
    <s v="operando el Traspaleta eléctrico luego de dejar una ruma de paletas vacías y mirar hacia atrás retrocede justo en momentos que el envasador bordea su paleta para revisarla golpeándolo en la pierna izquierda."/>
    <s v="PIERNA"/>
    <m/>
    <m/>
    <x v="3"/>
    <s v="Diciembre"/>
    <n v="1"/>
    <n v="11"/>
    <m/>
    <n v="11"/>
    <d v="1899-12-30T02:15:00"/>
    <n v="18803"/>
    <m/>
    <x v="12"/>
    <s v="Transitando"/>
    <s v="Golpe"/>
    <m/>
    <m/>
    <m/>
    <m/>
  </r>
  <r>
    <s v="si"/>
    <s v="TEAL"/>
    <m/>
    <s v="PRODUCCIÓN"/>
    <m/>
    <s v="Jose Tapia Cuchi "/>
    <n v="39"/>
    <s v="Maquinista"/>
    <s v="M"/>
    <s v="3ro "/>
    <s v="OBRERO ESTABLE"/>
    <s v="12 años"/>
    <s v="20/01/16_x000a_01:30 "/>
    <s v="Accidente Incapacitante"/>
    <s v="Parcial Temporal "/>
    <s v="Corte en dedo por manipulacion de galleta atrapada en máquina en movimiento"/>
    <s v="MANO "/>
    <m/>
    <m/>
    <x v="4"/>
    <s v="Enero"/>
    <m/>
    <n v="21"/>
    <m/>
    <n v="21"/>
    <m/>
    <m/>
    <m/>
    <x v="16"/>
    <s v="Durante operación productiva"/>
    <s v="Corte"/>
    <m/>
    <m/>
    <m/>
    <m/>
  </r>
  <r>
    <s v="si"/>
    <s v="GLOBAL"/>
    <m/>
    <s v="GLOBAL"/>
    <m/>
    <s v="Palacios Quispe Nancy Justina_x000a_"/>
    <n v="33"/>
    <s v="TERCERO"/>
    <s v="F"/>
    <s v="1ro"/>
    <s v="X"/>
    <s v="4 meses"/>
    <s v="09/01/2016_x000a_08:00"/>
    <s v="Accidente Incapacitante"/>
    <s v="Parcial Temporal "/>
    <s v="Irritación ojo izquierdo por salpicadura de Topax "/>
    <s v="OJO"/>
    <m/>
    <m/>
    <x v="4"/>
    <s v="Enero"/>
    <m/>
    <n v="1"/>
    <m/>
    <n v="1"/>
    <m/>
    <m/>
    <m/>
    <x v="72"/>
    <s v="Limpiando instalaciones"/>
    <s v="Contacto S.Quimica"/>
    <m/>
    <m/>
    <s v="MAN POWER"/>
    <m/>
  </r>
  <r>
    <s v="si"/>
    <s v="GLOBAL"/>
    <m/>
    <s v="GLOBAL"/>
    <m/>
    <s v="Cóndor Vega Jefferson Raul_x000a_"/>
    <n v="24"/>
    <s v="TERCERO "/>
    <s v="M"/>
    <s v="3ro"/>
    <s v="X"/>
    <s v="4 meses"/>
    <s v="12/01/2016  _x000a_23:00"/>
    <s v="Accidente Incapacitante"/>
    <s v="Parcial Temporal "/>
    <s v="Quemaduras de II y III grado en rostro y brazos, queratitis térmica al instalar un contactor en un tablero energizado "/>
    <s v="CUERPO"/>
    <m/>
    <m/>
    <x v="4"/>
    <s v="Enero"/>
    <m/>
    <n v="80"/>
    <m/>
    <n v="80"/>
    <m/>
    <m/>
    <m/>
    <x v="49"/>
    <s v="Mantenimiento"/>
    <s v="Quemadura Electrica"/>
    <m/>
    <m/>
    <s v="MAN POWER"/>
    <s v="X"/>
  </r>
  <r>
    <s v="si"/>
    <s v="GLOBAL"/>
    <m/>
    <s v="GLOBAL"/>
    <m/>
    <s v="Oscar Ramirez Carhuas_x000a_"/>
    <n v="43"/>
    <s v="TERCERO "/>
    <s v="M"/>
    <s v="1ro"/>
    <s v="X"/>
    <s v="4 años"/>
    <d v="2016-01-16T00:00:00"/>
    <s v="Accidente Incapacitante"/>
    <s v="Parcial Temporal "/>
    <s v="Herida cortante índice mano izquierda por aprisionamiento con compuerta durante acomodo de equipo"/>
    <s v="MANO "/>
    <m/>
    <m/>
    <x v="4"/>
    <s v="Enero"/>
    <m/>
    <n v="47"/>
    <m/>
    <n v="47"/>
    <m/>
    <m/>
    <m/>
    <x v="25"/>
    <s v="Durante operación productiva"/>
    <s v="Corte"/>
    <m/>
    <m/>
    <s v="MAN POWER"/>
    <s v="X"/>
  </r>
  <r>
    <s v="si"/>
    <s v="GLOBAL"/>
    <m/>
    <s v="GLOBAL"/>
    <m/>
    <s v="Milagros Martinez Berrocal_x000a_"/>
    <n v="29"/>
    <s v="TERCERO"/>
    <s v="F"/>
    <s v="1ro"/>
    <s v="X"/>
    <s v="1 año 9 meses"/>
    <s v="26/01/2016_x000a_7:05 "/>
    <s v="Accidente Incapacitante"/>
    <s v="Parcial Temporal "/>
    <s v="Corte en mano derecha contacto con faja en movimiento "/>
    <s v="MANO "/>
    <m/>
    <m/>
    <x v="4"/>
    <s v="Enero"/>
    <m/>
    <n v="13"/>
    <m/>
    <n v="13"/>
    <m/>
    <m/>
    <m/>
    <x v="22"/>
    <s v="Durante operación productiva"/>
    <s v="Corte"/>
    <m/>
    <m/>
    <s v="MAN POWER"/>
    <m/>
  </r>
  <r>
    <s v="si"/>
    <s v="OTROS"/>
    <m/>
    <s v="OTROS"/>
    <s v="SID7272"/>
    <s v="Robert Perez Argadoña"/>
    <n v="47"/>
    <s v="TERCERO"/>
    <s v="M"/>
    <s v="3ro"/>
    <s v="X"/>
    <s v="4 meses en Alicorp"/>
    <s v="05/02/2016_x000a_03:30 am"/>
    <s v="Accidente Incapacitante"/>
    <s v="Parcial Temporal "/>
    <s v="Golpe en el hombro por caída a desnivel desde muelle de patio de CDA SIDSUR"/>
    <s v="BRAZO/HOMBRO"/>
    <m/>
    <m/>
    <x v="4"/>
    <s v="febrero"/>
    <m/>
    <n v="20"/>
    <m/>
    <n v="20"/>
    <m/>
    <m/>
    <m/>
    <x v="8"/>
    <s v="Trasladandose a pie"/>
    <s v="Fractura"/>
    <m/>
    <m/>
    <s v="PROSERGUR"/>
    <m/>
  </r>
  <r>
    <s v="si"/>
    <s v="JABONERÍA"/>
    <m/>
    <s v="MANTENIMIENTO"/>
    <s v="JAB6881"/>
    <s v="Joel Hancco Huaman"/>
    <n v="19"/>
    <s v="TERCERO"/>
    <s v="M"/>
    <s v="1ro"/>
    <s v="X"/>
    <s v="10 meses"/>
    <d v="2016-01-11T00:00:00"/>
    <s v="Accidente Incapacitante"/>
    <s v="Parcial Temporal "/>
    <s v="Quemadura de 2° grado durante purga de tubería de vapor. Por manipulación del tapón de tubería."/>
    <s v="PIERNA"/>
    <m/>
    <m/>
    <x v="4"/>
    <s v="Enero"/>
    <m/>
    <n v="15"/>
    <m/>
    <n v="15"/>
    <m/>
    <m/>
    <m/>
    <x v="73"/>
    <s v="proyectos"/>
    <s v="Quemadura"/>
    <m/>
    <m/>
    <s v="EDIN"/>
    <m/>
  </r>
  <r>
    <s v="si"/>
    <s v="INSTANTANEOS"/>
    <m/>
    <s v="PRODUCCIÓN"/>
    <s v="PGL6895"/>
    <s v="Heggar Tafur Chocano "/>
    <n v="40"/>
    <s v="Operario de Producción"/>
    <s v="M"/>
    <s v="1ro"/>
    <s v="OBRERO ESTABLE"/>
    <s v="8 años 7 meses"/>
    <s v="17/01/2016_x000a_10:50"/>
    <s v="Accidente Incapacitante"/>
    <s v="Parcial Temporal "/>
    <s v="Durante limpieza de equipo cae una puerta a la altura de la ceja izquierda del colaborador. Lesión policontusa en la cabeza"/>
    <s v="CABEZA"/>
    <m/>
    <m/>
    <x v="4"/>
    <s v="Enero"/>
    <m/>
    <n v="8"/>
    <m/>
    <n v="8"/>
    <m/>
    <m/>
    <m/>
    <x v="25"/>
    <s v="Limpiando equipo"/>
    <s v="Golpe"/>
    <m/>
    <m/>
    <m/>
    <m/>
  </r>
  <r>
    <s v="si"/>
    <s v="JABONERÍA"/>
    <m/>
    <s v="PRODUCCIÓN"/>
    <s v="JAB6907"/>
    <s v="Esteban Garcia Narciso"/>
    <n v="41"/>
    <s v="Operador Lavanderia "/>
    <s v="M"/>
    <s v="2do"/>
    <s v="OBRERO ESTABLE"/>
    <s v="8 años"/>
    <s v="20/01/2016_x000a_20:00"/>
    <s v="Accidente Incapacitante"/>
    <s v="Parcial Temporal "/>
    <s v="Golpe en la mano izquierda al intentar cambiar pieza en maquina cortadora en Equipo "/>
    <s v="MANO "/>
    <m/>
    <m/>
    <x v="4"/>
    <s v="Enero"/>
    <m/>
    <n v="28"/>
    <m/>
    <n v="28"/>
    <m/>
    <m/>
    <m/>
    <x v="25"/>
    <s v="Mantenimiento"/>
    <s v="Golpe"/>
    <m/>
    <m/>
    <m/>
    <m/>
  </r>
  <r>
    <s v="si"/>
    <s v="DETERGENTES"/>
    <m/>
    <s v="PRODUCCIÓN"/>
    <s v="DET6978"/>
    <s v="Elias Olivo Grijalva"/>
    <n v="27"/>
    <s v="Ayudante de planta"/>
    <s v="M"/>
    <s v="1ro"/>
    <s v="OBRERO CONTRATADO"/>
    <s v="2 semanas"/>
    <s v="03/02/2016_x000a_13:00"/>
    <s v="Accidente Incapacitante"/>
    <s v="Parcial Temporal "/>
    <s v="Esquince en el tobillo izquierdo al bajar de Big Bag y pisar sobre una parihuela durante izaje con cadena del tecle. "/>
    <s v="PIE"/>
    <m/>
    <m/>
    <x v="4"/>
    <s v="febrero"/>
    <m/>
    <n v="23"/>
    <m/>
    <n v="23"/>
    <m/>
    <m/>
    <m/>
    <x v="8"/>
    <s v="Durante operación productiva"/>
    <s v="Esguince"/>
    <m/>
    <m/>
    <m/>
    <m/>
  </r>
  <r>
    <s v="si"/>
    <s v="CDC"/>
    <m/>
    <s v="DISTRIBUCIÓN"/>
    <s v="DIS6985"/>
    <s v="Marcos Castillo Zapata"/>
    <n v="23"/>
    <s v="Ayudante de almacén B"/>
    <s v="M"/>
    <s v="2do"/>
    <s v="OBRERO CONTRATADO"/>
    <s v="1.5 años"/>
    <s v="09/02/2016_x000a_19:18"/>
    <s v="Accidente Incapacitante"/>
    <s v="Parcial Temporal "/>
    <s v="Corte en tobillo derecho, por aprisión entre base de estantería y plataforma de ERE714 al bajar del equipo en movimiento,"/>
    <s v="PIE"/>
    <m/>
    <m/>
    <x v="4"/>
    <s v="febrero"/>
    <m/>
    <n v="10"/>
    <m/>
    <n v="10"/>
    <m/>
    <m/>
    <m/>
    <x v="12"/>
    <s v="Manejando traspaleta/Montacarga"/>
    <s v="Golpe"/>
    <m/>
    <m/>
    <m/>
    <m/>
  </r>
  <r>
    <m/>
    <s v="CDC"/>
    <m/>
    <s v="DISTRIBUCIÓN"/>
    <m/>
    <s v="Leonardo Carrasco Benavides"/>
    <n v="56"/>
    <s v="TERCERO"/>
    <s v="M"/>
    <n v="1"/>
    <s v="EMPLEADO ESTABLE"/>
    <s v="1 año 3 meses"/>
    <d v="2016-04-04T15:20:00"/>
    <s v="Accidente Incapacitante"/>
    <s v="Parcial Temporal "/>
    <s v="Pierde el control del vehículo y colisiona con un auto estacionado quedando policontuso "/>
    <s v="CUERPO"/>
    <m/>
    <m/>
    <x v="4"/>
    <s v="Abril"/>
    <m/>
    <n v="3"/>
    <m/>
    <n v="3"/>
    <m/>
    <m/>
    <m/>
    <x v="74"/>
    <s v="Manejando Camioneta"/>
    <s v="Golpe"/>
    <m/>
    <m/>
    <m/>
    <m/>
  </r>
  <r>
    <m/>
    <s v="GLOBAL"/>
    <m/>
    <s v="GLOBAL"/>
    <m/>
    <s v="Rimachi Jorge, Florencio_x000a_"/>
    <n v="42"/>
    <s v="TERCERO"/>
    <s v="M"/>
    <n v="2"/>
    <s v="X"/>
    <s v="9 meses"/>
    <d v="2016-03-31T21:50:00"/>
    <s v="Accidente Incapacitante"/>
    <s v="Parcial Temporal"/>
    <s v="Cabeza choca con el drenaje del tubo del secador, ocasionándole este un corte."/>
    <s v="CABEZA"/>
    <m/>
    <m/>
    <x v="4"/>
    <s v="Marzo"/>
    <m/>
    <n v="8"/>
    <m/>
    <n v="8"/>
    <m/>
    <m/>
    <m/>
    <x v="17"/>
    <s v="Durante operación productiva"/>
    <s v="Golpe"/>
    <m/>
    <m/>
    <s v="MAN POWER"/>
    <m/>
  </r>
  <r>
    <m/>
    <s v="CDC"/>
    <m/>
    <s v="DISTRIBUCIÓN"/>
    <m/>
    <s v="Lady Burgos "/>
    <n v="27"/>
    <s v="Jefe de Turno"/>
    <s v="F"/>
    <n v="1"/>
    <s v="EMPLEADO ESTABLE"/>
    <s v="1 año 7 mese"/>
    <d v="2016-03-16T07:10:00"/>
    <s v="Accidente Incapacitante"/>
    <s v="Parcial Temporal"/>
    <s v="Sufre doblatura a la altura del tobillo y cae sentada apoyando las manos en las gradas de la escalera frente al CDC."/>
    <s v="PIE"/>
    <m/>
    <m/>
    <x v="4"/>
    <s v="Marzo"/>
    <m/>
    <n v="4"/>
    <m/>
    <n v="4"/>
    <m/>
    <m/>
    <m/>
    <x v="53"/>
    <s v="Trasladandose a pie"/>
    <s v="Esguince"/>
    <m/>
    <m/>
    <m/>
    <m/>
  </r>
  <r>
    <m/>
    <s v="MOLINCA"/>
    <m/>
    <s v="PRODUCCIÓN"/>
    <m/>
    <s v="Edison Altamirano León"/>
    <n v="29"/>
    <s v="Operador de empaque"/>
    <s v="M"/>
    <n v="2"/>
    <s v="OBRERO CONTRATADO"/>
    <s v="1 mes 12 días"/>
    <d v="2016-03-18T03:35:00"/>
    <s v="Accidente Incapacitante"/>
    <s v="Parcial Permanente"/>
    <s v="Perdida falange del dedo medio de la mano derecha queda atrapado contra el tobogán mientras realizaba el alimentado."/>
    <s v="MANO "/>
    <m/>
    <m/>
    <x v="4"/>
    <s v="Marzo"/>
    <m/>
    <n v="59"/>
    <n v="75"/>
    <n v="134"/>
    <m/>
    <m/>
    <m/>
    <x v="25"/>
    <s v="Durante operación productiva"/>
    <s v="Perdida Falange"/>
    <m/>
    <m/>
    <m/>
    <m/>
  </r>
  <r>
    <m/>
    <s v="JABONERÍA"/>
    <m/>
    <s v="PRODUCCIÓN"/>
    <m/>
    <s v="Johan Rojas Quispe"/>
    <n v="37"/>
    <s v="Preparación de Ingredientes"/>
    <s v="M"/>
    <n v="3"/>
    <s v="OBRERO ESTABLE"/>
    <s v="2 meses"/>
    <d v="2016-03-02T23:05:00"/>
    <s v="Accidente Incapacitante"/>
    <s v="Parcial Temporal"/>
    <s v="Le salpica jabón preparado cuando Se acercó a la tapa superior del tanque pulmón para ver si había obstrucción"/>
    <s v="OJO"/>
    <m/>
    <m/>
    <x v="4"/>
    <s v="Marzo"/>
    <m/>
    <n v="8"/>
    <m/>
    <n v="8"/>
    <m/>
    <m/>
    <m/>
    <x v="75"/>
    <s v="Durante operación productiva"/>
    <s v="Quemadura"/>
    <m/>
    <m/>
    <m/>
    <m/>
  </r>
  <r>
    <m/>
    <s v="GLOBAL"/>
    <m/>
    <s v="GLOBAL"/>
    <m/>
    <s v="Yauli Cuadros, Moises Lee_x000a_"/>
    <n v="21"/>
    <s v="TERCERO"/>
    <s v="M"/>
    <n v="2"/>
    <s v="X"/>
    <s v="1 año"/>
    <d v="2016-04-23T00:00:00"/>
    <s v="Accidente Incapacitante"/>
    <s v="Parcial Temporal"/>
    <s v="Corte de uña de dedo índice izquierdo durante reparación de máquina envasadora."/>
    <s v="MANO "/>
    <m/>
    <m/>
    <x v="4"/>
    <s v="Abril"/>
    <m/>
    <n v="7"/>
    <m/>
    <n v="7"/>
    <m/>
    <m/>
    <m/>
    <x v="25"/>
    <s v="Mantenimiento"/>
    <s v="Golpe"/>
    <m/>
    <m/>
    <s v="MAN POWER"/>
    <m/>
  </r>
  <r>
    <m/>
    <s v="NUTRICION ANIMAL TRUJILLO "/>
    <m/>
    <s v="VITAPRO"/>
    <m/>
    <s v="Espino Leyva, Creisaan "/>
    <n v="37"/>
    <s v="TERCERO"/>
    <s v="M"/>
    <s v="1ro"/>
    <s v="X"/>
    <s v="3 años"/>
    <d v="2016-04-07T00:00:00"/>
    <s v="Accidente Incapacitante"/>
    <s v="Total temporal "/>
    <s v="Caída desde 2.5 metros por trabajos de hermetización en el almacén de materias primas provoca fractura de vértebra lumbar 1 "/>
    <s v="CUERPO"/>
    <m/>
    <m/>
    <x v="4"/>
    <s v="Abril"/>
    <m/>
    <n v="238"/>
    <m/>
    <n v="238"/>
    <m/>
    <m/>
    <m/>
    <x v="8"/>
    <s v="Mantenimiento"/>
    <s v="Golpe"/>
    <m/>
    <m/>
    <s v="SGOC"/>
    <s v="X"/>
  </r>
  <r>
    <m/>
    <s v="GLOBAL"/>
    <m/>
    <s v="GLOBAL"/>
    <m/>
    <s v="Victor Lizano Beltrán_x000a_"/>
    <n v="35"/>
    <s v="TERCERO"/>
    <s v="M"/>
    <s v="3er "/>
    <s v="X"/>
    <s v="2 años"/>
    <d v="2016-05-26T00:00:00"/>
    <s v="Accidente Incapacitante "/>
    <s v="Parcial Temporal "/>
    <s v="Contusión rodilla derecha cuando la pierna del supervisor cae en el espacio entre la plataforma de los multicabezales y la plataforma de tránsito "/>
    <s v="PIERNA"/>
    <m/>
    <m/>
    <x v="4"/>
    <s v="Mayo"/>
    <m/>
    <n v="6"/>
    <m/>
    <n v="6"/>
    <m/>
    <m/>
    <m/>
    <x v="17"/>
    <s v="Durante operación productiva"/>
    <s v="Golpe"/>
    <m/>
    <m/>
    <s v="MAN POWER"/>
    <m/>
  </r>
  <r>
    <m/>
    <s v="GLOBAL"/>
    <m/>
    <s v="GLOBAL"/>
    <m/>
    <s v="Ángela Viera Gutierrez_x000a_"/>
    <n v="43"/>
    <s v="Operador de Secado "/>
    <s v="F "/>
    <s v="3er "/>
    <s v="OBRERO CONTRATADO"/>
    <s v="1 año 7 mese"/>
    <d v="2016-05-16T00:00:00"/>
    <s v="Accidente Incapacitante "/>
    <s v="Parcial Temporal "/>
    <s v="Corte y golpe de la mano derecha durante la limpieza del mezclador al no esperar que pare la "/>
    <s v="MANO "/>
    <m/>
    <m/>
    <x v="4"/>
    <s v="Mayo"/>
    <m/>
    <n v="138"/>
    <m/>
    <n v="138"/>
    <m/>
    <m/>
    <m/>
    <x v="16"/>
    <s v="Limpiando equipo"/>
    <s v="Corte"/>
    <m/>
    <m/>
    <m/>
    <m/>
  </r>
  <r>
    <m/>
    <s v="GLOBAL"/>
    <m/>
    <s v="GLOBAL"/>
    <m/>
    <s v="Carbajal Gutiérrez Junior_x000a_"/>
    <n v="21"/>
    <s v="TERCERO"/>
    <s v="M"/>
    <s v="2ndo"/>
    <s v="X"/>
    <s v="32 días"/>
    <d v="2016-05-02T00:00:00"/>
    <s v="Accidente Incapacitante "/>
    <s v="Parcial Temporal "/>
    <s v="Golpe en la rodilla al pierna entre entre la plataforma y la envasadora "/>
    <s v="PIERNA"/>
    <m/>
    <m/>
    <x v="4"/>
    <s v="Mayo"/>
    <m/>
    <n v="2"/>
    <m/>
    <n v="2"/>
    <m/>
    <m/>
    <m/>
    <x v="17"/>
    <s v="Durante operación productiva"/>
    <s v="Golpe"/>
    <m/>
    <m/>
    <s v="MAN POWER"/>
    <m/>
  </r>
  <r>
    <m/>
    <s v="BSF PUNTA HERMOSA"/>
    <m/>
    <s v="DISTRIBUCIÓN"/>
    <m/>
    <s v="Valera Chumpitaz, Raúl_x000a_"/>
    <n v="40"/>
    <s v="TERCERO"/>
    <s v="M"/>
    <s v="1ero"/>
    <s v="X"/>
    <s v="5 años"/>
    <d v="2016-05-03T00:00:00"/>
    <s v="Accidente Incapacitante"/>
    <s v="Parcial Temporal "/>
    <s v="Golpe de montacarga a persona, mientra esta caminaba cerca de la línea peatonal en zona colindante al almacen ALICORP. "/>
    <s v="PIERNA"/>
    <m/>
    <m/>
    <x v="4"/>
    <s v="Mayo"/>
    <m/>
    <n v="12"/>
    <m/>
    <n v="12"/>
    <m/>
    <m/>
    <m/>
    <x v="76"/>
    <s v="Manejando traspaleta/Montacarga"/>
    <s v="Golpe"/>
    <m/>
    <m/>
    <s v="AGENTE SERGURIDAD (ITSANET PERU)"/>
    <m/>
  </r>
  <r>
    <m/>
    <s v="OTROS"/>
    <m/>
    <s v="OTROS"/>
    <m/>
    <s v="Susana Tello"/>
    <n v="40"/>
    <s v="Supervisor Instrumentos Financieros"/>
    <s v="F"/>
    <s v="1ero"/>
    <s v="EMPLEADO ESTABLE"/>
    <s v="2 años"/>
    <d v="2016-05-13T00:00:00"/>
    <s v="Accidente Incapacitante"/>
    <s v="Parcial Temporal "/>
    <s v="Esguince en el tobillo por caída en escalera frente a Consumo Masivo "/>
    <s v="PIE"/>
    <m/>
    <m/>
    <x v="4"/>
    <s v="Mayo"/>
    <m/>
    <n v="25"/>
    <m/>
    <n v="25"/>
    <m/>
    <m/>
    <m/>
    <x v="53"/>
    <s v="Trasladandose a pie"/>
    <s v="Golpe"/>
    <m/>
    <m/>
    <m/>
    <m/>
  </r>
  <r>
    <m/>
    <s v="NUTRICION ANIMAL TRUJILLO "/>
    <m/>
    <s v="VITAPRO"/>
    <m/>
    <s v="Richard Mejia _x000a_"/>
    <n v="48"/>
    <s v="Operador de Quebrantadora"/>
    <s v="M"/>
    <s v="2ndo"/>
    <s v="OBRERO ESTABLE"/>
    <s v="6 años"/>
    <d v="2016-05-22T00:00:00"/>
    <s v="Accidente Incapacitante"/>
    <s v="Parcial Temporal "/>
    <s v="Fractura dedo pulgar mano izquierda durante el desatoro de Envasadora automática KR "/>
    <s v="MANO "/>
    <m/>
    <m/>
    <x v="4"/>
    <s v="Mayo"/>
    <m/>
    <n v="56"/>
    <m/>
    <n v="56"/>
    <m/>
    <m/>
    <m/>
    <x v="25"/>
    <s v="Durante operación productiva"/>
    <s v="Fractura"/>
    <m/>
    <m/>
    <m/>
    <m/>
  </r>
  <r>
    <m/>
    <s v="COPSA"/>
    <m/>
    <s v="ALMACEN DE INSUMOS "/>
    <s v="PCO7534"/>
    <s v="Gustavo Luis Mendoza Martinez"/>
    <n v="27"/>
    <s v="Operario de Almacén"/>
    <s v="M"/>
    <n v="1"/>
    <s v="OBRERO CONTRATADO"/>
    <s v="7 meses"/>
    <d v="2016-06-08T00:00:00"/>
    <s v="Accidente Incapacitante"/>
    <s v="Parcial Temporal "/>
    <s v="Fractura en la parte superior del dedo anular manipulando cilindros de insumos"/>
    <s v="MANO "/>
    <m/>
    <m/>
    <x v="4"/>
    <s v="Junio"/>
    <m/>
    <n v="20"/>
    <m/>
    <n v="20"/>
    <m/>
    <m/>
    <m/>
    <x v="77"/>
    <s v="Manipulando materiales"/>
    <s v="Fractura"/>
    <m/>
    <m/>
    <m/>
    <m/>
  </r>
  <r>
    <m/>
    <s v="ADMINISTRACIÓN"/>
    <m/>
    <s v="ADMINISTRACIÓN"/>
    <m/>
    <s v="Miker Tapullima Yahuarcani _x000a_"/>
    <n v="22"/>
    <s v="TERCERO"/>
    <s v="M"/>
    <n v="2"/>
    <s v="X"/>
    <s v="7 meses"/>
    <d v="2016-06-11T00:00:00"/>
    <s v="Accidente Incapacitante"/>
    <s v="Parcial Temporal "/>
    <s v="Atricción del torax al caerle bolson de fideeos para moler al empujar stocka"/>
    <s v="CUERPO"/>
    <m/>
    <m/>
    <x v="4"/>
    <s v="Junio"/>
    <m/>
    <n v="1"/>
    <m/>
    <n v="1"/>
    <m/>
    <m/>
    <m/>
    <x v="44"/>
    <s v="Manipulando materiales"/>
    <s v="Atricción"/>
    <m/>
    <m/>
    <s v="TRASVIDA"/>
    <m/>
  </r>
  <r>
    <m/>
    <s v="DETERGENTES"/>
    <m/>
    <s v="ALMACEN DE INSUMOS "/>
    <m/>
    <s v="Reynaldo Malpartida Lopez"/>
    <n v="62"/>
    <s v="TERCERO"/>
    <s v="M"/>
    <n v="2"/>
    <s v="X"/>
    <m/>
    <d v="2016-06-13T00:00:00"/>
    <s v="Accidente Incapacitante"/>
    <s v="Parcial Temporal "/>
    <s v="Caida al bajar de camión cisterna de Sulfónico luego de descargar"/>
    <s v="CABEZA"/>
    <m/>
    <m/>
    <x v="4"/>
    <s v="Junio"/>
    <m/>
    <n v="29"/>
    <m/>
    <n v="29"/>
    <m/>
    <m/>
    <m/>
    <x v="14"/>
    <s v="carga/descarga de camión"/>
    <s v="Caida"/>
    <m/>
    <m/>
    <m/>
    <m/>
  </r>
  <r>
    <m/>
    <s v="ADMINISTRACIÓN"/>
    <m/>
    <s v="ADMINISTRACIÓN"/>
    <m/>
    <s v="Juan Miguel Ortiz Uzuriaga_x000a_"/>
    <n v="36"/>
    <s v="TERCERO"/>
    <s v="M"/>
    <n v="1"/>
    <s v="X"/>
    <s v="7 meses"/>
    <d v="2016-06-16T00:00:00"/>
    <s v="Accidente Incapacitante"/>
    <s v="Parcial Temporal "/>
    <s v="Golpe en la nariz al caer sobre baranda de escalera frente a mensajeria"/>
    <s v="CABEZA"/>
    <m/>
    <m/>
    <x v="4"/>
    <s v="Junio"/>
    <m/>
    <n v="2"/>
    <m/>
    <n v="2"/>
    <m/>
    <m/>
    <m/>
    <x v="53"/>
    <s v="Trasladandose a pie"/>
    <s v="Fractura"/>
    <m/>
    <m/>
    <s v="PROSEGUR"/>
    <m/>
  </r>
  <r>
    <m/>
    <s v="SIDSUR"/>
    <m/>
    <s v="DISTRIBUCIÓN"/>
    <m/>
    <s v="Hachiri Chancayauri, Huber_x000a_"/>
    <n v="19"/>
    <s v="Aprendiz de Operario en Logística y Almacenes"/>
    <s v="M"/>
    <n v="3"/>
    <s v="APRENDIZ"/>
    <s v="1 mes"/>
    <d v="2016-06-17T00:00:00"/>
    <s v="Accidente Incapacitante"/>
    <s v="Parcial Temporal "/>
    <s v="Fractura en la tibia pierna derecha al retroceder el ERE y chocar contra otro en retroceso con pierna abajo accionando el equipo por error"/>
    <s v="PIERNA"/>
    <m/>
    <m/>
    <x v="4"/>
    <s v="Junio"/>
    <m/>
    <n v="106"/>
    <m/>
    <n v="106"/>
    <m/>
    <m/>
    <m/>
    <x v="12"/>
    <s v="Manejando traspaleta/Montacarga"/>
    <s v="Fractura"/>
    <m/>
    <m/>
    <m/>
    <m/>
  </r>
  <r>
    <m/>
    <s v="NUTRICION ANIMAL TRUJILLO "/>
    <m/>
    <s v="VITAPRO"/>
    <m/>
    <s v="Geremias Caushi Toledo "/>
    <n v="25"/>
    <s v="TERCERO"/>
    <s v="M"/>
    <n v="2"/>
    <s v="X"/>
    <s v="25 años"/>
    <d v="2016-06-16T00:00:00"/>
    <s v="Accidente Incapacitante"/>
    <s v="Parcial Temporal "/>
    <s v="Irritación ocular durante la reparación del quemador y pruebas de funcionamiento del caldero, ocurre una explosión en el interior del mismo, la cual generó la apertura de forma intempestiva de la tapa izquierda con rotura de los seguros. Una mezcla de hum"/>
    <s v="OJO"/>
    <m/>
    <m/>
    <x v="4"/>
    <s v="Junio"/>
    <m/>
    <n v="7"/>
    <m/>
    <n v="7"/>
    <m/>
    <m/>
    <m/>
    <x v="78"/>
    <s v="Mantenimiento"/>
    <s v="Irritación ocular"/>
    <m/>
    <m/>
    <m/>
    <m/>
  </r>
  <r>
    <m/>
    <s v="GLOBAL"/>
    <m/>
    <s v="GLOBAL"/>
    <m/>
    <s v="Robert Morales "/>
    <n v="47"/>
    <s v="Operador producción barras_x000a_"/>
    <s v="M"/>
    <n v="2"/>
    <s v="OBRERO CONTRATADO"/>
    <s v="5 meses"/>
    <d v="2016-06-21T00:00:00"/>
    <s v="Accidente Incapacitante"/>
    <s v="Parcial Temporal "/>
    <s v="Atricción mano derecha al momento de limpiar debajo del brazo neumático, el trapo con el que estaba realizando la limpieza activa el sensor del brazo (no había sido apagado), el cual desciende rápidamente y atrapa su mano derecha, causándole un golpe y un"/>
    <s v="MANO "/>
    <m/>
    <m/>
    <x v="4"/>
    <s v="Junio"/>
    <m/>
    <n v="11"/>
    <m/>
    <n v="11"/>
    <m/>
    <m/>
    <m/>
    <x v="25"/>
    <s v="Limpiando equipo"/>
    <s v="Atricción"/>
    <m/>
    <m/>
    <m/>
    <m/>
  </r>
  <r>
    <m/>
    <s v="BSF PUNTA HERMOSA"/>
    <m/>
    <s v="DISTRIBUCIÓN"/>
    <m/>
    <s v="Portilla Coronado, Víctor Jesús_x000a_"/>
    <n v="35"/>
    <s v="Ayudante de Almacén "/>
    <s v="M"/>
    <n v="1"/>
    <s v="OBRERO CONTRATADO"/>
    <s v="5 dias"/>
    <d v="2016-06-22T00:00:00"/>
    <s v="Accidente Incapacitante"/>
    <s v="Parcial Temporal "/>
    <s v="Atricción de dedo durante cambio de bateria de montacarga"/>
    <s v="MANO "/>
    <m/>
    <m/>
    <x v="4"/>
    <s v="Junio"/>
    <m/>
    <n v="1"/>
    <m/>
    <n v="1"/>
    <m/>
    <m/>
    <m/>
    <x v="0"/>
    <s v="Maniobras de equipos"/>
    <s v="Atricción"/>
    <m/>
    <m/>
    <m/>
    <m/>
  </r>
  <r>
    <m/>
    <s v="MOLINO FAUCETT"/>
    <m/>
    <s v="PRODUCCIÓN"/>
    <m/>
    <s v="Jorge Candela "/>
    <n v="48"/>
    <s v="Ayudante de Planta       "/>
    <s v="M"/>
    <n v="2"/>
    <s v=" OBRERO ESTABLE"/>
    <s v="1 mes"/>
    <d v="2016-06-22T00:00:00"/>
    <s v="Accidente Incapacitante"/>
    <s v="Parcial Temporal "/>
    <s v="Trauma mano derecha desatorando linea de harina"/>
    <s v="MANO "/>
    <m/>
    <m/>
    <x v="4"/>
    <s v="Junio"/>
    <m/>
    <n v="19"/>
    <m/>
    <n v="19"/>
    <m/>
    <m/>
    <m/>
    <x v="56"/>
    <s v="Durante operación productiva"/>
    <s v="Golpe"/>
    <m/>
    <m/>
    <m/>
    <m/>
  </r>
  <r>
    <m/>
    <s v="CDC"/>
    <m/>
    <s v="DISTRIBUCIÓN"/>
    <m/>
    <s v="Yordan Alache Acuña"/>
    <n v="22"/>
    <s v="Ayudante de planta"/>
    <s v="M"/>
    <n v="2"/>
    <s v="OBRERO CONTRATADO"/>
    <s v="7 días"/>
    <d v="2016-07-05T00:00:00"/>
    <s v="Accidente Incapacitante"/>
    <s v="Parcial Temporal "/>
    <s v="Fractura del primer Metatarsiano del pie derecho por atrapamiento de pie entre transpaleta y ruma de parihuelas. "/>
    <s v="PIE"/>
    <m/>
    <m/>
    <x v="4"/>
    <s v="Julio"/>
    <m/>
    <n v="71"/>
    <m/>
    <n v="71"/>
    <m/>
    <m/>
    <m/>
    <x v="12"/>
    <s v="Estiba"/>
    <s v="Golpe"/>
    <m/>
    <m/>
    <m/>
    <m/>
  </r>
  <r>
    <m/>
    <s v="INSTANTANEOS"/>
    <m/>
    <s v="PRODUCCIÓN"/>
    <m/>
    <s v="Jorge Giraldo Asencios_x000a_"/>
    <n v="31"/>
    <s v="Operario de Producción"/>
    <s v="M"/>
    <n v="1"/>
    <s v="OBRERO ESTABLE"/>
    <s v="2 meses"/>
    <d v="2016-07-08T00:00:00"/>
    <s v="Accidente Incapacitante"/>
    <s v="Parcial Permanente"/>
    <s v="Pérdida falange1er distal  2ndo dedo mano izquierda; metió la mano izquierda cerca a la mordaza para jalar la envoltura centrarla y tensarla con la máquina en movimiento y es en esta circunstancia que la cuchilla de la mordaza horizontal se activa  y secc"/>
    <s v="MANO "/>
    <m/>
    <m/>
    <x v="4"/>
    <s v="Julio"/>
    <m/>
    <n v="103"/>
    <n v="100"/>
    <n v="203"/>
    <m/>
    <m/>
    <m/>
    <x v="16"/>
    <s v="Durante operación productiva"/>
    <s v="Perdida Falange"/>
    <m/>
    <m/>
    <m/>
    <m/>
  </r>
  <r>
    <m/>
    <s v="GLOBAL"/>
    <m/>
    <s v="GLOBAL"/>
    <m/>
    <s v="Karol Isidro Mori_x000a_"/>
    <n v="25"/>
    <s v="TERCERO "/>
    <s v="M"/>
    <n v="1"/>
    <s v="X"/>
    <s v="4 años"/>
    <d v="2016-07-17T00:00:00"/>
    <s v="Accidente Incapacitante"/>
    <s v="Parcial Temporal "/>
    <s v="dos trabajadores de la empresa contratista suben al techo de la nave de la planta de extruidos para realizar trabajos de instalación de estructuras sin recibir autorización por parte de Global Alimentos. (sin permiso de trabajo autorizado y sin uso de EPP"/>
    <s v="MANO "/>
    <m/>
    <m/>
    <x v="4"/>
    <s v="Julio"/>
    <m/>
    <n v="118"/>
    <m/>
    <n v="118"/>
    <m/>
    <m/>
    <m/>
    <x v="8"/>
    <s v="mantenimiento"/>
    <s v="Fractura"/>
    <m/>
    <m/>
    <s v="TECNICAD"/>
    <s v="X"/>
  </r>
  <r>
    <m/>
    <s v="TEAL"/>
    <m/>
    <s v="PRODUCCIÓN"/>
    <m/>
    <s v="Rodriguez Pomarrosa, Clever_x000a_"/>
    <n v="38"/>
    <s v="operador"/>
    <s v="M"/>
    <n v="1"/>
    <s v=" OBRERO ESTABLE"/>
    <s v="2 años"/>
    <d v="2016-07-05T00:00:00"/>
    <s v="Accidente Incapacitante"/>
    <s v="Parcial Temporal "/>
    <s v="Corte en el dorso de los dedos índice y medio de la mano izquierda, durante limpieza de equipo fuera de servicio con trapeador."/>
    <s v="MANO "/>
    <m/>
    <m/>
    <x v="4"/>
    <s v="Julio"/>
    <m/>
    <n v="6"/>
    <m/>
    <n v="6"/>
    <m/>
    <m/>
    <m/>
    <x v="25"/>
    <s v="Limpiando equipo"/>
    <s v="Corte"/>
    <m/>
    <m/>
    <m/>
    <m/>
  </r>
  <r>
    <m/>
    <s v="TEAL"/>
    <m/>
    <s v="PRODUCCIÓN"/>
    <m/>
    <s v="Quispe Zelaya, Jhayson Jim_x000a_"/>
    <n v="20"/>
    <s v="Operario de Producción_x000a_"/>
    <s v="M"/>
    <n v="1"/>
    <s v="OBRERO CONTRATADO"/>
    <s v="1 año 3 meses"/>
    <d v="2016-08-03T00:00:00"/>
    <s v="Accidente Incapacitante"/>
    <s v="Parcial Permanente"/>
    <s v="Perdida falange durante el accionamiento de lona Retráctil para el inicio de envasado Galleta Soda "/>
    <s v="MANO "/>
    <m/>
    <m/>
    <x v="4"/>
    <s v="Agosto"/>
    <m/>
    <n v="120"/>
    <n v="75"/>
    <n v="195"/>
    <m/>
    <m/>
    <m/>
    <x v="16"/>
    <s v="Durante operación productiva"/>
    <s v="Perdida Falange"/>
    <m/>
    <m/>
    <m/>
    <m/>
  </r>
  <r>
    <m/>
    <s v="GALLETERA LIMA"/>
    <m/>
    <s v="PRODUCCIÓN"/>
    <m/>
    <s v="Carlos Bracamonte_x000a_"/>
    <n v="40"/>
    <s v="Operario de Producción _x000a_"/>
    <s v="M"/>
    <n v="3"/>
    <s v="OBRERO ESTABLE"/>
    <s v="9 año 3 meses"/>
    <d v="2016-08-03T00:00:00"/>
    <s v="Accidente Incapacitante"/>
    <s v="Parcial Temporal "/>
    <s v=": Esguince del dedo anular de la mano derecha al resbalar y caer sobre plataforma "/>
    <s v="MANO "/>
    <m/>
    <m/>
    <x v="4"/>
    <s v="Agosto"/>
    <m/>
    <n v="12"/>
    <m/>
    <n v="12"/>
    <m/>
    <m/>
    <m/>
    <x v="13"/>
    <s v="Trasladandose a pie"/>
    <s v="Esguince"/>
    <m/>
    <m/>
    <m/>
    <m/>
  </r>
  <r>
    <m/>
    <s v="SIDSUR"/>
    <m/>
    <s v="DISTRIBUCIÓN"/>
    <m/>
    <s v="Gomez Tomaya, Hugo_x000a_"/>
    <n v="39"/>
    <s v="TERCERO"/>
    <s v="M"/>
    <n v="3"/>
    <s v="X"/>
    <s v="1 año"/>
    <d v="2016-08-03T00:00:00"/>
    <s v="Accidente Incapacitante"/>
    <s v="Parcial Temporal "/>
    <s v="Contusión mano derecha al caer de un camión "/>
    <s v="MANO "/>
    <m/>
    <m/>
    <x v="4"/>
    <s v="Agosto"/>
    <m/>
    <n v="3"/>
    <m/>
    <n v="3"/>
    <m/>
    <m/>
    <m/>
    <x v="14"/>
    <s v="carga/descarga de camión"/>
    <s v="Golpe"/>
    <m/>
    <m/>
    <s v="IOLSA"/>
    <m/>
  </r>
  <r>
    <m/>
    <s v="FIDEERIA LIMA"/>
    <m/>
    <s v="MANTENIMIENTO"/>
    <m/>
    <s v="Valenzuela Rojas, Gino Alexander"/>
    <n v="31"/>
    <s v="TERCERO"/>
    <s v="M"/>
    <n v="1"/>
    <s v="X"/>
    <s v="27 dias"/>
    <d v="2016-08-03T00:00:00"/>
    <s v="Accidente Incapacitante"/>
    <s v="Parcial Temporal "/>
    <s v="Corte en la mano durante corte de liston de manera con amoladora sin guarda "/>
    <s v="MANO "/>
    <m/>
    <m/>
    <x v="4"/>
    <s v="Agosto"/>
    <m/>
    <n v="60"/>
    <m/>
    <n v="60"/>
    <m/>
    <m/>
    <m/>
    <x v="79"/>
    <s v="Mantenimiento"/>
    <s v="Corte"/>
    <m/>
    <m/>
    <s v="FERPA"/>
    <s v="X"/>
  </r>
  <r>
    <m/>
    <s v="NUTRICION ANIMAL TRUJILLO "/>
    <m/>
    <s v="VITAPRO"/>
    <m/>
    <s v="José Rafael Leiva_x000a_"/>
    <n v="37"/>
    <s v="AUXILIAR PRODUCCIÓN"/>
    <s v="M"/>
    <n v="1"/>
    <m/>
    <s v="4 años 5 meses"/>
    <d v="2016-08-03T00:00:00"/>
    <s v="Accidente Incapacitante (NO IF)"/>
    <s v="Parcial Temporal "/>
    <s v="Esguince al tobillo derecho al bajar de escalera que da acceso al secador de la prensa 1 . Daño a rodilla pre existente."/>
    <s v="PIERNA"/>
    <m/>
    <m/>
    <x v="4"/>
    <s v="Agosto"/>
    <m/>
    <n v="10"/>
    <m/>
    <n v="10"/>
    <m/>
    <m/>
    <m/>
    <x v="53"/>
    <s v="Durante operación productiva"/>
    <s v="Esguince"/>
    <m/>
    <m/>
    <m/>
    <m/>
  </r>
  <r>
    <m/>
    <s v="MOLINO FAUCETT"/>
    <m/>
    <s v="PRODUCCIÓN"/>
    <m/>
    <s v="Wilfredo Puicón_x000a_"/>
    <n v="49"/>
    <s v="Operador 2 de Molino_x000a_"/>
    <s v="M"/>
    <n v="2"/>
    <s v="OBRERO ESTABLE"/>
    <s v="7 dias"/>
    <d v="2016-08-03T00:00:00"/>
    <s v="Accidente Incapacitante"/>
    <s v="Parcial Temporal "/>
    <s v="Roce en el ojo con cartón "/>
    <s v="OJO"/>
    <m/>
    <m/>
    <x v="4"/>
    <s v="Agosto"/>
    <m/>
    <n v="4"/>
    <m/>
    <n v="4"/>
    <m/>
    <m/>
    <m/>
    <x v="80"/>
    <s v="Durante operación productiva"/>
    <s v="contacto al ojo"/>
    <m/>
    <m/>
    <m/>
    <m/>
  </r>
  <r>
    <m/>
    <s v="ADMINISTRACIÓN"/>
    <m/>
    <s v="ADMINISTRACIÓN"/>
    <m/>
    <s v="Jannibeth García Guerra_x000a_"/>
    <n v="45"/>
    <s v="TERCERO"/>
    <s v="F"/>
    <n v="1"/>
    <s v="X"/>
    <s v="8 dias"/>
    <d v="2016-08-03T00:00:00"/>
    <s v="Accidente Incapacitante"/>
    <s v="Parcial Temporal "/>
    <s v="Quemadura 2ndo grado en piernas con Soda Cáustica al resbalar y caer al piso en zona de ACOPIO"/>
    <s v="PIERNA"/>
    <m/>
    <m/>
    <x v="4"/>
    <s v="Agosto"/>
    <m/>
    <n v="18"/>
    <m/>
    <n v="18"/>
    <m/>
    <m/>
    <m/>
    <x v="72"/>
    <s v="Limpiando instalaciones"/>
    <s v="Quemadura Sustancias Quimica"/>
    <m/>
    <m/>
    <s v="LIMTEK"/>
    <m/>
  </r>
  <r>
    <m/>
    <s v="MOLINO CALLAO"/>
    <m/>
    <s v="PRODUCCIÓN"/>
    <m/>
    <s v="Elder Miguel Bastante Santana_x000a_"/>
    <n v="45"/>
    <s v="Operador 1 de Molino_x000a_"/>
    <s v="M"/>
    <n v="1"/>
    <s v="OBRERO ESTABLE"/>
    <s v="10 años"/>
    <d v="2016-08-03T00:00:00"/>
    <s v="Accidente Incapacitante"/>
    <s v="Parcial Permanente"/>
    <s v="Pérdida falange en banco de cilindros en su intento de desatorar producto "/>
    <s v="MANO "/>
    <m/>
    <m/>
    <x v="4"/>
    <s v="Agosto"/>
    <m/>
    <n v="90"/>
    <n v="60"/>
    <n v="150"/>
    <m/>
    <m/>
    <m/>
    <x v="16"/>
    <s v="Durante operación productiva"/>
    <s v="Perdida Falange"/>
    <m/>
    <m/>
    <m/>
    <m/>
  </r>
  <r>
    <m/>
    <s v="ADMINISTRACIÓN"/>
    <m/>
    <s v="ADMINISTRACIÓN"/>
    <m/>
    <s v="Cubas Lluncor Jose_x000a_"/>
    <n v="27"/>
    <s v="TERCERO"/>
    <s v="M"/>
    <n v="1"/>
    <s v="X"/>
    <s v="10 meses"/>
    <d v="2016-08-03T00:00:00"/>
    <s v="Accidente Incapacitante"/>
    <s v="Parcial Temporal "/>
    <s v="Atricción de dedo con puerta peatonal del portón principal del predio de Mol Sta.Rosa"/>
    <s v="MANO "/>
    <m/>
    <m/>
    <x v="4"/>
    <s v="Agosto"/>
    <m/>
    <n v="35"/>
    <m/>
    <n v="35"/>
    <m/>
    <m/>
    <m/>
    <x v="34"/>
    <s v="Otros"/>
    <s v="Atricción"/>
    <m/>
    <m/>
    <s v="PROSEGUR"/>
    <m/>
  </r>
  <r>
    <m/>
    <s v="MASTERBREAD"/>
    <m/>
    <s v="MASTERBREAD"/>
    <m/>
    <m/>
    <m/>
    <s v="TERCERO"/>
    <s v="F"/>
    <m/>
    <s v="X"/>
    <m/>
    <d v="2016-08-08T00:00:00"/>
    <s v="Accidente Incapacitante"/>
    <s v="Parcial Temporal "/>
    <s v="Caída de personal Limtek con golpe a la cabeza "/>
    <s v="CABEZA"/>
    <m/>
    <m/>
    <x v="4"/>
    <s v="Agosto"/>
    <m/>
    <n v="6"/>
    <m/>
    <n v="6"/>
    <m/>
    <m/>
    <m/>
    <x v="81"/>
    <s v="Limpiando instalaciones"/>
    <s v="Golpe"/>
    <m/>
    <m/>
    <s v="LIMTEK"/>
    <m/>
  </r>
  <r>
    <m/>
    <s v="SIDSUR"/>
    <m/>
    <s v="PRODUCCIÓN"/>
    <m/>
    <s v="Eladio Quispe Choque_x000a_"/>
    <n v="38"/>
    <s v="Ayudante de Molino_x000a_"/>
    <s v="M"/>
    <n v="2"/>
    <s v="OBRERO ESTABLE"/>
    <s v="8 AÑOS"/>
    <d v="2016-08-07T00:00:00"/>
    <s v="Accidente Incapacitante"/>
    <s v="Parcial Temporal "/>
    <s v="Síndrome Vestibular Periférico Oído Izquierdo (Inflamación de tímpano) por deterioro del ventilador_x000a_"/>
    <s v="CABEZA"/>
    <m/>
    <m/>
    <x v="4"/>
    <s v="Agosto"/>
    <m/>
    <n v="6"/>
    <m/>
    <n v="6"/>
    <m/>
    <m/>
    <m/>
    <x v="82"/>
    <s v="Durante operación productiva"/>
    <s v="Inflamación Oido"/>
    <m/>
    <m/>
    <m/>
    <m/>
  </r>
  <r>
    <m/>
    <s v="TEAL"/>
    <m/>
    <s v="MANTENIMIENTO"/>
    <m/>
    <s v="Silva Espinoza, Keny_x000a_"/>
    <n v="20"/>
    <s v="TERCERO"/>
    <s v="M"/>
    <n v="1"/>
    <s v="X"/>
    <s v="1 años"/>
    <d v="2016-09-03T00:00:00"/>
    <s v="Accidente Incapacitante"/>
    <s v="Parcial Temporal "/>
    <s v="Herida cortante en la mano izquierda mientras perforaba base tablero eléctrico en el taller"/>
    <s v="MANO "/>
    <m/>
    <m/>
    <x v="4"/>
    <s v="Setiembre"/>
    <m/>
    <n v="7"/>
    <m/>
    <n v="7"/>
    <m/>
    <m/>
    <m/>
    <x v="83"/>
    <s v="Mantenimiento"/>
    <s v="Corte"/>
    <m/>
    <m/>
    <s v="FLOURP"/>
    <m/>
  </r>
  <r>
    <m/>
    <s v="CDC"/>
    <m/>
    <s v="DISTRIBUCIÓN"/>
    <m/>
    <s v="Lizana Dominguez, Miguel Ángel_x000a_"/>
    <n v="24"/>
    <s v="Aprendiz de operario en Logística y Almacenes_x000a_"/>
    <s v="M"/>
    <n v="1"/>
    <s v="APRENDIZ"/>
    <s v="5 meses"/>
    <d v="2016-09-07T00:00:00"/>
    <s v="Accidente Incapacitante"/>
    <s v="Parcial Temporal "/>
    <s v="Atrición muñeca brazo izquierdo al deslizarse una paleta "/>
    <s v="MANO "/>
    <m/>
    <m/>
    <x v="4"/>
    <s v="Setiembre"/>
    <m/>
    <n v="7"/>
    <m/>
    <n v="7"/>
    <m/>
    <m/>
    <m/>
    <x v="27"/>
    <s v="Manipulación Materiales/Herramientas"/>
    <s v="Atricción"/>
    <m/>
    <m/>
    <m/>
    <m/>
  </r>
  <r>
    <m/>
    <s v="COPSA"/>
    <m/>
    <s v="PRODUCCIÓN"/>
    <m/>
    <s v="Estaban Vargas Tasayco "/>
    <n v="19"/>
    <s v="CLJ"/>
    <s v="M"/>
    <n v="1"/>
    <s v="CLJ"/>
    <s v="MENOS DE 1 AÑO"/>
    <d v="2016-09-09T00:00:00"/>
    <s v="Accidente Incapacitante"/>
    <s v="Parcial Temporal "/>
    <s v="Atricción dedo meñique con faja vertical en encintadora (Mayonesa)"/>
    <s v="MANO "/>
    <m/>
    <m/>
    <x v="4"/>
    <s v="Setiembre"/>
    <m/>
    <n v="2"/>
    <m/>
    <n v="2"/>
    <m/>
    <m/>
    <m/>
    <x v="22"/>
    <s v="Durante operación productiva"/>
    <s v="Corte"/>
    <m/>
    <m/>
    <m/>
    <m/>
  </r>
  <r>
    <m/>
    <s v="COPSA"/>
    <m/>
    <s v="PRODUCCIÓN"/>
    <m/>
    <s v="Edson Mario Salinas Martinez_x000a_"/>
    <n v="39"/>
    <s v="Operador de Balanzas de Refinería_x000a_"/>
    <s v="M"/>
    <n v="1"/>
    <s v="OBRERO ESTABLE"/>
    <s v="1.5 años"/>
    <d v="2016-09-10T00:00:00"/>
    <s v="Accidente Incapacitante"/>
    <s v="Parcial Temporal "/>
    <s v="Corte en dedo pulgar (mano derecha) durante lavado de envase de vidrio en laboratorio refinería"/>
    <s v="MANO "/>
    <m/>
    <m/>
    <x v="4"/>
    <s v="Setiembre"/>
    <m/>
    <n v="4"/>
    <m/>
    <n v="4"/>
    <m/>
    <m/>
    <m/>
    <x v="84"/>
    <s v="Manipulación Materiales/Herramientas"/>
    <s v="Corte"/>
    <m/>
    <m/>
    <m/>
    <m/>
  </r>
  <r>
    <m/>
    <s v="COPSA"/>
    <m/>
    <s v="PRODUCCIÓN"/>
    <m/>
    <s v="JEANPIERE ORTIZ FASABI _x000a_"/>
    <n v="24"/>
    <s v="Operador de Volpak_x000a_"/>
    <s v="M"/>
    <n v="1"/>
    <s v="OBRERO CONTRATADO"/>
    <s v="2 meses"/>
    <d v="2016-09-26T00:00:00"/>
    <s v="Accidente Incapacitante"/>
    <s v="Parcial Temporal "/>
    <s v="Contusión en región anterior de pie derecho con un pallet llevado con stocka por otro trabajador (Balanceados)"/>
    <s v="PIE"/>
    <m/>
    <m/>
    <x v="4"/>
    <s v="Setiembre"/>
    <m/>
    <n v="2"/>
    <m/>
    <n v="2"/>
    <m/>
    <m/>
    <m/>
    <x v="27"/>
    <s v="Maniobras de equipos"/>
    <s v="Golpe"/>
    <m/>
    <m/>
    <m/>
    <m/>
  </r>
  <r>
    <m/>
    <s v="COPSA"/>
    <m/>
    <s v="PRODUCCIÓN"/>
    <m/>
    <s v="RAMOS TOCTO PHILIP ABDON _x000a_"/>
    <n v="36"/>
    <s v="Operador de Volpak_x000a_"/>
    <s v="M"/>
    <n v="3"/>
    <s v="OBRERO ESTABLE"/>
    <s v="6 meses"/>
    <d v="2016-09-28T00:00:00"/>
    <s v="Accidente Incapacitante"/>
    <s v="Parcial Temporal "/>
    <s v="Corte punzocortante mano derecha envasadora Volpak 1 durante su regulación (Mayonesa)"/>
    <s v="MANO "/>
    <m/>
    <m/>
    <x v="4"/>
    <s v="Setiembre"/>
    <m/>
    <n v="11"/>
    <m/>
    <n v="11"/>
    <m/>
    <m/>
    <m/>
    <x v="3"/>
    <s v="Calibrando/Regulando"/>
    <s v="Corte"/>
    <m/>
    <m/>
    <m/>
    <m/>
  </r>
  <r>
    <m/>
    <s v="DETERGENTES"/>
    <m/>
    <s v="PRODUCCIÓN"/>
    <m/>
    <s v="Percy Carranza Izaguirre"/>
    <n v="42"/>
    <s v="Operador de Envasadora Masipack"/>
    <s v="M"/>
    <n v="1"/>
    <s v="OBRERO ESTABLE"/>
    <m/>
    <d v="2016-10-01T00:00:00"/>
    <s v="Accidente Incapacitante"/>
    <s v="Parcial Permanente"/>
    <s v="Amputación de falange distal dedo índice - Mano izquierda mientras alineaba el film en la MASIPACK "/>
    <s v="MANO "/>
    <m/>
    <m/>
    <x v="4"/>
    <s v="Octubre"/>
    <m/>
    <n v="107"/>
    <n v="100"/>
    <n v="207"/>
    <m/>
    <m/>
    <m/>
    <x v="3"/>
    <s v="Calibrando/Regulando"/>
    <s v="Perdida Falange"/>
    <m/>
    <m/>
    <m/>
    <m/>
  </r>
  <r>
    <m/>
    <s v="BSF PUNTA HERMOSA"/>
    <m/>
    <s v="DISTRIBUCIÓN"/>
    <m/>
    <s v="Victor Kana Yucravilca "/>
    <m/>
    <s v="TERCERO"/>
    <s v="M"/>
    <n v="1"/>
    <s v="X"/>
    <m/>
    <d v="2016-10-04T00:00:00"/>
    <s v="Accidente Incapacitante"/>
    <s v="Parcial Temporal "/>
    <s v="Atrapamiento del dedo de la mano derecha al cerrar puerta laterial ("/>
    <s v="MANO "/>
    <m/>
    <m/>
    <x v="4"/>
    <s v="Octubre"/>
    <m/>
    <n v="9"/>
    <m/>
    <n v="9"/>
    <m/>
    <m/>
    <m/>
    <x v="14"/>
    <s v="carga/descarga de camión"/>
    <s v="Atricción"/>
    <m/>
    <m/>
    <s v="CR TRANSPORTES"/>
    <m/>
  </r>
  <r>
    <m/>
    <s v="NUTRICION ANIMAL TRUJILLO "/>
    <m/>
    <s v="VITAPRO"/>
    <m/>
    <s v="Juan Lozada"/>
    <n v="37"/>
    <s v="Operador de Molinos"/>
    <s v="M"/>
    <n v="2"/>
    <s v="OBRERO ESTABLE"/>
    <s v="4 años"/>
    <d v="2016-10-07T00:00:00"/>
    <s v="Accidente Incapacitante"/>
    <s v="Parcial Permanente"/>
    <s v="Amputación parcial de la falange distal del dedo pulgar de la mano izquierda al tratar de destrabar pistón neumático del molino "/>
    <s v="MANO "/>
    <m/>
    <m/>
    <x v="4"/>
    <s v="Octubre"/>
    <m/>
    <n v="59"/>
    <n v="300"/>
    <n v="359"/>
    <m/>
    <m/>
    <m/>
    <x v="3"/>
    <s v="Limpiando equipo"/>
    <s v="Perdida Falange"/>
    <m/>
    <m/>
    <m/>
    <m/>
  </r>
  <r>
    <m/>
    <s v="TEAL"/>
    <m/>
    <s v="PRODUCCIÓN"/>
    <m/>
    <s v="Chujandama Saurin, Kelsen"/>
    <n v="26"/>
    <s v="Operario de Producción"/>
    <s v="M"/>
    <n v="2"/>
    <s v="PERIODO PRUEBA"/>
    <s v="1 mes  15 días"/>
    <d v="2016-10-07T00:00:00"/>
    <s v="Accidente Incapacitante"/>
    <s v="Parcial Temporal "/>
    <s v="Quemadura Ier grado con silicona en el cuello (Panetones)"/>
    <s v="CABEZA"/>
    <m/>
    <m/>
    <x v="4"/>
    <s v="Octubre"/>
    <m/>
    <n v="4"/>
    <m/>
    <n v="4"/>
    <m/>
    <m/>
    <m/>
    <x v="43"/>
    <s v="Durante operación productiva"/>
    <s v="Quemadura Sustancias Quimica"/>
    <m/>
    <m/>
    <m/>
    <m/>
  </r>
  <r>
    <m/>
    <s v="TEAL"/>
    <m/>
    <s v="PRODUCCIÓN"/>
    <m/>
    <s v="Rider Cabanillas Jimenez"/>
    <n v="26"/>
    <s v="Ayudante de Maquinista"/>
    <s v="M"/>
    <n v="1"/>
    <s v="OBRERO ESTABLE"/>
    <s v="2 años 2 meses"/>
    <d v="2016-10-13T00:00:00"/>
    <s v="Accidente Incapacitante"/>
    <s v="Parcial Temporal "/>
    <s v="Atricción dedo medio mientras realizaba el centrado del transportador de alimentación de masa (Galletas)"/>
    <s v="MANO "/>
    <m/>
    <m/>
    <x v="4"/>
    <s v="Octubre"/>
    <m/>
    <n v="26"/>
    <m/>
    <n v="26"/>
    <m/>
    <m/>
    <m/>
    <x v="22"/>
    <s v="Calibrando/Regulando"/>
    <s v="Atricción"/>
    <m/>
    <m/>
    <m/>
    <m/>
  </r>
  <r>
    <m/>
    <s v="TEAL"/>
    <m/>
    <s v="MANTENIMIENTO"/>
    <m/>
    <s v="Pedro Malaver Rodriguez"/>
    <n v="61"/>
    <s v="Técnico Mecánico "/>
    <s v="M"/>
    <n v="1"/>
    <s v="OBRERO ESTABLE"/>
    <s v="41 años"/>
    <d v="2016-10-15T00:00:00"/>
    <s v="Accidente Incapacitante"/>
    <s v="Parcial Temporal "/>
    <s v="Herida contusa abierta en el falange distal del dedo meñique de la mano izquierda durante el traslado de puerta enrollable automática de poliuretano al almacén"/>
    <s v="MANO "/>
    <m/>
    <m/>
    <x v="4"/>
    <s v="Octubre"/>
    <m/>
    <n v="38"/>
    <m/>
    <n v="38"/>
    <m/>
    <m/>
    <m/>
    <x v="85"/>
    <s v="Manipulación Materiales/Herramientas"/>
    <s v="Corte"/>
    <m/>
    <m/>
    <m/>
    <m/>
  </r>
  <r>
    <m/>
    <s v="DETERGENTES"/>
    <m/>
    <s v="PRODUCCIÓN"/>
    <m/>
    <s v="Olivo Grijalva, Elias_x000a_"/>
    <n v="29"/>
    <s v="Ayudante de Planta_x000a_"/>
    <s v="M"/>
    <n v="1"/>
    <s v="OBRERO CONTRATADO"/>
    <s v="8 meses29 dias"/>
    <d v="2016-10-19T00:00:00"/>
    <s v="Accidente Incapacitante"/>
    <s v="Parcial Permanente"/>
    <s v="Amputación de brazo durante limpieza de tambor motriz de faja Post Dosing en movimiento ubicada en el 4to piso de Manufactura "/>
    <s v="BRAZO "/>
    <m/>
    <m/>
    <x v="4"/>
    <s v="Octubre"/>
    <m/>
    <n v="90"/>
    <n v="4500"/>
    <n v="4590"/>
    <m/>
    <m/>
    <m/>
    <x v="22"/>
    <s v="Limpiando equipo"/>
    <s v="Perdida Brazo"/>
    <m/>
    <m/>
    <m/>
    <m/>
  </r>
  <r>
    <m/>
    <s v="GLOBAL"/>
    <m/>
    <s v="PRODUCCIÓN"/>
    <m/>
    <m/>
    <m/>
    <s v="TERCERO"/>
    <s v="M"/>
    <n v="3"/>
    <s v="X"/>
    <s v="5 años 25 dias"/>
    <d v="2016-10-20T00:00:00"/>
    <s v="Accidente Incapacitante"/>
    <s v="Parcial Temporal "/>
    <s v="Golpe y corte en el dedo medio, mano derecha cerrando la puerta de la esclusa de la aduana"/>
    <s v="MANO "/>
    <m/>
    <m/>
    <x v="4"/>
    <s v="Octubre"/>
    <m/>
    <n v="5"/>
    <m/>
    <n v="5"/>
    <m/>
    <m/>
    <m/>
    <x v="34"/>
    <s v="Otros"/>
    <s v="Atricción"/>
    <m/>
    <m/>
    <s v="MANPOWER"/>
    <m/>
  </r>
  <r>
    <m/>
    <s v="GALLETERA LIMA"/>
    <m/>
    <s v="PRODUCCIÓN"/>
    <m/>
    <s v="Pedro Vargas Quintana  "/>
    <n v="62"/>
    <s v="operador"/>
    <s v="M"/>
    <n v="3"/>
    <s v="OBRERO ESTABLE"/>
    <s v="14 años 5 meses"/>
    <d v="2016-10-20T00:00:00"/>
    <s v="Accidente Incapacitante"/>
    <s v="Parcial Temporal "/>
    <s v="Corte en el dedo índice de la mano derecha mientras estaba alimentando en el magazine de galletas de la L1 "/>
    <s v="MANO "/>
    <m/>
    <m/>
    <x v="4"/>
    <s v="Octubre"/>
    <m/>
    <n v="11"/>
    <m/>
    <n v="11"/>
    <m/>
    <m/>
    <m/>
    <x v="3"/>
    <s v="Durante operación productiva"/>
    <s v="Corte"/>
    <m/>
    <m/>
    <m/>
    <m/>
  </r>
  <r>
    <m/>
    <s v="GALLETERA LIMA"/>
    <m/>
    <s v="PRODUCCIÓN"/>
    <m/>
    <s v="Grace Aguilar Cerna  "/>
    <n v="18"/>
    <s v="SENATI"/>
    <s v="M"/>
    <n v="1"/>
    <s v="SENATI"/>
    <s v="2 meses 3 semanas"/>
    <d v="2016-10-26T00:00:00"/>
    <s v="Accidente Incapacitante"/>
    <s v="Parcial Temporal "/>
    <s v="Esguince de 1er grado en pie derecho al intentar pasar por encima de paleta"/>
    <s v="PIE"/>
    <m/>
    <m/>
    <x v="4"/>
    <s v="Octubre"/>
    <m/>
    <n v="3"/>
    <m/>
    <n v="3"/>
    <m/>
    <m/>
    <m/>
    <x v="27"/>
    <s v="Trasladandose a pie"/>
    <s v="Esguince"/>
    <m/>
    <m/>
    <m/>
    <m/>
  </r>
  <r>
    <m/>
    <s v="GLOBAL"/>
    <m/>
    <s v="PRODUCCIÓN"/>
    <m/>
    <m/>
    <m/>
    <s v="Operador de barras"/>
    <s v="M"/>
    <n v="1"/>
    <s v="OBRERO CONTRATADO"/>
    <m/>
    <d v="2016-10-27T00:00:00"/>
    <s v="Accidente Incapacitante"/>
    <s v="Parcial Temporal "/>
    <s v="Quemadura 2ndo grado en brazo derecho por salpicadura de jarabe"/>
    <s v="BRAZO "/>
    <m/>
    <m/>
    <x v="4"/>
    <s v="Octubre"/>
    <m/>
    <n v="7"/>
    <m/>
    <n v="7"/>
    <m/>
    <m/>
    <m/>
    <x v="86"/>
    <s v="Durante operación productiva"/>
    <s v="Quemadura Sustancias Quimica"/>
    <m/>
    <m/>
    <m/>
    <m/>
  </r>
  <r>
    <m/>
    <s v="CDC"/>
    <m/>
    <s v="DISTRIBUCIÓN"/>
    <m/>
    <s v="Raul Castro Sayan "/>
    <n v="23"/>
    <s v="Aprendiz de Operario de Logística y Almacén"/>
    <s v="M"/>
    <m/>
    <s v="APRENDIZ"/>
    <s v="MENOS DE 1 AÑO"/>
    <d v="2016-10-04T00:00:00"/>
    <s v="Accidente Incapacitante"/>
    <s v="Parcial Temporal "/>
    <s v="Atricción del pie con paleta al bajarla de ruma de 5 paletas durante paletización de salsas"/>
    <s v="PIE"/>
    <m/>
    <m/>
    <x v="4"/>
    <s v="Octubre"/>
    <m/>
    <n v="3"/>
    <m/>
    <n v="3"/>
    <m/>
    <m/>
    <m/>
    <x v="27"/>
    <s v="Durante operación productiva"/>
    <s v="Atricción"/>
    <m/>
    <m/>
    <m/>
    <m/>
  </r>
  <r>
    <m/>
    <s v="COPSA"/>
    <m/>
    <s v="PRODUCCIÓN"/>
    <m/>
    <s v="Jeydy Hernandez Cherres"/>
    <n v="19"/>
    <s v="CLJ"/>
    <s v="F"/>
    <n v="3"/>
    <s v="CLJ"/>
    <s v="MENOS DE 1 AÑO"/>
    <d v="2016-12-04T00:00:00"/>
    <s v="Accidente Incapacitante"/>
    <s v="Parcial Temporal "/>
    <s v="Caída mismo nivel mientras transitaba hacia vestidores. Bromeaba con compañero. Golpe en la rostro , labio y rodilla"/>
    <s v="CABEZA"/>
    <m/>
    <m/>
    <x v="4"/>
    <s v="Noviembre"/>
    <m/>
    <n v="3"/>
    <m/>
    <n v="3"/>
    <m/>
    <m/>
    <m/>
    <x v="87"/>
    <s v="Trasladandose a pie"/>
    <s v="Caida"/>
    <m/>
    <m/>
    <m/>
    <m/>
  </r>
  <r>
    <m/>
    <s v="MASTERBREAD"/>
    <m/>
    <s v="MASTERBREAD"/>
    <m/>
    <m/>
    <m/>
    <s v="TERCERO"/>
    <s v="F"/>
    <m/>
    <s v="X"/>
    <m/>
    <d v="2016-11-07T00:00:00"/>
    <s v="Accidente Incapacitante"/>
    <s v="Parcial Temporal "/>
    <s v="responsable de la maquina cortadora de Pan, se presta a sacar un porta cuchillas del rack,  accidentalmente golpea a otro juego de porta cuchillas que estaba más arriba, provocando la caída de este del rack y cayendo directamente en su brazo, provocándole un profundo corte en el brazo."/>
    <s v="CABEZA"/>
    <m/>
    <m/>
    <x v="4"/>
    <s v="Agosto"/>
    <m/>
    <n v="8"/>
    <m/>
    <n v="8"/>
    <m/>
    <m/>
    <m/>
    <x v="81"/>
    <s v="Durante operación productiva"/>
    <s v="Corte"/>
    <m/>
    <m/>
    <s v="LIMTEK"/>
    <m/>
  </r>
  <r>
    <m/>
    <s v="TEAL"/>
    <m/>
    <s v="MANTENIMIENTO"/>
    <m/>
    <s v="Gerónimo Piralla Zela"/>
    <m/>
    <s v="Tornero principal"/>
    <s v="M"/>
    <m/>
    <m/>
    <m/>
    <d v="2016-12-21T00:00:00"/>
    <s v="Accidente Incapacitante"/>
    <s v="Parcial Temporal "/>
    <s v="Herida contusa en dedo índice realizando trabajos de mecanizado en el torno ubicado en el taller de mantenimiento; en específico, el proceso de asentamiento del eje en bocina para el soporte de cuchilla perteneciente a la envolvedora de chicles del área caramelos, una mala maniobra hizo que se deslizara el dedo índice de la mano derecha cerca de la estructura que rotaba sobre el eje en el torno, "/>
    <s v="MANO "/>
    <m/>
    <m/>
    <x v="4"/>
    <s v="Diciembre"/>
    <m/>
    <n v="8"/>
    <m/>
    <n v="8"/>
    <m/>
    <m/>
    <m/>
    <x v="88"/>
    <s v="Durante operación productiva"/>
    <s v="Corte"/>
    <m/>
    <m/>
    <m/>
    <m/>
  </r>
  <r>
    <m/>
    <s v="ADMINISTRACIÓN"/>
    <m/>
    <s v="ADMINISTRACIÓN"/>
    <m/>
    <s v="Katherin Cristobal Ccahuana"/>
    <m/>
    <s v="TERCERO"/>
    <s v="F"/>
    <m/>
    <s v="X"/>
    <m/>
    <d v="2016-12-10T00:00:00"/>
    <s v="Accidente Incapacitante"/>
    <s v="Parcial Temporal "/>
    <s v="Conjuntivitis química por contacto con lejía durante limpieza de SSHH en oficinas Mol.Callao"/>
    <s v="OJO"/>
    <m/>
    <m/>
    <x v="4"/>
    <s v="Diciembre"/>
    <m/>
    <n v="3"/>
    <m/>
    <n v="3"/>
    <m/>
    <m/>
    <m/>
    <x v="89"/>
    <s v="Limpiando instalaciones"/>
    <s v="contacto al ojo"/>
    <m/>
    <m/>
    <s v="LIMTEK"/>
    <m/>
  </r>
  <r>
    <m/>
    <s v="GLOBAL"/>
    <m/>
    <s v="GLOBAL"/>
    <m/>
    <s v="Jusvani Ramos "/>
    <m/>
    <s v="Operador de envasado"/>
    <s v="M"/>
    <m/>
    <m/>
    <s v="1 mes y 1 dia"/>
    <d v="2016-12-02T00:00:00"/>
    <s v="Accidente Incapacitante"/>
    <s v="Parcial Temporal "/>
    <s v="Corte en el dedo índice y quemaduras de primer grado en el mismo dedo de la mano derecha durante la limpieza de la maquina 15 de empacado con la ayuda de un trabajador del área de recepción Jonathan Apaza (Manpower), cuya función era mantener presionado el botón de “abierto” mientras Jusvani Ramos limpiaba la cuchilla. Al terminar de limpiar la cuchilla Jusvani menciona que ha terminado y el ayudante Jonathan Apaza deja de presionar el botón de abierto y presiona el botón de cierre, cuando en ningún momento se le dio dicha orden, ya que toda la actividad terminaba al dejar de presionar el botón de “abierto”. "/>
    <s v="MANO "/>
    <m/>
    <m/>
    <x v="4"/>
    <s v="Diciembre"/>
    <m/>
    <n v="10"/>
    <m/>
    <n v="10"/>
    <m/>
    <m/>
    <m/>
    <x v="3"/>
    <s v="Limpiando equipo"/>
    <s v="Corte"/>
    <m/>
    <m/>
    <m/>
    <m/>
  </r>
  <r>
    <m/>
    <s v="GLOBAL"/>
    <m/>
    <s v="GLOBAL"/>
    <m/>
    <s v="Casimiro Ccasihue "/>
    <m/>
    <s v="Operador de producción"/>
    <s v="M"/>
    <m/>
    <m/>
    <s v="12 años y 7 meses "/>
    <d v="2016-12-21T00:00:00"/>
    <s v="Accidente Incapacitante"/>
    <s v="Parcial Temporal "/>
    <s v="Quemadura en el antebrazo izquierdo y dedo pulgar izquierdo.había parado el extrusor 2, ya que este se había atorado y tenia que limpiar la matriz, para lo cual quito los seguros del coche del extrusor 2 y correr el coche de forma manual por su respectiva riel. Durante dicha acción por uno de los orificios de la matriz salió disparada un poco de masa caliente, la cual le cayó en el brazo y parte de la mano izquierda.  _x000a__x000a_"/>
    <s v="MANO "/>
    <m/>
    <m/>
    <x v="4"/>
    <s v="Diciembre"/>
    <m/>
    <n v="19"/>
    <m/>
    <n v="19"/>
    <m/>
    <m/>
    <m/>
    <x v="3"/>
    <s v="Limpiando equipo"/>
    <s v="Quemadura con producto"/>
    <m/>
    <m/>
    <m/>
    <m/>
  </r>
  <r>
    <m/>
    <s v="RELACIONES LABORALES"/>
    <m/>
    <s v="RELACIONES LABORALES"/>
    <m/>
    <s v="Anthony Aguilar Núñez "/>
    <n v="22"/>
    <s v="TERCERO"/>
    <s v="M"/>
    <m/>
    <s v="X"/>
    <m/>
    <d v="2016-12-26T00:00:00"/>
    <s v="Accidente Incapacitante"/>
    <s v="Parcial Temporal "/>
    <s v="Corte en tercer dedo de mano en comedor Copsa, cortando verduras con cuchillo"/>
    <s v="MANO "/>
    <m/>
    <m/>
    <x v="4"/>
    <s v="Diciembre"/>
    <m/>
    <n v="3"/>
    <m/>
    <n v="3"/>
    <m/>
    <m/>
    <m/>
    <x v="6"/>
    <s v="Otros"/>
    <s v="Corte"/>
    <m/>
    <m/>
    <s v="BALVINITO"/>
    <m/>
  </r>
  <r>
    <m/>
    <s v="COPSA"/>
    <m/>
    <s v="PRODUCCIÓN"/>
    <m/>
    <s v="Saul Pariona Perez "/>
    <m/>
    <s v="Operador de Manufactura Mostaza"/>
    <s v="M"/>
    <m/>
    <m/>
    <m/>
    <d v="2016-12-28T00:00:00"/>
    <s v="Accidente Incapacitante"/>
    <s v="Parcial Temporal "/>
    <s v="Quemadura de segundo grado pierna derecha, altura de la rodilla en circunstancias que se realizaba el lavado CIP (pase de solución alcalina caliente"/>
    <s v="PIERNA"/>
    <m/>
    <m/>
    <x v="4"/>
    <s v="Diciembre"/>
    <m/>
    <n v="4"/>
    <m/>
    <n v="4"/>
    <m/>
    <m/>
    <m/>
    <x v="90"/>
    <s v="Limpiando equipo"/>
    <s v="Quemadura con producto"/>
    <m/>
    <m/>
    <m/>
    <m/>
  </r>
  <r>
    <s v="COPSA"/>
    <s v="COPSA"/>
    <m/>
    <s v="PRODUCCIÓN"/>
    <m/>
    <s v="FAUSTINO REYES LIDIA "/>
    <n v="19"/>
    <s v="AYUDANTE EMBALADOR A MANO/CAJA"/>
    <s v="F"/>
    <s v="NOCHE"/>
    <s v="CLJ"/>
    <s v="5 MESES"/>
    <d v="2017-01-09T00:00:00"/>
    <s v="Accidente Incapacitante"/>
    <m/>
    <s v="Aplatamiento mano derecha al coger doypack al final de la faja (DM: 7 días)_x000a_"/>
    <s v="MANO "/>
    <m/>
    <m/>
    <x v="5"/>
    <s v="Enero"/>
    <m/>
    <n v="7"/>
    <m/>
    <n v="7"/>
    <m/>
    <m/>
    <n v="2"/>
    <x v="22"/>
    <s v="Durante operación productiva"/>
    <s v="Atricción"/>
    <m/>
    <m/>
    <m/>
    <m/>
  </r>
  <r>
    <s v="MOLINO SANTA ROSA "/>
    <s v="MOLINO SANTA ROSA "/>
    <m/>
    <s v="PRODUCCIÓN"/>
    <m/>
    <s v="MANUYAMA DIAZ JHON "/>
    <n v="26"/>
    <s v="AYUDANTE DE PLANTA"/>
    <s v="F"/>
    <s v="NOCHE"/>
    <m/>
    <s v="2 MESES"/>
    <d v="2017-01-13T00:00:00"/>
    <s v="Accidente Incapacitante"/>
    <m/>
    <s v="Traumatismo por aplastamiento de la de la mano izquierda con mordaza de jebe de embolsadora "/>
    <s v="MANO "/>
    <m/>
    <m/>
    <x v="5"/>
    <s v="Enero"/>
    <m/>
    <n v="11"/>
    <m/>
    <n v="11"/>
    <m/>
    <m/>
    <n v="6"/>
    <x v="3"/>
    <s v="Durante operación productiva"/>
    <s v="Atricción"/>
    <m/>
    <m/>
    <m/>
    <m/>
  </r>
  <r>
    <s v="CDC"/>
    <s v="APT FIDEERIA LIMA"/>
    <m/>
    <s v="DISTRIBUCIÓN"/>
    <m/>
    <s v=". Lucas Jaque Torero"/>
    <n v="58"/>
    <s v="AUXILIAR ESTIBA"/>
    <s v="M"/>
    <s v="DIA"/>
    <s v="TERCERO"/>
    <s v="4 MESES"/>
    <d v="2017-01-13T00:00:00"/>
    <s v="Accidente Incapacitante"/>
    <m/>
    <s v="Caida en un contenedor con golpe en la cabeza"/>
    <s v="CABEZA"/>
    <m/>
    <m/>
    <x v="5"/>
    <s v="Enero"/>
    <m/>
    <n v="3"/>
    <m/>
    <n v="3"/>
    <m/>
    <m/>
    <n v="6"/>
    <x v="91"/>
    <s v="carga/descarga de camión"/>
    <s v="Caida"/>
    <m/>
    <m/>
    <s v="IOLSA"/>
    <m/>
  </r>
  <r>
    <s v="DETERGENTES"/>
    <s v="DETERGENTES"/>
    <m/>
    <s v="CALIDAD"/>
    <m/>
    <s v="Lizmar Huaman  Echegaray "/>
    <n v="34"/>
    <s v="Tecnico de Laboratorio "/>
    <s v="M"/>
    <s v="DIA"/>
    <m/>
    <s v="9 meses en Laboratorio Jabonería_x000a_2 semanas en Laboratorio Detergentes_x000a_"/>
    <d v="2017-01-30T00:00:00"/>
    <s v="Accidente Incapacitante"/>
    <m/>
    <s v="Herida en el 2do dedo del pie derecho al golpearse con puerta de casillero en vestuariosCopsa"/>
    <s v="PIE"/>
    <m/>
    <m/>
    <x v="5"/>
    <s v="Enero"/>
    <m/>
    <n v="2"/>
    <m/>
    <n v="2"/>
    <m/>
    <m/>
    <n v="2"/>
    <x v="92"/>
    <s v="Otros"/>
    <s v="Golpe"/>
    <m/>
    <m/>
    <m/>
    <m/>
  </r>
  <r>
    <s v="PROYECTOS"/>
    <s v="PROYECTOS"/>
    <m/>
    <s v="PROYECTOS"/>
    <m/>
    <s v="Juan Garcia  Zapata_x000a_"/>
    <n v="45"/>
    <s v="Oficial civil"/>
    <s v="M"/>
    <s v="DIA"/>
    <s v="TERCERO"/>
    <s v="1 AÑO 2 MESES"/>
    <d v="2017-01-13T00:00:00"/>
    <s v="Accidente Incapacitante"/>
    <m/>
    <s v="Poryección de particula al ojo mientras  realizaba la demolición de base con rotomartillo_x000a_"/>
    <s v="OJO"/>
    <m/>
    <m/>
    <x v="5"/>
    <s v="Enero"/>
    <m/>
    <n v="1"/>
    <m/>
    <n v="1"/>
    <m/>
    <m/>
    <n v="6"/>
    <x v="93"/>
    <s v="proyectos"/>
    <s v="Materia extraña al ojo"/>
    <m/>
    <m/>
    <s v="ECEL"/>
    <m/>
  </r>
  <r>
    <s v="CDC"/>
    <s v="APT FIDEERIA LIMA"/>
    <m/>
    <s v="DISTRIBUCIÓN"/>
    <m/>
    <s v="Daniel Montalván Orbegozo"/>
    <m/>
    <s v="Conductor "/>
    <s v="M"/>
    <s v="DIA"/>
    <s v="TERCERO"/>
    <s v="5 AÑOS"/>
    <d v="2017-02-07T00:00:00"/>
    <s v="Accidente Incapacitante"/>
    <m/>
    <s v="Golpe en cabeza y espalda al caer de la cabina de un camión aprox 1.20 mt "/>
    <s v="CABEZA"/>
    <m/>
    <m/>
    <x v="5"/>
    <s v="febrero"/>
    <m/>
    <n v="3"/>
    <m/>
    <n v="3"/>
    <m/>
    <m/>
    <n v="3"/>
    <x v="91"/>
    <s v="carga/descarga de camión"/>
    <s v="Caida"/>
    <m/>
    <m/>
    <s v="JUAN CARLOS ECHEGARAY (transp)"/>
    <m/>
  </r>
  <r>
    <s v="TEAL"/>
    <s v="TEAL"/>
    <m/>
    <s v="PRODUCCIÓN"/>
    <m/>
    <s v="Victor Raúl  Monja  Manayay"/>
    <n v="48"/>
    <s v="Ayudante  de Maquinista"/>
    <s v="M"/>
    <s v="NOCHE"/>
    <m/>
    <s v="5 AÑOS"/>
    <d v="2017-02-09T00:00:00"/>
    <s v="Accidente Incapacitante"/>
    <m/>
    <s v="Herida  Contusa Abierta dedo anular mano derecha al intentar desatorar silo con martillo de goma "/>
    <s v="MANO "/>
    <m/>
    <m/>
    <x v="5"/>
    <s v="febrero"/>
    <m/>
    <n v="13"/>
    <m/>
    <n v="13"/>
    <m/>
    <m/>
    <n v="5"/>
    <x v="3"/>
    <s v="Durante operación productiva"/>
    <s v="Corte"/>
    <m/>
    <m/>
    <m/>
    <m/>
  </r>
  <r>
    <s v="SIDSUR"/>
    <s v="SIDSUR"/>
    <m/>
    <s v="MANTENIMIENTO"/>
    <m/>
    <s v="Leonidas Luciano Diaz Herrera "/>
    <n v="52"/>
    <s v="Electricista de Turno / Ayudante de Molino "/>
    <s v="M"/>
    <s v="Tarde"/>
    <m/>
    <s v="16 AÑOS"/>
    <d v="2017-02-10T00:00:00"/>
    <s v="Accidente Incapacitante"/>
    <m/>
    <s v="Corte en el dorso de la maño derecha conctacto con vidrio durante la limpieza de mallas de las ventanas de la sala de tableros eléctricos en el sótano (Molino Victoria)"/>
    <s v="MANO "/>
    <m/>
    <m/>
    <x v="5"/>
    <s v="febrero"/>
    <m/>
    <n v="3"/>
    <m/>
    <n v="3"/>
    <m/>
    <m/>
    <n v="6"/>
    <x v="2"/>
    <s v="Mantenimiento"/>
    <s v="Corte"/>
    <m/>
    <m/>
    <m/>
    <m/>
  </r>
  <r>
    <s v="DETERGENTES"/>
    <s v="DETERGENTES"/>
    <m/>
    <s v="PRODUCCIÓN"/>
    <m/>
    <s v="Henry Paulino Seminario "/>
    <n v="21"/>
    <s v="RETIRO DE FARDOS"/>
    <s v="M"/>
    <s v="Tarde"/>
    <s v="APE"/>
    <s v="4 MESES"/>
    <d v="2017-02-14T00:00:00"/>
    <s v="Accidente Incapacitante"/>
    <m/>
    <s v="Contusión en dedo medio y anular mano izquierda contacto faja y polín - Línea de enfardado 2001"/>
    <s v="MANO "/>
    <m/>
    <m/>
    <x v="5"/>
    <s v="febrero"/>
    <m/>
    <n v="2"/>
    <m/>
    <n v="2"/>
    <m/>
    <m/>
    <n v="3"/>
    <x v="22"/>
    <s v="Durante operación productiva"/>
    <s v="Atricción"/>
    <m/>
    <m/>
    <m/>
    <m/>
  </r>
  <r>
    <s v="ADMINISTRACIÓN"/>
    <s v="ADMINISTRACIÓN"/>
    <m/>
    <s v="ADMINISTRACIÓN"/>
    <m/>
    <s v="Humberto Pimentel Flores"/>
    <n v="58"/>
    <s v="Vigilante"/>
    <s v="M"/>
    <s v="DIA"/>
    <s v="TERCERO"/>
    <s v="5 meses en Alicorp"/>
    <d v="2017-02-15T00:00:00"/>
    <s v="Accidente Incapacitante"/>
    <m/>
    <s v="Traumatismo en torax por contacto con portón de acceso a vehículos en Mol.Sta.Rosa "/>
    <s v="CUERPO"/>
    <m/>
    <m/>
    <x v="5"/>
    <s v="febrero"/>
    <m/>
    <n v="3"/>
    <m/>
    <n v="3"/>
    <m/>
    <m/>
    <n v="4"/>
    <x v="94"/>
    <s v="Otros"/>
    <s v="Golpe"/>
    <m/>
    <m/>
    <s v="LIDERMAN"/>
    <m/>
  </r>
  <r>
    <s v="ADMINISTRACIÓN"/>
    <s v="ADMINISTRACIÓN"/>
    <m/>
    <s v="ADMINISTRACIÓN"/>
    <m/>
    <s v="Castillo Mendoza Antonio"/>
    <n v="54"/>
    <s v="Operario de Limpieza "/>
    <s v="M"/>
    <s v="Tarde"/>
    <s v="TERCERO"/>
    <s v="3 AÑOS"/>
    <d v="2017-02-16T00:00:00"/>
    <s v="Accidente Incapacitante"/>
    <m/>
    <s v="Golpe en la nariz y esquince en muñeca al intentar bajar el coche por la gradas agarrándolo de las manijas perdiendo el equilibrio (APT Fideeria Lima)"/>
    <s v="MANO "/>
    <m/>
    <m/>
    <x v="5"/>
    <s v="febrero"/>
    <m/>
    <n v="10"/>
    <m/>
    <n v="10"/>
    <m/>
    <m/>
    <n v="5"/>
    <x v="95"/>
    <s v="Limpiando instalaciones"/>
    <s v="Golpe"/>
    <m/>
    <m/>
    <s v="LIMTEK"/>
    <m/>
  </r>
  <r>
    <s v="MOLINO FAUCETT"/>
    <s v="MOLINO FAUCETT"/>
    <m/>
    <s v="PRODUCCIÓN"/>
    <m/>
    <s v="Carlos Gavidia Díaz"/>
    <n v="43"/>
    <s v="Ayudante de Planta"/>
    <s v="M"/>
    <s v="DIA"/>
    <m/>
    <s v="4.5 AÑOS"/>
    <d v="2017-02-20T00:00:00"/>
    <s v="Accidente Incapacitante"/>
    <m/>
    <s v="Herida cortante en primer dedo de mano izquierda con cuchilla retráctil cortando suncho de fardo de sacos subproducto"/>
    <s v="MANO "/>
    <m/>
    <m/>
    <x v="5"/>
    <s v="febrero"/>
    <m/>
    <n v="5"/>
    <m/>
    <n v="5"/>
    <m/>
    <m/>
    <n v="2"/>
    <x v="23"/>
    <s v="Durante operación productiva"/>
    <s v="Corte"/>
    <m/>
    <m/>
    <m/>
    <m/>
  </r>
  <r>
    <s v="OTROS"/>
    <s v="OTROS"/>
    <m/>
    <s v="OTROS"/>
    <m/>
    <s v="CANALES ANCHORENA, PATTY  "/>
    <n v="49"/>
    <s v="COSNULTORA SISTEMAS"/>
    <s v="F"/>
    <s v="DIA"/>
    <s v="VISITA"/>
    <m/>
    <d v="2017-02-21T00:00:00"/>
    <s v="Accidente Incapacitante"/>
    <m/>
    <s v="Caída al resbalar cruzando calzada al ingresar al Predio "/>
    <s v="PIE"/>
    <m/>
    <m/>
    <x v="5"/>
    <s v="febrero"/>
    <m/>
    <n v="3"/>
    <m/>
    <n v="3"/>
    <m/>
    <m/>
    <n v="3"/>
    <x v="20"/>
    <s v="Trasladandose a pie"/>
    <s v="Caida"/>
    <m/>
    <m/>
    <s v="SISTEMAS"/>
    <m/>
  </r>
  <r>
    <s v="MASTERBREAD"/>
    <s v="MASTERBREAD"/>
    <m/>
    <s v="MASTERBREAD"/>
    <m/>
    <s v="Evelyn Figueroa  (LIMTEK) "/>
    <m/>
    <s v="Operario de Limpieza "/>
    <s v="M"/>
    <s v="DIA"/>
    <s v="TERCERO"/>
    <m/>
    <d v="2017-02-24T00:00:00"/>
    <s v="Accidente Incapacitante"/>
    <m/>
    <s v="Caída por los 3 ultimos peldaños de escalera con golpe en zona lumbar durante la limpieza de planta"/>
    <s v="CUERPO"/>
    <m/>
    <m/>
    <x v="5"/>
    <s v="febrero"/>
    <m/>
    <n v="1"/>
    <m/>
    <n v="1"/>
    <m/>
    <m/>
    <n v="6"/>
    <x v="20"/>
    <s v="Limpiando instalaciones"/>
    <s v="Caida"/>
    <m/>
    <m/>
    <s v="LIMTEK"/>
    <m/>
  </r>
  <r>
    <s v="GALLETERA LIMA"/>
    <s v="GALLETERA LIMA"/>
    <m/>
    <s v="PRODUCCIÓN"/>
    <m/>
    <s v="Omar Medina Morante"/>
    <n v="43"/>
    <s v="Operador de Wafer"/>
    <s v="M"/>
    <s v="DIA"/>
    <m/>
    <s v="14 AÑOS"/>
    <d v="2017-02-04T00:00:00"/>
    <s v="Accidente Incapacitante"/>
    <m/>
    <s v="Quemadura antebrazo izquierdo con compuerta horno Wafer"/>
    <s v="BRAZO "/>
    <m/>
    <m/>
    <x v="5"/>
    <s v="febrero"/>
    <m/>
    <n v="11"/>
    <m/>
    <n v="11"/>
    <m/>
    <m/>
    <n v="7"/>
    <x v="96"/>
    <s v="Durante operación productiva"/>
    <s v="Quemadura"/>
    <m/>
    <m/>
    <m/>
    <m/>
  </r>
  <r>
    <s v="DETERGENTES"/>
    <s v="DETERGENTES"/>
    <m/>
    <s v="PRODUCCIÓN"/>
    <m/>
    <s v="HUANCA IPARRAGUIRRE RAFAEL ALBERTO"/>
    <n v="45"/>
    <s v="OPERADOR DE ENFARDADO"/>
    <s v="M"/>
    <s v="NOCHE"/>
    <m/>
    <s v="3 AÑOS"/>
    <d v="2017-03-07T00:00:00"/>
    <s v="Accidente Incapacitante"/>
    <m/>
    <s v="Esguince de primer grado tobillo izquierdo al bajar por la escalera de los SSHH"/>
    <s v="PIE"/>
    <m/>
    <m/>
    <x v="5"/>
    <s v="Marzo"/>
    <m/>
    <n v="22"/>
    <m/>
    <n v="22"/>
    <m/>
    <m/>
    <n v="3"/>
    <x v="97"/>
    <s v="Trasladandose a pie"/>
    <s v="Esgunce"/>
    <m/>
    <m/>
    <m/>
    <m/>
  </r>
  <r>
    <s v="JABONERÍA"/>
    <s v="JABONERÍA"/>
    <m/>
    <s v="PRODUCCIÓN"/>
    <m/>
    <s v="DE LA CRUZ NAJARRO HECTOR "/>
    <n v="42"/>
    <s v="LIDER SAPONIFICACIÓN CONTINUA"/>
    <s v="M"/>
    <s v="Tarde"/>
    <m/>
    <s v="6 AÑOS"/>
    <d v="2017-03-07T00:00:00"/>
    <s v="Accidente Incapacitante"/>
    <m/>
    <s v="Quemadura II grado antebrazo derecho con vapor durante la evacuación de jabón del tanque neutralizador"/>
    <s v="BRAZO "/>
    <m/>
    <m/>
    <x v="5"/>
    <s v="Marzo"/>
    <m/>
    <n v="9"/>
    <m/>
    <n v="9"/>
    <m/>
    <m/>
    <n v="3"/>
    <x v="73"/>
    <s v="Durante operación productiva"/>
    <s v="Quemadura"/>
    <m/>
    <m/>
    <m/>
    <m/>
  </r>
  <r>
    <s v="VITAPRO"/>
    <s v="NUTRICION ANIMAL TRUJILLO "/>
    <m/>
    <s v="VITAPRO"/>
    <m/>
    <s v="JIMMY GUEVARA"/>
    <n v="32"/>
    <s v="OPERADOR DE EXTRUSORA"/>
    <s v="M"/>
    <s v="DIA"/>
    <m/>
    <s v="2 años 2 meses"/>
    <d v="2017-03-04T00:00:00"/>
    <s v="Accidente Incapacitante"/>
    <m/>
    <s v="Contusión por Atrición en pie izquierdo al intentar trasladar un repuesto al taller de mantenimiento "/>
    <s v="PIE"/>
    <m/>
    <m/>
    <x v="5"/>
    <s v="Marzo"/>
    <m/>
    <n v="49"/>
    <m/>
    <n v="49"/>
    <m/>
    <m/>
    <n v="7"/>
    <x v="98"/>
    <s v="Mantenimiento"/>
    <s v="Fractura"/>
    <m/>
    <m/>
    <m/>
    <m/>
  </r>
  <r>
    <s v="GALLETERA LIMA"/>
    <s v="GALLETERA LIMA"/>
    <m/>
    <s v="PRODUCCIÓN"/>
    <m/>
    <s v="LEON ZANMORA OSWALDO"/>
    <n v="41"/>
    <s v="OPERADOR DE MAQUINA ENVASADORA"/>
    <s v="M"/>
    <s v="Tarde"/>
    <m/>
    <s v="16 AÑOS"/>
    <d v="2017-03-14T00:00:00"/>
    <s v="Accidente Incapacitante"/>
    <m/>
    <s v="Contacto del ojo con la  varilla reguladora durante la regulación del máquina envasadora "/>
    <s v="OJO"/>
    <m/>
    <m/>
    <x v="5"/>
    <s v="Marzo"/>
    <m/>
    <n v="3"/>
    <m/>
    <n v="3"/>
    <m/>
    <m/>
    <n v="3"/>
    <x v="3"/>
    <s v="Calibrando/Regulando"/>
    <s v="Golpe"/>
    <m/>
    <m/>
    <m/>
    <m/>
  </r>
  <r>
    <s v="CDC"/>
    <s v="APT EL AGUSTINO"/>
    <m/>
    <s v="DISTRIBUCIÓN"/>
    <m/>
    <m/>
    <n v="34"/>
    <s v="CONDUCTOR"/>
    <s v="M"/>
    <s v="Tarde"/>
    <s v="TERCERO"/>
    <s v="5 AÑOS"/>
    <d v="2017-03-23T00:00:00"/>
    <s v="Accidente Incapacitante"/>
    <m/>
    <s v="Contusión toráxica con la puerta del camión antes de iniciar la descarga "/>
    <s v="CUERPO"/>
    <m/>
    <m/>
    <x v="5"/>
    <s v="Marzo"/>
    <m/>
    <n v="3"/>
    <m/>
    <n v="3"/>
    <m/>
    <m/>
    <n v="5"/>
    <x v="91"/>
    <s v="carga/descarga de camión"/>
    <s v="Golpe"/>
    <m/>
    <m/>
    <s v="TRANSP.PACIFICO"/>
    <m/>
  </r>
  <r>
    <s v="TEAL"/>
    <s v="TEAL"/>
    <m/>
    <s v="PRODUCCIÓN"/>
    <m/>
    <s v="Julio Cesar Delgado Rajo"/>
    <n v="30"/>
    <s v="operario de producción"/>
    <s v="M"/>
    <s v="NOCHE"/>
    <m/>
    <s v="1 MES 25 DIAS"/>
    <d v="2017-03-13T00:00:00"/>
    <s v="Accidente Incapacitante"/>
    <m/>
    <s v="Herida en el Pulpejo del pulgar de la mano Izquierda al cortar suncho de cajas vacías con cuchilla"/>
    <s v="MANO "/>
    <m/>
    <m/>
    <x v="5"/>
    <s v="Marzo"/>
    <m/>
    <n v="3"/>
    <m/>
    <n v="3"/>
    <m/>
    <m/>
    <n v="2"/>
    <x v="23"/>
    <s v="Durante operación productiva"/>
    <s v="Corte"/>
    <m/>
    <m/>
    <m/>
    <m/>
  </r>
  <r>
    <s v="GLOBAL"/>
    <s v="GLOBAL"/>
    <m/>
    <s v="GLOBAL"/>
    <m/>
    <s v="Johel de la Cruz"/>
    <n v="29"/>
    <m/>
    <s v="M"/>
    <s v="DIA"/>
    <s v="TERCERO"/>
    <s v="6 meses"/>
    <d v="2017-03-02T00:00:00"/>
    <s v="Accidente Incapacitante"/>
    <m/>
    <s v="Aplastamiento del pie con traspaleta"/>
    <s v="PIE"/>
    <m/>
    <m/>
    <x v="5"/>
    <s v="Marzo"/>
    <m/>
    <n v="30"/>
    <m/>
    <n v="30"/>
    <m/>
    <m/>
    <n v="5"/>
    <x v="99"/>
    <s v="Durante operación productiva"/>
    <s v="Fractura"/>
    <m/>
    <m/>
    <s v="MANPOWER"/>
    <m/>
  </r>
  <r>
    <s v="TEAL"/>
    <s v="TEAL"/>
    <m/>
    <s v="PRODUCCIÓN"/>
    <m/>
    <s v="Sanchez Chavez Natividad"/>
    <n v="35"/>
    <s v="Maquinista"/>
    <s v="M"/>
    <s v="DIA"/>
    <m/>
    <s v="2 años 16 dias"/>
    <d v="2017-04-16T00:00:00"/>
    <s v="Accidente Incapacitante"/>
    <m/>
    <s v="Fractura de Clavícula Izquierda, Fractura de tobillo izquierdo, Contusión en cabeza al caer en la parte posterior de la cisterna de harina al ser golpeado por tapa presurizada"/>
    <s v="PIE"/>
    <m/>
    <m/>
    <x v="5"/>
    <s v="Abril"/>
    <m/>
    <n v="162"/>
    <m/>
    <n v="162"/>
    <m/>
    <m/>
    <n v="1"/>
    <x v="100"/>
    <s v="carga/descarga de camión"/>
    <s v="Fractura"/>
    <m/>
    <m/>
    <m/>
    <s v="Natividad Sanchez su descanso medico finalizo el 25 de setiembre del 2017, fecha en que le otorgaron su alta médica, acumulando un total de 162 días de incapacidad; actualmente se encuentra laborando en el puesto de operador de balanza."/>
  </r>
  <r>
    <s v="ADMINISTRACIÓN"/>
    <s v="ADMINISTRACIÓN"/>
    <m/>
    <s v="ADMINISTRACIÓN"/>
    <m/>
    <s v="Lizbeth Timana Sisniegas "/>
    <n v="38"/>
    <s v="Operador de envasado "/>
    <s v="F"/>
    <s v="DIA"/>
    <m/>
    <s v="3 años 1 mes"/>
    <d v="2017-04-17T00:00:00"/>
    <s v="Accidente Incapacitante"/>
    <m/>
    <s v="Caída mismo nivel por piso húmedo SSHH originando un trauma Lumbo-Sacro "/>
    <s v="CUERPO"/>
    <m/>
    <m/>
    <x v="5"/>
    <s v="Abril"/>
    <m/>
    <n v="2"/>
    <m/>
    <n v="2"/>
    <m/>
    <m/>
    <n v="2"/>
    <x v="20"/>
    <s v="Trasladandose a pie"/>
    <s v="Golpe"/>
    <m/>
    <m/>
    <m/>
    <m/>
  </r>
  <r>
    <s v="RELACIONES LABORALES"/>
    <s v="RELACIONES LABORALES"/>
    <m/>
    <s v="RELACIONES LABORALES"/>
    <m/>
    <m/>
    <n v="37"/>
    <s v="Ayudante de cocina"/>
    <s v="M"/>
    <s v="Tarde"/>
    <s v="TERCERO"/>
    <s v="1 año"/>
    <d v="2017-04-24T00:00:00"/>
    <s v="Accidente Incapacitante"/>
    <m/>
    <s v="Herida cortante en segundo dedo de mano izquierda cortando verduras "/>
    <s v="MANO "/>
    <m/>
    <m/>
    <x v="5"/>
    <s v="Abril"/>
    <m/>
    <n v="3"/>
    <m/>
    <n v="3"/>
    <m/>
    <m/>
    <n v="2"/>
    <x v="6"/>
    <s v="Durante operación productiva"/>
    <s v="Corte"/>
    <s v="BALBINO"/>
    <m/>
    <s v="BALBINO"/>
    <m/>
  </r>
  <r>
    <s v="CDC"/>
    <s v="DISTRIBUCIÓN"/>
    <m/>
    <s v="DISTRIBUCIÓN"/>
    <m/>
    <s v="Luis La Torres Cáceres "/>
    <n v="24"/>
    <s v="APE"/>
    <s v="M"/>
    <s v="DIA"/>
    <s v="APE"/>
    <s v="06 Meses"/>
    <d v="2017-04-25T00:00:00"/>
    <s v="Accidente Incapacitante"/>
    <m/>
    <s v="Conduciendo un transpaleta eléctrico ERE20, choca lateralmente con un pallet ubicado en el canal, sufriendo un golpe a la altura del estómago con el timón del equipo "/>
    <s v="CUERPO"/>
    <m/>
    <m/>
    <x v="5"/>
    <s v="Abril"/>
    <m/>
    <n v="4"/>
    <m/>
    <n v="4"/>
    <m/>
    <m/>
    <n v="3"/>
    <x v="12"/>
    <s v="Manejando traspaleta/Montacarga"/>
    <s v="Golpe"/>
    <m/>
    <m/>
    <m/>
    <m/>
  </r>
  <r>
    <s v="GLOBAL"/>
    <s v="GLOBAL"/>
    <m/>
    <s v="GLOBAL"/>
    <m/>
    <s v="Miguel Espinoza Haro"/>
    <n v="32"/>
    <s v="Operador de envasado"/>
    <s v="M"/>
    <s v="NOCHE"/>
    <s v="Global Alimentos"/>
    <s v="10 AÑOS"/>
    <d v="2017-04-25T00:00:00"/>
    <s v="Accidente Incapacitante"/>
    <m/>
    <s v="Atrición del tercer dedo de la mano izquierda en su intento de limpiar mordazas horizontales sin detener la máquina "/>
    <s v="MANO "/>
    <m/>
    <m/>
    <x v="5"/>
    <s v="Abril"/>
    <m/>
    <n v="15"/>
    <m/>
    <n v="15"/>
    <m/>
    <m/>
    <n v="3"/>
    <x v="3"/>
    <s v="Limpiando equipo"/>
    <s v="Atricción"/>
    <m/>
    <m/>
    <m/>
    <m/>
  </r>
  <r>
    <s v="RELACIONES LABORALES"/>
    <s v="RELACIONES LABORALES"/>
    <m/>
    <s v="RELACIONES LABORALES"/>
    <m/>
    <s v="BERTHA RIVERA HENOSTROSA"/>
    <n v="38"/>
    <s v="INSTRUCTORA SENATI"/>
    <s v="M"/>
    <s v="DIA"/>
    <s v="VISITA"/>
    <m/>
    <d v="2017-04-25T00:00:00"/>
    <s v="Accidente Incapacitante"/>
    <m/>
    <s v="Sufre caída del mismo nivel al resbalar originando golpe a nivel lumbar izquierdo"/>
    <s v="CUERPO"/>
    <m/>
    <m/>
    <x v="5"/>
    <s v="Abril"/>
    <m/>
    <n v="2"/>
    <m/>
    <n v="2"/>
    <m/>
    <m/>
    <n v="3"/>
    <x v="20"/>
    <s v="Trasladandose a pie"/>
    <s v="Golpe"/>
    <s v="SENATI"/>
    <m/>
    <s v="SENATI"/>
    <m/>
  </r>
  <r>
    <s v="GLOBAL"/>
    <s v="GLOBAL"/>
    <m/>
    <s v="GLOBAL"/>
    <m/>
    <s v="Marleny Castro "/>
    <n v="45"/>
    <s v="Operador de empacado"/>
    <s v="F"/>
    <s v="NOCHE"/>
    <s v="TERCERO"/>
    <s v="6 meses"/>
    <d v="2017-04-19T00:00:00"/>
    <s v="Accidente Incapacitante"/>
    <m/>
    <s v="Contusión en el dedo anular de la mano derecha cuando se encontraba recogiendo producto de la máquina 3 y fue golpeado por un embudo cuando activaron la faja"/>
    <s v="MANO "/>
    <m/>
    <m/>
    <x v="5"/>
    <s v="Abril"/>
    <m/>
    <n v="3"/>
    <m/>
    <n v="3"/>
    <m/>
    <m/>
    <n v="4"/>
    <x v="3"/>
    <s v="Durante operación productiva"/>
    <s v="Golpe"/>
    <m/>
    <m/>
    <s v="MANPOWER"/>
    <m/>
  </r>
  <r>
    <s v="MOLINO FAUCETT"/>
    <s v="MOLINO FAUCETT"/>
    <m/>
    <s v="PRODUCCIÓN"/>
    <m/>
    <s v="Jaime Ivan Cavero Rios"/>
    <n v="44"/>
    <s v="operados 2 del molino"/>
    <s v="M"/>
    <s v="NOCHE"/>
    <m/>
    <s v="2 años"/>
    <d v="2017-05-08T00:00:00"/>
    <s v="Accidente Incapacitante"/>
    <m/>
    <s v="Fractura de los dedos medio y anular / mano izquierda durante la carga de Harina a Cisterna"/>
    <s v="MANO "/>
    <m/>
    <m/>
    <x v="5"/>
    <s v="Mayo"/>
    <m/>
    <n v="176"/>
    <m/>
    <n v="176"/>
    <m/>
    <m/>
    <n v="2"/>
    <x v="100"/>
    <s v="Durante operación productiva"/>
    <s v="Fractura"/>
    <m/>
    <m/>
    <m/>
    <m/>
  </r>
  <r>
    <s v="GLOBAL"/>
    <s v="GLOBAL"/>
    <m/>
    <s v="GLOBAL"/>
    <m/>
    <s v="Agustín Ayala López"/>
    <n v="36"/>
    <m/>
    <s v="M"/>
    <s v="NOCHE"/>
    <s v="Global Alimentos"/>
    <s v="7 meses"/>
    <d v="2017-05-15T00:00:00"/>
    <s v="Accidente Incapacitante"/>
    <m/>
    <s v="Contusión costal derecho al tropezar con manguera de aire en el piso y caer sobre baranda de seguridad (Tórax) "/>
    <s v="CUERPO"/>
    <m/>
    <m/>
    <x v="5"/>
    <s v="Mayo"/>
    <m/>
    <n v="31"/>
    <m/>
    <n v="31"/>
    <m/>
    <m/>
    <n v="2"/>
    <x v="101"/>
    <s v="Trasladandose a pie"/>
    <s v="Golpe"/>
    <m/>
    <m/>
    <m/>
    <m/>
  </r>
  <r>
    <s v="OTROS"/>
    <s v="OTROS (RRHH)"/>
    <m/>
    <s v="OTROS"/>
    <m/>
    <m/>
    <m/>
    <m/>
    <s v="M"/>
    <s v="DIA"/>
    <m/>
    <m/>
    <d v="2017-05-15T00:00:00"/>
    <s v="Accidente Incapacitante"/>
    <m/>
    <s v="Esguince tobillo pie derecho al caer en escalera (RRHH)"/>
    <s v="PIE"/>
    <m/>
    <m/>
    <x v="5"/>
    <s v="Mayo"/>
    <m/>
    <n v="11"/>
    <m/>
    <n v="11"/>
    <m/>
    <m/>
    <n v="2"/>
    <x v="97"/>
    <s v="Trasladandose a pie"/>
    <s v="Esgunce"/>
    <m/>
    <m/>
    <m/>
    <m/>
  </r>
  <r>
    <s v="OTROS"/>
    <s v="OTROS (TERCERO)"/>
    <m/>
    <s v="PRODUCCIÓN"/>
    <m/>
    <m/>
    <m/>
    <m/>
    <s v="M"/>
    <s v="DIA"/>
    <s v="SENATI"/>
    <m/>
    <d v="2017-05-16T00:00:00"/>
    <s v="Accidente Incapacitante"/>
    <m/>
    <s v="Cuerpo extraño dentro del ojo izquierdo transitando por la vereda hacia el comedor de CDC – SENATI (COPSA)"/>
    <s v="OJO"/>
    <m/>
    <m/>
    <x v="5"/>
    <s v="Mayo"/>
    <m/>
    <n v="2"/>
    <m/>
    <n v="2"/>
    <m/>
    <m/>
    <n v="3"/>
    <x v="102"/>
    <s v="Trasladandose a pie"/>
    <s v="Materia extraña al ojo"/>
    <m/>
    <m/>
    <m/>
    <m/>
  </r>
  <r>
    <s v="GLOBAL"/>
    <s v="GLOBAL"/>
    <m/>
    <s v="GLOBAL"/>
    <m/>
    <s v="Yober Odon Curo"/>
    <n v="18"/>
    <m/>
    <s v="M"/>
    <s v="DIA"/>
    <s v="TERCERO"/>
    <s v="5 meses"/>
    <d v="2017-05-22T00:00:00"/>
    <s v="Accidente Incapacitante"/>
    <m/>
    <s v="Contusión en el tercer dedo de la mano derecha manipulando paletas "/>
    <s v="MANO "/>
    <m/>
    <m/>
    <x v="5"/>
    <s v="Mayo"/>
    <m/>
    <n v="3"/>
    <m/>
    <n v="3"/>
    <m/>
    <m/>
    <n v="2"/>
    <x v="103"/>
    <s v="Durante operación productiva"/>
    <s v="Golpe"/>
    <m/>
    <m/>
    <s v="MANPOWER"/>
    <m/>
  </r>
  <r>
    <s v="CDC"/>
    <s v="APT FIDEERIA LIMA"/>
    <m/>
    <s v="DISTRIBUCIÓN"/>
    <m/>
    <s v="Jasón Jesus Cuadros Rengifo. "/>
    <n v="22"/>
    <s v="APE"/>
    <s v="M"/>
    <s v="Tarde"/>
    <s v="APE"/>
    <s v="4 meses"/>
    <d v="2017-05-25T00:00:00"/>
    <s v="Accidente Incapacitante"/>
    <m/>
    <s v="fractura de rotula y rotura de ligamento rodilla derecha al ser impactado por elevador eléctrico manejado por APE"/>
    <s v="PIERNA"/>
    <m/>
    <m/>
    <x v="5"/>
    <s v="Mayo"/>
    <m/>
    <n v="150"/>
    <m/>
    <n v="150"/>
    <m/>
    <m/>
    <n v="5"/>
    <x v="104"/>
    <s v="Manejando traspaleta/Montacarga"/>
    <s v="Fractura"/>
    <m/>
    <m/>
    <m/>
    <m/>
  </r>
  <r>
    <s v="VITAPRO"/>
    <s v="NUTRICION ANIMAL TRUJILLO "/>
    <m/>
    <s v="VITAPRO"/>
    <m/>
    <s v="JIMMY MINGA"/>
    <n v="32"/>
    <m/>
    <s v="M"/>
    <s v="DIA"/>
    <m/>
    <s v="6 AÑOS 2 MESES"/>
    <d v="2017-05-29T00:00:00"/>
    <s v="Accidente Incapacitante"/>
    <m/>
    <s v="Fractura dedo pulgar retirando el distribuidor de carga prensa nro.6"/>
    <s v="MANO "/>
    <m/>
    <m/>
    <x v="5"/>
    <s v="Mayo"/>
    <m/>
    <n v="20"/>
    <m/>
    <n v="20"/>
    <m/>
    <m/>
    <n v="2"/>
    <x v="3"/>
    <s v="Maniobras de equipos"/>
    <s v="Fractura"/>
    <m/>
    <m/>
    <m/>
    <m/>
  </r>
  <r>
    <s v="SIDSUR"/>
    <s v="SIDSUR"/>
    <m/>
    <s v="PRODUCCIÓN"/>
    <m/>
    <s v="José Miguel Galindo"/>
    <n v="19"/>
    <m/>
    <s v="M"/>
    <s v="NOCHE"/>
    <s v="CLJ"/>
    <s v="2.5 meses"/>
    <d v="2017-05-24T00:00:00"/>
    <s v="Accidente Incapacitante"/>
    <m/>
    <s v="Dolor en zonas blandas de mano derecha (tendones o ligamentos)"/>
    <s v="MANO "/>
    <m/>
    <m/>
    <x v="5"/>
    <s v="Mayo"/>
    <m/>
    <n v="14"/>
    <m/>
    <n v="14"/>
    <m/>
    <m/>
    <n v="4"/>
    <x v="3"/>
    <s v="Durante operación productiva"/>
    <s v="Atricción"/>
    <m/>
    <m/>
    <m/>
    <m/>
  </r>
  <r>
    <s v="GLOBAL"/>
    <s v="GLOBAL"/>
    <m/>
    <s v="GLOBAL"/>
    <m/>
    <s v="Pedro Paredes Llontop "/>
    <n v="36"/>
    <m/>
    <s v="M"/>
    <s v="Día"/>
    <s v="Global Alimentos"/>
    <s v="5 años"/>
    <d v="2017-06-02T00:00:00"/>
    <s v="Accidente Incapacitante"/>
    <m/>
    <s v="Herida/contusa cortante mano izquierda en extrusor #3 "/>
    <s v="MANO "/>
    <m/>
    <m/>
    <x v="5"/>
    <s v="Junio"/>
    <m/>
    <n v="15"/>
    <m/>
    <n v="15"/>
    <m/>
    <m/>
    <n v="6"/>
    <x v="3"/>
    <s v="Durante operación productiva"/>
    <s v="Corte"/>
    <m/>
    <m/>
    <m/>
    <m/>
  </r>
  <r>
    <s v="GLOBAL"/>
    <s v="GLOBAL"/>
    <m/>
    <s v="GLOBAL"/>
    <m/>
    <s v="Marco Osvaldo Mendoza Talavera"/>
    <n v="36"/>
    <m/>
    <s v="M"/>
    <s v="Tarde"/>
    <s v="Global Alimentos"/>
    <s v="6 años 5 meses "/>
    <d v="2017-06-21T00:00:00"/>
    <s v="Accidente Incapacitante"/>
    <m/>
    <s v="Herida dedo de mano con cuchilla de maquina envasadora "/>
    <s v="MANO "/>
    <m/>
    <m/>
    <x v="5"/>
    <s v="Junio"/>
    <m/>
    <n v="18"/>
    <m/>
    <n v="18"/>
    <m/>
    <m/>
    <n v="4"/>
    <x v="3"/>
    <s v="Durante operación productiva"/>
    <s v="Corte"/>
    <m/>
    <m/>
    <m/>
    <m/>
  </r>
  <r>
    <s v="GLOBAL"/>
    <s v="GLOBAL"/>
    <m/>
    <s v="GLOBAL"/>
    <m/>
    <s v="Rocio Navarro Pastor"/>
    <n v="38"/>
    <m/>
    <s v="F"/>
    <s v="Día"/>
    <s v="TERCERO"/>
    <s v="1 año 2 meses"/>
    <d v="2017-06-23T00:00:00"/>
    <s v="Accidente Incapacitante"/>
    <m/>
    <s v="Contusión muñeca izquierda al tropezar con traspaleta"/>
    <s v="MANO "/>
    <m/>
    <m/>
    <x v="5"/>
    <s v="Junio"/>
    <m/>
    <n v="4"/>
    <m/>
    <n v="4"/>
    <m/>
    <m/>
    <n v="6"/>
    <x v="3"/>
    <s v="Trasladandose a pie"/>
    <s v="Golpe"/>
    <m/>
    <m/>
    <s v="MANPOWER"/>
    <m/>
  </r>
  <r>
    <s v="GLOBAL"/>
    <s v="GLOBAL"/>
    <m/>
    <s v="GLOBAL"/>
    <m/>
    <s v="Ana Reyes Apolinario"/>
    <n v="44"/>
    <m/>
    <s v="F"/>
    <s v="Día"/>
    <s v="TERCERO"/>
    <s v="22 días"/>
    <d v="2017-06-24T00:00:00"/>
    <s v="Accidente Incapacitante"/>
    <m/>
    <s v="Golpe en la muñeca y dedo mano izaquierda"/>
    <s v="MANO "/>
    <m/>
    <m/>
    <x v="5"/>
    <s v="Junio"/>
    <m/>
    <n v="15"/>
    <m/>
    <n v="15"/>
    <m/>
    <m/>
    <n v="7"/>
    <x v="3"/>
    <s v="Durante operación productiva"/>
    <s v="Golpe"/>
    <m/>
    <m/>
    <s v="MANPOWER"/>
    <m/>
  </r>
  <r>
    <s v="MOLINO FAUCETT"/>
    <s v="MOL"/>
    <m/>
    <m/>
    <m/>
    <m/>
    <m/>
    <m/>
    <m/>
    <m/>
    <m/>
    <m/>
    <m/>
    <m/>
    <m/>
    <m/>
    <m/>
    <m/>
    <m/>
    <x v="6"/>
    <m/>
    <m/>
    <m/>
    <m/>
    <m/>
    <m/>
    <m/>
    <m/>
    <x v="81"/>
    <m/>
    <m/>
    <m/>
    <m/>
    <m/>
    <m/>
  </r>
  <r>
    <s v="MOLINO FAUCETT"/>
    <s v="MOLINO FAUCETT"/>
    <m/>
    <s v="PRODUCCIÓN"/>
    <m/>
    <s v="Julio Phuturi Berna"/>
    <n v="20"/>
    <m/>
    <s v="M"/>
    <s v="Tarde"/>
    <s v="APE"/>
    <s v="6 MESES"/>
    <d v="2017-06-04T00:00:00"/>
    <s v="Accidente Incapacitante"/>
    <m/>
    <s v="Herida cortante 5to dedo de la mano derecha al cerrarse puerta de emergencia de área de embolse de subproducto "/>
    <s v="MANO "/>
    <m/>
    <m/>
    <x v="5"/>
    <s v="Junio"/>
    <m/>
    <n v="3"/>
    <m/>
    <n v="3"/>
    <m/>
    <m/>
    <n v="1"/>
    <x v="34"/>
    <s v="Otros"/>
    <s v="CORTE"/>
    <m/>
    <m/>
    <m/>
    <m/>
  </r>
  <r>
    <s v="CDC"/>
    <s v="APT TEAL"/>
    <m/>
    <s v="DISTRIBUCIÓN"/>
    <m/>
    <s v="Delar Areli Santa Cruz  Torres  "/>
    <n v="22"/>
    <s v="Operario de almacén"/>
    <s v="M"/>
    <s v="Tarde"/>
    <m/>
    <s v="3 AÑOS Y 8 MESES"/>
    <d v="2017-06-13T00:00:00"/>
    <s v="Accidente Incapacitante"/>
    <m/>
    <s v="Aplastamiento del dedo con paleta cargada de producto de caramelos en mesa de polines "/>
    <s v="MANO "/>
    <m/>
    <m/>
    <x v="5"/>
    <s v="Junio"/>
    <m/>
    <n v="7"/>
    <m/>
    <n v="7"/>
    <m/>
    <m/>
    <n v="3"/>
    <x v="27"/>
    <s v="Durante operación productiva"/>
    <s v="Atricción"/>
    <m/>
    <m/>
    <m/>
    <m/>
  </r>
  <r>
    <s v="COPSA"/>
    <s v="COPSA"/>
    <m/>
    <s v="PRODUCCIÓN"/>
    <m/>
    <s v="José Noa Espino  "/>
    <n v="28"/>
    <m/>
    <s v="M"/>
    <s v="DIA"/>
    <s v="TERCERO"/>
    <s v="3 MESES"/>
    <d v="2017-06-20T00:00:00"/>
    <s v="Accidente Incapacitante"/>
    <m/>
    <s v="Luxación Tobillo Derecho durante baldeo de la zona de pozas "/>
    <s v="PIE"/>
    <m/>
    <m/>
    <x v="5"/>
    <s v="Junio"/>
    <m/>
    <n v="3"/>
    <m/>
    <n v="3"/>
    <m/>
    <m/>
    <n v="3"/>
    <x v="20"/>
    <s v="Limpiando instalaciones"/>
    <s v="Esgunce"/>
    <m/>
    <m/>
    <s v="LIMTEK"/>
    <m/>
  </r>
  <r>
    <s v="MOLINO CALLAO"/>
    <s v="MOLINO CALLAO"/>
    <m/>
    <s v="PRODUCCIÓN"/>
    <m/>
    <s v="José Barrera Gonzales"/>
    <n v="48"/>
    <s v="AUUDANTE DE PLANTA"/>
    <s v="M"/>
    <s v="DIA"/>
    <m/>
    <s v="1 AÑO 6 MESES"/>
    <d v="2017-06-24T00:00:00"/>
    <s v="Accidente Incapacitante"/>
    <m/>
    <s v="Estiramiento del dedo en limpiadora de mangas"/>
    <s v="MANO "/>
    <m/>
    <m/>
    <x v="5"/>
    <s v="Junio"/>
    <m/>
    <n v="159"/>
    <m/>
    <n v="159"/>
    <m/>
    <m/>
    <n v="7"/>
    <x v="3"/>
    <s v="Durante operación productiva"/>
    <s v="ESTIRAMIENTO"/>
    <m/>
    <m/>
    <m/>
    <m/>
  </r>
  <r>
    <s v="MOLINO CALLAO"/>
    <s v="MOLINO CALLAO"/>
    <m/>
    <s v="PRODUCCIÓN"/>
    <m/>
    <s v="Luis Alberto Rojas Arias"/>
    <n v="62"/>
    <s v="Operador 2 de Molino"/>
    <s v="M"/>
    <s v="DIA"/>
    <m/>
    <s v="21 años 6 meses"/>
    <d v="2017-07-02T00:00:00"/>
    <s v="Accidente Incapacitante"/>
    <m/>
    <s v="Atricción muslo derecho al caer de una escalera de 1.10 mt"/>
    <s v="PIERNA"/>
    <m/>
    <m/>
    <x v="5"/>
    <s v="Julio"/>
    <m/>
    <n v="41"/>
    <m/>
    <n v="41"/>
    <m/>
    <m/>
    <n v="1"/>
    <x v="3"/>
    <s v="Durante operación productiva"/>
    <s v="Golpe"/>
    <m/>
    <m/>
    <m/>
    <m/>
  </r>
  <r>
    <s v="MOLINO SANTA ROSA "/>
    <s v="MOLINO SANTA ROSA "/>
    <m/>
    <s v="MANTENIMIENTO"/>
    <m/>
    <s v="Ronald Olmedo Dionisio Rodríguez."/>
    <n v="37"/>
    <s v="Mecánico"/>
    <s v="M"/>
    <s v="DIA"/>
    <m/>
    <s v="11 años 11 meses"/>
    <d v="2017-07-07T00:00:00"/>
    <s v="Accidente Incapacitante"/>
    <m/>
    <s v="Atricción antebrazo derecho con comba de 5 kg al acompañar en el desmontaje de chumacera del Banco cilindros"/>
    <s v="BRAZO"/>
    <m/>
    <m/>
    <x v="5"/>
    <s v="Julio"/>
    <m/>
    <n v="115"/>
    <m/>
    <n v="115"/>
    <m/>
    <m/>
    <n v="6"/>
    <x v="38"/>
    <s v="Mantenimiento"/>
    <s v="Golpe"/>
    <m/>
    <m/>
    <m/>
    <m/>
  </r>
  <r>
    <s v="MOLINO SANTA ROSA "/>
    <s v="MOLINO SANTA ROSA "/>
    <m/>
    <s v="PRODUCCIÓN"/>
    <m/>
    <s v="José Gonzales Sócola"/>
    <n v="25"/>
    <s v="Ayudante de Planta "/>
    <s v="M"/>
    <s v="NOCHE"/>
    <s v="APE"/>
    <s v="2 MESES"/>
    <d v="2017-07-26T00:00:00"/>
    <s v="Accidente Incapacitante"/>
    <m/>
    <s v="Atricción dedo anular mano izquierda con la mordaza equipo embolsado "/>
    <s v="MANO"/>
    <m/>
    <m/>
    <x v="5"/>
    <s v="Julio"/>
    <m/>
    <n v="2"/>
    <m/>
    <n v="2"/>
    <m/>
    <m/>
    <n v="4"/>
    <x v="3"/>
    <s v="Durante operación productiva"/>
    <s v="Atricción"/>
    <m/>
    <m/>
    <m/>
    <m/>
  </r>
  <r>
    <s v="ADMINISTRACIÓN"/>
    <s v="ADMINISTRACIÓN"/>
    <m/>
    <s v="ADMINISTRACIÓN"/>
    <m/>
    <s v="Edwar Huaymana Huani "/>
    <n v="25"/>
    <s v="Operario de Limpieza "/>
    <s v="M"/>
    <s v="DIA"/>
    <s v="TERCERO"/>
    <s v="1 AÑO 3 MESES"/>
    <d v="2017-08-13T00:00:00"/>
    <s v="Accidente Incapacitante"/>
    <m/>
    <s v="Lesión en el tobillo al resbalar durante la limpieza pisos en oficina Mol.Faucett"/>
    <s v="PIE"/>
    <m/>
    <m/>
    <x v="5"/>
    <s v="Agosto"/>
    <m/>
    <n v="10"/>
    <m/>
    <n v="10"/>
    <m/>
    <m/>
    <n v="1"/>
    <x v="20"/>
    <s v="Limpiando instalaciones"/>
    <s v="Luxación"/>
    <m/>
    <m/>
    <s v="LIMTEK"/>
    <m/>
  </r>
  <r>
    <s v="MOLINO FAUCETT"/>
    <s v="MOLINO FAUCETT"/>
    <m/>
    <s v="PRODUCCIÓN"/>
    <m/>
    <s v="Walter Suarez Marrufo"/>
    <n v="44"/>
    <s v="Operador 2 de Molino"/>
    <s v="M"/>
    <s v="NOCHE"/>
    <m/>
    <s v="6 años 9 meses "/>
    <d v="2017-08-14T00:00:00"/>
    <s v="Accidente Incapacitante"/>
    <m/>
    <s v="Amputación de yema de índice de mano izquierda durante desatoro de tubería neumática "/>
    <s v="MANO"/>
    <m/>
    <m/>
    <x v="5"/>
    <s v="Agosto"/>
    <m/>
    <n v="123"/>
    <m/>
    <n v="123"/>
    <m/>
    <m/>
    <n v="2"/>
    <x v="105"/>
    <s v="Durante operación productiva"/>
    <s v="CORTE"/>
    <m/>
    <m/>
    <m/>
    <m/>
  </r>
  <r>
    <s v="TEAL"/>
    <s v="TEAL"/>
    <m/>
    <s v="PRODUCCIÓN"/>
    <m/>
    <s v="Sanchez Jara Fredi Alberto"/>
    <n v="46"/>
    <s v="Operario de Producción Panetones"/>
    <s v="M"/>
    <s v="DIA"/>
    <m/>
    <s v="2 años 4 meses "/>
    <d v="2017-08-14T00:00:00"/>
    <s v="Accidente Incapacitante"/>
    <m/>
    <s v="Golpe y corte en la cabeza al cruzar por debajo de una banda transportadora "/>
    <s v="CABEZA"/>
    <m/>
    <m/>
    <x v="5"/>
    <s v="Agosto"/>
    <m/>
    <n v="5"/>
    <m/>
    <n v="5"/>
    <m/>
    <m/>
    <n v="2"/>
    <x v="106"/>
    <s v="Trasladandose a pie"/>
    <s v="Golpe"/>
    <m/>
    <m/>
    <m/>
    <m/>
  </r>
  <r>
    <s v="SIDSUR"/>
    <s v="MOLINO AREQUIPA"/>
    <m/>
    <s v="PRODUCCIÓN"/>
    <m/>
    <s v="Jesus Igme Mollo"/>
    <n v="61"/>
    <s v="Ayudante de Planta "/>
    <s v="M"/>
    <s v="DIA"/>
    <m/>
    <s v="15 años"/>
    <d v="2017-08-16T00:00:00"/>
    <s v="Accidente Incapacitante"/>
    <m/>
    <s v="Contusión moderada de mano izquierda con mordaza de Embolsadora "/>
    <s v="MANO"/>
    <m/>
    <m/>
    <x v="5"/>
    <s v="Agosto"/>
    <m/>
    <n v="5"/>
    <m/>
    <n v="5"/>
    <m/>
    <m/>
    <n v="4"/>
    <x v="3"/>
    <s v="Durante operación productiva"/>
    <s v="Atricción"/>
    <m/>
    <m/>
    <m/>
    <m/>
  </r>
  <r>
    <s v="VITAPRO"/>
    <s v="NUTRICION ANIMAL TRUJILLO "/>
    <m/>
    <s v="VITAPRO"/>
    <m/>
    <s v="Freddy Alexander Jara Vasquez "/>
    <n v="30"/>
    <s v="TERCERO"/>
    <s v="M"/>
    <s v="Tarde"/>
    <s v="TERCERO"/>
    <s v="10 años"/>
    <d v="2017-08-29T00:00:00"/>
    <s v="Accidente Incapacitante"/>
    <m/>
    <s v="Fractura de 3 metatarsianos en pie derecho al caer de 2 mt un panel TR4 durante su izaje  "/>
    <s v="PIE"/>
    <m/>
    <m/>
    <x v="5"/>
    <s v="Agosto"/>
    <m/>
    <n v="83"/>
    <m/>
    <n v="83"/>
    <m/>
    <m/>
    <n v="3"/>
    <x v="107"/>
    <s v="PROYECTOS"/>
    <s v="FRACTURA"/>
    <m/>
    <m/>
    <s v="Faminmur (contratista)"/>
    <s v="X"/>
  </r>
  <r>
    <s v="GLOBAL"/>
    <s v="GLOBAL"/>
    <m/>
    <s v="GLOBAL"/>
    <m/>
    <s v="Torres Hidalgo Antonio"/>
    <n v="41"/>
    <s v="Operaria de limpieza"/>
    <s v="M"/>
    <s v="DIA"/>
    <s v="TERCERO"/>
    <s v="1 año 7 meses"/>
    <d v="2017-08-30T00:00:00"/>
    <s v="Accidente Incapacitante"/>
    <m/>
    <s v="Golpe en la mano durante la limpieza de tolva  "/>
    <s v="MANO"/>
    <m/>
    <m/>
    <x v="5"/>
    <s v="Agosto"/>
    <m/>
    <n v="2"/>
    <m/>
    <n v="2"/>
    <m/>
    <m/>
    <n v="4"/>
    <x v="3"/>
    <s v="Limpiando equipo"/>
    <s v="Golpe"/>
    <m/>
    <m/>
    <m/>
    <m/>
  </r>
  <r>
    <s v="MOLINO CALLAO"/>
    <s v="MOLINO CALLAO"/>
    <m/>
    <s v="PRODUCCIÓN"/>
    <m/>
    <s v="Yhonatan Yanpier Dueñas Granda"/>
    <n v="30"/>
    <s v="Ayudante de Planta "/>
    <s v="M"/>
    <s v="DIA"/>
    <m/>
    <s v="18 meses"/>
    <d v="2017-09-04T00:00:00"/>
    <s v="Accidente Incapacitante"/>
    <m/>
    <s v="Contusión nasal por golpe con tapa de impresora durante cambio de etiqueta "/>
    <s v="CABEZA"/>
    <m/>
    <m/>
    <x v="5"/>
    <s v="Setiembre"/>
    <m/>
    <n v="2"/>
    <m/>
    <n v="2"/>
    <m/>
    <m/>
    <n v="2"/>
    <x v="3"/>
    <s v="Durante operación productiva"/>
    <s v="Golpe"/>
    <m/>
    <m/>
    <m/>
    <m/>
  </r>
  <r>
    <s v="CDC"/>
    <s v="BSF PUNTA HERMOSA"/>
    <m/>
    <s v="DISTRIBUCIÓN"/>
    <m/>
    <s v="Simón Andres Caballero Pantisonco"/>
    <m/>
    <s v="Conductor de la empresa YSAMAR"/>
    <s v="M"/>
    <s v="DIA"/>
    <s v="TERCERO"/>
    <m/>
    <d v="2017-09-07T00:00:00"/>
    <s v="Accidente Incapacitante"/>
    <m/>
    <s v="Esguince en el tobillo durante el desplazamiento de la cortina de la carreta "/>
    <s v="PIE"/>
    <m/>
    <m/>
    <x v="5"/>
    <s v="Setiembre"/>
    <m/>
    <n v="93"/>
    <m/>
    <n v="93"/>
    <m/>
    <m/>
    <n v="5"/>
    <x v="91"/>
    <s v="carga/descarga de camión"/>
    <s v="Esgunce"/>
    <m/>
    <m/>
    <s v="ysamar (transp)"/>
    <m/>
  </r>
  <r>
    <s v="MOLINO FAUCETT"/>
    <s v="MOLINO FAUCETT"/>
    <m/>
    <s v="PRODUCCIÓN"/>
    <m/>
    <s v="Erick Javier Alaba "/>
    <n v="20"/>
    <s v="Ayudante de Planta"/>
    <s v="M"/>
    <s v="DIA"/>
    <m/>
    <s v="1 año 2 meses"/>
    <d v="2017-09-22T00:00:00"/>
    <s v="Accidente Incapacitante"/>
    <m/>
    <s v="Fractura 1° falange - dedo medio mano izquierda mientras guardaba las bobinas de PMX "/>
    <s v="MANO"/>
    <m/>
    <m/>
    <x v="5"/>
    <s v="Setiembre"/>
    <m/>
    <n v="54"/>
    <m/>
    <n v="54"/>
    <m/>
    <m/>
    <n v="6"/>
    <x v="41"/>
    <s v="Durante operación productiva"/>
    <s v="FRACTURA"/>
    <m/>
    <m/>
    <m/>
    <m/>
  </r>
  <r>
    <s v="MASTERBREAD"/>
    <s v="MASTERBREAD"/>
    <m/>
    <s v="MASTERBREAD"/>
    <m/>
    <s v="Reynaldo Ferreira "/>
    <n v="21"/>
    <s v="ayudante de planta"/>
    <s v="M"/>
    <s v="DIA"/>
    <m/>
    <s v="1 año 7 7eses"/>
    <d v="2017-09-08T00:00:00"/>
    <s v="Accidente Incapacitante"/>
    <m/>
    <s v="Golpe en el dedo tras contacto con máquina durante el trasladando de una bandeja de pan "/>
    <s v="MANO"/>
    <m/>
    <m/>
    <x v="5"/>
    <s v="Setiembre"/>
    <m/>
    <n v="3"/>
    <m/>
    <n v="3"/>
    <m/>
    <m/>
    <n v="6"/>
    <x v="3"/>
    <s v="Durante operación productiva"/>
    <s v="Golpe"/>
    <m/>
    <m/>
    <m/>
    <m/>
  </r>
  <r>
    <s v="TEAL"/>
    <s v="TEAL"/>
    <m/>
    <s v="PRODUCCIÓN"/>
    <m/>
    <s v="Ayala Ramirez Daniel código "/>
    <n v="40"/>
    <s v="Operario de producción"/>
    <s v="M"/>
    <s v="Tarde"/>
    <m/>
    <s v="5 meses"/>
    <d v="2017-09-28T00:00:00"/>
    <s v="Accidente Incapacitante"/>
    <m/>
    <s v="Herida contusa en dedo medio de mano izquierda durante el traslado de artesas "/>
    <s v="MANO"/>
    <m/>
    <m/>
    <x v="5"/>
    <s v="Setiembre"/>
    <m/>
    <n v="9"/>
    <m/>
    <n v="9"/>
    <m/>
    <m/>
    <n v="5"/>
    <x v="3"/>
    <s v="Durante operación productiva"/>
    <s v="Golpe"/>
    <m/>
    <m/>
    <m/>
    <m/>
  </r>
  <r>
    <s v="ADMINISTRACIÓN"/>
    <s v="ADMINISTRACION"/>
    <m/>
    <s v="ADMINISTRACIÓN"/>
    <m/>
    <m/>
    <m/>
    <s v="Operario de Clasificación de residuos de Cartón "/>
    <s v="M"/>
    <s v="DIA"/>
    <s v="TERCERO"/>
    <m/>
    <d v="2017-10-04T00:00:00"/>
    <s v="Accidente Incapacitante"/>
    <m/>
    <s v="Quemadura de Segundo Grado Dorsal por contacto de Acido Acético al lanzar galonera al contenedor durante la reclasificación de residuos reciclables "/>
    <s v="CUERPO"/>
    <m/>
    <m/>
    <x v="5"/>
    <s v="Octubre"/>
    <m/>
    <n v="4"/>
    <m/>
    <n v="4"/>
    <m/>
    <m/>
    <n v="4"/>
    <x v="108"/>
    <s v="Durante operación productiva"/>
    <s v="QUEMADURA"/>
    <m/>
    <m/>
    <s v="Empresa tercera Trupal / Adeco (acopio)"/>
    <m/>
  </r>
  <r>
    <s v="RELACIONES LABORALES"/>
    <s v="RELACIONES LABORALES"/>
    <m/>
    <s v="RELACIONES LABORALES"/>
    <s v="SIDSUR"/>
    <s v="Noemí flores Chiguay  "/>
    <n v="28"/>
    <s v="ayudante de cocina"/>
    <s v="F"/>
    <s v="DIA"/>
    <s v="TERCERO"/>
    <m/>
    <d v="2017-10-20T00:00:00"/>
    <s v="Accidente Incapacitante"/>
    <m/>
    <s v="Corte en dedo medio y dedo índice de la mano izquierda cortando verduras"/>
    <s v="MANO"/>
    <m/>
    <m/>
    <x v="5"/>
    <s v="Octubre"/>
    <m/>
    <n v="7"/>
    <m/>
    <n v="7"/>
    <m/>
    <m/>
    <n v="6"/>
    <x v="6"/>
    <s v="Durante operación productiva"/>
    <s v="corte"/>
    <m/>
    <m/>
    <s v=":                Rodriguez Flores Juan Luis (Concesionario)           "/>
    <m/>
  </r>
  <r>
    <s v="SUCURSALES"/>
    <s v="CD TRUJILLO"/>
    <m/>
    <s v="Distribucion "/>
    <m/>
    <s v="Nicolás Lecca Fernández "/>
    <n v="53"/>
    <s v="ESTIBADOR"/>
    <s v="M"/>
    <s v="DIA"/>
    <s v="TERCERO"/>
    <m/>
    <d v="2017-10-23T00:00:00"/>
    <s v="Accidente Incapacitante"/>
    <m/>
    <s v="Fractura hueso muñeca mano derecha al caer del camión al piso durante el carguío de productos "/>
    <s v="MANO"/>
    <m/>
    <m/>
    <x v="5"/>
    <s v="Octubre"/>
    <m/>
    <n v="20"/>
    <m/>
    <n v="20"/>
    <m/>
    <m/>
    <n v="2"/>
    <x v="91"/>
    <s v="carga/descarga de camión"/>
    <s v="FRACTURA"/>
    <m/>
    <m/>
    <s v="IOLSA"/>
    <m/>
  </r>
  <r>
    <s v="GLOBAL"/>
    <s v="GLOBAL"/>
    <m/>
    <s v="GLOBAL"/>
    <m/>
    <s v="Elliot Geresy Parodi Ruiz"/>
    <n v="26"/>
    <s v="SUPERVISOR PRODUCCION"/>
    <s v="M"/>
    <s v="DIA"/>
    <s v="Global Alimentos"/>
    <s v="5 meses"/>
    <d v="2017-10-29T00:00:00"/>
    <s v="Accidente Incapacitante"/>
    <s v="Parcial Temporal "/>
    <s v="Quemadura de 2ndo grado en mano derecha con agua caliente durante limpieza de extrusor_x000a__x000a_ _x000a_"/>
    <s v="MANO"/>
    <m/>
    <m/>
    <x v="5"/>
    <s v="Octubre"/>
    <m/>
    <n v="5"/>
    <m/>
    <n v="5"/>
    <m/>
    <m/>
    <n v="1"/>
    <x v="65"/>
    <s v="Limpiando equipo"/>
    <s v="QUEMADURA "/>
    <m/>
    <m/>
    <m/>
    <m/>
  </r>
  <r>
    <s v="FIDEERIA LIMA"/>
    <s v="FIDEERIA LIMA"/>
    <m/>
    <s v="PRODUCCIÓN"/>
    <m/>
    <s v="Eleodoro Montero Inilipu"/>
    <n v="52"/>
    <s v="Operador de envasadora_x000a_"/>
    <s v="M"/>
    <s v="DIA"/>
    <m/>
    <s v="19 años 3 meses"/>
    <d v="2017-11-03T00:00:00"/>
    <s v="Accidente Incapacitante"/>
    <m/>
    <s v="Fractura de rotula al caer sobre el peldaño de una escalera durante la limpieza del equipo mientras descendía por la escalera de espaldas "/>
    <s v="PIERNA"/>
    <m/>
    <m/>
    <x v="5"/>
    <s v="Noviembre"/>
    <m/>
    <n v="60"/>
    <m/>
    <n v="60"/>
    <m/>
    <m/>
    <n v="6"/>
    <x v="97"/>
    <s v="Limpiando equipo"/>
    <s v="FRACTURA"/>
    <m/>
    <m/>
    <m/>
    <m/>
  </r>
  <r>
    <s v="CDC"/>
    <s v="CDC"/>
    <m/>
    <s v="Distribucion "/>
    <m/>
    <s v="CCANTO ESPESA SEGUNDO PETER"/>
    <n v="26"/>
    <s v="operador envasadoras"/>
    <s v="M"/>
    <s v="NOCHE"/>
    <s v="APE"/>
    <s v="2 meses 3 dias"/>
    <d v="2017-11-19T00:00:00"/>
    <s v="Accidente Incapacitante"/>
    <m/>
    <s v="Golpe en el Torax y mentón al impactar el Order picker con una paleta con producto ubicada en el nivel bajo de la estantería aduciendo que se queda dormido introduciendo parte del equipo debajo del rack. Personal APE "/>
    <s v="CUERPO"/>
    <m/>
    <m/>
    <x v="5"/>
    <s v="Noviembre"/>
    <m/>
    <n v="9"/>
    <m/>
    <n v="9"/>
    <m/>
    <m/>
    <n v="1"/>
    <x v="109"/>
    <s v="Durante operación productiva"/>
    <s v="Golpe"/>
    <m/>
    <m/>
    <m/>
    <m/>
  </r>
  <r>
    <s v="TEAL"/>
    <s v="TEAL"/>
    <m/>
    <s v="PRODUCCIÓN"/>
    <m/>
    <s v="Raul Ronald Narciso Robles "/>
    <n v="34"/>
    <s v="AYUDANTDE MAQUINISTA - LINEA PANETONES"/>
    <s v="M"/>
    <s v="NOCHE"/>
    <m/>
    <s v="3 AÑOS"/>
    <d v="2017-11-19T00:00:00"/>
    <s v="Accidente Incapacitante"/>
    <m/>
    <s v="Perdida de uña dedo mano derecha con bandeja de coche mientras lo retiraba "/>
    <s v="MANO"/>
    <m/>
    <m/>
    <x v="5"/>
    <s v="Noviembre"/>
    <m/>
    <n v="12"/>
    <m/>
    <n v="12"/>
    <m/>
    <m/>
    <n v="1"/>
    <x v="95"/>
    <s v="Durante operación productiva"/>
    <s v="Golpe"/>
    <m/>
    <m/>
    <m/>
    <m/>
  </r>
  <r>
    <s v="DETERGENTES"/>
    <s v="DETERGENTES"/>
    <m/>
    <s v="PRODUCCIÓN"/>
    <m/>
    <s v="Alessandro Ramos Zuñiga"/>
    <n v="22"/>
    <m/>
    <s v="M"/>
    <s v="NOCHE"/>
    <s v="APE"/>
    <s v="5 MESES"/>
    <d v="2017-11-25T00:00:00"/>
    <s v="Accidente Incapacitante"/>
    <m/>
    <s v="Fractura del dedo mano izquierda mientras depositaba en el piso una caja con rollos de stretch film produciendo contacto con perfil metálico de columna. Personal APE "/>
    <s v="MANO"/>
    <m/>
    <m/>
    <x v="5"/>
    <s v="Noviembre"/>
    <m/>
    <n v="21"/>
    <m/>
    <n v="21"/>
    <m/>
    <m/>
    <n v="7"/>
    <x v="41"/>
    <s v="Durante operación productiva"/>
    <s v="FRACTURA"/>
    <m/>
    <m/>
    <m/>
    <m/>
  </r>
  <r>
    <s v="GLOBAL"/>
    <s v="GLOBAL"/>
    <m/>
    <s v="GLOBAL"/>
    <m/>
    <s v="CHUQUIPOMA HUAYTA EDER WILLIAM"/>
    <n v="39"/>
    <s v="OPERADOR DE MONTACARGAS"/>
    <s v="M"/>
    <s v="NOCHE"/>
    <s v="TERCERO"/>
    <s v="1 año 1 días"/>
    <d v="2017-11-09T00:00:00"/>
    <s v="Accidente Incapacitante"/>
    <m/>
    <s v="Golpe en el dedo al cerrarse la puerta del almacén"/>
    <s v="MANO"/>
    <m/>
    <m/>
    <x v="5"/>
    <s v="Noviembre"/>
    <m/>
    <n v="5"/>
    <m/>
    <n v="5"/>
    <m/>
    <m/>
    <n v="5"/>
    <x v="110"/>
    <s v="Durante operación productiva"/>
    <s v="Golpe"/>
    <m/>
    <m/>
    <s v="MANPOWER"/>
    <m/>
  </r>
  <r>
    <s v="COPSA"/>
    <s v="COPSA"/>
    <m/>
    <s v="PRODUCCIÓN"/>
    <m/>
    <s v="EDUARDO RODRIGO CRUZ LEON"/>
    <m/>
    <s v="Líder de Linea"/>
    <s v="M"/>
    <s v="NOCHE"/>
    <m/>
    <s v="15 AÑOS"/>
    <d v="2017-12-23T00:00:00"/>
    <s v="Accidente Incapacitante"/>
    <m/>
    <s v="al cruzar una zona existe una faja el cual al cruzarla no mide ben el tamaño y se golpea con un apunta de acero produciendo traumatismo de frente con herida cortante."/>
    <s v="CABEZA"/>
    <m/>
    <m/>
    <x v="5"/>
    <s v="Diciembre"/>
    <m/>
    <n v="2"/>
    <m/>
    <n v="2"/>
    <m/>
    <m/>
    <n v="7"/>
    <x v="3"/>
    <s v="Durante operación productiva"/>
    <s v="Golpe"/>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
  <r>
    <s v="si"/>
    <s v="SIDSUR"/>
    <m/>
    <s v="DISTRIBUCIÓN"/>
    <s v="DIS5501"/>
    <s v="Oswaldo Andrade Torres"/>
    <n v="46"/>
    <s v="Operador Montacarga Eléctrico Supervisor"/>
    <s v="M"/>
    <s v="2do "/>
    <s v="28/04/2015_x000a_20:30 "/>
    <s v="Accidente Incapacitante "/>
    <s v="28/04/2015_x000a_20:30 "/>
    <s v="Accidente Incapacitante"/>
    <s v="Parcial Temporal"/>
    <s v="Esguince de tobillo durante un cambio de batería de elevador eléctrico"/>
    <s v="PIE"/>
    <s v="NO"/>
    <m/>
    <x v="0"/>
    <s v="Abril"/>
    <m/>
    <n v="7"/>
    <m/>
    <n v="7"/>
    <m/>
    <m/>
    <m/>
    <x v="0"/>
    <s v="Maniobras de equipos"/>
    <s v="Esguince"/>
    <s v="Atrapado entre"/>
    <m/>
    <m/>
  </r>
  <r>
    <s v="si"/>
    <s v="MOLINO SANTA ROSA"/>
    <m/>
    <s v="PROYECTOS"/>
    <s v="TEC7199"/>
    <s v="Eder García Isla"/>
    <n v="29"/>
    <s v="TERCERO"/>
    <s v="M"/>
    <s v="1ro"/>
    <m/>
    <m/>
    <s v="29/09/2015_x000a_13:30 "/>
    <s v="Accidente Incapacitante"/>
    <s v="Parcial Temporal "/>
    <s v="Escobilla metálica impacta contra structura ocasionándo corte de guante y herida en el dedo  índice durante limpieza mecánica."/>
    <s v="MANO "/>
    <s v="NO"/>
    <m/>
    <x v="0"/>
    <s v="Setiembre"/>
    <m/>
    <n v="1"/>
    <m/>
    <n v="1"/>
    <m/>
    <m/>
    <m/>
    <x v="1"/>
    <s v="proyectos"/>
    <s v="Corte"/>
    <m/>
    <s v=" por impacto "/>
    <s v="AC y M"/>
  </r>
  <r>
    <s v="si"/>
    <s v="MOLINO FAUCETT"/>
    <m/>
    <s v="MANTENIMIENTO"/>
    <s v="MFA5446"/>
    <s v="Robert Anaya Esteban"/>
    <n v="42"/>
    <s v="Ayudante de Planta "/>
    <s v="M"/>
    <s v="1ro"/>
    <s v="23/04/2015_x000a_13:30 "/>
    <s v="Accidente Incapacitante "/>
    <s v="23/04/2015_x000a_13:30 "/>
    <s v="Accidente Incapacitante"/>
    <s v="Parcial Temporal"/>
    <s v="Corte de antepalma mano izquierda por caída de vidrio."/>
    <s v="MANO "/>
    <s v="NO"/>
    <m/>
    <x v="0"/>
    <s v="Abril"/>
    <m/>
    <n v="84"/>
    <m/>
    <n v="84"/>
    <m/>
    <m/>
    <m/>
    <x v="2"/>
    <s v="Durante operación productiva"/>
    <s v="Corte"/>
    <s v="Golpeado por"/>
    <m/>
    <m/>
  </r>
  <r>
    <s v="si"/>
    <s v="TEAL"/>
    <m/>
    <s v="PRODUCCIÓN"/>
    <m/>
    <s v="James Robert Choquehuanca Montalvo"/>
    <n v="50"/>
    <s v="Maquinista"/>
    <s v="M"/>
    <s v="2do"/>
    <s v="17/04/2015 _x000a_18:18"/>
    <s v="Accidente Incapacitante "/>
    <s v="17/04/2015 _x000a_18:18"/>
    <s v="Accidente Incapacitante"/>
    <s v="Parcial Temporal"/>
    <s v="Herida cortante abierta 1ra falange dedo pulgar mano derecha"/>
    <s v="MANO "/>
    <s v="SI"/>
    <s v="ver IPER TEAL"/>
    <x v="0"/>
    <s v="Abril "/>
    <m/>
    <n v="51"/>
    <m/>
    <n v="51"/>
    <m/>
    <m/>
    <m/>
    <x v="3"/>
    <s v="Calibrando/Regulando"/>
    <s v="Corte"/>
    <m/>
    <m/>
    <m/>
  </r>
  <r>
    <s v="si"/>
    <s v="APT CERCADO"/>
    <s v="APT CERCADO"/>
    <s v="DISTRIBUCIÓN"/>
    <s v="DIS6581"/>
    <s v="Matías Alva Soto"/>
    <n v="55"/>
    <s v="TERCERO"/>
    <s v="M"/>
    <s v="1ro"/>
    <m/>
    <m/>
    <s v="09/11/2015_x000a_13:45"/>
    <s v="Accidente Incapacitante"/>
    <s v="Parcial Temporal "/>
    <s v="Manipulación de stocka durante estiba en contenedor produce golpe en la pierna del accidentado. Herida abierta. "/>
    <s v="PIERNA"/>
    <s v="NO"/>
    <m/>
    <x v="0"/>
    <s v="Noviembre"/>
    <m/>
    <n v="3"/>
    <m/>
    <n v="3"/>
    <m/>
    <m/>
    <m/>
    <x v="4"/>
    <s v="carga/descarga de camión"/>
    <s v="Golpe"/>
    <m/>
    <m/>
    <s v="IOLSA"/>
  </r>
  <r>
    <s v="si"/>
    <s v="CDC"/>
    <m/>
    <s v="DISTRIBUCIÓN"/>
    <s v="DIS6191"/>
    <s v="Edwin Roy Cabrera Chuquihuaccha"/>
    <n v="26"/>
    <s v="Ayudande de almacén B"/>
    <s v="M"/>
    <s v="3ro"/>
    <m/>
    <m/>
    <s v="14/08/2015_x000a_04:05"/>
    <s v="Accidente Incapacitante "/>
    <s v="Parcial Temporal "/>
    <s v="Golpe en la pierna y tobillo por order piker"/>
    <s v="PIE"/>
    <s v="SI"/>
    <s v="MODERADO"/>
    <x v="0"/>
    <s v="Agosto"/>
    <m/>
    <n v="16"/>
    <m/>
    <n v="16"/>
    <m/>
    <m/>
    <m/>
    <x v="5"/>
    <s v="Manejando traspaleta/Montacarga"/>
    <s v="Golpe"/>
    <s v="Golpeado por"/>
    <m/>
    <m/>
  </r>
  <r>
    <s v="si"/>
    <s v="FIDEERIA LIMA"/>
    <m/>
    <s v="PRODUCCIÓN"/>
    <s v="PFL6051"/>
    <s v="Miguel Tolentino Escudero"/>
    <n v="45"/>
    <s v="Mecánico"/>
    <s v="M"/>
    <s v="1ro"/>
    <m/>
    <m/>
    <s v="24/08/2015_x000a_09:05"/>
    <s v="Accidente Incapacitante "/>
    <s v="Parcial Permanente"/>
    <s v="Amputación tercio distal del dedo índice por cambio de rótula del regulador de fideos."/>
    <s v="MANO "/>
    <s v="NO"/>
    <m/>
    <x v="0"/>
    <s v="Agosto"/>
    <m/>
    <n v="139"/>
    <n v="100"/>
    <n v="239"/>
    <m/>
    <m/>
    <m/>
    <x v="3"/>
    <s v="Mantenimiento"/>
    <s v="Pérdida Falanges"/>
    <s v="Atrapado entre"/>
    <m/>
    <m/>
  </r>
  <r>
    <s v="si"/>
    <s v="TEAL "/>
    <m/>
    <s v="PRODUCCIÓN"/>
    <m/>
    <s v="Julio Cesar Muñoz Garfias"/>
    <n v="32"/>
    <s v="Operario de producción"/>
    <s v="M"/>
    <s v="1ro"/>
    <m/>
    <m/>
    <s v="05/08/2015_x000a_09:20"/>
    <s v="Accidente Incapacitante "/>
    <s v="Parcial Temporal "/>
    <s v="Herida contusa abierta en la 1ra y 2da falange del segundo dedo de la mano por atrapamiento en su intento de acomodar la masa de caramelo en la guia de la maquina"/>
    <s v="MANO "/>
    <s v="SI"/>
    <s v="ver IPER TEAL"/>
    <x v="0"/>
    <s v="Agosto"/>
    <m/>
    <n v="33"/>
    <m/>
    <n v="33"/>
    <m/>
    <m/>
    <m/>
    <x v="3"/>
    <s v="Mantenimiento"/>
    <s v="Corte"/>
    <m/>
    <m/>
    <m/>
  </r>
  <r>
    <s v="si"/>
    <s v="TEAL "/>
    <m/>
    <s v="PRODUCCIÓN"/>
    <m/>
    <s v="Precy Cesar Ruiz Secaira"/>
    <n v="41"/>
    <s v="Operario de producción"/>
    <s v="M"/>
    <s v="2do"/>
    <m/>
    <m/>
    <s v="14/08/2015_x000a_15:20"/>
    <s v="Accidente Incapacitante "/>
    <s v="Parcial Temporal "/>
    <s v="Herida cortante abierta en 3er dedo de la mano derecha por contacto con cuchillo, mientras se manipulaba la masa de panetón hacia la olla."/>
    <s v="MANO "/>
    <s v="SI"/>
    <s v="ver IPER TEAL"/>
    <x v="0"/>
    <s v="Agosto"/>
    <m/>
    <n v="15"/>
    <m/>
    <n v="15"/>
    <m/>
    <m/>
    <m/>
    <x v="6"/>
    <s v="Durante operación productiva"/>
    <s v="Corte"/>
    <m/>
    <m/>
    <m/>
  </r>
  <r>
    <s v="si"/>
    <s v="TEAL "/>
    <m/>
    <s v="PRODUCCIÓN"/>
    <m/>
    <s v="Alex Mateo Aguilar Estrella"/>
    <n v="31"/>
    <s v="Operario de producción"/>
    <s v="M"/>
    <s v="2do"/>
    <m/>
    <m/>
    <s v="24/08/2015_x000a_15:05"/>
    <s v="Accidente Incapacitante "/>
    <s v="Parcial Permanente"/>
    <s v="Amputación traumática parcial de la falange distal del tercer dedo de la mano izquierda por atrapamiento de dedo por mordaza accionada accidentalmente por el mismo accidentado."/>
    <s v="MANO "/>
    <s v="SI"/>
    <s v="ver IPER TEAL"/>
    <x v="0"/>
    <s v="Agosto"/>
    <m/>
    <n v="144"/>
    <n v="75"/>
    <n v="219"/>
    <m/>
    <m/>
    <m/>
    <x v="3"/>
    <s v="Mantenimiento"/>
    <s v="Pérdida Falanges"/>
    <m/>
    <m/>
    <m/>
  </r>
  <r>
    <s v="si"/>
    <s v="GALLETERA LIMA"/>
    <m/>
    <s v="PROYECTOS"/>
    <s v="TEC5916"/>
    <s v="Nicolás Mauricio Toledo Pachas "/>
    <n v="23"/>
    <s v="TERCERO "/>
    <s v="M "/>
    <s v="1ro"/>
    <m/>
    <m/>
    <s v="10/06/2015_x000a_14:50 "/>
    <s v="Accidente Incapacitante "/>
    <s v="Parcial Temporal "/>
    <s v="Baranda del primer nivel de andamio cae sobre casco del trabajador mientras retiraba una soga."/>
    <s v="CABEZA"/>
    <s v="NO"/>
    <m/>
    <x v="0"/>
    <s v="Junio "/>
    <m/>
    <n v="1"/>
    <m/>
    <n v="1"/>
    <m/>
    <m/>
    <m/>
    <x v="7"/>
    <s v="proyectos"/>
    <s v="Golpe"/>
    <m/>
    <m/>
    <s v="BUILMEP"/>
  </r>
  <r>
    <s v="si"/>
    <s v="NUTRICION ANIMAL TRUJILLO "/>
    <m/>
    <s v="PRODUCCIÓN"/>
    <m/>
    <s v="Juan Carlos Horna Bocanegra"/>
    <m/>
    <s v="Operador de rociado"/>
    <s v="M"/>
    <s v="3ro"/>
    <m/>
    <m/>
    <s v="20/08/2015_x000a_11:05"/>
    <s v="Accidente Incapacitante "/>
    <s v="Parcial Temporal "/>
    <s v="Esguince en el tobillo izquierdo al bajar de un montacargas "/>
    <s v="PIE"/>
    <s v="NO"/>
    <m/>
    <x v="0"/>
    <s v="Agosto"/>
    <m/>
    <n v="7"/>
    <m/>
    <n v="7"/>
    <m/>
    <m/>
    <m/>
    <x v="8"/>
    <s v="Manejando traspaleta/Montacarga"/>
    <s v="Esguince"/>
    <m/>
    <m/>
    <m/>
  </r>
  <r>
    <s v="si"/>
    <s v="TEAL"/>
    <m/>
    <s v="OTROS"/>
    <m/>
    <s v="Omar Jesus Silva Leyton"/>
    <n v="36"/>
    <s v="TERCERO "/>
    <s v="M"/>
    <s v="1ro"/>
    <s v="18/04/2015_x000a_15:00"/>
    <s v="Accidente Incapacitante "/>
    <s v="18/04/2015_x000a_15:00"/>
    <s v="Accidente Incapacitante"/>
    <s v="Parcial Temporal"/>
    <s v="Herida contusa abierta en la frente, contusión parte posterior de la cabeza y luxación dedo medio de la mano derecha."/>
    <s v="CUERPO"/>
    <s v="NO"/>
    <m/>
    <x v="0"/>
    <s v="Abril "/>
    <m/>
    <n v="21"/>
    <m/>
    <n v="21"/>
    <m/>
    <m/>
    <m/>
    <x v="7"/>
    <s v="Mantenimiento"/>
    <s v="Golpe"/>
    <m/>
    <m/>
    <m/>
  </r>
  <r>
    <s v="si"/>
    <s v="MOLINO SANTA ROSA"/>
    <m/>
    <s v="PROYECTOS"/>
    <s v="TEC6053"/>
    <s v="Rafael Fermin Rosales Mendoza  "/>
    <n v="36"/>
    <s v="TERCERO"/>
    <s v="M"/>
    <s v="1ro"/>
    <m/>
    <m/>
    <s v="09/07/2015_x000a_15:00"/>
    <s v="Accidente Incapacitante "/>
    <s v="Parcial Temporal "/>
    <s v="Fractura  en 2°, 3° y 4° metacarpiano de la mano derecha y laceración del brazo izquierdo por impacto con listón de madera desprendida."/>
    <s v="BRAZO/HOMBRO"/>
    <s v="NO"/>
    <m/>
    <x v="0"/>
    <s v="Julio"/>
    <m/>
    <n v="35"/>
    <m/>
    <n v="35"/>
    <m/>
    <m/>
    <m/>
    <x v="9"/>
    <s v="proyectos"/>
    <s v="Golpe"/>
    <m/>
    <m/>
    <s v="AC&amp;M"/>
  </r>
  <r>
    <s v="si"/>
    <s v="COPSA "/>
    <m/>
    <s v="PRODUCCIÓN"/>
    <s v=" PCO 7358"/>
    <s v="Constante Mendocilla Diestra"/>
    <n v="63"/>
    <s v="LIDER LINEA EXTRACCION MECANICA"/>
    <s v="M"/>
    <s v="1ro"/>
    <m/>
    <m/>
    <s v="27/08/2015_x000a_11:10"/>
    <s v="Accidente Incapacitante "/>
    <s v="Parcial Temporal "/>
    <s v="Traumatismo en cabeza y heridas en el rostro por choque con parte posterior de camión mientras manejaba bicicleta."/>
    <s v="CABEZA"/>
    <s v="NO"/>
    <m/>
    <x v="0"/>
    <s v="Agosto"/>
    <m/>
    <n v="16"/>
    <m/>
    <n v="16"/>
    <m/>
    <m/>
    <m/>
    <x v="10"/>
    <s v="Trasladandose"/>
    <s v="Golpe"/>
    <s v="Golpeado contra"/>
    <m/>
    <m/>
  </r>
  <r>
    <s v="si"/>
    <s v="NUTRICION ANIMAL TRUJILLO "/>
    <m/>
    <s v="VITAPRO"/>
    <m/>
    <m/>
    <m/>
    <m/>
    <m/>
    <m/>
    <m/>
    <m/>
    <d v="2015-12-18T00:00:00"/>
    <s v="Accidente Incapacitante"/>
    <s v="Parcial Temporal "/>
    <s v="Esquince en el hombro derecho durante el repaletizado de sacos de harina"/>
    <s v="BRAZO/HOMBRO"/>
    <s v="SI"/>
    <m/>
    <x v="0"/>
    <s v="Diciembre"/>
    <m/>
    <n v="5"/>
    <m/>
    <n v="5"/>
    <m/>
    <m/>
    <m/>
    <x v="11"/>
    <s v="Durante operación productiva"/>
    <s v="Esguince"/>
    <m/>
    <m/>
    <m/>
  </r>
  <r>
    <s v="si"/>
    <s v="DETERGENTES"/>
    <m/>
    <s v="PRODUCCIÓN"/>
    <s v="DET6816"/>
    <s v="Benigno Huamán Corillo "/>
    <n v="29"/>
    <s v="Ayudante de Planta"/>
    <s v="M "/>
    <s v="3ro"/>
    <m/>
    <m/>
    <s v="17/12/2015_x000a_05:46 "/>
    <s v="Accidente Incapacitante"/>
    <s v="Parcial Temporal "/>
    <s v="Durante conducción en reversa de tranpaleta eléctrico, el trabajador se baja y su pie queda atrapado entre plataforma y ruma de paletas"/>
    <s v="PIE"/>
    <s v="NO"/>
    <m/>
    <x v="0"/>
    <s v="Diciembre"/>
    <m/>
    <n v="11"/>
    <m/>
    <n v="11"/>
    <m/>
    <m/>
    <m/>
    <x v="12"/>
    <s v="Manejando traspaleta/Montacarga"/>
    <s v="Golpe"/>
    <s v="Atrapado entre "/>
    <m/>
    <m/>
  </r>
  <r>
    <s v="si"/>
    <s v="INSTANTANEOS"/>
    <m/>
    <s v="PRODUCCIÓN"/>
    <s v="BRÑ4879"/>
    <s v="Jhon Janic Vela Sandoval "/>
    <n v="32"/>
    <s v="Mezclador Instantáneos "/>
    <s v="M"/>
    <s v="2do"/>
    <s v="OBRERO ESTABLE"/>
    <s v="7 años y 10 meses"/>
    <s v="17/01/2015_x000a_19:20"/>
    <s v="Accidente Incapacitante"/>
    <s v="Parcial Temporal "/>
    <s v="Contusión en pie derecho por aplastamiento con plataforma de acero (equipo de mezclado). Breña"/>
    <s v="PIE"/>
    <s v="SI"/>
    <s v="ACEPTABLE"/>
    <x v="0"/>
    <s v="Enero"/>
    <m/>
    <n v="20"/>
    <m/>
    <n v="20"/>
    <m/>
    <m/>
    <m/>
    <x v="13"/>
    <s v="Durante operación productiva"/>
    <s v="Golpe"/>
    <s v="Golpeado por"/>
    <m/>
    <m/>
  </r>
  <r>
    <s v="si"/>
    <s v="DETERGENTES"/>
    <m/>
    <s v="ALMACEN DE INSUMOS "/>
    <s v="DET4862"/>
    <s v="Andrés Avelino Quispe Carhuaz"/>
    <n v="51"/>
    <s v="TERCERO"/>
    <s v="M"/>
    <s v="1ro"/>
    <s v="TERCERO"/>
    <s v="3 años"/>
    <s v="14/01/2015_x000a_10:59"/>
    <s v="Accidente Incapacitante "/>
    <s v="Parcial Temporal "/>
    <s v="Golpe e inflamación de pierna izquierda por estoca de montacargas. Detergentes"/>
    <s v="PIERNA"/>
    <s v="NO"/>
    <m/>
    <x v="0"/>
    <s v="Enero"/>
    <m/>
    <n v="2"/>
    <m/>
    <n v="2"/>
    <m/>
    <m/>
    <m/>
    <x v="4"/>
    <s v="Maniobras de equipos"/>
    <s v="Golpe"/>
    <m/>
    <m/>
    <s v="BAS PERUANA_x000a_TRANSPORTES GIRASOLES"/>
  </r>
  <r>
    <s v="si"/>
    <s v="VITAPRO "/>
    <m/>
    <s v="CENTRO EXPERIMENTAL - TUMBES"/>
    <m/>
    <s v="Juan Pablo Moreno Peña"/>
    <m/>
    <m/>
    <s v="M"/>
    <m/>
    <m/>
    <m/>
    <d v="2015-09-29T16:45:00"/>
    <s v="Accidente Incapacitante"/>
    <s v="Parcial Temporal "/>
    <s v="cintas metálicas  del alimentador enrolladas a presión se rompe y se expande súbitamente, ocasionándole un corte en la parte superior de la mano derecha"/>
    <s v="MANO "/>
    <s v="NO"/>
    <m/>
    <x v="0"/>
    <s v="Setiembre"/>
    <m/>
    <n v="15"/>
    <m/>
    <n v="15"/>
    <m/>
    <m/>
    <m/>
    <x v="3"/>
    <s v="Durante operación productiva"/>
    <s v="Corte"/>
    <m/>
    <m/>
    <m/>
  </r>
  <r>
    <s v="si"/>
    <s v="TEAL"/>
    <m/>
    <s v="DISTRIBUCIÓN"/>
    <m/>
    <s v="Eujenio Baldeon Cosme"/>
    <n v="57"/>
    <s v="TERCERO"/>
    <s v="M"/>
    <s v="1ro"/>
    <m/>
    <m/>
    <s v="17/10/2015_x000a_16:10"/>
    <s v="Accidente Incapacitante"/>
    <s v="Parcial Temporal "/>
    <s v="Contusión en el hombro izquiero por impacto con liston de metal durante estibado de producto terminado"/>
    <s v="BRAZO/HOMBRO"/>
    <s v="NO"/>
    <m/>
    <x v="0"/>
    <s v="Octubre"/>
    <m/>
    <n v="4"/>
    <m/>
    <n v="4"/>
    <m/>
    <m/>
    <m/>
    <x v="14"/>
    <s v="carga/descarga de camión"/>
    <s v="Golpe"/>
    <m/>
    <m/>
    <s v="IOLSA"/>
  </r>
  <r>
    <s v="si"/>
    <s v="PROYECTOS"/>
    <m/>
    <s v="PROYECTOS"/>
    <s v="TEC7212"/>
    <s v="Freddy Rodriguez Chinchay"/>
    <m/>
    <s v="TERCERO"/>
    <s v="M"/>
    <s v="1ro"/>
    <m/>
    <m/>
    <d v="2015-12-15T00:00:00"/>
    <s v="Accidente Incapacitante"/>
    <s v="Parcial Temporal "/>
    <s v="Quemadura en dedo durante trabajo de soldadura"/>
    <s v="MANO "/>
    <s v="NO"/>
    <m/>
    <x v="0"/>
    <s v="Diciembre"/>
    <m/>
    <n v="16"/>
    <m/>
    <n v="16"/>
    <m/>
    <m/>
    <m/>
    <x v="15"/>
    <s v="proyectos"/>
    <s v="Quemadura"/>
    <m/>
    <m/>
    <s v="MANPAN"/>
  </r>
  <r>
    <s v="si"/>
    <s v="MOLINCA"/>
    <m/>
    <s v="PRODUCCIÓN"/>
    <m/>
    <s v="Pedro Ynfantes Vasquez"/>
    <n v="36"/>
    <s v="Preparador de Cremas"/>
    <s v="M"/>
    <s v="2do"/>
    <m/>
    <m/>
    <s v="03/12/2015_x000a_20:05"/>
    <s v="Accidente Incapacitante"/>
    <s v="Parcial Temporal "/>
    <s v="Atrapamiento de mano y antebrazo derecho mientras realiza labores de dosificador de sal en máquina esparcidora"/>
    <s v="MANO "/>
    <s v="NO"/>
    <m/>
    <x v="0"/>
    <s v="Diciembre"/>
    <m/>
    <n v="60"/>
    <m/>
    <n v="60"/>
    <m/>
    <m/>
    <m/>
    <x v="16"/>
    <s v="Limpiando equipo"/>
    <s v="Fractura"/>
    <m/>
    <m/>
    <m/>
  </r>
  <r>
    <s v="si"/>
    <s v="SIDSUR"/>
    <m/>
    <s v="PRODUCCIÓN"/>
    <s v="SID4930"/>
    <s v="Vitaliano Silloca Silloca "/>
    <n v="41"/>
    <s v="Pesador de ingredientes"/>
    <s v="M"/>
    <s v="1ro"/>
    <s v="OBRERO ESTABLE"/>
    <s v="12 años y 8 meses"/>
    <s v="27/01/2015_x000a_08:30 "/>
    <s v="Accidente Incapacitante"/>
    <s v="Parcial Temporal "/>
    <s v="Luxación-hombro por resbalón durante la limpieza y lavado de escalera de emergencia. Galletera "/>
    <s v="BRAZO/HOMBRO"/>
    <s v="SI"/>
    <s v="MODERADO"/>
    <x v="0"/>
    <s v="Enero"/>
    <m/>
    <n v="30"/>
    <m/>
    <n v="30"/>
    <m/>
    <m/>
    <m/>
    <x v="17"/>
    <s v="Limpiando instalaciones"/>
    <s v="Luxación "/>
    <s v="Caída a un desnivel"/>
    <m/>
    <m/>
  </r>
  <r>
    <s v="si"/>
    <s v="CDC"/>
    <m/>
    <s v="DISTRIBUCIÓN"/>
    <s v="DIS4974"/>
    <s v="Juan Jibaja Rojas"/>
    <n v="42"/>
    <s v="TERCERO"/>
    <s v="M"/>
    <s v="1ro "/>
    <s v="TERCERO"/>
    <s v="10 años"/>
    <s v="30/01/2015 _x000a_14:20 "/>
    <s v="Accidente Incapacitante"/>
    <s v="Parcial Temporal "/>
    <s v="Impacto con neumático de montacargas en el tobillo genera una contusión. CDC"/>
    <s v="PIERNA"/>
    <s v="SI"/>
    <s v="MODERADO"/>
    <x v="0"/>
    <s v="Enero"/>
    <m/>
    <n v="261"/>
    <m/>
    <n v="261"/>
    <m/>
    <m/>
    <m/>
    <x v="18"/>
    <s v="Manejando traspaleta/Montacarga"/>
    <s v="Golpe"/>
    <m/>
    <m/>
    <s v="Transportes Pacífico"/>
  </r>
  <r>
    <s v="si"/>
    <s v="DETERGENTES"/>
    <m/>
    <s v="MANTENIMIENTO"/>
    <s v="DET4863"/>
    <s v="José Danilo Llanos Mego"/>
    <n v="28"/>
    <s v="Técnico Mecánico "/>
    <s v="M"/>
    <s v="1ro"/>
    <s v="OBRERO ESTABLE"/>
    <m/>
    <s v="17/01/2015_x000a_09:30 "/>
    <s v="Accidente Incapacitante"/>
    <s v="Parcial Temporal "/>
    <s v="Fractura y corte de ligamento dedo meñique de mano derecha por atratamiento con compuerta de acero; máquina HH N°5"/>
    <s v="MANO "/>
    <s v="SI"/>
    <s v="ACEPTABLE"/>
    <x v="0"/>
    <s v="Enero "/>
    <m/>
    <n v="110"/>
    <m/>
    <n v="110"/>
    <m/>
    <m/>
    <m/>
    <x v="3"/>
    <s v="Mantenimiento"/>
    <s v="Fractura"/>
    <s v="Atrapado entre"/>
    <s v="Falta bloqueo mecánico"/>
    <m/>
  </r>
  <r>
    <s v="si"/>
    <s v="COPSA"/>
    <m/>
    <s v="PROYECTOS"/>
    <s v="TEC5074"/>
    <s v="Samuel Chávez Tinoco"/>
    <n v="34"/>
    <s v="TERCERO"/>
    <s v="M"/>
    <s v="1ro"/>
    <s v="TERCERO"/>
    <m/>
    <s v="28/01/2015_x000a_11:10 "/>
    <s v="Accidente Incapacitante"/>
    <s v="Parcial Temporal "/>
    <s v="Exposición a gas (amoniaco) genera una afección respiratoria en azotea de planta Margarinas"/>
    <s v="AFECCIÓN RESPIRATORIA"/>
    <s v="NO"/>
    <m/>
    <x v="0"/>
    <s v="Enero"/>
    <m/>
    <n v="2"/>
    <m/>
    <n v="2"/>
    <m/>
    <m/>
    <m/>
    <x v="19"/>
    <s v="proyectos"/>
    <s v="Contacto sustancia Quimica"/>
    <m/>
    <m/>
    <s v="ALTA"/>
  </r>
  <r>
    <s v="si"/>
    <s v="COPSA"/>
    <m/>
    <s v="PROYECTOS"/>
    <s v="TEC5074"/>
    <s v="Cristian Javier Arias Medina"/>
    <n v="39"/>
    <s v="TERCERO"/>
    <s v="M"/>
    <s v="1ro"/>
    <s v="TERCERO"/>
    <m/>
    <s v="28/01/2015_x000a_11:10 "/>
    <s v="Accidente Incapacitante"/>
    <s v="Parcial Temporal "/>
    <s v="Exposición a gas (amoniaco) genera una cefalea en azotea de planta Margarinas"/>
    <s v="AFECCIÓN RESPIRATORIA"/>
    <s v="NO"/>
    <m/>
    <x v="0"/>
    <s v="Enero"/>
    <m/>
    <n v="1"/>
    <m/>
    <n v="1"/>
    <m/>
    <m/>
    <m/>
    <x v="19"/>
    <s v="proyectos"/>
    <s v="Contacto sustancia Quimica"/>
    <m/>
    <m/>
    <s v="ALTA"/>
  </r>
  <r>
    <s v="si"/>
    <s v="DETERGENTES"/>
    <m/>
    <s v="PRODUCCIÓN"/>
    <s v="DET4947"/>
    <s v="Bruno Díaz "/>
    <n v="26"/>
    <s v="Ayudante "/>
    <s v="M"/>
    <s v="3ro"/>
    <m/>
    <m/>
    <s v="04/02/2015_x000a_02:20 am"/>
    <s v="Accidente Incapacitante "/>
    <s v="Parcial Temporal"/>
    <s v="Fractura de muñequa. Trabajador resbala y todo su peso cae sobre su cadera y muñequa."/>
    <s v="MANO "/>
    <s v="NO"/>
    <m/>
    <x v="0"/>
    <s v="Febrero "/>
    <m/>
    <n v="24"/>
    <m/>
    <n v="24"/>
    <m/>
    <m/>
    <m/>
    <x v="20"/>
    <s v="Trasladandose"/>
    <s v="Fractura"/>
    <s v="Caída a un mismo nivel"/>
    <m/>
    <m/>
  </r>
  <r>
    <s v="si"/>
    <s v="MOLINO CALLAO"/>
    <m/>
    <s v="DISTRIBUCIÓN"/>
    <s v="DIS6866"/>
    <s v="Joaquin Oscco Chati "/>
    <n v="47"/>
    <s v="TERCERO "/>
    <s v="M"/>
    <s v="2do"/>
    <m/>
    <m/>
    <s v="22/12/2015_x000a_20:15"/>
    <s v="Accidente Incapacitante"/>
    <s v="Parcial Temporal "/>
    <s v="Durante operación de repaletizado trabajador siente un fuerte dolor en la rodilla izquierda. Esguince en menisco."/>
    <s v="PIERNA"/>
    <s v="NO"/>
    <m/>
    <x v="0"/>
    <s v="Diciembre"/>
    <m/>
    <n v="8"/>
    <m/>
    <n v="8"/>
    <m/>
    <m/>
    <m/>
    <x v="21"/>
    <s v="Durante operación productiva"/>
    <s v="Esguince"/>
    <m/>
    <m/>
    <s v="IOLSA"/>
  </r>
  <r>
    <m/>
    <s v="GALLETERA LIMA"/>
    <m/>
    <s v="ADMINISTRACIÓN"/>
    <m/>
    <s v="Hilda Vásquez  Segovia "/>
    <m/>
    <s v="TERCERO"/>
    <s v="F"/>
    <s v="2do "/>
    <m/>
    <m/>
    <s v="17/03/2015_x000a_21:20 "/>
    <s v="Accidente Incapacitante "/>
    <s v="Parcial Temporal"/>
    <s v="Policontusa al resbalarse en los SSHH_x000a_"/>
    <s v="CUERPO"/>
    <s v="NO"/>
    <m/>
    <x v="0"/>
    <s v="Marzo"/>
    <m/>
    <n v="2"/>
    <m/>
    <n v="2"/>
    <m/>
    <m/>
    <m/>
    <x v="20"/>
    <s v="Trasladandose"/>
    <s v="policontusa"/>
    <m/>
    <m/>
    <s v="LIMTEK"/>
  </r>
  <r>
    <s v="si"/>
    <s v="DETERGENTES"/>
    <m/>
    <s v="PRODUCCIÓN"/>
    <s v="DET5118"/>
    <s v="Percy Antonio Carranza Izaguirre  "/>
    <n v="40"/>
    <s v="Operador de Máquina Envasadora "/>
    <s v="M"/>
    <s v="3ro"/>
    <m/>
    <m/>
    <s v="25/02/2015_x000a_03:20 "/>
    <s v="Accidente Incapacitante "/>
    <s v="Parcial Temporal"/>
    <s v="Atrapamiento con mordaza horizontal de máquina envasadora. Corte y quemadura 2do grado "/>
    <s v="MANO "/>
    <s v="SI"/>
    <s v="MODERADO"/>
    <x v="0"/>
    <s v="Febrero "/>
    <m/>
    <n v="59"/>
    <m/>
    <n v="59"/>
    <m/>
    <m/>
    <m/>
    <x v="3"/>
    <s v="Calibrando/Regulando"/>
    <s v="Atricción"/>
    <s v="Atrapado entre"/>
    <m/>
    <m/>
  </r>
  <r>
    <s v="si"/>
    <s v="NUTRICION ANIMAL TRUJILLO "/>
    <m/>
    <s v="VITAPRO"/>
    <m/>
    <s v="Iván Fuentes De La Cruz"/>
    <n v="19"/>
    <s v="TERCERO"/>
    <s v="M"/>
    <s v="1ro"/>
    <m/>
    <m/>
    <s v="10/03/2015_x000a_13:45 "/>
    <s v="Accidente Incapacitante "/>
    <s v="Parcial Temporal"/>
    <s v="Esguince 2do Grado Pulgar Mano Derecho durante limpieza en Lavatorio_x000a_"/>
    <s v="MANO "/>
    <s v="NO"/>
    <m/>
    <x v="0"/>
    <s v="Marzo"/>
    <m/>
    <n v="7"/>
    <m/>
    <n v="7"/>
    <m/>
    <m/>
    <m/>
    <x v="3"/>
    <s v="Limpiando equipo"/>
    <s v="Esguince"/>
    <m/>
    <m/>
    <s v="LIMTEK"/>
  </r>
  <r>
    <s v="si"/>
    <s v="CDC"/>
    <m/>
    <s v="DISTRIBUCIÓN"/>
    <s v="DIS5675"/>
    <s v="Franque Leonel Reluz Sosa "/>
    <n v="29"/>
    <s v="Ayudante de paletizador "/>
    <s v="M"/>
    <s v="1ro"/>
    <m/>
    <m/>
    <s v="04/06/2015_x000a_14:20"/>
    <s v="Accidente Incapacitante "/>
    <s v="Parcial Temporal "/>
    <s v="coge uno de los fardos de detergentes apoyando el dorso de la mano derecha sobre la faja, esto ocasionó que la faja arrastre su mano en dirección del movimiento y quede atrapada entre el protector del rodillo y la faja "/>
    <s v="MANO "/>
    <s v="SI"/>
    <s v="IMPORTANTE"/>
    <x v="0"/>
    <s v="Junio"/>
    <m/>
    <n v="26"/>
    <m/>
    <n v="26"/>
    <m/>
    <m/>
    <m/>
    <x v="22"/>
    <s v="Durante operación productiva"/>
    <s v="Quemadura"/>
    <s v="Atrapado entre"/>
    <m/>
    <m/>
  </r>
  <r>
    <s v="si"/>
    <s v="COPSA "/>
    <m/>
    <s v="PRODUCCIÓN"/>
    <s v="PCO7359"/>
    <s v="Hector Albites Neyra "/>
    <n v="41"/>
    <s v="Operador volante de aceites "/>
    <s v="M"/>
    <s v="1ro "/>
    <m/>
    <m/>
    <s v="08/06/2015_x000a_15:00 "/>
    <s v="Accidente Incapacitante "/>
    <s v="Parcial Temporal "/>
    <s v="corte en los dedos índice y medio de la mano izquierda con una cuchilla retráctil, debido a que la tenía sujetada con la hoja de corte expuesta, al momento de entregarla al Sr. Rojas."/>
    <s v="MANO "/>
    <s v="NO"/>
    <m/>
    <x v="0"/>
    <s v="Junio"/>
    <m/>
    <n v="48"/>
    <m/>
    <n v="48"/>
    <m/>
    <m/>
    <m/>
    <x v="23"/>
    <s v="Otros"/>
    <s v="Corte"/>
    <s v="Contacto con "/>
    <m/>
    <m/>
  </r>
  <r>
    <s v="si"/>
    <s v="MOLINCA"/>
    <m/>
    <s v="PRODUCCIÓN"/>
    <m/>
    <s v="Anselmo Mendoza Acevedo"/>
    <n v="58"/>
    <m/>
    <s v="M"/>
    <s v="1ro"/>
    <m/>
    <m/>
    <s v="25/03/2015_x000a_07:35 "/>
    <s v="Accidente Incapacitante "/>
    <s v="Parcial Temporal"/>
    <s v="Pérdida de  falanges distales de dedo Índice  y dedo  medio de la mano derecha al intentar asegurar visor del volumétrico_x000a_"/>
    <s v="MANO "/>
    <s v="SI"/>
    <m/>
    <x v="0"/>
    <s v="Marzo"/>
    <m/>
    <n v="90"/>
    <n v="175"/>
    <n v="265"/>
    <m/>
    <m/>
    <m/>
    <x v="3"/>
    <s v="Mantenimiento"/>
    <s v="Pérdida Falanges"/>
    <m/>
    <m/>
    <m/>
  </r>
  <r>
    <s v="si"/>
    <s v="MOLINO CALLAO"/>
    <m/>
    <s v="DISTRIBUCIÓN"/>
    <s v="DIS5445"/>
    <s v="Juan José Chinguel Carhuayocllo"/>
    <n v="27"/>
    <s v="TERCERO "/>
    <s v="M"/>
    <s v="2do  "/>
    <s v="22/04/2015_x000a_16:00 "/>
    <s v="Accidente Incapacitante "/>
    <s v="22/04/2015_x000a_16:00 "/>
    <s v="Accidente Incapacitante"/>
    <s v="Parcial Temporal"/>
    <s v="Esguince Tobillo derecho (IOLSA) por golpe con montacarga durante carga del contenedor "/>
    <s v="PIE"/>
    <s v="SI"/>
    <s v="IMPORTANTE"/>
    <x v="0"/>
    <s v="Abril "/>
    <m/>
    <n v="4"/>
    <m/>
    <n v="4"/>
    <m/>
    <m/>
    <m/>
    <x v="18"/>
    <s v="Manejando traspaleta/Montacarga"/>
    <s v="Esguince"/>
    <m/>
    <m/>
    <s v="IOLSA"/>
  </r>
  <r>
    <s v="si"/>
    <s v="TEAL "/>
    <m/>
    <s v="DISTRIBUCIÓN"/>
    <m/>
    <s v="Edgar Gaber Turpo Quispe"/>
    <n v="41"/>
    <s v="TERCERO"/>
    <s v="M"/>
    <s v="2do"/>
    <m/>
    <m/>
    <s v="05/06/2015_x000a_15:45 "/>
    <s v="Accidente Incapacitante "/>
    <s v="Parcial Temporal "/>
    <s v="Chofer desplaza las puertas horizontalmente y dedo meñique queda atrapado entre puertas laterales. "/>
    <s v="MANO "/>
    <s v="NO"/>
    <m/>
    <x v="0"/>
    <s v="Junio"/>
    <m/>
    <n v="16"/>
    <m/>
    <n v="16"/>
    <m/>
    <m/>
    <m/>
    <x v="14"/>
    <s v="carga/descarga de camión"/>
    <s v="Golpe"/>
    <m/>
    <m/>
    <s v="Transportes CR "/>
  </r>
  <r>
    <s v="si"/>
    <s v="TEAL "/>
    <m/>
    <s v="PRODUCCIÓN"/>
    <m/>
    <s v="Augusto Vladimir Córdova "/>
    <n v="34"/>
    <s v="Operario de producción"/>
    <s v="M"/>
    <s v="1ro "/>
    <m/>
    <m/>
    <s v="08/06/2015_x000a_12:18 "/>
    <s v="Accidente Incapacitante "/>
    <s v="Parcial Temporal "/>
    <s v="Baja la compuerta con la mano izquierda dejando el dedo medio de la mano derecha expuesto en el marco de la compuerta aprisionando  dicho dedo y causándole la lesión ."/>
    <s v="MANO "/>
    <s v="SI"/>
    <s v="ver IPER TEAL"/>
    <x v="0"/>
    <s v="Junio"/>
    <m/>
    <n v="95"/>
    <m/>
    <n v="95"/>
    <m/>
    <m/>
    <m/>
    <x v="3"/>
    <s v="Durante operación productiva"/>
    <s v="Golpe"/>
    <m/>
    <m/>
    <m/>
  </r>
  <r>
    <s v="si"/>
    <s v="COPSA "/>
    <m/>
    <s v="PRODUCCIÓN"/>
    <s v="PCO5926"/>
    <s v="Enrique Cuadrado Dominguez"/>
    <n v="49"/>
    <s v="Líder Planta Refinación Física "/>
    <s v="M"/>
    <s v="3ro"/>
    <m/>
    <m/>
    <s v="09/06/2015_x000a_00:10 "/>
    <s v="Accidente Incapacitante "/>
    <s v="Parcial Temporal "/>
    <s v="Quemaduras de 1er y 2do grado en manos y pantorrilla derecha por salpicadura de aciete caliente a través de visor."/>
    <s v="CUERPO"/>
    <s v="NO"/>
    <m/>
    <x v="0"/>
    <s v="Junio "/>
    <m/>
    <n v="20"/>
    <m/>
    <n v="20"/>
    <m/>
    <m/>
    <m/>
    <x v="24"/>
    <s v="Durante operación productiva"/>
    <s v="Quemadura"/>
    <s v="Contacto con"/>
    <m/>
    <m/>
  </r>
  <r>
    <s v="si"/>
    <s v="MOLINO FAUCETT"/>
    <m/>
    <s v="PRODUCCIÓN"/>
    <s v="MFA5156"/>
    <s v="Mario Joya Chumpitaz"/>
    <n v="46"/>
    <s v="Coordinador de envasado      "/>
    <s v="M"/>
    <s v="3ro"/>
    <m/>
    <m/>
    <s v="09/03/2015_x000a_06:00 "/>
    <s v="Accidente Incapacitante "/>
    <s v="Parcial Temporal"/>
    <s v="Herida en primer dedo de mano izquierda con daño de uña/ Fractura de dedo pulgar mano izquierda al revisar sensor en máquina SIG.        "/>
    <s v="MANO "/>
    <s v="NO"/>
    <m/>
    <x v="0"/>
    <s v="Marzo"/>
    <m/>
    <n v="117"/>
    <m/>
    <n v="117"/>
    <m/>
    <m/>
    <m/>
    <x v="3"/>
    <s v="Calibrando/Regulando"/>
    <s v="Fractura"/>
    <s v="Atrapado entre"/>
    <m/>
    <m/>
  </r>
  <r>
    <s v="si"/>
    <s v="SIDSUR"/>
    <m/>
    <s v="PRODUCCIÓN"/>
    <s v="SID5644"/>
    <s v="Gilmar Darwin Viza Ayquipa"/>
    <n v="22"/>
    <s v="Ayudante de Planta  "/>
    <s v="M"/>
    <s v="3ro"/>
    <m/>
    <m/>
    <s v="29/05/2015_x000a_01:45"/>
    <s v="Accidente Incapacitante"/>
    <s v="Parcial Temporal"/>
    <s v="la tarea de reproceso de harina, el trabajador Gilmar Viza Ayquipa se dobla el  1er dedo de mano izquierda con un saco con harina. "/>
    <s v="MANO "/>
    <s v="NO"/>
    <m/>
    <x v="0"/>
    <s v="Mayo"/>
    <m/>
    <n v="5"/>
    <m/>
    <n v="5"/>
    <m/>
    <m/>
    <m/>
    <x v="21"/>
    <s v="Durante operación productiva"/>
    <s v="Esguince"/>
    <s v="Sobreesfuerzo"/>
    <m/>
    <m/>
  </r>
  <r>
    <s v="si"/>
    <s v="COPSA"/>
    <m/>
    <s v="MANTENIMIENTO"/>
    <s v="PCO6686"/>
    <s v="Miguel Angel Marrujo Villanera"/>
    <n v="25"/>
    <s v="Instrumentista"/>
    <s v="M"/>
    <s v="1ro"/>
    <m/>
    <m/>
    <s v="02/11/2015_x000a_09:00"/>
    <s v="Accidente Incapacitante"/>
    <s v="Parcial Temporal "/>
    <s v="Aprisión de falange distal al momento de montado de válvula neumática genera fractura de falange."/>
    <s v="MANO "/>
    <s v="SI"/>
    <s v="MODERADO"/>
    <x v="0"/>
    <s v="Noviembre"/>
    <m/>
    <n v="109"/>
    <m/>
    <n v="109"/>
    <m/>
    <m/>
    <m/>
    <x v="25"/>
    <s v="Mantenimiento"/>
    <s v="Fractura"/>
    <s v="Atrapado entre "/>
    <m/>
    <m/>
  </r>
  <r>
    <s v="si"/>
    <s v="FIDEERIA LIMA"/>
    <m/>
    <s v="PRODUCCIÓN"/>
    <s v="PFL6577"/>
    <s v="Marco Santana "/>
    <n v="21"/>
    <s v="Ayudante de Producción"/>
    <s v="M"/>
    <s v="3ro"/>
    <m/>
    <m/>
    <s v="13/11/2015_x000a_04:00"/>
    <s v="Accidente Incapacitante"/>
    <s v="Parcial Temporal "/>
    <s v="Fractura de falange durante cambio de molde por atrapamiento de dedo entre gancho de tecle y molde. "/>
    <s v="MANO "/>
    <s v="SI"/>
    <s v="IMPORTANTE"/>
    <x v="0"/>
    <s v="Noviembre"/>
    <m/>
    <n v="62"/>
    <m/>
    <n v="62"/>
    <m/>
    <m/>
    <m/>
    <x v="26"/>
    <s v="Maniobras de equipos"/>
    <s v="Fractura"/>
    <s v="Atrapado entre"/>
    <m/>
    <m/>
  </r>
  <r>
    <s v="si"/>
    <s v="FIDEERIA LIMA"/>
    <m/>
    <s v="PRODUCCIÓN"/>
    <s v="PFL6484"/>
    <s v="Diter Iván Liviapoma Nuñez"/>
    <n v="28"/>
    <s v="Operador Materias Primas"/>
    <s v="M"/>
    <s v="2do"/>
    <m/>
    <m/>
    <s v="24/10/2015_x000a_19:08"/>
    <s v="Accidente Incapacitante"/>
    <s v="Parcial Temporal "/>
    <s v="Atricción de dedos entre cadena y molde en Línea L23 durante el cambio de molde genera herida contusa cortante"/>
    <s v="MANO "/>
    <s v="SI"/>
    <s v="IMPORTANTE"/>
    <x v="0"/>
    <s v="Octubre"/>
    <m/>
    <n v="2"/>
    <m/>
    <n v="2"/>
    <m/>
    <m/>
    <m/>
    <x v="26"/>
    <s v="Durante operación productiva"/>
    <s v="Atricción"/>
    <s v="Atrapado en"/>
    <m/>
    <m/>
  </r>
  <r>
    <s v="si"/>
    <s v="MOLINO FAUCETT"/>
    <m/>
    <s v="PRODUCCIÓN"/>
    <s v="MFA6365"/>
    <s v="Josué Antonio Burgos Campos      "/>
    <n v="23"/>
    <s v="Ayudante de Planta       "/>
    <s v="M"/>
    <s v="2do"/>
    <m/>
    <m/>
    <s v="22/09/2015_x000a_20:40 "/>
    <s v="Accidente Incapacitante"/>
    <s v="Parcial Temporal "/>
    <s v="Contusión del pie izquierdo al quedar atrapado entre las maderas de una parihuela por saltar sobre ella."/>
    <s v="PIE"/>
    <s v="SI"/>
    <s v="MODERADO"/>
    <x v="0"/>
    <s v="Setiembre"/>
    <m/>
    <n v="5"/>
    <m/>
    <n v="5"/>
    <m/>
    <m/>
    <m/>
    <x v="8"/>
    <s v="Durante operación productiva"/>
    <s v="Golpe"/>
    <s v="Atrapado entre"/>
    <m/>
    <m/>
  </r>
  <r>
    <m/>
    <s v="SIDSUR"/>
    <m/>
    <s v="DISTRIBUCIÓN"/>
    <s v="SID3618"/>
    <s v="Heraldo Neyra Díaz"/>
    <m/>
    <s v="TERCERO"/>
    <s v="M"/>
    <s v="3ro"/>
    <s v="TERCERO"/>
    <m/>
    <s v="12/07/2014  _x000a_06:55:00 a.m."/>
    <s v="Lesión Incapacitante"/>
    <s v="Lesión Incapacitante"/>
    <s v="Esguince en tobillo derecho por caida de paleta sobre su pierna durante carguio del camión"/>
    <s v="PIERNA"/>
    <m/>
    <m/>
    <x v="1"/>
    <s v="Julio"/>
    <m/>
    <n v="21"/>
    <m/>
    <n v="21"/>
    <m/>
    <m/>
    <m/>
    <x v="27"/>
    <s v="carga/descarga de camión"/>
    <s v="Golpe"/>
    <m/>
    <m/>
    <s v="Transporte Pablo Nuñez"/>
  </r>
  <r>
    <m/>
    <s v="CDC"/>
    <m/>
    <s v="DISTRIBUCIÓN"/>
    <s v="DIS3639"/>
    <s v="JUAN ALFONSO ZEVALLOS DIAZ "/>
    <m/>
    <s v="TERCERO"/>
    <s v="M"/>
    <m/>
    <s v="TERCERO"/>
    <m/>
    <d v="2014-07-24T00:00:00"/>
    <s v="Lesión Incapacitante"/>
    <s v="Lesión Incapacitante"/>
    <s v="Amputación de falange distal dedo índice mano derecha, corte y fractura falange distal dedo II durante el retiro de la bateria del montacarga para su recarga"/>
    <s v="MANO "/>
    <m/>
    <m/>
    <x v="1"/>
    <s v="Julio"/>
    <m/>
    <n v="349"/>
    <n v="75"/>
    <n v="424"/>
    <m/>
    <m/>
    <m/>
    <x v="0"/>
    <s v="Maniobras de equipos"/>
    <s v="Pérdida Falanges"/>
    <m/>
    <m/>
    <s v="Agencia Alemana Del Peru"/>
  </r>
  <r>
    <s v="si"/>
    <s v="GALLETERA LIMA"/>
    <s v="Yury"/>
    <s v="PROYECTOS"/>
    <m/>
    <s v="ELLIO VILLAJUAN PRINCIPE"/>
    <m/>
    <s v="TERCERO"/>
    <s v="M"/>
    <s v="2do"/>
    <s v="TERCERO"/>
    <m/>
    <s v="13/10/2014_x000a_15:20"/>
    <s v="Lesión Incapacitante"/>
    <s v="Lesión Incapacitante"/>
    <s v="En evaluación, fractura múltiple de antebrazo derecho al intentar limpiar polín con faja en movimiento"/>
    <s v="BRAZO/HOMBRO"/>
    <m/>
    <m/>
    <x v="1"/>
    <s v="Octubre"/>
    <m/>
    <n v="208"/>
    <m/>
    <n v="208"/>
    <m/>
    <m/>
    <m/>
    <x v="22"/>
    <s v="Trajando en corrida de prueba"/>
    <s v="Fractura"/>
    <m/>
    <m/>
    <s v="ROMEWA"/>
  </r>
  <r>
    <m/>
    <s v="MOLINO SANTA ROSA "/>
    <m/>
    <s v="PRODUCCIÓN"/>
    <s v="MSR4347"/>
    <s v="GILBERT EDUARDO ESPINO GUERRERO "/>
    <n v="46"/>
    <s v="Personal Alicorp "/>
    <s v="M"/>
    <s v="2ro"/>
    <s v="OBRERO ESTABLE"/>
    <s v="17 años"/>
    <s v="07/11/2014_x000a_15:10"/>
    <s v="Lesión Incapacitante"/>
    <s v="Lesión Incapacitante"/>
    <s v="Siendo la 15:15, luego de hacer la limpieza respectiva de fin de turno y estando la planta parada, el Sr. Gilbert Espino intenta cruzar por encima de la faja transportadora de sacos, enganchando su pie derecho con la baranda posterior, lo que origina que su rodilla derecha impacte con la baranda anterior."/>
    <s v="PIERNA"/>
    <m/>
    <m/>
    <x v="1"/>
    <s v="Noviembre"/>
    <m/>
    <n v="178"/>
    <m/>
    <n v="178"/>
    <m/>
    <m/>
    <m/>
    <x v="28"/>
    <s v="Otros"/>
    <s v="Golpe"/>
    <m/>
    <m/>
    <m/>
  </r>
  <r>
    <m/>
    <s v="TEAL"/>
    <m/>
    <s v="DISTRIBUCIÓN"/>
    <m/>
    <s v="LEANDRO ESTRADA SABINO"/>
    <m/>
    <s v="TERCERO"/>
    <s v="M"/>
    <s v="2do"/>
    <s v="TERCERO"/>
    <m/>
    <s v="31/12/2014_x000a_18:20  "/>
    <s v="Lesión Incapacitante"/>
    <s v="Lesión Incapacitante"/>
    <s v="Al término de la carga de productos, los estibadores procedieron a bajar del camión, siendo el ultimo el estibador Sr. Leandro Estrada Sabino, quien para bajar de la ruma de parihuelas hacia el piso decide sentarse sobre la misma y apoyarse con la mano derecha sobre el filo posterior de la plataforma del camión, dando un pequeño salto hacia el piso, en forma paralela el Chofer de la Unidad de Transporte de la Empresa Megatrans S.R.L. Sr. Crescencio Alberca Huaman cierra la puerta posterior izquierda de manera intempestiva sin percatarse de la presencia del Sr. Estrada, aprisionando los dedos de su mano derecha entre la plataforma y la parte inferior de la puerta, provocándole una lesión que tuvo como consecuencia la amputación traumática parcial de la falange distal del tercer y cuarto dedo de dicha mano."/>
    <s v="MANO "/>
    <m/>
    <m/>
    <x v="1"/>
    <s v="Diciembre"/>
    <m/>
    <n v="263"/>
    <n v="135"/>
    <n v="398"/>
    <m/>
    <m/>
    <m/>
    <x v="14"/>
    <s v="carga/descarga de camión"/>
    <s v="Pérdida Falanges"/>
    <m/>
    <m/>
    <m/>
  </r>
  <r>
    <m/>
    <s v="TEAL"/>
    <m/>
    <s v="PRODUCCIÓN"/>
    <m/>
    <s v="Rosmel Tenorio Ortiz"/>
    <n v="19"/>
    <s v="Personal TEAL"/>
    <s v="M"/>
    <s v="2do"/>
    <m/>
    <s v="7 meses "/>
    <s v="04/01/2014_x000a_16:00"/>
    <s v="Lesión Incapacitante"/>
    <s v="Lesión Incapacitante"/>
    <s v="En circunstancias que el Sr. Tenorio había encendido la maquina envolvedora de caramelo perita para el inicio de las operaciones y procedía a guiar la lamina de envoltura con caramelo perita con sus dedos de su mano derecha entre las fajas de transporte hacia la mordaza, apoya inconscientemente su mano izquierda en el rodillo vertical que da movimiento a la faja en sentido anti horario, quedando la primera falange de su dedo anular aprisionado entre la faja y el rodillo en referencia, provocándole una herida contusa abierta en dicha zona._x000a__x000a_Cabe precisar que el Sr. Tenorio no estaba autorizado para la operación de esta maquina envolvedora, la misma que se utiliza esporádicamente (bimensualmente) y solamente es operado por los maquinistas Brenner Panta y Cesar Ore._x000a__x000a_En el momento del accidente, el Supervisor de Turno Oscar Orrego se encontraba relevándose con su compañero Sr. Urrutia._x000a_"/>
    <s v="MANO "/>
    <m/>
    <m/>
    <x v="1"/>
    <s v="Enero"/>
    <m/>
    <n v="9"/>
    <m/>
    <n v="9"/>
    <m/>
    <m/>
    <m/>
    <x v="3"/>
    <s v="Calibrando/Regulando"/>
    <s v="Atricción"/>
    <m/>
    <m/>
    <m/>
  </r>
  <r>
    <s v="si"/>
    <s v="TEAL"/>
    <m/>
    <s v="PRODUCCIÓN"/>
    <m/>
    <m/>
    <m/>
    <s v="Personal TEAL"/>
    <m/>
    <m/>
    <m/>
    <m/>
    <s v="06/01/2014_x000a_"/>
    <s v="Lesión Incapacitante"/>
    <s v="Lesión Incapacitante"/>
    <s v="Encajado Galletas Soda Granel.Atricción dedo polin y faja"/>
    <s v="MANO "/>
    <m/>
    <m/>
    <x v="1"/>
    <s v="Enero"/>
    <m/>
    <n v="6"/>
    <m/>
    <n v="6"/>
    <m/>
    <m/>
    <m/>
    <x v="22"/>
    <s v="Durante operación productiva"/>
    <s v="Atricción"/>
    <m/>
    <m/>
    <m/>
  </r>
  <r>
    <s v="si"/>
    <s v="GALLETERA LIMA"/>
    <m/>
    <s v="PRODUCCIÓN"/>
    <s v="PGL2436"/>
    <s v="Narciso Vergaray Enrique "/>
    <n v="39"/>
    <s v="Personal Alicorp "/>
    <s v="M"/>
    <s v="2do Turno"/>
    <s v="OBRERO ESTABLE"/>
    <s v="6 años 3 meses "/>
    <s v="07/01/2014  _x000a_15:30"/>
    <s v="Lesión incapacitante "/>
    <s v="Lesión incapacitante "/>
    <s v="Perdida de falange distal del dedo indice de la mano derecha del señor Narciso Vergaray Enrique en circunstancia que introdujo su mano derecha a la transmision de la cadena de la maquina envasadora A1 de la linea 3."/>
    <s v="MANO "/>
    <m/>
    <m/>
    <x v="1"/>
    <s v="Enero"/>
    <m/>
    <n v="93"/>
    <n v="100"/>
    <n v="193"/>
    <d v="1899-12-30T15:32:00"/>
    <n v="10346"/>
    <m/>
    <x v="3"/>
    <s v="Mantenimiento"/>
    <s v="Pérdida Falanges"/>
    <m/>
    <m/>
    <m/>
  </r>
  <r>
    <m/>
    <s v="SIDSUR"/>
    <m/>
    <s v="PRODUCCIÓN"/>
    <s v="SID2486"/>
    <s v="RENZO SUAREZ OLARTE"/>
    <n v="28"/>
    <s v="Personal Alicorp "/>
    <s v="M"/>
    <s v="2do"/>
    <s v="OBRERO CONTRATADO"/>
    <s v="0 Años"/>
    <d v="2014-01-21T04:20:00"/>
    <s v="Lesión Incapacitante"/>
    <s v="Lesión Incapacitante"/>
    <s v="Siendo aproximadamente las 4:20 pm, se suscita un corte de energía eléctrica de aproximadamente 4 segundos, el mismo que origina que el horno de la Galletería pare, cuando estos eventos suceden el personal acude al horno a dar manivela (como se ve en la foto adjunta), para que la malla del horno continúe avanzando y así poder sacar la galleta que aún permanece dentro del horno, esta operación se debe realizar con celeridad debido a que mientras más tiempo permanezca la galleta en el horno mayor será la probabilidad de que esta se incendie. _x000a_El horno tiene dos manivelas una a cada lado, en el lado izquierdo se encontraba Renzo dando manivela y es en esta operación que la manivela se sale de su posición de trabajo  y por inercia de la acción el colaborador se da un golpe en la nariz con la misma manivela_x000a_"/>
    <s v="CABEZA"/>
    <m/>
    <m/>
    <x v="1"/>
    <s v="Enero"/>
    <m/>
    <n v="9"/>
    <m/>
    <n v="9"/>
    <m/>
    <n v="22896"/>
    <m/>
    <x v="29"/>
    <s v="Durante operación productiva"/>
    <s v="Golpe"/>
    <m/>
    <m/>
    <m/>
  </r>
  <r>
    <m/>
    <s v="TEAL"/>
    <m/>
    <s v="CALIDAD"/>
    <m/>
    <s v="Jenny Najarro Barrientos"/>
    <n v="35"/>
    <s v="Personal TEAL"/>
    <s v="F"/>
    <s v="1ro"/>
    <m/>
    <s v="1 año 8 meses "/>
    <d v="2014-01-21T00:00:00"/>
    <s v="Lesión Incapacitante"/>
    <s v="Lesión Incapacitante"/>
    <s v="En circunstancias que la Srta. Jenny Najarro realizaba el corte de una hoja de papel bond A4 utilizando un cortador con cierre de deslizamiento de toque único con la mano derecha sobre una base metálica (móvil) y una guía de regla metálica, el cortador se desliza sobre la regla impactando sobre el dedo pulgar de la mano izquierda con el cual fijaba la hoja de papel sobre la base metálica, originándole un corte profundo en dicha zona._x000a_Cabe precisar que la Srta. Jenny estaba rotulando archivadores con etiquetas de papel bond y para facilitar su trabajo de corte de papel, utilizo en vez de una tijera, el cortador con cierre de deslizamiento de toque único que es utilizado para el corte de cartones y embalajes._x000a_"/>
    <s v="MANO "/>
    <m/>
    <m/>
    <x v="1"/>
    <s v="Enero"/>
    <m/>
    <n v="10"/>
    <m/>
    <n v="10"/>
    <m/>
    <m/>
    <m/>
    <x v="23"/>
    <s v="Otros"/>
    <s v="Corte"/>
    <m/>
    <m/>
    <m/>
  </r>
  <r>
    <m/>
    <s v="INSTANTANEOS"/>
    <m/>
    <s v="PRODUCCIÓN"/>
    <s v="BRÑ2619"/>
    <s v="Marco Barandarian Jimenez"/>
    <n v="34"/>
    <s v="Personal Alicorp "/>
    <s v="M"/>
    <s v="1ro"/>
    <s v="OBRERO ESTABLE"/>
    <s v="4 años "/>
    <d v="2014-01-22T09:50:00"/>
    <s v="Lesión Incapacitante"/>
    <s v="Lesión Incapacitante"/>
    <s v="El colaborador se encontraba alimentando azúcar a la Tolva 1 y al realizar el traspaso de sacos de azúcar de 50 kg. de la paleta hacia la plataforma de alimentación sin ayuda es cuando siente una molestia en el hombro del brazo izquierdo y avisó al coordinador._x000a_"/>
    <s v="BRAZO/HOMBRO"/>
    <m/>
    <m/>
    <x v="1"/>
    <s v="Enero"/>
    <m/>
    <n v="6"/>
    <m/>
    <n v="6"/>
    <d v="1899-12-30T09:55:00"/>
    <n v="15639"/>
    <m/>
    <x v="11"/>
    <s v="Manipulación Materiales/Herramientas"/>
    <s v="Esguince"/>
    <m/>
    <m/>
    <m/>
  </r>
  <r>
    <m/>
    <s v="DETERGENTES"/>
    <m/>
    <s v="PRODUCCIÓN"/>
    <s v="DET2768"/>
    <s v="PEÑA VILCHEZ MIGUEL ANGEL"/>
    <n v="25"/>
    <s v="Personal Alicorp "/>
    <s v="M"/>
    <s v="2do"/>
    <s v="OBRERO CONTRATADO"/>
    <s v="8 meses"/>
    <s v="18/02/2014 _x000a_21:30"/>
    <s v="Lesión Incapacitante"/>
    <s v="Lesión Incapacitante"/>
    <s v="EL Trabajador Miguel Peña Vilchez se encontraba regulando el film de Bolívar Matic 1.5 kg luego de haberla bloqueado la Envasadora y al estar con la mano izquierda jalando el film a la altura de las mordazas, con la derecha se apoya en la mordaza cerrándola sobre los dedos de su mano izquierda sufriendo las quemaduras ( cuando la máquina está bloqueada las mordazas están sueltas, pueden correr con la mano. No tienen presión ) . "/>
    <s v="MANO "/>
    <m/>
    <m/>
    <x v="1"/>
    <s v="febrero"/>
    <m/>
    <n v="16"/>
    <m/>
    <n v="16"/>
    <d v="1899-12-30T09:30:00"/>
    <n v="21717"/>
    <m/>
    <x v="3"/>
    <s v="Calibrando/Regulando"/>
    <s v="Quemadura"/>
    <m/>
    <m/>
    <m/>
  </r>
  <r>
    <s v="si"/>
    <s v="MOLINO CALLAO"/>
    <m/>
    <s v="PRODUCCIÓN"/>
    <s v="MCA2716"/>
    <s v="Jose Chavez Sanchez"/>
    <n v="54"/>
    <s v="TERCERO"/>
    <s v="M"/>
    <s v="1ro"/>
    <s v="TERCERO"/>
    <s v="16 años"/>
    <d v="2014-02-18T13:50:00"/>
    <s v="Lesión Incapacitante"/>
    <s v="Lesión Incapacitante"/>
    <s v="Mientras se realizaba el reproceso de sacos rotos, el Sr. José Chavez, procedía a bajar uno de los sacos que se encontraba en la parte superior de la parihuela (6 camas de alto), dicha operación la realizaba sosteniendo una cuchilla en su mano derecha. En el momento de bajar el saco este se rompe originando un corte en su pierna derecha con la cuchilla que sostenía. _x000a_"/>
    <s v="PIERNA"/>
    <m/>
    <m/>
    <x v="1"/>
    <s v="febrero"/>
    <m/>
    <n v="10"/>
    <m/>
    <n v="10"/>
    <m/>
    <m/>
    <m/>
    <x v="23"/>
    <s v="Recuperación producto terminado"/>
    <s v="Corte"/>
    <m/>
    <m/>
    <s v="OILSA"/>
  </r>
  <r>
    <m/>
    <s v="GALLETERA LIMA"/>
    <m/>
    <s v="RELACIONES LABORALES"/>
    <s v="PGL2674"/>
    <s v="Reyna Casavilca Huatay"/>
    <n v="29"/>
    <s v="TERCERO"/>
    <s v="F"/>
    <s v="1er Turno "/>
    <s v="TERCERO"/>
    <s v="1 mes y 15 dias "/>
    <s v="19/02/2014_x000a_ 11:00"/>
    <s v="Lesión incapacitante "/>
    <s v="Lesión incapacitante "/>
    <s v="El día del accidente a la hora del almuerzo en pleno servicio, a falta de abastecimiento de verduras en el Salad Bar, la jefa del Concesionario REGIS “Ana Romero” le indicó a la moza que apoyara en el corte de lechuga._x000a__x000a_Mientras la moza realizaba el corte con un cuchillo es que se ocasiona a ella misma un corte en el dedo medio de la mano izquierda._x000a_"/>
    <s v="MANO "/>
    <m/>
    <m/>
    <x v="1"/>
    <s v="febrero"/>
    <m/>
    <n v="2"/>
    <m/>
    <n v="2"/>
    <m/>
    <m/>
    <m/>
    <x v="6"/>
    <s v="Cocinando"/>
    <s v="Corte"/>
    <m/>
    <m/>
    <s v="Regis"/>
  </r>
  <r>
    <m/>
    <s v="INSTANTANEOS"/>
    <m/>
    <s v="ADMINISTRACIÓN"/>
    <s v="BRÑ2804"/>
    <s v="Jose Inca Quispe"/>
    <s v="19"/>
    <s v="TERCERO"/>
    <s v="M"/>
    <s v="2do"/>
    <s v="TERCERO"/>
    <s v="2 mese "/>
    <d v="2014-02-24T19:45:00"/>
    <s v="Lesión Incapacitante"/>
    <s v="Lesión Incapacitante"/>
    <s v="El operario Jose Luis Inca Condori se disponía a realizar el mechoneo del segundo piso de planta de producción (sector de abastos - a un lado del área de mezclado). Para cambiar el mechón, el operario usó una cuchilla hechiza para cortar los precintos de plástico con los cuales se había asegurado el mechón a la base. Mientras cortaba el precinto se produce un corte profundo en la palma izquierda.  _x000a_"/>
    <s v="MANO "/>
    <m/>
    <m/>
    <x v="1"/>
    <s v="febrero"/>
    <m/>
    <n v="3"/>
    <m/>
    <n v="3"/>
    <m/>
    <m/>
    <m/>
    <x v="23"/>
    <s v="Manipulación Materiales/Herramientas"/>
    <s v="Corte"/>
    <m/>
    <m/>
    <s v="LIMTEK"/>
  </r>
  <r>
    <s v="si"/>
    <s v="MOLINO CALLAO"/>
    <m/>
    <s v="DISTRIBUCIÓN"/>
    <s v="DIS2704"/>
    <s v="Daniel Fernandez Chavez"/>
    <s v="57"/>
    <s v="TERCERO"/>
    <s v="M"/>
    <s v="3ro"/>
    <s v="TERCERO"/>
    <s v="2 años 5 meses"/>
    <d v="2014-02-24T05:00:00"/>
    <s v="Lesión Incapacitante"/>
    <s v="Lesión Incapacitante"/>
    <s v="Debido a trabajos de pintado y reparación de techos en el CD NPI por recomendaciones de DIGESA, se había trasladado parte del producto al patio de maniobras._x000a__x000a_La madrugada del lunes 24-Feb comenzó a llover, el asistente de turno, Juan Sihuas, se da cuenta que parte del producto en patio se encontraba desmantado, para lo cual indica al operario  de montacargas Marco Santos que revise el estado del material._x000a__x000a_Marco Santos, se acerca a la zona y solicita apoyo al personal de Limtek para mantear el producto, el Sr. Santos se retira de la zona dejando al personal de Limtek, Daniel Fernandez y Hamilton Canales, realizando la tarea. _x000a__x000a_El Sr. Fernandez sube por sus propios medios sobre la ruma de 2.7 m de alto y termina de mantear el producto con ayuda del Sr. Canales quien se encontraba en la parte de abajo. Finalizada la tarea el Sr. Canales va a buscar apoyo para bajar a su compañero Fernandez y al volver lo encuentra en el piso producto de haber pisado un espacio vacío entre paletas. _x000a__x000a_"/>
    <s v="CABEZA"/>
    <m/>
    <m/>
    <x v="1"/>
    <s v="febrero"/>
    <m/>
    <n v="7"/>
    <m/>
    <n v="7"/>
    <m/>
    <m/>
    <m/>
    <x v="8"/>
    <s v="Manipulación Materiales/Herramientas"/>
    <s v="Golpe"/>
    <s v="Caida"/>
    <m/>
    <s v="LIMTEK"/>
  </r>
  <r>
    <m/>
    <s v="SIDSUR"/>
    <m/>
    <s v="PRODUCCIÓN"/>
    <s v="SID2957"/>
    <s v="MIGUEL CHOQUE TARIFA"/>
    <n v="47"/>
    <s v="Personal Alicorp "/>
    <s v="M"/>
    <s v="2do"/>
    <s v="OBRERO ESTABLE"/>
    <s v="13 Años"/>
    <d v="2014-03-22T19:55:00"/>
    <s v="Lesión Incapacitante"/>
    <s v="Lesión Incapacitante"/>
    <s v="A las 7:55 pm el colaborador Miguel Choque Tarifa detecta fuga de harina en el 4° piso del molino Victoria por la tubería de reproceso. Para acceder a la zona afectada utiliza una escalera de tijera, una vez eliminada la fuga se dispone a recoger la harina derramada y limpiar el piso._x000a_Mientras continua con la limpieza del sector, se da cuenta que la harina no fluye normalmente, por o que procede a acceder nuevamente a la zona afectada. Mientras esta subiendo por la escalera siente que esta se desliza lo que origina que Miguel se desestabilice, Miguel acentúa el pie derecho sobre la escalera originando que esta se voltee y él caiga al piso sobre su brazo izquierdo, Miguel llama por teléfono al coordinador del molino para informarle que sufrió un accidente , el coordinador  procede a llamar a la ambulancia Rescate 11-11 para que sea atendido, seguidamente es evacuado a la Clínica San Juan de Dios, donde el traumatólogo de turno diagnostica fractura del húmero brazo izquierdo_x000a_"/>
    <s v="BRAZO/HOMBRO"/>
    <m/>
    <m/>
    <x v="1"/>
    <s v="Marzo"/>
    <m/>
    <n v="120"/>
    <m/>
    <n v="120"/>
    <d v="1899-12-30T19:55:00"/>
    <n v="6897"/>
    <m/>
    <x v="30"/>
    <s v="Durante operación productiva"/>
    <s v="Fractura"/>
    <m/>
    <m/>
    <m/>
  </r>
  <r>
    <s v="si"/>
    <s v="TEAL"/>
    <m/>
    <s v="PRODUCCIÓN"/>
    <m/>
    <m/>
    <m/>
    <s v="Personal TEAL"/>
    <m/>
    <m/>
    <m/>
    <m/>
    <d v="2014-04-03T00:00:00"/>
    <s v="Lesión Incapacitante"/>
    <s v="Lesión Incapacitante"/>
    <s v="contucion en el tobillo por rodaje que cae de altura"/>
    <s v="PIERNA"/>
    <m/>
    <m/>
    <x v="1"/>
    <s v="Abril"/>
    <m/>
    <n v="2"/>
    <m/>
    <n v="2"/>
    <m/>
    <m/>
    <m/>
    <x v="31"/>
    <s v="Otros"/>
    <s v="Golpe"/>
    <m/>
    <m/>
    <m/>
  </r>
  <r>
    <s v="si"/>
    <s v="FIDEERIA LIMA"/>
    <m/>
    <s v="PROYECTOS"/>
    <s v="TEC3217"/>
    <s v="Jarol Jonathan Huamán Tilce"/>
    <m/>
    <s v="TERCERO"/>
    <s v="M"/>
    <s v="1ro"/>
    <s v="TERCERO"/>
    <s v="6 años"/>
    <s v="24/04/2014_x000a_09:00"/>
    <s v="Lesión Incapacitante"/>
    <s v="Lesión Incapacitante"/>
    <s v="Siendo alrededor de las 09:00am del día jueves 24 de abril. El señor Jarol Huamán se encontraba vistiéndose para el inicio de actividades, cuando le preguntó a su compañero, el Sr. Vicente Guzmán; si el porta martillo de su cinturón podría ser cortado con la cizalla que el Sr. Guzmán portaba en ese momento. El Sr. Guzmán respondió que sí se podía, por lo que intento cortarlo. El señor Huamán se opone y comenzaron en un “juego” sobre si lo cortaba uno u otro. Producto de ello, el Sr. Guzmán intenta cortar el porta-martillo en el preciso momento en que el Sr. Huaman aproxima su mano a la cizalla ocasionándole el corte._x000a_"/>
    <s v="MANO "/>
    <m/>
    <m/>
    <x v="1"/>
    <s v="Abril"/>
    <m/>
    <n v="10"/>
    <m/>
    <n v="10"/>
    <m/>
    <m/>
    <m/>
    <x v="32"/>
    <s v="Otros"/>
    <s v="Corte"/>
    <m/>
    <m/>
    <s v="MMG"/>
  </r>
  <r>
    <m/>
    <s v="COPSA"/>
    <m/>
    <s v="PROYECTOS"/>
    <s v="TEC3528"/>
    <s v="Roberto Rivera Ramos"/>
    <n v="63"/>
    <s v="Personal Alicorp "/>
    <s v="M"/>
    <s v="1ro"/>
    <s v="OBRERO ESTABLE"/>
    <s v="7 años"/>
    <s v="27/04/2014 _x000a_ 11:30"/>
    <s v="Lesión Incapacitante"/>
    <s v="Lesion Incapacitante"/>
    <s v="El colaborador se acerca a la zona de envasado de baldes para recoger una escoba que necesitaba para realizar limpieza de su área de trabajo. Según indica el accidentado, al ver que la escoba estaba siendo usada por unos contratistas que se encontraban en el área, procede a acercarse al módulo de la operadora de la línea LEOPAT para coger unos trapos. Es en ese momento que no se percata de la presencia del  tobogán, que está en   modificación por el Proyecto LINEA PATTYN ACEITES, se choca contra el mismo y sufre un corte en la región fronto – parietal. Los trabajadores del área al ver que el accidentado estaba sangrando lo asisten y activan la alarma de emergencia._x000a_"/>
    <s v="CABEZA"/>
    <m/>
    <m/>
    <x v="1"/>
    <s v="Abril"/>
    <m/>
    <n v="8"/>
    <m/>
    <n v="8"/>
    <d v="1899-12-30T11:25:00"/>
    <n v="10099"/>
    <m/>
    <x v="17"/>
    <s v="Otros"/>
    <s v="Golpe"/>
    <m/>
    <m/>
    <m/>
  </r>
  <r>
    <m/>
    <s v="CDC"/>
    <m/>
    <s v="DISTRIBUCIÓN"/>
    <s v="DIS3115"/>
    <s v="ROBERTO SANTOS SUGUENZA CUEVA"/>
    <m/>
    <s v="TERCERO"/>
    <s v="M"/>
    <s v="3ro"/>
    <s v="TERCERO"/>
    <s v="3 meses"/>
    <s v="30/04/2014_x000a_04:00"/>
    <s v="Lesión Incapacitante"/>
    <s v="Lesión Incapacitante"/>
    <s v="Resbalón en rampa Resbalón en rampa_x000a_Esguince tobillo y lesión meniscal en rodilla derecha"/>
    <s v="PIERNA"/>
    <m/>
    <m/>
    <x v="1"/>
    <s v="Abril"/>
    <m/>
    <n v="4"/>
    <m/>
    <n v="4"/>
    <m/>
    <m/>
    <m/>
    <x v="20"/>
    <s v="Trasladandose"/>
    <s v="Esguince"/>
    <m/>
    <m/>
    <s v="Transporte Carranza"/>
  </r>
  <r>
    <s v="si"/>
    <s v="CDC"/>
    <m/>
    <s v="DISTRIBUCIÓN"/>
    <s v="DIS3237"/>
    <s v="JUAN CARLOS CORONADO YPANAQUE"/>
    <m/>
    <s v="Personal Alicorp "/>
    <s v="M"/>
    <s v="3ro"/>
    <s v="OBRERO CONTRATADO"/>
    <s v="4 meses"/>
    <s v="06/05/2014_x000a_04:00"/>
    <s v="Lesión Incapacitante"/>
    <s v="Lesión Incapacitante"/>
    <s v="Siendo las 04:00 a.m. aprox. el Sr. Juan Carlos Coronado Ypanaque, ayudante de almacén de la línea de detergente, quien se encontraba realizando sus labores de paletizador en dicha área, estaba verificando el estado de los paquetes que se desplazaban por la faja para separar los paquetes en mal estado (merma). Cuando se encontraba en su puesto fijo en la línea, final de la faja, se disponía a colocar uno de los paquetes en el pallet para paletizar, cuando lo encontró inflado con aire. Se dispuso a sacar el aire con la mano, dando palmadas, lo que ocasiona que le salpique detergente a su ojo izquierdo. _x000a_Al creer que no era nada grave, acudió a los servicios higiénicos a lavarse, y no reportó lo ocurrido oportunamente. Al día siguiente evoluciono el dolor, aumentando el volumen de la hinchazón del ojo y disminución de la agudeza visual en el ojo izquierdo. _x000a_Recién en ese momento acudió al tópico donde en una primera evaluación indican que posiblemente es una conjuntivis química, luego es derivado a la Clinica San Gabriel donde es examinado por el oftalmólogo quien determino que sufrió. Finalmente le dieron DM de 2 días y evolucionó favorablemente con la aplicación de gotas."/>
    <s v="OJO"/>
    <m/>
    <m/>
    <x v="1"/>
    <s v="Mayo"/>
    <m/>
    <n v="2"/>
    <m/>
    <n v="2"/>
    <d v="1899-12-30T14:45:00"/>
    <n v="23124"/>
    <m/>
    <x v="33"/>
    <s v="Durante operación productiva"/>
    <s v="Producto al ojo"/>
    <m/>
    <m/>
    <m/>
  </r>
  <r>
    <m/>
    <s v="FIDEERIA LIMA"/>
    <m/>
    <s v="MANTENIMIENTO"/>
    <s v="PFL3155"/>
    <s v="JERRY ESQUECHE"/>
    <n v="45"/>
    <s v="Personal Alicorp "/>
    <s v="M"/>
    <s v="1ro"/>
    <s v="OBRERO ESTABLE"/>
    <s v="14 años"/>
    <s v="07/05/2014_x000a_09:00"/>
    <s v="Lesión Incapacitante"/>
    <s v="Lesión Incapacitante"/>
    <s v="Siendo alrededor de las 09:00 am del día Miércoles  07 de Mayo , nos dirigimos con  Sr. Jerry Esqueche al depósito de repuestos usados para buscar  un elemento de una máquina. Al llegar al depósito (detrás de Galletera/ línea del tren)  saco su llavero y se dispuso a abrir el candado , lo cual hizo y luego jaló de izquierda a derecha_x000a_ al final de la carrera de la puerta sufre el atrapamiento entre la puerta fija y la móvil. Al ver la parte herida (dedo índice derecho-ultima falange) muestra  su uña estaba morado y salía sangre por los costados "/>
    <s v="MANO "/>
    <m/>
    <m/>
    <x v="1"/>
    <s v="Mayo"/>
    <m/>
    <n v="30"/>
    <m/>
    <n v="30"/>
    <d v="1899-12-30T08:30:00"/>
    <n v="5606"/>
    <m/>
    <x v="34"/>
    <s v="Maniobras de equipos"/>
    <s v="Atricción"/>
    <m/>
    <m/>
    <m/>
  </r>
  <r>
    <s v="si"/>
    <s v="TEAL"/>
    <m/>
    <s v="PRODUCCIÓN"/>
    <m/>
    <m/>
    <m/>
    <s v="Personal TEAL"/>
    <m/>
    <m/>
    <m/>
    <m/>
    <d v="2014-05-28T00:00:00"/>
    <s v="Lesión Incapacitante"/>
    <s v="Lesión Incapacitante"/>
    <s v="Caida por resbalón cargando balde 20lts solución láctea originando dolor lumbar"/>
    <s v="CUERPO"/>
    <m/>
    <m/>
    <x v="1"/>
    <s v="Mayo"/>
    <m/>
    <n v="3"/>
    <m/>
    <n v="3"/>
    <m/>
    <m/>
    <m/>
    <x v="20"/>
    <s v="Manipulación Materiales/Herramientas"/>
    <s v="Golpe"/>
    <s v="Caida"/>
    <m/>
    <m/>
  </r>
  <r>
    <m/>
    <s v="COPSA"/>
    <m/>
    <s v="PROYECTOS"/>
    <s v="TEC3530"/>
    <s v="Juan Jose Jave Burgos"/>
    <m/>
    <s v="TERCERO"/>
    <s v="M"/>
    <s v="1ro"/>
    <s v="TERCERO"/>
    <s v="15 años"/>
    <s v="29/05/2014  _x000a_14:15"/>
    <s v="Lesión Incapacitante"/>
    <s v="Lesion Incapacitante"/>
    <s v="El día en mención el trabajador de la empresa ALBARQ se encontraba junto a sus compañeros desmontando los vidrios templados de una mampara,  es cuando al retirar el antepenúltimo paño de vidrio, la compresión de la estructura de acero inoxidable dificulta, y al forzarlo rompe el vidrio en fragmentos pequeños, produciendo dos cortes en la mano derecha del trabajador. _x000a_"/>
    <s v="MANO "/>
    <m/>
    <m/>
    <x v="1"/>
    <s v="Mayo"/>
    <m/>
    <n v="1"/>
    <m/>
    <n v="1"/>
    <m/>
    <m/>
    <m/>
    <x v="2"/>
    <s v="Otros"/>
    <s v="Corte"/>
    <m/>
    <m/>
    <s v="Albarq"/>
  </r>
  <r>
    <m/>
    <s v="MOLINO SANTA ROSA "/>
    <m/>
    <s v="ALMACEN DE INSUMOS "/>
    <s v="MSR3360"/>
    <s v="Gamarra Quinto Edwin"/>
    <n v="43"/>
    <s v="TERCERO"/>
    <s v="M"/>
    <s v="1ro"/>
    <s v="TERCERO"/>
    <s v="25 años"/>
    <d v="2014-06-10T11:00:00"/>
    <s v="Lesión Incapacitante"/>
    <s v="Lesión Incapacitante"/>
    <s v="Durante la operación de carga de parihuelas metálicas (ruma de 5 parihuelas de 180 kg. c/u); el Sr. Edwin Gamarra (chofer) ingresa al furgón del camión para dirigir esta carga. _x000a_Cuando el operario de almacén acomodaba la ruma de parihuelas estas se deslizan, ocasionando que la rejilla (20 Kg. aprox.) de la paleta superior impacte sobre el pie izquierdo del chofer._x000a_"/>
    <s v="PIE"/>
    <m/>
    <m/>
    <x v="1"/>
    <s v="Junio"/>
    <m/>
    <n v="23"/>
    <m/>
    <n v="23"/>
    <m/>
    <m/>
    <m/>
    <x v="35"/>
    <s v="Manejando traspaleta/Montacarga"/>
    <s v="Golpe"/>
    <m/>
    <m/>
    <s v="CHOFER"/>
  </r>
  <r>
    <m/>
    <s v="COPSA"/>
    <m/>
    <s v="PROYECTOS"/>
    <s v="TEC3531"/>
    <s v="Jose Antonio Ramirez Condori "/>
    <n v="22"/>
    <s v="TERCERO"/>
    <s v="M"/>
    <s v="1ro"/>
    <s v="TERCERO"/>
    <s v="2 años"/>
    <s v="17/06/2014 _x000a_ 12:00"/>
    <s v="Lesión Incapacitante"/>
    <s v="Lesion Incapacitante"/>
    <s v="El día en mención el trabajador de la empresa SIGE se encontraba junto a un compañero, cortando con maquina plasma (equipo con función similar al oxicorte y; funciona con energía eléctrica y aire comprimido) un tubo cuadrado de 5m de longitud,  16” de alto x 8” de ancho. En el transcurso de su labor, el trabajador accidentado no termina de cortar completamente el tubo cuadrado, quedando una pulgada de diferencia, por lo que en una decisión incorrecta levanta el tubo cuadrado para golpear contra la losa de concreto y así terminar de romper la pulgada de diferencia. Es ahí donde el tubo se abre y golpea el dedo pulgar izquierdo del trabajador contra la losa, causando una contusión en dicho dedo._x000a_"/>
    <s v="MANO "/>
    <m/>
    <m/>
    <x v="1"/>
    <s v="Junio"/>
    <m/>
    <n v="17"/>
    <m/>
    <n v="17"/>
    <m/>
    <m/>
    <m/>
    <x v="36"/>
    <s v="Mantenimiento"/>
    <s v="Fractura"/>
    <m/>
    <m/>
    <s v="SIGE"/>
  </r>
  <r>
    <m/>
    <s v="COPSA"/>
    <m/>
    <s v="ALMACEN DE INSUMOS "/>
    <s v="PCO3650"/>
    <s v="NAVARRO MIRANDA ALEJANDRO FELIX"/>
    <n v="42"/>
    <s v="Personal Alicorp "/>
    <s v="M"/>
    <s v="1ro"/>
    <s v="OBRERO ESTABLE"/>
    <s v="7 años"/>
    <s v="04/07/2014 _x000a_ 13:10"/>
    <s v="Lesión Incapacitante"/>
    <s v="Lesión Incapacitante"/>
    <s v="dispone a mover su silla giratoria, para lo cual la carga en la posición mostrada en la foto y al realizar un movimiento brusco y ejercer fuerza, tuerce su dedo meñique que estaba atrapado en la rendija del respaldo del asiento."/>
    <s v="MANO "/>
    <m/>
    <m/>
    <x v="1"/>
    <s v="Julio"/>
    <m/>
    <n v="80"/>
    <m/>
    <n v="80"/>
    <d v="1899-12-30T13:25:00"/>
    <n v="14923"/>
    <m/>
    <x v="37"/>
    <s v="Moviendo silla"/>
    <s v="Fractura"/>
    <m/>
    <m/>
    <m/>
  </r>
  <r>
    <s v="si"/>
    <s v="TEAL"/>
    <m/>
    <s v="PRODUCCIÓN"/>
    <m/>
    <m/>
    <m/>
    <s v="Personal TEAL"/>
    <s v="M"/>
    <s v="1er"/>
    <m/>
    <m/>
    <d v="2013-07-18T11:20:00"/>
    <s v="Lesión Incapacitante"/>
    <s v="Lesión Incapacitante"/>
    <s v="Contusión brazo durante limpieza máquina amasadora no bloqueada "/>
    <s v="BRAZO/HOMBRO"/>
    <m/>
    <m/>
    <x v="1"/>
    <s v="Julio"/>
    <m/>
    <n v="2"/>
    <m/>
    <n v="2"/>
    <d v="1899-12-30T11:20:00"/>
    <m/>
    <m/>
    <x v="3"/>
    <s v="Durante operación productiva"/>
    <s v="Golpe"/>
    <m/>
    <m/>
    <m/>
  </r>
  <r>
    <m/>
    <s v="FIDEERIA LIMA"/>
    <m/>
    <s v="PRODUCCIÓN"/>
    <s v="PFL3638"/>
    <s v="SABOGAL CARBAJAL MOISES"/>
    <n v="36"/>
    <s v="Personal Alicorp "/>
    <s v="M"/>
    <s v="2do"/>
    <s v="OBRERO ESTABLE"/>
    <s v="14 años "/>
    <s v="25/07/2014_x000a_20:00"/>
    <s v="Lesión Incapacitante"/>
    <s v="Lesión Incapacitante"/>
    <s v="Corte en dedos mientras manipulaba herramienta hexagonal "/>
    <s v="MANO "/>
    <m/>
    <m/>
    <x v="1"/>
    <s v="Julio"/>
    <m/>
    <n v="22"/>
    <m/>
    <n v="22"/>
    <d v="1899-12-30T20:00:00"/>
    <n v="60093"/>
    <m/>
    <x v="38"/>
    <s v="Durante operación productiva"/>
    <s v="Corte"/>
    <m/>
    <m/>
    <m/>
  </r>
  <r>
    <s v="si"/>
    <s v="FIDEERIA LIMA"/>
    <m/>
    <s v="PRODUCCIÓN"/>
    <s v="PFL3848"/>
    <s v="REYNER QUIROZ QUINTANA"/>
    <n v="21"/>
    <s v="TERCERO"/>
    <s v="M"/>
    <s v="2do"/>
    <s v="TERCERO"/>
    <s v="3 meses"/>
    <s v="02/08/2014_x000a_15:15"/>
    <s v="Lesión Incapacitante"/>
    <s v="Lesión Incapacitante"/>
    <s v="Atricción de antebrazo izquierdo. Herida excoriativa en antebrazo izquierdo entre faja y polin, retirando producto de la linea aun en pruebas_x000a__x000a_"/>
    <s v="BRAZO/HOMBRO"/>
    <m/>
    <m/>
    <x v="1"/>
    <s v="Agosto "/>
    <m/>
    <n v="10"/>
    <m/>
    <n v="10"/>
    <d v="1899-12-30T15:15:00"/>
    <m/>
    <m/>
    <x v="22"/>
    <s v="Trajando en corrida de prueba"/>
    <s v="Atricción"/>
    <m/>
    <m/>
    <s v="EIG"/>
  </r>
  <r>
    <s v="si"/>
    <s v="GALLETERA LIMA"/>
    <m/>
    <s v="PRODUCCIÓN"/>
    <s v="PGL3619"/>
    <s v="LADINES MILLA JOSE "/>
    <n v="44"/>
    <s v="Personal Alicorp "/>
    <s v="M"/>
    <s v="1ro"/>
    <s v="OBRERO ESTABLE"/>
    <s v="12 años"/>
    <s v="04/08/2014_x000a_08:05"/>
    <s v="Lesión Incapacitante"/>
    <s v="Lesión Incapacitante"/>
    <s v="golpe produciendo una herida en brazo izquierdo , herida de aprox 2 cm, sangrante , sin limitación funcional."/>
    <s v="MANO "/>
    <m/>
    <m/>
    <x v="1"/>
    <s v="Agosto "/>
    <m/>
    <n v="64"/>
    <m/>
    <n v="64"/>
    <d v="1899-12-30T08:05:00"/>
    <n v="10276"/>
    <m/>
    <x v="3"/>
    <s v="Trasladandose"/>
    <s v="Corte"/>
    <m/>
    <m/>
    <m/>
  </r>
  <r>
    <s v="si"/>
    <s v="GALLETERA LIMA"/>
    <m/>
    <s v="PRODUCCIÓN"/>
    <s v="PGL3828"/>
    <s v="Farith Bulnes Pinto "/>
    <n v="18"/>
    <s v="Personal Alicorp "/>
    <s v="M"/>
    <s v="2do"/>
    <s v="APRENDIZ SENATI"/>
    <s v="5 dias"/>
    <s v="05/08/2014_x000a_15:30"/>
    <s v="Lesión Incapacitante"/>
    <s v="Lesión Incapacitante"/>
    <s v="contusión frontal con la llave del agua, al momento de agacharse a recoger el shampoo en la ducha."/>
    <s v="CABEZA"/>
    <m/>
    <m/>
    <x v="1"/>
    <s v="Agosto "/>
    <m/>
    <n v="2"/>
    <m/>
    <n v="2"/>
    <m/>
    <m/>
    <m/>
    <x v="39"/>
    <s v="Otros"/>
    <s v="Golpe"/>
    <m/>
    <m/>
    <m/>
  </r>
  <r>
    <s v="si"/>
    <s v="GALLETERA LIMA"/>
    <m/>
    <s v="PRODUCCIÓN"/>
    <s v="PGL3629"/>
    <s v="HUMAN CASTILLO JIM LEONARDO"/>
    <n v="18"/>
    <s v="Personal Alicorp "/>
    <s v="F"/>
    <s v="2do"/>
    <s v="CLJ"/>
    <s v="6 meses"/>
    <s v="06/08/2014_x000a_16:00"/>
    <s v="Lesión Incapacitante"/>
    <s v="Lesión Incapacitante"/>
    <s v="Paciente se encontraba  en la zona de encajado en galletera manipulando una galleta sufre una atrición de dedo de la mano entre 2 fajas  produciendo  herida y daño en  la uña."/>
    <s v="MANO "/>
    <m/>
    <m/>
    <x v="1"/>
    <s v="Agosto "/>
    <m/>
    <n v="7"/>
    <m/>
    <n v="7"/>
    <d v="1899-12-30T16:00:00"/>
    <n v="23245"/>
    <m/>
    <x v="22"/>
    <s v="Desatorando línea"/>
    <s v="Atricción"/>
    <m/>
    <m/>
    <m/>
  </r>
  <r>
    <s v="si"/>
    <s v="TEAL"/>
    <m/>
    <s v="PRODUCCIÓN"/>
    <m/>
    <s v="PAREDES AMESQUITA, ROGER CIRILO"/>
    <m/>
    <s v="Personal TEAL"/>
    <s v="M"/>
    <s v="1ro"/>
    <s v="OBRERO CONTRATADO"/>
    <s v="1 año"/>
    <s v="07/08/2014_x000a_14:00"/>
    <s v="Lesión Incapacitante"/>
    <s v="Lesión Incapacitante"/>
    <s v="EN CIRCUNSTANCIA QUE EL OPERARIO PAREDES RETORNABA DE LOS SERVICIOS HIGIENICOS HACIA SU PUESTO DE TRABAJO, NO SE PERCATA QUE EL PISO SE ENCONTRABA MOJADO DEBIDO A LAS LABORES DE LIMPIEZA QUE SE ESTABAN REALIZANDO AL INGRESO DE LA PLANTA, POR LO CUAL RESBALA Y CAE DE ESPALDA GOLPEANDOSE LA PARTE  POSTERIOR DE LA CABEZA Y COLUMNA DORSAL OCASIONANDOLE UNA HERIDA CONTUSA Y UN TRAUMATISMO ENCEFALO CRANEANO LEVE."/>
    <s v="CABEZA"/>
    <m/>
    <m/>
    <x v="1"/>
    <s v="Agosto "/>
    <m/>
    <n v="3"/>
    <m/>
    <n v="3"/>
    <m/>
    <m/>
    <m/>
    <x v="20"/>
    <s v="Trasladandose"/>
    <s v="Golpe"/>
    <m/>
    <m/>
    <m/>
  </r>
  <r>
    <s v="si"/>
    <s v="NUTRICION ANIMAL TRUJILLO "/>
    <m/>
    <s v="PRODUCCIÓN"/>
    <m/>
    <s v="ANGEL RODRIGUEZ"/>
    <m/>
    <s v="Personal Alicorp "/>
    <s v="M"/>
    <s v="1ro"/>
    <m/>
    <s v="4 años"/>
    <s v="10/08/2014_x000a_08:25"/>
    <s v="Lesión Incapacitante"/>
    <s v="Lesión Incapacitante"/>
    <s v="Atrición de dedo meñique mano izquierda desatorando tolva"/>
    <s v="MANO "/>
    <m/>
    <m/>
    <x v="1"/>
    <s v="Agosto "/>
    <m/>
    <n v="7"/>
    <m/>
    <n v="7"/>
    <d v="1899-12-30T08:15:00"/>
    <m/>
    <m/>
    <x v="3"/>
    <s v="Desatorando línea"/>
    <s v="Atricción"/>
    <m/>
    <m/>
    <m/>
  </r>
  <r>
    <s v="si"/>
    <s v="FIDEERIA LIMA"/>
    <m/>
    <s v="PRODUCCIÓN"/>
    <s v="PFL3850 "/>
    <s v="Kelly Vilchez"/>
    <m/>
    <s v="TERCERO"/>
    <s v="F"/>
    <s v="2do"/>
    <s v="TERCERO"/>
    <s v="2 años"/>
    <s v="14/08/2014_x000a_19:15"/>
    <s v="Lesión Incapacitante"/>
    <s v="Lesión Incapacitante"/>
    <s v="Luxacion en Tobillo pie derecho"/>
    <s v="PIE"/>
    <m/>
    <m/>
    <x v="1"/>
    <s v="Agosto "/>
    <m/>
    <n v="1"/>
    <m/>
    <n v="1"/>
    <d v="1899-12-30T17:15:00"/>
    <m/>
    <m/>
    <x v="40"/>
    <s v="Otros"/>
    <s v="Luxación "/>
    <m/>
    <m/>
    <s v="E&amp;G"/>
  </r>
  <r>
    <s v="si"/>
    <s v="TEAL"/>
    <m/>
    <s v="PRODUCCIÓN"/>
    <m/>
    <s v="CURILLA VILLAVERDE, PETER ADOLFO"/>
    <m/>
    <s v="Personal TEAL"/>
    <s v="M"/>
    <s v="1ro"/>
    <s v="OBRERO CONTRATADO"/>
    <s v="15 dias"/>
    <s v="21/08/2014_x000a_13:15"/>
    <s v="Lesión Incapacitante"/>
    <s v="Lesión Incapacitante"/>
    <s v="EN CIRCUNSTANCIAS QUE EL SEÑOR ADOLFO CURILLA VILLAVERDE PERSONAL DEL ÁREA DE LA  CÁMARA  DE FERMENTACIÓN DE GALLETA SODA, REALIZABA LA OPERACIÓN VOLCADO DE COCHE CON REMEZCLA DE MASA PARA GALLETA SODA, UNA VEZ QUE EL COCHE SE ENCUENTRA EN POSICIÓN HORIZONTAL DECIDE LIMPIAR CON UNA ESPÁTULA METÁLICA DE MANGO LARGO LAS PAREDES INTERNAS DEL COCHE DEBIDO A LA PRESENCIA DE  RESTOS DE MASA ADHERIDAS, LUEGO PROCEDE A RECOGER LOS RESTOS DE MASA CON EL RECOGEDOR DEJANDO DENTRO DEL COCHE LA ESPÁTULA EN POSICIÓN VERTICAL, EL CUAL FUE IMPACTADO EN LA BASE CON EL RECOGEDOR EN LA OPERACIÓN DE RECOJO, EL CUAL HACE PALANCA Y SE VOLTEA, IMPACTANDO EL MANGO CON EL ROSTRO DEL OPERARIO, PROVOCÁNDOLE UNA HERIDA CONTUSA ABIERTA EN LA BOCA."/>
    <s v="CABEZA"/>
    <m/>
    <m/>
    <x v="1"/>
    <s v="Agosto "/>
    <m/>
    <n v="2"/>
    <m/>
    <n v="2"/>
    <m/>
    <m/>
    <m/>
    <x v="38"/>
    <s v="Limpiando equipo"/>
    <s v="Golpe"/>
    <m/>
    <m/>
    <m/>
  </r>
  <r>
    <m/>
    <s v="MOLINO CALLAO"/>
    <m/>
    <s v="MANTENIMIENTO"/>
    <s v="MCA3798 "/>
    <s v="Manuel Veintimilla Noblecilla "/>
    <n v="24"/>
    <s v="TERCERO"/>
    <s v="M"/>
    <s v="1ro"/>
    <s v="TERCERO"/>
    <m/>
    <s v="26/08/2014_x000a_11:30"/>
    <s v="Lesión Incapacitante"/>
    <s v="Lesión Incapacitante"/>
    <s v="Realizando Mnto a los robots salta desde una cama de paletas y cae sobre un tubo perdiendo el equilibrio y cayendo sobre su brazo izquierdo."/>
    <s v="BRAZO/HOMBRO"/>
    <m/>
    <m/>
    <x v="1"/>
    <s v="Agosto "/>
    <m/>
    <n v="30"/>
    <m/>
    <n v="30"/>
    <d v="1899-12-30T11:30:00"/>
    <m/>
    <m/>
    <x v="8"/>
    <s v="Mantenimiento"/>
    <s v="Golpe"/>
    <m/>
    <m/>
    <s v="Andes Technology SAC"/>
  </r>
  <r>
    <s v="si"/>
    <s v="COPSA"/>
    <s v="Yacqueline Madueño"/>
    <s v="RELACIONES LABORALES"/>
    <s v="ADM3984"/>
    <s v="MAURICIO RAUL VIDAL "/>
    <m/>
    <s v="TERCERO"/>
    <s v="M"/>
    <s v="1ro"/>
    <s v="TERCERO"/>
    <s v="2 mese "/>
    <s v="10/09/2014_x000a_13:11"/>
    <s v="Lesión Incapacitante"/>
    <s v="Lesión Incapacitante"/>
    <s v="Presenta herida cortante de 4 cm aprox rn dedo meñique de mano derecha con abundante sangrado."/>
    <s v="MANO "/>
    <m/>
    <m/>
    <x v="1"/>
    <s v="Septiembre"/>
    <m/>
    <n v="5"/>
    <m/>
    <n v="5"/>
    <m/>
    <m/>
    <m/>
    <x v="6"/>
    <s v="Cocinando"/>
    <s v="Corte"/>
    <m/>
    <m/>
    <s v="Balvino"/>
  </r>
  <r>
    <m/>
    <s v="CDC"/>
    <s v="Rodrigo S."/>
    <s v="DISTRIBUCIÓN"/>
    <m/>
    <s v="OCAMPO AGUILAR JHONNY"/>
    <n v="18"/>
    <s v="Personal Alicorp "/>
    <s v="M"/>
    <s v="2do"/>
    <s v="CLJ"/>
    <s v="4 meses"/>
    <s v="11/09/2014_x000a_21:20"/>
    <s v="Lesión Incapacitante"/>
    <s v="Lesión Incapacitante"/>
    <s v="Atricción Pie Izquierdo entre paletas"/>
    <s v="PIE"/>
    <m/>
    <m/>
    <x v="1"/>
    <s v="Septiembre"/>
    <m/>
    <n v="3"/>
    <m/>
    <n v="3"/>
    <m/>
    <m/>
    <m/>
    <x v="27"/>
    <s v="Otros"/>
    <s v="Atricción"/>
    <m/>
    <m/>
    <m/>
  </r>
  <r>
    <s v="si"/>
    <s v="TEAL"/>
    <s v="Eduardo Isaias"/>
    <s v="PRODUCCIÓN"/>
    <m/>
    <s v="Richard Alonso Hinojosa Barbaron"/>
    <m/>
    <s v="Personal TEAL"/>
    <s v="M"/>
    <s v="1ro"/>
    <s v="OBRERO CONTRATADO"/>
    <m/>
    <s v="12/09/2014_x000a_07:50"/>
    <s v="Lesión Incapacitante"/>
    <s v="Lesión Incapacitante"/>
    <s v="Herida contusa abierta por aplastamiento del dedo con compuerta de la sig"/>
    <s v="MANO "/>
    <m/>
    <m/>
    <x v="1"/>
    <s v="Septiembre"/>
    <m/>
    <n v="15"/>
    <m/>
    <n v="15"/>
    <m/>
    <m/>
    <m/>
    <x v="3"/>
    <s v="Calibrando/Regulando"/>
    <s v="Atricción"/>
    <m/>
    <m/>
    <m/>
  </r>
  <r>
    <s v="si"/>
    <s v="SIDSUR"/>
    <s v="Edgar Manzano"/>
    <s v="PRODUCCIÓN"/>
    <s v="SID 3996"/>
    <s v="Carlos Manuel Gaona Torres"/>
    <n v="41"/>
    <s v="Personal Alicorp "/>
    <s v="M"/>
    <s v="1ro"/>
    <s v="OBRERO ESTABLE"/>
    <s v="18 años "/>
    <s v="17/09/2014_x000a_09:00"/>
    <s v="Lesión Incapacitante"/>
    <s v="Lesión Incapacitante"/>
    <s v="Realizando la limpieza del área de paletizado con el sistema mecanizado (Brazo robot), el colaborador Carlos Manuel Gaona Torres se sube sobre los polines de  desplazamiento, instante en que se resbala y se golpea la pierna derecha sufriendo una herida contuso cortante. Se solicita la presencia de la ambulancia Rescate 11-11, quienes  le dan las primeras atenciones . "/>
    <s v="PIERNA"/>
    <m/>
    <m/>
    <x v="1"/>
    <s v="Septiembre"/>
    <m/>
    <n v="4"/>
    <m/>
    <n v="4"/>
    <m/>
    <m/>
    <m/>
    <x v="3"/>
    <s v="Limpiando equipo"/>
    <s v="Golpe"/>
    <s v="Caida"/>
    <m/>
    <m/>
  </r>
  <r>
    <m/>
    <s v="TEAL"/>
    <s v="Eduardo Isaias"/>
    <s v="PRODUCCIÓN"/>
    <m/>
    <s v="BUSTAMANTE RIVERA HENRRY"/>
    <m/>
    <s v="TERCERO"/>
    <s v="M"/>
    <s v="1ro"/>
    <s v="TERCERO"/>
    <m/>
    <s v="23/09/2014_x000a_12:30"/>
    <s v="Lesión Incapacitante"/>
    <s v="Lesión Incapacitante"/>
    <s v="FRACTURA DE DEDO durante calibración del detector de metales"/>
    <s v="MANO "/>
    <m/>
    <m/>
    <x v="1"/>
    <s v="Septiembre"/>
    <m/>
    <n v="9"/>
    <m/>
    <n v="9"/>
    <m/>
    <m/>
    <m/>
    <x v="3"/>
    <s v="Calibrando/Regulando"/>
    <s v="Fractura"/>
    <m/>
    <m/>
    <m/>
  </r>
  <r>
    <s v="si"/>
    <s v="NUTRICION ANIMAL TRUJILLO "/>
    <m/>
    <s v="ALMACEN DE INSUMOS "/>
    <m/>
    <s v="MARCO MENDOZA CORREA"/>
    <m/>
    <s v="TERCERO"/>
    <s v="M"/>
    <s v="1ro"/>
    <s v="TERCERO"/>
    <s v="4 meses"/>
    <s v="23/09/2014_x000a_08:00"/>
    <s v="Lesión Incapacitante"/>
    <s v="Lesión Incapacitante"/>
    <s v="golpe en el hombro con bobina plastica"/>
    <s v="BRAZO/HOMBRO"/>
    <m/>
    <m/>
    <x v="1"/>
    <s v="Septiembre"/>
    <m/>
    <n v="3"/>
    <m/>
    <n v="3"/>
    <m/>
    <m/>
    <m/>
    <x v="41"/>
    <s v="Manipulación Materiales/Herramientas"/>
    <s v="Golpe"/>
    <m/>
    <m/>
    <m/>
  </r>
  <r>
    <m/>
    <s v="PROYECTOS"/>
    <s v="Yury"/>
    <s v="PROYECTOS"/>
    <m/>
    <s v="ESPINO REYES ALEXIS "/>
    <n v="22"/>
    <s v="TERCERO"/>
    <s v="M"/>
    <s v="2do"/>
    <s v="TERCERO"/>
    <m/>
    <s v="24/09/2014_x000a_15:20"/>
    <s v="Lesión Incapacitante"/>
    <s v="Lesión Incapacitante"/>
    <s v="Dx traumatismo y aplastamiento de rodilla izq al bajar maquina de soldar por las escaleras"/>
    <s v="PIERNA"/>
    <m/>
    <m/>
    <x v="1"/>
    <s v="Septiembre"/>
    <m/>
    <n v="26"/>
    <m/>
    <n v="26"/>
    <m/>
    <m/>
    <m/>
    <x v="42"/>
    <s v="Maniobras de equipos"/>
    <s v="Golpe"/>
    <m/>
    <m/>
    <m/>
  </r>
  <r>
    <m/>
    <s v="TEAL"/>
    <m/>
    <s v="PRODUCCIÓN"/>
    <m/>
    <s v="ELIAS RAMIREZ TORRES"/>
    <m/>
    <s v="Personal TEAL"/>
    <s v="M"/>
    <s v="1ro"/>
    <s v="OBRERO CONTRATADO"/>
    <m/>
    <s v="02/10/2014_x000a_12:00"/>
    <s v="Lesión Incapacitante"/>
    <s v="Lesión Incapacitante"/>
    <s v="Quemadura puntual de Segundo Grado por salpicadura de silicona (panetones)"/>
    <s v="CABEZA"/>
    <m/>
    <m/>
    <x v="1"/>
    <s v="Octubre"/>
    <m/>
    <n v="5"/>
    <m/>
    <n v="5"/>
    <m/>
    <m/>
    <m/>
    <x v="43"/>
    <s v="Durante operación productiva"/>
    <s v="Quemadura"/>
    <m/>
    <m/>
    <m/>
  </r>
  <r>
    <m/>
    <s v="TEAL"/>
    <m/>
    <s v="PRODUCCIÓN"/>
    <m/>
    <s v="DAVID JUSTAMANTE LUNA"/>
    <m/>
    <s v="Personal TEAL"/>
    <s v="M"/>
    <s v="1ro"/>
    <s v="OBRERO CONTRATADO"/>
    <m/>
    <s v="06/10/2014_x000a_7:50"/>
    <s v="Lesión Incapacitante"/>
    <s v="Lesión Incapacitante"/>
    <s v="realizaba la operación de  limpieza y desinfección de la superficie externa de la banda sanitaria  del transportador de apilado inclinado-Enfriado Línea-3, se percata de que uno de los polines internos presentaba restos de polvillo de galletas y decide limpiarlo cuando esta se encontraba en movimiento, inclinándose para introducir su mano Izquierda utilizando un trapo industrial, en ese momento el trapo es jalado y atrapado entre el polín y la banda que giraba en sentido  horario; en ese instante el operario por tratar de retirar el trapo sus dedos índice y medio de su mano izquierda es  aprisionado,  ocasionándole una atricción severa (desgarramiento de piel) en dichos dedos."/>
    <s v="MANO "/>
    <m/>
    <m/>
    <x v="1"/>
    <s v="Octubre"/>
    <m/>
    <n v="13"/>
    <m/>
    <n v="13"/>
    <m/>
    <m/>
    <m/>
    <x v="22"/>
    <s v="Limpiando equipo"/>
    <s v="Atricción"/>
    <m/>
    <m/>
    <m/>
  </r>
  <r>
    <m/>
    <s v="SIDSUR"/>
    <m/>
    <s v="PRODUCCIÓN"/>
    <m/>
    <s v="JAVIER PAREDES BECERRA"/>
    <n v="36"/>
    <s v="Personal Alicorp "/>
    <s v="M"/>
    <s v="1ro"/>
    <s v="OBRERO ESTABLE"/>
    <m/>
    <s v="12/10/2014_x000a_9:20"/>
    <s v="Lesión Incapacitante"/>
    <s v="Lesión Incapacitante"/>
    <s v="Pérdida de pieza dentaria cortes internos y externos labio inferior"/>
    <s v="CABEZA"/>
    <m/>
    <m/>
    <x v="1"/>
    <s v="Octubre"/>
    <m/>
    <n v="7"/>
    <m/>
    <n v="7"/>
    <m/>
    <m/>
    <m/>
    <x v="20"/>
    <s v="Trasladandose"/>
    <s v="Golpe"/>
    <s v="Caida"/>
    <m/>
    <m/>
  </r>
  <r>
    <m/>
    <s v="BALANCEADOS LIMA "/>
    <s v="Sofi"/>
    <s v="ALMACEN DE INSUMOS "/>
    <m/>
    <s v="AGURTO CORONADO JEXI"/>
    <m/>
    <s v="TERCERO"/>
    <s v="M"/>
    <s v="2do"/>
    <s v="TERCERO"/>
    <m/>
    <s v="14/10/2014_x000a_15:01"/>
    <s v="Lesión Incapacitante"/>
    <s v="Lesión Incapacitante"/>
    <s v="Policontuso Contusión en rodilla d/c fractura descargando sacos de camión"/>
    <s v="PIERNA"/>
    <m/>
    <m/>
    <x v="1"/>
    <s v="Octubre"/>
    <m/>
    <n v="38"/>
    <m/>
    <n v="38"/>
    <m/>
    <m/>
    <m/>
    <x v="11"/>
    <s v="carga/descarga de camión"/>
    <s v="Golpe"/>
    <s v="Caida"/>
    <m/>
    <m/>
  </r>
  <r>
    <m/>
    <s v="CDI"/>
    <s v="Melina"/>
    <s v="CDI"/>
    <m/>
    <s v="ANDREA BALLARDO CUZCANO"/>
    <n v="29"/>
    <s v="Personal Alicorp "/>
    <s v="M"/>
    <s v="1ro"/>
    <s v="OBRERO CONTRATADO"/>
    <m/>
    <s v="15/10/2014_x000a_10:00"/>
    <s v="Lesión Incapacitante"/>
    <s v="Lesión Incapacitante"/>
    <s v="Quemadura de II grado en manos"/>
    <s v="MANO "/>
    <m/>
    <m/>
    <x v="1"/>
    <s v="Octubre"/>
    <m/>
    <n v="10"/>
    <m/>
    <n v="10"/>
    <m/>
    <m/>
    <m/>
    <x v="44"/>
    <s v="Cocinando"/>
    <s v="Quemadura"/>
    <m/>
    <m/>
    <m/>
  </r>
  <r>
    <m/>
    <s v="MOLINO SANTA ROSA "/>
    <s v="Melina"/>
    <s v="PRODUCCIÓN"/>
    <m/>
    <s v="EUSEBIO CHAPOÑAN SAN"/>
    <n v="44"/>
    <s v="Personal Alicorp "/>
    <s v="M"/>
    <s v="1ro"/>
    <s v="OBRERO ESTABLE"/>
    <m/>
    <s v="30/10/2014_x000a_12:30"/>
    <s v="Lesión Incapacitante"/>
    <s v="Lesión Incapacitante"/>
    <s v="contusion parte baja de la espalda al resbalar"/>
    <s v="CUERPO"/>
    <m/>
    <m/>
    <x v="1"/>
    <s v="Octubre"/>
    <m/>
    <n v="5"/>
    <m/>
    <n v="5"/>
    <m/>
    <m/>
    <m/>
    <x v="20"/>
    <s v="Trasladandose"/>
    <s v="Golpe"/>
    <s v="Caida"/>
    <m/>
    <m/>
  </r>
  <r>
    <m/>
    <s v="TEAL"/>
    <m/>
    <s v="PRODUCCIÓN"/>
    <s v="NO TIENE ROM"/>
    <s v="ANGEL JESUS PRIETO LAZO "/>
    <m/>
    <s v="Personal TEAL"/>
    <s v="M"/>
    <s v="1ro"/>
    <m/>
    <m/>
    <s v="03/11/2014_x000a_11:35"/>
    <s v="Lesión Incapacitante"/>
    <s v="Lesión Incapacitante"/>
    <s v="En circunstancias que el Operario de Producción Sr. Ángel Prieto Lazo realizaba el traslado del coche de masa de soda para ubicarlo en la parte posterior de la cámara de fermentación, por la estrechez del espacio la rueda del coche choca con la barra de protección de impacto de la pared lateral izquierdo de la cámara, haciendo que esta rebote, venciendo la fuerza del operario y choque con otro coche aledaño, aprisionándole su dedo índice de la mano derecha,  provocándole una herida contusa abierta en dicha parte de la mano."/>
    <s v="MANO "/>
    <m/>
    <m/>
    <x v="1"/>
    <s v="Noviembre"/>
    <m/>
    <n v="13"/>
    <m/>
    <n v="13"/>
    <m/>
    <m/>
    <m/>
    <x v="45"/>
    <s v="Durante operación productiva"/>
    <s v="Golpe"/>
    <m/>
    <m/>
    <m/>
  </r>
  <r>
    <s v="si"/>
    <s v="MOLINO SANTA ROSA "/>
    <m/>
    <s v="PRODUCCIÓN"/>
    <s v="MSR4346"/>
    <s v="JIMMY RAMOS LARROCHE"/>
    <n v="34"/>
    <s v="Personal Alicorp "/>
    <s v="M"/>
    <s v="1ro"/>
    <s v="OBRERO ESTABLE"/>
    <s v="12 años"/>
    <s v="07/11/2014_x000a_11:15"/>
    <s v="Lesión Incapacitante"/>
    <s v="Lesión Incapacitante"/>
    <s v="Siendo las 11:15am, el señor Jimmy Ramos procede a hacer la limpieza respectiva del área con aire comprimido luego de la recepción de 2900Tn de trigo. El Sr Ramos, al pasar encima de una plataforma hecha con barras de acero, como se muestra en la figura 1, dos de estas barras se desprenden de uno de los puntos de soldadura, doblándose, momento en el cual el Sr Ramos pisa en falso, aguantando su peso en la pierda izquierda. El Sr Ramos sufre de lumbalgia, por lo que este movimiento afectó mas esta condición. El Sr Ramos se comunico con mi persona y se procedió al retiro del colaborador de la zona. Se llamo a Alerta medica, se activo la Brigada de Emergencia y se traslado al Sr Ramos a la Clínica San Gabriel, donde le diagnosticaron Estiramiento de la Zona Lumbar, dándole 3 días de Descanso Médico._x000a_Se procedió con la investigación respectiva del accidente"/>
    <s v="CUERPO"/>
    <m/>
    <m/>
    <x v="1"/>
    <s v="Noviembre"/>
    <m/>
    <n v="10"/>
    <m/>
    <n v="10"/>
    <m/>
    <m/>
    <m/>
    <x v="17"/>
    <s v="Trasladandose"/>
    <s v="Luxación "/>
    <m/>
    <m/>
    <m/>
  </r>
  <r>
    <m/>
    <s v="MOLINCA"/>
    <m/>
    <s v="PRODUCCIÓN"/>
    <s v="NO TIENE ROM"/>
    <s v="LUIS GONZALES ASMAD"/>
    <m/>
    <s v="Personal Alicorp "/>
    <s v="M"/>
    <s v="2do"/>
    <m/>
    <s v="16 años 2 meses"/>
    <s v="11/11/2014_x000a_15:30"/>
    <s v="Lesión Incapacitante"/>
    <s v="Lesión Incapacitante"/>
    <s v="Quemadura por salpicadura de aceite caliente del dispositivo de lubricación de un banco cilindros "/>
    <s v="MANO "/>
    <m/>
    <m/>
    <x v="1"/>
    <s v="Noviembre"/>
    <m/>
    <n v="30"/>
    <m/>
    <n v="30"/>
    <m/>
    <m/>
    <m/>
    <x v="46"/>
    <s v="Durante operación productiva"/>
    <s v="Quemadura"/>
    <m/>
    <m/>
    <m/>
  </r>
  <r>
    <m/>
    <s v="MOLINO SANTA ROSA "/>
    <m/>
    <s v="PRODUCCIÓN"/>
    <s v="NO TIENE ROM"/>
    <s v="RAUL MONTALVO GUZMAN "/>
    <n v="43"/>
    <s v="Personal Alicorp "/>
    <s v="M"/>
    <s v="1ro"/>
    <s v="OBRERO ESTABLE"/>
    <s v="15 años"/>
    <s v="11/11/2014_x000a_14:15"/>
    <s v="Lesión Incapacitante"/>
    <s v="Lesión Incapacitante"/>
    <s v="El señor Montalvo se encontraba haciendo la regulación del alimentador del banco T1-2, luego de la regulación el señor se dirigió hacia el banco T1-1 realizando el mismo proceso. Esta tarea se hace levantando la tapa del equipo y enganchándola en uno de los costados, al momento del retorno hacia el banco T1-2  la tapa del equipo cae en forma vertical golpeando al señor Montalvo, a través de las botas de seguridad en el empeine del pie derecho. _x000a_"/>
    <s v="PIE"/>
    <m/>
    <m/>
    <x v="1"/>
    <s v="Noviembre"/>
    <m/>
    <n v="2"/>
    <m/>
    <n v="2"/>
    <m/>
    <m/>
    <m/>
    <x v="3"/>
    <s v="Durante operación productiva"/>
    <s v="Golpe"/>
    <m/>
    <m/>
    <m/>
  </r>
  <r>
    <m/>
    <s v="MOLINCA"/>
    <m/>
    <s v="PRODUCCIÓN"/>
    <s v="NO TIENE ROM"/>
    <s v="VIGO MOYA CESAR"/>
    <m/>
    <s v="Personal Alicorp "/>
    <s v="M"/>
    <s v="1ro"/>
    <m/>
    <s v="15 años 7 meses"/>
    <s v="11/11/2014_x000a_11:30"/>
    <s v="Lesión Incapacitante"/>
    <s v="Lesión Incapacitante"/>
    <s v="Caída al mismo nivel por tropezar con pallets de plástico"/>
    <s v="MANO "/>
    <m/>
    <m/>
    <x v="1"/>
    <s v="Noviembre"/>
    <m/>
    <n v="60"/>
    <m/>
    <n v="60"/>
    <m/>
    <m/>
    <m/>
    <x v="27"/>
    <s v="Trasladandose"/>
    <s v="Golpe"/>
    <s v="Caida"/>
    <m/>
    <m/>
  </r>
  <r>
    <m/>
    <s v="TEAL"/>
    <m/>
    <s v="PRODUCCIÓN"/>
    <s v="NO TIENE ROM"/>
    <s v=" ANTHONY PURISACA RISCO "/>
    <m/>
    <s v="Personal TEAL"/>
    <s v="M"/>
    <s v="1ro"/>
    <m/>
    <m/>
    <s v="11/11/2014_x000a_10:20"/>
    <s v="Lesión Incapacitante"/>
    <s v="Lesión Incapacitante"/>
    <s v="En circunstancias que el Operario de Producción Sr. Anthony Purisaca  se disponía abrir las cajas de manteca, haciendo uso de un cuchillo  procedió  a cortar la cinta de embalaje de las aletas de la caja en sentido contrario de abajo hacia arriba y con  la posición inversa  del  filo del  cuchillo, ante la rapidez y descuido del  operario  el  cuchillo  hace contacto con el dedo pulgar de la mano derecha provocándole una herida cortante en dicho dedo de la mano.                    "/>
    <s v="MANO "/>
    <m/>
    <m/>
    <x v="1"/>
    <s v="Noviembre"/>
    <m/>
    <n v="3"/>
    <m/>
    <n v="3"/>
    <m/>
    <m/>
    <m/>
    <x v="6"/>
    <s v="Durante operación productiva"/>
    <s v="Corte"/>
    <m/>
    <m/>
    <m/>
  </r>
  <r>
    <s v="si"/>
    <s v="SIDSUR"/>
    <m/>
    <s v="PRODUCCIÓN"/>
    <s v="SID4459"/>
    <s v="CARLOS FERNANDO VILCA BARRIGA "/>
    <n v="49"/>
    <s v="Personal Alicorp "/>
    <s v="M"/>
    <s v="2do"/>
    <s v="OBRERO ESTABLE"/>
    <s v="13 años"/>
    <s v="18/11/2014_x000a_16:45"/>
    <s v="Lesión Incapacitante"/>
    <s v="Lesión Incapacitante"/>
    <s v="En el molino Victoria, a las 16:45 horas del 18 de Noviembre del 2014, el Sr. Carlos Fernando Vilca Barriga, Ayudante de Molino, luego de salirse la faja que acciona la rosca transportadora de trigo lavado y con el sector de Limpia de Trigo parado, se dispuso a colocar la mencionada faja utilizando una escalera tipo tijera. Cuando estuvo realizando esta tarea se le cierra la escalera, lo que origina que  pierda el equilibrio y caiga al piso. Se solicita la presencia de la ambulancia 11-11 quienes le dan la primera atención. _x000a_Se procede a llevar al Sr. Carlos Vilca Barriga a la Clínica San Juan de Dios, donde el médico le diagnostica contusión en la zona izquierda del tórax y la canilla izquierda, otorgándole inicialmente 6 días de descanso médico, luego le amplían el descanso por 6 días mas. Se le toma Rayos X para descartar alguna fractura o fisura."/>
    <s v="PIERNA"/>
    <m/>
    <m/>
    <x v="1"/>
    <s v="Noviembre"/>
    <m/>
    <n v="12"/>
    <m/>
    <n v="12"/>
    <m/>
    <m/>
    <m/>
    <x v="30"/>
    <s v="Durante operación productiva"/>
    <s v="Golpe"/>
    <s v="Caida"/>
    <m/>
    <m/>
  </r>
  <r>
    <m/>
    <s v="CDC"/>
    <m/>
    <s v="DISTRIBUCIÓN"/>
    <s v="DIS4540"/>
    <s v="MATIAS ALVA SOTO"/>
    <n v="54"/>
    <s v="TERCERO"/>
    <s v="M"/>
    <s v="2do"/>
    <s v="TERCERO"/>
    <s v="30 años "/>
    <s v="26/11/2014_x000a_19:14"/>
    <s v="Lesión Incapacitante"/>
    <s v="Lesión Incapacitante"/>
    <s v="El Trabajador se encontraba en el muelle 29 del CDC estibando la unidad de transportes Asturias (Placa FGN918). Ya para culminar la carga (90% avance), el trabajador levantó manualmente la rampa de acero para trasladarla hacia la parte central de la puerta del furgón. _x000a_En ese momento, el trabajador en mención no se percató que su compañero se encontraba retrocediendo (dentro de la unidad); éste último pisó la rampa, lo que originó que ésta cayera sobre la mano izquierda del Sr. Alva Soto."/>
    <s v="MANO "/>
    <m/>
    <m/>
    <x v="1"/>
    <s v="Noviembre"/>
    <m/>
    <n v="25"/>
    <m/>
    <n v="25"/>
    <m/>
    <m/>
    <m/>
    <x v="47"/>
    <s v="carga/descarga de camión"/>
    <s v="Corte"/>
    <m/>
    <m/>
    <s v="IOLSA"/>
  </r>
  <r>
    <m/>
    <s v="PROYECTOS"/>
    <m/>
    <s v="PROYECTOS"/>
    <s v="TEC4747"/>
    <s v="GIANNONI GRADOS RAMIREZ"/>
    <n v="28"/>
    <s v="TERCERO"/>
    <s v="M"/>
    <s v="1ro"/>
    <s v="TERCERO"/>
    <s v="4 años y 3 meses"/>
    <s v="19/12/2014_x000a_08:50 "/>
    <s v="Lesión Incapacitante"/>
    <s v="Lesión Incapacitante"/>
    <s v="El día 19/12/2014 a las 08:50 am el trabajador Grados Ramirez se dirige al almacén para retirar tuberías de 1” (peso aproximado de 15 kg); mientras estaba esperando decidió apoyar para retirar él mismo la tubería. Sin embargo al momento de retirar la 3era tubería de 1” de inox retrocede  y pisa una de las tuberías apiladas en el piso, resbalándose y  asentando la pisada en el tobillo derecho._x000a__x000a_"/>
    <s v="PIE"/>
    <m/>
    <m/>
    <x v="1"/>
    <s v="Diciembre"/>
    <m/>
    <n v="10"/>
    <m/>
    <n v="10"/>
    <m/>
    <m/>
    <m/>
    <x v="48"/>
    <s v="Trasladandose"/>
    <s v="Luxación"/>
    <m/>
    <m/>
    <s v="ALTA"/>
  </r>
  <r>
    <m/>
    <s v="TEAL"/>
    <m/>
    <s v="PRODUCCIÓN"/>
    <m/>
    <s v="Jorge Oswaldo "/>
    <m/>
    <s v="Personal TEAL"/>
    <m/>
    <m/>
    <m/>
    <m/>
    <d v="2014-03-10T00:00:00"/>
    <s v="Lesión Incapacitante"/>
    <s v="Lesión Incapacitante"/>
    <s v="herida abierta en el dedo medio de la mano izquierda (Molino-Bco Cilindros)"/>
    <s v="MANO "/>
    <m/>
    <m/>
    <x v="1"/>
    <s v="Marzo"/>
    <m/>
    <n v="84"/>
    <m/>
    <n v="84"/>
    <m/>
    <m/>
    <m/>
    <x v="3"/>
    <s v="Desatorando línea"/>
    <s v="Atricción"/>
    <m/>
    <m/>
    <m/>
  </r>
  <r>
    <m/>
    <s v="SIDSUR"/>
    <m/>
    <s v="DISTRIBUCIÓN"/>
    <s v="SID2972"/>
    <s v="FERNANDO ATALAYA GOYCOCHEA"/>
    <n v="23"/>
    <s v="Personal Alicorp "/>
    <s v="M"/>
    <s v="2do"/>
    <s v="OBRERO CONTRATADO"/>
    <s v="0 Años"/>
    <d v="2014-03-19T20:00:00"/>
    <s v="Lesión Incapacitante"/>
    <s v="Lesión Incapacitante"/>
    <s v="El día 19 de Marzo del 2014, al promediar las 20:00 hrs. el colaborador Fernando Atalaya Goicochea estaba trasladando pallets desde el canal 03 hacia el muelle de carga por la puerta 03, utilizando un transportador eléctrico ERE120. _x000a__x000a_Cuando quedaban tres pallets para terminar la labor, Fernando extrae un pallet de aceite con el ERE 120, momento en el que escuchó una consulta que le realizaban a otro compañero; él quiso avisar de lo que sabía y realizar la operación de retroceso  al mismo tiempo, momento en el que no se percata del elevador Crown 004 que estaba estacionado en el canal siguiente, el cual no tenía operaciones. Esto ocasiona el impacto entre la parte posterior del ERE 120 y el Crown 004. _x000a_"/>
    <s v="PIE"/>
    <m/>
    <m/>
    <x v="1"/>
    <s v="Marzo"/>
    <m/>
    <n v="7"/>
    <m/>
    <n v="7"/>
    <d v="1899-12-30T20:00:00"/>
    <n v="22709"/>
    <m/>
    <x v="12"/>
    <s v="Manejando traspaleta/Montacarga"/>
    <s v="Golpe"/>
    <m/>
    <m/>
    <m/>
  </r>
  <r>
    <m/>
    <s v="DETERGENTES"/>
    <m/>
    <s v="MANTENIMIENTO"/>
    <s v="DET2973"/>
    <s v="RAMIREZ ARONES JULIO CESAR"/>
    <n v="32"/>
    <s v="Personal Alicorp "/>
    <s v="M"/>
    <s v="3ro"/>
    <s v="OBRERO ESTABLE"/>
    <s v="5 años 8 meses"/>
    <s v="23/03/2014_x000a_01:15 "/>
    <s v="Lesión Incapacitante"/>
    <s v="Lesión Incapacitante"/>
    <s v="El monitor de planta Walter Huamaní le indica al instrumentista Julio Ramirez que presentaba problemas en la dosificación de carbonato de sodio._x000a_Julio Ramirez identifica el problema en el guardamotor 62CL4. _x000a_Acción 1- Se coloca el Guardamotor de reemplazo al lado del instalado, reduciendo el espacio._x000a_Acción 2- Se traslada los cables de un equipo a otro mientras estos se encuentran energizados_x000a_Acción 3 : Ocurrencia de corto circuito entre dos fases"/>
    <s v="CABEZA"/>
    <m/>
    <m/>
    <x v="1"/>
    <s v="Marzo"/>
    <m/>
    <n v="16"/>
    <m/>
    <n v="16"/>
    <d v="1899-12-30T01:15:00"/>
    <n v="16284"/>
    <m/>
    <x v="49"/>
    <s v="Mantenimiento"/>
    <s v="Quemadura"/>
    <m/>
    <m/>
    <m/>
  </r>
  <r>
    <m/>
    <s v="DETERGENTES"/>
    <m/>
    <s v="PRODUCCIÓN"/>
    <s v="DET2894"/>
    <s v="SOLANO YNUMA HENRY"/>
    <n v="29"/>
    <s v="Personal Alicorp "/>
    <s v="M"/>
    <s v="1ro"/>
    <s v="OBRERO ESTABLE"/>
    <s v="3 dias "/>
    <s v="28/03/2014_x000a_13:30 "/>
    <s v="Lesión Incapacitante"/>
    <s v="Lesión Incapacitante"/>
    <s v="El Colaborador Henry Solano se encontraba rompiendo bolsas con detergente para recuperación, al abrir una de estas el detergente sale hacia arriba y una pequeña cantidad de polvo cae en el ojo del trabajador; este se lava la cara y el ojo con agua pero la molestia persiste; se le lleva al topico donde se le deriva a la clinica"/>
    <s v="OJO"/>
    <m/>
    <m/>
    <x v="1"/>
    <s v="Marzo"/>
    <m/>
    <n v="1"/>
    <m/>
    <n v="1"/>
    <d v="1899-12-30T13:30:00"/>
    <n v="23549"/>
    <m/>
    <x v="33"/>
    <s v="Recuperación producto terminado"/>
    <s v="Producto al ojo"/>
    <m/>
    <m/>
    <m/>
  </r>
  <r>
    <m/>
    <s v="DETERGENTES"/>
    <m/>
    <s v="MANTENIMIENTO"/>
    <s v="DET3061"/>
    <s v="ADRIANO BAZAN JOSE LUIS"/>
    <n v="27"/>
    <s v="Personal Alicorp "/>
    <s v="M"/>
    <s v="2do"/>
    <s v="OBRERO CONTRATADO"/>
    <s v="1 año"/>
    <s v="14/04/2014_x000a_16:25 "/>
    <s v="Lesión Incapacitante"/>
    <s v="Lesión Incapacitante"/>
    <s v="El Técnico Jose Luis Adriano Bazán se encontraba inspeccionando las líneas de envasado y se percata que la faja de alimentación de granel desde la tolva hacia la maquina se encontraba desalineada, por lo cual decide templar la faja regulando su rodillo tensor._x000a_La faja de alimentación gira y se detiene automáticamente alimentando producto a la maquina envasadora, en el momento de la intervención la faja se encontraba energizada._x000a_El técnico observa que el rodillo estaba sucio, por lo que decide primero retirar la suciedad del rodillo con su llave mixta -  para realizar la limpieza no bloqueo eléctricamente la faja transportadora._x000a_En el segundo golpe de limpieza del rodillo, arranca nuevamente la faja y atrapa la llave mixta, la cual era sostenida por el técnico._x000a_El técnico tenia el dedo anular izquierdo en la corona de la llave, por lo que el atrapamiento del dedo se da entre la llave y el rodillo que son de metal, generando el corte del dedo._x000a_El técnico logra desenergizar la maquina y avisa al personal de producción de su accidente para ser evacuado al tópico._x000a_"/>
    <s v="MANO "/>
    <m/>
    <m/>
    <x v="1"/>
    <s v="Abril"/>
    <m/>
    <n v="78"/>
    <m/>
    <n v="78"/>
    <d v="1899-12-30T16:25:00"/>
    <n v="21746"/>
    <m/>
    <x v="3"/>
    <s v="Calibrando/Regulando"/>
    <s v="Fractura"/>
    <m/>
    <m/>
    <m/>
  </r>
  <r>
    <m/>
    <s v="NUTRICION ANIMAL TRUJILLO "/>
    <m/>
    <s v="ALMACEN DE INSUMOS "/>
    <s v="NAT0028 "/>
    <s v="LOZADA AYALA JUAN JOSE"/>
    <s v="33"/>
    <s v="Personal Alicorp "/>
    <s v="M"/>
    <s v="3ro"/>
    <s v="OBRERO ESTABLE "/>
    <s v="8 años"/>
    <d v="2013-01-03T00:00:00"/>
    <s v="Lesión incapacitante "/>
    <s v="Lesión incapacitante "/>
    <s v="corta sacos utilizando como herramienta manual una cuchilla en su mano derecha , luego al jalar  el saco para abastecerlo  el mismo peso del saco con la cuchilla abierta  le hace un corte en el brazo izquierdo "/>
    <s v="BRAZO/HOMBRO"/>
    <m/>
    <m/>
    <x v="2"/>
    <s v="Enero"/>
    <n v="3"/>
    <n v="2"/>
    <m/>
    <n v="2"/>
    <d v="1899-12-30T02:05:00"/>
    <s v="12037"/>
    <m/>
    <x v="23"/>
    <s v="Abastecimiento MP"/>
    <s v="Corte"/>
    <m/>
    <s v="No seguir procedimiento"/>
    <m/>
  </r>
  <r>
    <m/>
    <s v="OFICINAS ADMINISTRATIVAS"/>
    <m/>
    <s v="ADMINISTRACIÓN"/>
    <s v="ADM0095 "/>
    <s v="-"/>
    <s v="-"/>
    <s v="Personal no Alicorp "/>
    <m/>
    <s v="-"/>
    <s v="TERCERO"/>
    <s v="-"/>
    <d v="2013-01-05T00:00:00"/>
    <s v="Lesión Incapacitante"/>
    <s v="Lesión Incapacitante"/>
    <s v="realizaba el cableado usando una wincha metálica, la cual al momento de ser manipulada hace contacto con la barra de distribución del tablero energizado, lo que ocasiona un fogonazo que va directo al rostro del trabajador."/>
    <s v="CABEZA"/>
    <m/>
    <m/>
    <x v="2"/>
    <s v="Enero"/>
    <n v="6"/>
    <n v="25"/>
    <m/>
    <n v="25"/>
    <s v="-"/>
    <m/>
    <m/>
    <x v="49"/>
    <s v="Mantenimiento"/>
    <s v="Quemadura"/>
    <m/>
    <s v="Mantenimiento inadecuado"/>
    <s v="REWELS"/>
  </r>
  <r>
    <m/>
    <s v="COPSA"/>
    <m/>
    <s v="PRODUCCIÓN"/>
    <s v="PCO0127"/>
    <s v="MIRANDA GUTIERREZ VICTOR"/>
    <s v="59"/>
    <s v="Personal Alicorp "/>
    <s v="M"/>
    <s v="2do"/>
    <s v="OBRERO ESTABLE "/>
    <s v="15 años"/>
    <d v="2013-01-10T00:00:00"/>
    <s v="Lesión incapacitante "/>
    <s v="Lesión incapacitante "/>
    <s v="Mantenimiento de equipo la manguera se suelta, salpicándole el ácido en el rostro. "/>
    <s v="OJO"/>
    <m/>
    <m/>
    <x v="2"/>
    <s v="Enero"/>
    <n v="4"/>
    <n v="2"/>
    <m/>
    <n v="2"/>
    <d v="1899-12-30T05:00:00"/>
    <s v="563"/>
    <m/>
    <x v="19"/>
    <s v="Mantenimiento"/>
    <s v="Contacto sustancia Quimica"/>
    <m/>
    <s v="Mantenimiento inadecuado"/>
    <m/>
  </r>
  <r>
    <m/>
    <s v="FIDEERIA LIMA"/>
    <m/>
    <s v="RELACIONES LABORALES"/>
    <s v="PFL0052 "/>
    <s v="-"/>
    <s v="-"/>
    <s v="Personal no Alicorp "/>
    <m/>
    <s v="-"/>
    <s v="TERCERO"/>
    <s v="-"/>
    <d v="2013-01-16T00:00:00"/>
    <s v="Lesión incapacitante "/>
    <s v="Lesión incapacitante "/>
    <s v="resbalar en piso de comedor que estaba mojado, sufriendo traumatismo en brazo izquierdo."/>
    <s v="BRAZO/HOMBRO"/>
    <m/>
    <m/>
    <x v="2"/>
    <s v="Enero"/>
    <n v="3"/>
    <n v="2"/>
    <m/>
    <n v="2"/>
    <s v="-"/>
    <m/>
    <m/>
    <x v="20"/>
    <s v="Trasladandose"/>
    <s v="Golpe"/>
    <s v="Caida"/>
    <s v="Falta de cuidado"/>
    <s v="CONCESIONARIO JG SERVICE"/>
  </r>
  <r>
    <m/>
    <s v="COPSA"/>
    <m/>
    <s v="PRODUCCIÓN"/>
    <s v="PCO0051 "/>
    <s v="TAMAYO ARANDA SANDRO DAVID"/>
    <s v="40"/>
    <s v="Personal Alicorp "/>
    <s v="M"/>
    <s v="2do"/>
    <s v="OBRERO ESTABLE "/>
    <s v="15 años"/>
    <d v="2013-01-17T00:00:00"/>
    <s v="Lesión Incapacitante"/>
    <s v="Lesión Incapacitante"/>
    <s v="queda atrapado uno de sus dedos entre la polea y la faja de la máquina descascaradora."/>
    <s v="MANO "/>
    <m/>
    <m/>
    <x v="2"/>
    <s v="Enero"/>
    <n v="4"/>
    <n v="60"/>
    <m/>
    <n v="60"/>
    <d v="1899-12-30T21:20:00"/>
    <s v="10133"/>
    <m/>
    <x v="3"/>
    <s v="Calibrando/Regulando"/>
    <s v="Atricción"/>
    <m/>
    <s v="Falta de cuidado"/>
    <m/>
  </r>
  <r>
    <m/>
    <s v="CDC"/>
    <m/>
    <s v="DISTRIBUCIÓN"/>
    <s v="DIS0076"/>
    <s v="-"/>
    <s v="-"/>
    <s v="Personal no Alicorp"/>
    <m/>
    <s v="-"/>
    <s v="TERCERO"/>
    <s v="-"/>
    <d v="2013-01-24T00:00:00"/>
    <s v="Lesión incapacitante "/>
    <s v="Lesión incapacitante "/>
    <s v="bajarla de la ruma, al momento de realizar esta actividad es que la paleta se le resbala, golpeándole ambas rodillas"/>
    <s v="PIERNA"/>
    <m/>
    <m/>
    <x v="2"/>
    <s v="Enero"/>
    <n v="4"/>
    <n v="23"/>
    <m/>
    <n v="23"/>
    <s v="-"/>
    <m/>
    <m/>
    <x v="27"/>
    <s v="Limpieza paletas"/>
    <s v="Golpe"/>
    <m/>
    <s v="No seguir procedimiento"/>
    <s v="LIMTEK"/>
  </r>
  <r>
    <m/>
    <s v="COPSA"/>
    <m/>
    <s v="PRODUCCIÓN"/>
    <s v="PCO0176 "/>
    <s v="FIGUEROA CASTILLEJO ELODIA ELIZABETH"/>
    <s v="38"/>
    <s v="Personal Alicorp "/>
    <s v="F"/>
    <s v="2do"/>
    <s v="OBRERO ESTABLE "/>
    <s v="9 años"/>
    <d v="2013-02-11T00:00:00"/>
    <s v="Lesión Incapacitante"/>
    <s v="Lesión Incapacitante"/>
    <s v="desarmaban en su área el molino coloidal una parte de éste resbala e impacta en su mano izquierda, ocasionándole herida"/>
    <s v="MANO "/>
    <m/>
    <m/>
    <x v="2"/>
    <s v="febrero"/>
    <n v="4"/>
    <n v="30"/>
    <m/>
    <n v="30"/>
    <d v="1899-12-30T19:30:00"/>
    <s v="11251"/>
    <m/>
    <x v="42"/>
    <s v="Mantenimiento"/>
    <s v="Golpe"/>
    <m/>
    <s v="Mantenimiento inadecuado"/>
    <m/>
  </r>
  <r>
    <m/>
    <s v="DETERGENTES"/>
    <m/>
    <s v="DISTRIBUCIÓN"/>
    <s v="DET1014"/>
    <s v="-"/>
    <s v="-"/>
    <s v="Personal no Alicorp "/>
    <m/>
    <s v="-"/>
    <s v="TERCERO"/>
    <s v="-"/>
    <d v="2013-02-15T00:00:00"/>
    <s v="Lesión Incapacitante"/>
    <s v="Lesión Incapacitante"/>
    <s v="Fractura tobillo pie izquierdo, contusión dedo meñique pie derecho al caerle una paleta al ser golpeada por Montacarga"/>
    <s v="PIERNA"/>
    <m/>
    <m/>
    <x v="2"/>
    <s v="febrero"/>
    <n v="4"/>
    <n v="30"/>
    <m/>
    <n v="30"/>
    <s v="-"/>
    <m/>
    <m/>
    <x v="18"/>
    <s v="Traslado Paletas Montacargas"/>
    <s v="Fractura"/>
    <m/>
    <s v="No seguir procedimiento"/>
    <s v="LIMTEK"/>
  </r>
  <r>
    <m/>
    <s v="DETERGENTES"/>
    <m/>
    <s v="PROYECTOS"/>
    <s v="PCO0178"/>
    <s v="-"/>
    <s v="-"/>
    <s v="Personal no Alicorp "/>
    <m/>
    <s v="-"/>
    <s v="TERCERO"/>
    <s v="-"/>
    <d v="2013-02-18T00:00:00"/>
    <s v="Lesión Incapacitante"/>
    <s v="Lesión Incapacitante"/>
    <s v="MMG, sube al nivel +6 del edificio de manufactura ayudándose de un andamio ubicado en la zona lateral del edificio, durante el transito de un cuerpo del andamio hacia otro, la pierna izquierda del trabajador queda atrapada en una abertura de aproximadamente 7 cm que se tenia entre las bandejas que forman la plataforma del andamio como consecuencia de ello el trabajador sufre una caída a nivel y un esquince en la rodilla izquierda."/>
    <s v="PIE"/>
    <m/>
    <m/>
    <x v="2"/>
    <s v="febrero"/>
    <n v="4"/>
    <n v="15"/>
    <m/>
    <n v="15"/>
    <s v="-"/>
    <m/>
    <m/>
    <x v="7"/>
    <s v="Trasladandose"/>
    <s v="Golpe"/>
    <s v="Caida"/>
    <s v="Identificación inadecuada peligros"/>
    <s v="MMG"/>
  </r>
  <r>
    <m/>
    <s v="COPSA"/>
    <m/>
    <s v="PRODUCCIÓN"/>
    <s v="PCO0154 "/>
    <s v="CHAVEZ TAPULLIMA WALTER"/>
    <s v="21"/>
    <s v="Personal Alicorp "/>
    <s v="M"/>
    <s v="1ro"/>
    <s v="CAPAC.LAB.JUVENIL"/>
    <s v="5 meses"/>
    <d v="2013-02-26T00:00:00"/>
    <s v="Lesión Incapacitante"/>
    <s v="Lesión Incapacitante"/>
    <s v="APLASTAMIENTO DE LA  MANO MUÑECA Y ANTEBRAZO DERECHA POR UNA FAJA ALIMENTADORA DE ENVASES"/>
    <s v="MANO "/>
    <m/>
    <m/>
    <x v="2"/>
    <s v="febrero"/>
    <n v="4"/>
    <n v="150"/>
    <m/>
    <n v="150"/>
    <d v="1899-12-30T07:15:00"/>
    <s v="20931"/>
    <m/>
    <x v="22"/>
    <s v="Alimentación Envases"/>
    <s v="Fractura"/>
    <m/>
    <s v="Falta de cuidado"/>
    <m/>
  </r>
  <r>
    <m/>
    <s v="SIDSUR"/>
    <m/>
    <s v="PROYECTOS"/>
    <s v="DIS0305 "/>
    <s v="-"/>
    <s v="-"/>
    <s v="Personal no Alicorp "/>
    <m/>
    <s v="-"/>
    <s v="TERCERO"/>
    <s v="-"/>
    <d v="2013-03-08T00:00:00"/>
    <s v="Lesión Incapacitante"/>
    <s v="Lesión Incapacitante"/>
    <s v="Esguince muñeca derecha al caérse la plancha de 30kg para encofrado (Gerenpro)"/>
    <s v="MANO "/>
    <m/>
    <m/>
    <x v="2"/>
    <s v="Marzo"/>
    <n v="4"/>
    <n v="15"/>
    <m/>
    <n v="15"/>
    <s v="-"/>
    <m/>
    <m/>
    <x v="42"/>
    <s v="Carga materiales"/>
    <s v="Esguince"/>
    <m/>
    <s v="Levantamiento inadecuado"/>
    <s v="GERENPRO"/>
  </r>
  <r>
    <m/>
    <s v="COPSA"/>
    <m/>
    <s v="PRODUCCIÓN"/>
    <s v="NNA0222"/>
    <s v="RIVADENEIRA MENDOZA VICTOR ANGEL"/>
    <s v="36"/>
    <s v="Personal Alicorp "/>
    <s v="M"/>
    <s v="2do"/>
    <s v="OBRERO ESTABLE "/>
    <s v="6 años"/>
    <d v="2013-03-09T00:00:00"/>
    <s v="Lesión Incapacitante"/>
    <s v="Lesión Incapacitante"/>
    <s v="se encontraba en el Segundo Piso de Balanceados cargando aditivos. Indica que al girar pisa el borde de la estoca perdiendo el equilibrio, cae al piso y sufre un golpe en pierna y torcedura de tobillo derecho."/>
    <s v="PIERNA"/>
    <m/>
    <m/>
    <x v="2"/>
    <s v="Marzo "/>
    <n v="4"/>
    <n v="3"/>
    <m/>
    <n v="3"/>
    <d v="1899-12-30T18:00:00"/>
    <s v="16507"/>
    <m/>
    <x v="4"/>
    <s v="Carga aditivos"/>
    <s v="Torcedura pie"/>
    <m/>
    <s v="Espacio restringido"/>
    <m/>
  </r>
  <r>
    <m/>
    <s v="FIDEERIA LIMA"/>
    <m/>
    <s v="PRODUCCIÓN"/>
    <s v="PFL0239 "/>
    <s v="AMES RODRIGUEZ HENRY"/>
    <s v="39"/>
    <s v="Personal Alicorp "/>
    <s v="M"/>
    <s v="1ro"/>
    <s v="OBRERO ESTABLE "/>
    <s v="13 años"/>
    <d v="2013-03-11T00:00:00"/>
    <s v="Lesión Incapacitante"/>
    <s v="Lesión Incapacitante"/>
    <s v="se encontraba regulando la enfardeladora de la maquina VPM de fideos cortados, su mano izquierda fue golpeada por la cadena transportadora."/>
    <s v="MANO "/>
    <m/>
    <m/>
    <x v="2"/>
    <s v="Marzo "/>
    <n v="4"/>
    <n v="10"/>
    <m/>
    <n v="10"/>
    <d v="1899-12-30T08:30:00"/>
    <s v="5659"/>
    <s v="*"/>
    <x v="3"/>
    <s v="Calibrando/Regulando"/>
    <s v="Golpe"/>
    <m/>
    <s v="Mantenimiento equipo en movimiento"/>
    <m/>
  </r>
  <r>
    <m/>
    <s v="SIDSUR"/>
    <m/>
    <s v="PRODUCCIÓN"/>
    <s v="SID0312"/>
    <s v="VALDIVIA SUCASACA JUAN CARLOS"/>
    <s v="36"/>
    <s v="Personal Alicorp "/>
    <s v="M"/>
    <s v="2do"/>
    <s v="OBRERO ESTABLE "/>
    <s v="9 años"/>
    <d v="2013-03-11T00:00:00"/>
    <s v="Lesión Incapacitante"/>
    <s v="Lesión Incapacitante"/>
    <s v="antideslizante en la faja plana de banco de cilindro, tarea que se realiza durante el arranque del molino. Al momento de realizar esta tarea el colaborador sufre un corte en el dorzo del antebrazo derecho"/>
    <s v="BRAZO/HOMBRO"/>
    <m/>
    <m/>
    <x v="2"/>
    <s v="Marzo "/>
    <n v="4"/>
    <n v="35"/>
    <m/>
    <n v="35"/>
    <d v="1899-12-30T16:30:00"/>
    <s v="10459"/>
    <m/>
    <x v="50"/>
    <s v="Mantenimiento"/>
    <s v="Corte"/>
    <m/>
    <s v="Mantenimiento equipo en movimiento"/>
    <m/>
  </r>
  <r>
    <m/>
    <s v="NUTRICION ANIMAL TRUJILLO "/>
    <m/>
    <s v="PRODUCCIÓN"/>
    <s v="NAT0258"/>
    <s v="PISCO RODRIGUEZ ANDY"/>
    <s v="28"/>
    <s v="Personal Alicorp "/>
    <s v="M"/>
    <s v="3ro"/>
    <s v="OBRERO ESTABLE "/>
    <s v="6 años"/>
    <d v="2013-03-16T00:00:00"/>
    <s v="Lesión Incapacitante"/>
    <s v="Lesión Incapacitante"/>
    <s v="escalera apoyada en el ducto vertical de descarga y procede a subir para cerciorarse si estaba vacía , al descender por la escalera utilizada, la  base de esta resbala y el colaborador cae recibiendo el peso de su cuerpo en la mano izquierda."/>
    <s v="MANO "/>
    <m/>
    <m/>
    <x v="2"/>
    <s v="Marzo "/>
    <n v="4"/>
    <n v="30"/>
    <m/>
    <n v="30"/>
    <d v="1899-12-30T05:25:00"/>
    <s v="15768"/>
    <m/>
    <x v="51"/>
    <s v="Revisión equipo en altura"/>
    <s v="Golpe"/>
    <s v="Caida"/>
    <s v="uso de equipo inadecuado"/>
    <m/>
  </r>
  <r>
    <m/>
    <s v="GALLETERA LIMA"/>
    <m/>
    <s v="PRODUCCIÓN"/>
    <s v="PGL0275 "/>
    <s v="REYES OLLAIS ERICKA ISABEL"/>
    <s v="33"/>
    <s v="Personal Alicorp "/>
    <s v="F"/>
    <s v="2do"/>
    <s v="OBRERO ESTABLE "/>
    <s v="9 años"/>
    <d v="2013-03-16T00:00:00"/>
    <s v="Lesión Incapacitante"/>
    <s v="Lesión Incapacitante"/>
    <s v="al trasladar un producto de la bandeja es que gira y se golpea el codo de antebrazo izquierdo en una base metálica"/>
    <s v="BRAZO/HOMBRO"/>
    <m/>
    <m/>
    <x v="2"/>
    <s v="Marzo "/>
    <n v="4"/>
    <n v="3"/>
    <m/>
    <n v="3"/>
    <d v="1899-12-30T22:00:00"/>
    <s v="10993"/>
    <m/>
    <x v="17"/>
    <s v="Alimentación producto"/>
    <s v="Golpe"/>
    <m/>
    <s v="Diseño inadecuado puesto trabajo"/>
    <m/>
  </r>
  <r>
    <m/>
    <s v="NUTRICION ANIMAL TRUJILLO "/>
    <m/>
    <s v="PRODUCCIÓN"/>
    <s v="NAT0303 "/>
    <s v="FASABI CEOPA MANUEL"/>
    <s v="22"/>
    <s v="Personal Alicorp "/>
    <s v="M"/>
    <s v="3ro"/>
    <s v="OBRERO CONTRATADO "/>
    <s v="7 mese"/>
    <d v="2013-03-22T00:00:00"/>
    <s v="Lesión Incapacitante"/>
    <s v="Lesión Incapacitante"/>
    <s v="introduce su mano por la abertura de inspección de la tolva pulmón , en estos instantes cuando él intenta sopletear la salida de la tolva 4 para limpiar restos de pellets, la compuerta se cierra accionada desde scada por el operario de rociado, produciéndose así la atricción de la mano derecha entre la compuerta y el marco de salida de la tolva."/>
    <s v="MANO "/>
    <m/>
    <m/>
    <x v="2"/>
    <s v="Marzo "/>
    <n v="4"/>
    <n v="2"/>
    <m/>
    <n v="2"/>
    <d v="1899-12-30T00:10:00"/>
    <s v="20764"/>
    <m/>
    <x v="3"/>
    <s v="Limpiando equipo"/>
    <s v="Atricción"/>
    <m/>
    <s v="Coordinación inadecuada"/>
    <m/>
  </r>
  <r>
    <m/>
    <s v="DETERGENTES"/>
    <m/>
    <s v="PROYECTOS"/>
    <s v="PCO0520 "/>
    <s v="-"/>
    <s v="-"/>
    <s v="Personal no Alicorp "/>
    <m/>
    <s v="-"/>
    <s v="TERCERO"/>
    <s v="-"/>
    <d v="2013-04-03T00:00:00"/>
    <s v="Lesión incapacitante "/>
    <s v="Lesión incapacitante "/>
    <s v="empresa GEPROIN  Trabajador sufre traumatismo por caida de concreto"/>
    <s v="CUERPO"/>
    <m/>
    <m/>
    <x v="2"/>
    <s v="Abril"/>
    <n v="4"/>
    <n v="2"/>
    <m/>
    <n v="2"/>
    <s v="-"/>
    <m/>
    <m/>
    <x v="42"/>
    <s v="Durante proyecto"/>
    <s v="Golpe"/>
    <m/>
    <s v="Falta de barreras protectoras"/>
    <s v="GEPROIN"/>
  </r>
  <r>
    <m/>
    <s v="DETERGENTES"/>
    <m/>
    <s v="PROYECTOS"/>
    <s v="PCO0539"/>
    <s v="-"/>
    <s v="-"/>
    <s v="Personal no Alicorp "/>
    <m/>
    <s v="-"/>
    <s v="TERCERO"/>
    <s v="-"/>
    <d v="2013-04-05T00:00:00"/>
    <s v="Lesión incapacitante "/>
    <s v="Lesión incapacitante "/>
    <s v="Empresa ALTA se encontraba detrás de un compañero que estaba esmerilando y le penetra una esquirla de metal en ojo izquierdo. _x000a_"/>
    <s v="OJO"/>
    <m/>
    <m/>
    <x v="2"/>
    <s v="Abril"/>
    <n v="4"/>
    <n v="2"/>
    <m/>
    <n v="2"/>
    <s v="-"/>
    <m/>
    <m/>
    <x v="52"/>
    <s v="Verificando esmerilado"/>
    <s v="Materia extraña al ojo"/>
    <m/>
    <s v="Inadecuado restricción de area"/>
    <s v="ALTA"/>
  </r>
  <r>
    <m/>
    <s v="OFICINAS ADMINISTRATIVAS"/>
    <m/>
    <s v="RELACIONES LABORALES"/>
    <s v="ADM0465"/>
    <s v="-"/>
    <s v="-"/>
    <s v="Personal no Alicorp "/>
    <m/>
    <s v="-"/>
    <s v="TERCERO"/>
    <s v="-"/>
    <d v="2013-04-15T00:00:00"/>
    <s v="Lesión incapacitante "/>
    <s v="Lesión incapacitante "/>
    <s v="transitaba por la línea de servido con dirección a la Exhibidora de Gaseosas, en ese momento sufre una caída. La caída fue a consecuencia de que el piso estaba mojado."/>
    <s v="MANO "/>
    <m/>
    <m/>
    <x v="2"/>
    <s v="Abril"/>
    <n v="4"/>
    <n v="2"/>
    <m/>
    <n v="2"/>
    <s v="-"/>
    <m/>
    <m/>
    <x v="20"/>
    <s v="Trasladandose"/>
    <s v="Golpe"/>
    <s v="Caida"/>
    <s v="Falta de cuidado"/>
    <s v="CONCESIONARIO (REGIS)"/>
  </r>
  <r>
    <m/>
    <s v="DETERGENTES"/>
    <m/>
    <s v="PROYECTOS"/>
    <s v="PCO0521 "/>
    <s v="-"/>
    <s v="-"/>
    <s v="Personal no Alicorp "/>
    <m/>
    <s v="-"/>
    <s v="TERCERO"/>
    <s v="-"/>
    <d v="2013-04-16T00:00:00"/>
    <s v="Lesión incapacitante "/>
    <s v="Lesión incapacitante "/>
    <s v="Empresa Geproin Pierna de trabajador se introduce en agujero. sufre un esguince en el tobillo de la pierna izquierda, opuesta a la introducida en la perforación"/>
    <s v="PIE"/>
    <m/>
    <m/>
    <x v="2"/>
    <s v="Abril"/>
    <n v="4"/>
    <n v="11"/>
    <m/>
    <n v="11"/>
    <s v="-"/>
    <m/>
    <m/>
    <x v="20"/>
    <s v="Trasladandose"/>
    <s v="Golpe"/>
    <m/>
    <s v="Falta de cuidado"/>
    <s v="GEPROIN"/>
  </r>
  <r>
    <m/>
    <s v="DETERGENTES"/>
    <m/>
    <s v="PROYECTOS"/>
    <s v="PCO0522 "/>
    <s v="-"/>
    <s v="-"/>
    <s v="Personal no Alicorp "/>
    <m/>
    <s v="-"/>
    <s v="TERCERO"/>
    <s v="-"/>
    <d v="2013-04-20T00:00:00"/>
    <s v="Lesión Incapacitante"/>
    <s v="Lesión Incapacitante"/>
    <s v="Empresa Fabtech levanta la careta para poder realizar el cambio del electrodo, en simultaneo se estaban realizando trabajos de soldadura en los niveles superiores de la escalera, por tanto una de las chispas de la soldadura rebota contra el silo y se introduce en el ojo derecho del trabajador "/>
    <s v="OJO"/>
    <m/>
    <m/>
    <x v="2"/>
    <s v="Abril"/>
    <n v="4"/>
    <n v="2"/>
    <m/>
    <n v="2"/>
    <s v="-"/>
    <m/>
    <m/>
    <x v="15"/>
    <s v="Soldadura"/>
    <s v="Materia extraña al ojo"/>
    <m/>
    <s v="Falta de barreras protectoras"/>
    <s v="FABTECH"/>
  </r>
  <r>
    <m/>
    <s v="COPSA"/>
    <m/>
    <s v="DISTRIBUCIÓN"/>
    <s v="DIS0484"/>
    <s v="MARQUEZ PARIONA JIMMY ANTONY"/>
    <m/>
    <s v="Personal Alicorp "/>
    <s v="M"/>
    <s v="2do"/>
    <s v="OBRERO CONTRATADO "/>
    <s v="1 mes, 20 dias"/>
    <d v="2013-04-22T00:00:00"/>
    <s v="Lesión Incapacitante"/>
    <s v="Lesión Incapacitante"/>
    <s v="mano izquierda quede atrapada entre los polines por unos 30 segundos, y por el roce con la faja transportadora se originó la quemadura de su mano izquierda"/>
    <s v="MANO "/>
    <m/>
    <m/>
    <x v="2"/>
    <s v="Abril"/>
    <n v="4"/>
    <n v="24"/>
    <m/>
    <n v="24"/>
    <d v="1899-12-30T15:15:00"/>
    <n v="21709"/>
    <m/>
    <x v="22"/>
    <s v="Recepción productos"/>
    <s v="Quemadura"/>
    <m/>
    <s v="Falta de cuidado"/>
    <m/>
  </r>
  <r>
    <m/>
    <s v="DETERGENTES"/>
    <m/>
    <s v="PRODUCCIÓN"/>
    <s v="DET0519 "/>
    <s v="SILVA PALMA MARCO ANTONIO"/>
    <s v="27"/>
    <s v="Personal Alicorp "/>
    <s v="M"/>
    <s v="1ro"/>
    <s v="OBRERO CONTRATADO "/>
    <s v="7 meses"/>
    <d v="2013-04-29T00:00:00"/>
    <s v="Lesión Incapacitante"/>
    <s v="Lesión Incapacitante"/>
    <s v="pisa en falso en la última grada doblandose el tobillo izquierdo y cae en el descanso"/>
    <s v="PIERNA"/>
    <m/>
    <m/>
    <x v="2"/>
    <s v="Abril"/>
    <n v="4"/>
    <n v="10"/>
    <m/>
    <n v="10"/>
    <d v="1899-12-30T14:45:00"/>
    <s v="21236"/>
    <m/>
    <x v="53"/>
    <s v="Trasladandose"/>
    <s v="Golpe"/>
    <s v="Caida"/>
    <s v="Falta de cuidado"/>
    <m/>
  </r>
  <r>
    <m/>
    <s v="MOLINO CALLAO"/>
    <m/>
    <s v="PRODUCCIÓN"/>
    <s v="MCA0530"/>
    <s v="MEJIA POCOMUCHA MIGUEL"/>
    <s v="49"/>
    <s v="Personal Alicorp "/>
    <s v="M"/>
    <s v="2do"/>
    <s v="EMPLEADO ESTABLE"/>
    <s v="15 años"/>
    <d v="2013-05-04T00:00:00"/>
    <s v="Lesión Incapacitante"/>
    <s v="Lesión Incapacitante"/>
    <s v="Atricción dedos índice y medio de la mano izquierda."/>
    <s v="MANO "/>
    <m/>
    <m/>
    <x v="2"/>
    <s v="Mayo"/>
    <n v="4"/>
    <n v="80"/>
    <m/>
    <n v="80"/>
    <d v="1899-12-30T16:00:00"/>
    <s v="2358"/>
    <m/>
    <x v="3"/>
    <s v="Limpiando equipo"/>
    <s v="Atricción"/>
    <m/>
    <s v="Coordinación inadecuada"/>
    <m/>
  </r>
  <r>
    <m/>
    <s v="NUTRICION ANIMAL TRUJILLO "/>
    <m/>
    <s v="PRODUCCIÓN"/>
    <s v="NAT0550"/>
    <s v="COTRINA OCAS SEGUNDO MANUEL"/>
    <s v="44"/>
    <s v="Personal Alicorp "/>
    <s v="M"/>
    <s v="3ro"/>
    <s v="OBRERO ESTABLE"/>
    <s v="16 años"/>
    <d v="2013-05-07T00:00:00"/>
    <s v="Lesión Incapacitante"/>
    <s v="Lesión Incapacitante"/>
    <s v="Golpe hombro izquierdo por caída, dirigirse al vestuario "/>
    <s v="BRAZO/HOMBRO"/>
    <m/>
    <m/>
    <x v="2"/>
    <s v="Mayo"/>
    <n v="4"/>
    <n v="15"/>
    <m/>
    <n v="15"/>
    <d v="1899-12-30T23:30:00"/>
    <s v="3178"/>
    <m/>
    <x v="20"/>
    <s v="Trasladandose"/>
    <s v="Golpe"/>
    <s v="Caida"/>
    <s v="Falta de cuidado"/>
    <m/>
  </r>
  <r>
    <m/>
    <s v="MOLINO FAUCETT"/>
    <m/>
    <s v="PRODUCCIÓN"/>
    <s v="MFA0640"/>
    <s v="RUBINA AVILA RAFAEL ENRIQUE"/>
    <s v="24"/>
    <s v="Personal Alicorp "/>
    <s v="M"/>
    <s v="1ro"/>
    <s v="OBRERO CONTRATADO "/>
    <s v="4 meses"/>
    <d v="2013-05-16T00:00:00"/>
    <s v="Lesión Incapacitante"/>
    <s v="Lesión Incapacitante"/>
    <s v="Paciente indica que al manipular un saco de trigo de aprox. 40 kg se golpea la mano derecha sobre una superficie de madera"/>
    <s v="MANO "/>
    <m/>
    <m/>
    <x v="2"/>
    <s v="Mayo"/>
    <n v="4"/>
    <n v="3"/>
    <m/>
    <n v="3"/>
    <d v="1899-12-30T11:45:00"/>
    <s v="21518"/>
    <m/>
    <x v="21"/>
    <s v="Manipuleo de carga"/>
    <s v="Golpe"/>
    <m/>
    <s v="Falta de cuidado"/>
    <m/>
  </r>
  <r>
    <m/>
    <s v="DETERGENTES"/>
    <m/>
    <s v="PROYECTOS"/>
    <s v="PCO0763"/>
    <s v="-"/>
    <s v="-"/>
    <s v="Personal no Alicorp "/>
    <m/>
    <s v="-"/>
    <s v="TERCERO"/>
    <s v="-"/>
    <d v="2013-05-23T00:00:00"/>
    <s v="Lesión Incapacitante"/>
    <s v="Lesión Incapacitante"/>
    <s v="sostener la plancha por los extremos esta se le resbaló de las manos y le cayó en el pie izquierdo en la zona del empeine"/>
    <s v="PIE"/>
    <m/>
    <m/>
    <x v="2"/>
    <s v="Mayo"/>
    <n v="4"/>
    <n v="2"/>
    <m/>
    <n v="2"/>
    <s v="-"/>
    <m/>
    <m/>
    <x v="42"/>
    <s v="Manipuleo de carga"/>
    <s v="Golpe"/>
    <m/>
    <s v="Falta de cuidado"/>
    <s v="FABTECH "/>
  </r>
  <r>
    <m/>
    <s v="SIDSUR"/>
    <m/>
    <s v="MANTENIMIENTO"/>
    <s v="SID0941"/>
    <s v="FIGUEROA CONDORI ALFREDO AQUILINO"/>
    <s v="58"/>
    <s v="Personal Alicorp "/>
    <s v="M"/>
    <s v="1ro"/>
    <s v="OBRERO ESTABLE"/>
    <s v="37 años"/>
    <d v="2013-05-26T00:00:00"/>
    <s v="Lesión Incapacitante"/>
    <s v="Lesión Incapacitante"/>
    <s v="Contusión de dedo con pinza amperimétrica "/>
    <s v="MANO "/>
    <m/>
    <m/>
    <x v="2"/>
    <s v="Mayo"/>
    <n v="4"/>
    <n v="5"/>
    <m/>
    <n v="5"/>
    <d v="1899-12-30T10:00:00"/>
    <s v="588"/>
    <m/>
    <x v="38"/>
    <s v="Medición de equipo "/>
    <s v="Golpe"/>
    <m/>
    <s v="Identificación inadecuada peligros"/>
    <m/>
  </r>
  <r>
    <m/>
    <s v="MOLINO FAUCETT"/>
    <m/>
    <s v="ADMINISTRACIÓN"/>
    <s v="MFA0873"/>
    <s v="-"/>
    <s v="-"/>
    <s v="Personal no Alicorp "/>
    <m/>
    <s v="-"/>
    <s v="TERCERO"/>
    <s v="-"/>
    <d v="2013-05-29T00:00:00"/>
    <s v="Lesión Incapacitante"/>
    <s v="Lesión Incapacitante"/>
    <s v="acción temeraria pasando por encima del transportador de cadena para realizar la limpieza en un espacio restringido. Al momento de querer salir del área intenta pasar nuevamente sobre el transportador y es en ese momento que se resbala cae al piso."/>
    <s v="PIE"/>
    <m/>
    <m/>
    <x v="2"/>
    <s v="Mayo"/>
    <n v="4"/>
    <n v="28"/>
    <m/>
    <n v="28"/>
    <s v="-"/>
    <m/>
    <m/>
    <x v="54"/>
    <s v="Trasladandose"/>
    <s v="Golpe"/>
    <s v="Caida"/>
    <s v="Inadecuado restricción de area"/>
    <s v="LIMTEK"/>
  </r>
  <r>
    <m/>
    <s v="COPSA"/>
    <m/>
    <s v="PRODUCCIÓN"/>
    <s v="PCO1043"/>
    <s v="GUZMAN ANGLAS MARTIN"/>
    <s v="42"/>
    <s v="Personal Alicorp "/>
    <s v="M"/>
    <s v="3ro"/>
    <s v="OBRERO ESTABLE"/>
    <s v="2 años"/>
    <d v="2013-06-20T00:00:00"/>
    <s v="Lesión Incapacitante"/>
    <s v="Lesión Incapacitante"/>
    <s v="El colaborador se encontraba revisando la operación de corte de las cuchillas en la máquina volpak pues había detectado que algunos doypacks no salían cortados correctamente en su parte inferior, para ello apertura la puerta de la máquina deteniéndose esta y procede a colocar la máquina en manual y utilizar el pulsador con su mano derecha para paso a paso observar a que se debe la falla, mientras tanto utiliza la mano izquierda para retirar los doypacks que le bloqueban la visión, en ese momento (en su intento de retirar el doypack a la vez que acciona el pulsador) el pulgar de su mano izquierda toma contacto con la cuchilla y sufre el corte."/>
    <s v="MANO "/>
    <m/>
    <m/>
    <x v="2"/>
    <s v="Junio"/>
    <n v="4"/>
    <n v="10"/>
    <m/>
    <n v="10"/>
    <d v="1899-12-30T23:50:00"/>
    <n v="10000"/>
    <m/>
    <x v="3"/>
    <s v="Calibrando/Regulando"/>
    <s v="Corte"/>
    <m/>
    <s v="Identificación inadecuada peligros"/>
    <m/>
  </r>
  <r>
    <m/>
    <s v="MOLINCA"/>
    <m/>
    <s v="Producción "/>
    <s v="MOLINO PAITA "/>
    <s v="ZUÑIGA HUANCAYO, JIM PAOL               "/>
    <s v="30"/>
    <s v="Molinca"/>
    <s v="M"/>
    <s v="3ro"/>
    <s v="OBRERO CONTRATADO "/>
    <s v="3 meses"/>
    <d v="2013-06-21T00:00:00"/>
    <s v="Lesión Incapacitante (MOLINCA)"/>
    <s v="Lesión Incapacitante (MOLINCA)"/>
    <s v="Corte en dedo en esclusa "/>
    <s v="MANO "/>
    <m/>
    <m/>
    <x v="2"/>
    <s v="Junio "/>
    <n v="4"/>
    <n v="5"/>
    <m/>
    <n v="5"/>
    <d v="1899-12-30T23:05:00"/>
    <m/>
    <m/>
    <x v="55"/>
    <s v="Limpiando equipo"/>
    <s v="Corte"/>
    <m/>
    <s v="Limpieza con equipo en movimiento"/>
    <m/>
  </r>
  <r>
    <m/>
    <s v="COPSA"/>
    <m/>
    <s v="PRODUCCIÓN"/>
    <s v="PCO1123"/>
    <s v="LOPEZ PANAYFO CARLOS HUMBERTO"/>
    <s v="46"/>
    <s v="Personal Alicorp "/>
    <s v="M"/>
    <s v="1ro"/>
    <s v="OBRERO ESTABLE"/>
    <s v="8 años"/>
    <d v="2013-06-21T00:00:00"/>
    <s v="Lesión Incapacitante"/>
    <s v="Lesión Incapacitante"/>
    <s v="Refiere que hace 5 minutos aproximadamente, se encontraba manipulando una máquina selladora de bolsa, la cual ejerció presión sobre el dedo generando un corte +- 3cm con sangrado activo en 1er dedo de mano derecha.  _x000a__x000a_"/>
    <s v="MANO "/>
    <m/>
    <m/>
    <x v="2"/>
    <s v="Junio"/>
    <n v="4"/>
    <n v="3"/>
    <m/>
    <n v="3"/>
    <d v="1899-12-30T09:20:00"/>
    <n v="12604"/>
    <m/>
    <x v="3"/>
    <s v="Calibrando/Regulando"/>
    <s v="Corte"/>
    <m/>
    <s v="Falta de barreras protectoras"/>
    <m/>
  </r>
  <r>
    <m/>
    <s v="SIDSUR"/>
    <m/>
    <s v="PRODUCCIÓN"/>
    <s v="SID1087"/>
    <s v="MANRIQUE QUISPE EDWARD CRISTHOPHER"/>
    <s v="30"/>
    <s v="Personal Alicorp "/>
    <s v="M"/>
    <s v="1ro"/>
    <s v="OBRERO CONTRATADO"/>
    <s v="8 dias"/>
    <d v="2013-06-24T00:00:00"/>
    <s v="Lesión Incapacitante"/>
    <s v="Lesión Incapacitante"/>
    <s v="En momentos que el Sr Manrique Quispe Edward se encontraba realizando el paletizado de sacos de harina , uno de estos sacos se desplaza provocando que el Sr Manrique caiga al piso desde una altura aproximada de 1 m . Ocasionándole un esguince en la muñeca de la mano derecha. Se comunica vía RPM a garita de vigilancia el Sr. ARANIBAR LOAYZA SAUL CLODOALDO Coordinador del Molino indicando que solicite la presencia de la ambulancia Rescate 11-11 para la atención al Sr. MANRIQUE QUISPE EDWARD CRISTHOPHER. quien acompañado por el Gestor de RRHH, es trasladado a la Clínica San Juan de Dios, donde se le toma placas sin encontrar señales de fisura o fractura. Por precaución, el médico tratante dispone un descanso de 3 días."/>
    <s v="MANO "/>
    <m/>
    <m/>
    <x v="2"/>
    <s v="Junio"/>
    <n v="4"/>
    <n v="3"/>
    <m/>
    <n v="3"/>
    <d v="1899-12-30T08:40:00"/>
    <n v="22096"/>
    <m/>
    <x v="21"/>
    <s v="Manipuleo de Carga "/>
    <s v="Esguince"/>
    <m/>
    <s v="Levantamiento inadecuado "/>
    <m/>
  </r>
  <r>
    <m/>
    <s v="NUTRICION ANIMAL TRUJILLO "/>
    <m/>
    <s v="DISTRIBUCIÓN"/>
    <s v="NAT1113"/>
    <s v="-"/>
    <s v="-"/>
    <s v="Personal no Alicorp "/>
    <m/>
    <s v="-"/>
    <s v="TERCERO"/>
    <s v="-"/>
    <d v="2013-06-28T00:00:00"/>
    <s v="Lesión Incapacitante"/>
    <s v="Lesión Incapacitante"/>
    <s v="El Sr. Valverde se encontraba limpiando los sacos encima del andamio y perdió el equilibrio golpeándose y golpeando a su compañero Miranda que se encontraba al pie."/>
    <s v="CUERPO"/>
    <m/>
    <m/>
    <x v="2"/>
    <s v="Junio"/>
    <n v="4"/>
    <n v="15"/>
    <m/>
    <n v="15"/>
    <s v="-"/>
    <m/>
    <m/>
    <x v="7"/>
    <s v="Limpiando instalaciones"/>
    <s v="Golpe"/>
    <m/>
    <s v="Perdida del equilibrio "/>
    <s v="LIMTEK"/>
  </r>
  <r>
    <m/>
    <s v="INSTANTANEOS"/>
    <m/>
    <s v="PRODUCCIÓN"/>
    <s v="BRÑ1116"/>
    <s v="Andrea Lopez La Torre"/>
    <n v="30"/>
    <s v="Personal Alicorp"/>
    <s v="F"/>
    <s v="1ro"/>
    <s v="OBRERO CONTRATADO"/>
    <s v="1año 3 mese"/>
    <d v="2013-07-02T12:00:00"/>
    <s v="Lesión Incapacitante"/>
    <s v="Lesión Incapacitante"/>
    <s v="forzara el llevarselo con la mano izquierda y por la inercia de éste movimiento su dedo índice de la mano izquierda terminó siendo golpeado por el portabolsa contra la mesa de empaquetado, "/>
    <s v="MANO "/>
    <m/>
    <m/>
    <x v="2"/>
    <s v="Julio "/>
    <n v="3"/>
    <n v="5"/>
    <m/>
    <n v="5"/>
    <d v="1899-12-30T12:00:00"/>
    <n v="19806"/>
    <m/>
    <x v="40"/>
    <s v="Forcejeo"/>
    <s v="Golpe"/>
    <m/>
    <s v="Falta de cuidado "/>
    <m/>
  </r>
  <r>
    <m/>
    <s v="SIDSUR"/>
    <m/>
    <s v="PRODUCCIÓN"/>
    <s v="SID1647"/>
    <s v="Piñarreta Zúñiga Juan Eduardo"/>
    <m/>
    <s v="Personal Alicorp "/>
    <s v="M"/>
    <s v="1ro"/>
    <m/>
    <m/>
    <d v="2013-07-07T00:00:00"/>
    <s v="Lesión Incapacitante"/>
    <s v="Lesión Incapacitante"/>
    <s v="Atricción del dedo índice de la mano derecha "/>
    <s v="MANO "/>
    <m/>
    <m/>
    <x v="2"/>
    <s v="Septiembre"/>
    <m/>
    <n v="6"/>
    <m/>
    <n v="6"/>
    <d v="1899-12-30T08:45:00"/>
    <n v="17868"/>
    <m/>
    <x v="40"/>
    <s v="Otros"/>
    <s v="Atricción"/>
    <m/>
    <s v="prisa "/>
    <m/>
  </r>
  <r>
    <m/>
    <s v="GALLETERA LIMA"/>
    <m/>
    <s v="RELACIONES LABORALES"/>
    <s v="PGL1273"/>
    <m/>
    <m/>
    <s v="Personal no Alicorp "/>
    <m/>
    <m/>
    <s v="TERCERO"/>
    <m/>
    <d v="2013-07-08T13:35:00"/>
    <s v="Lesión Incapacitante"/>
    <s v="Lesión Incapacitante"/>
    <s v=" trata de tomar el plato y es cuando se resbala, cayendo así sobre su brazo derecho. Lesión : Esguince en el hombro derecho"/>
    <s v="BRAZO/HOMBRO"/>
    <m/>
    <m/>
    <x v="2"/>
    <s v="Julio "/>
    <n v="2"/>
    <n v="30"/>
    <m/>
    <n v="30"/>
    <m/>
    <m/>
    <m/>
    <x v="20"/>
    <s v="Atención en el comedor "/>
    <s v="Esguince"/>
    <m/>
    <s v="Falta de cuidado "/>
    <s v="Regis"/>
  </r>
  <r>
    <m/>
    <s v="DETERGENTES"/>
    <m/>
    <s v="PROYECTOS"/>
    <s v="PCO1237"/>
    <m/>
    <m/>
    <s v="Personal no Alicorp "/>
    <m/>
    <m/>
    <s v="TERCERO"/>
    <m/>
    <d v="2013-07-09T12:00:00"/>
    <s v="Lesión Incapacitante"/>
    <s v="Lesión Incapacitante"/>
    <s v="El evento ocurre mientras el Sr. JOSE CAMPOS CHIROQUE de la empresa FABTECH se encontraba maniobrando un anillo con un tecle y sogas, en el instante que una de las sogas se solto por uno de los extremos la tuberia bajo de nivel, hasta el nivel donde se encontraba el trabajador de la empresa FABTECH, trayendo como consecuencia una contusion en la cadera del trabajador."/>
    <s v="CUERPO"/>
    <m/>
    <m/>
    <x v="2"/>
    <s v="Julio "/>
    <n v="3"/>
    <n v="1"/>
    <m/>
    <n v="1"/>
    <m/>
    <m/>
    <m/>
    <x v="56"/>
    <s v="Maniobras de equipos"/>
    <s v="Golpe"/>
    <m/>
    <s v="Coordinación inadecuada"/>
    <s v="FabTech"/>
  </r>
  <r>
    <m/>
    <s v="INSTANTANEOS"/>
    <m/>
    <s v="ADMINISTRACIÓN"/>
    <s v="BRÑ1285"/>
    <m/>
    <m/>
    <s v="Personal no Alicorp "/>
    <m/>
    <m/>
    <s v="TERCERO"/>
    <m/>
    <d v="2013-07-10T11:00:00"/>
    <s v="Lesión Incapacitante"/>
    <s v="Lesión Incapacitante"/>
    <s v="Irritación de ojos . Al estar lavando la ducha con la mezcla de éstos, le salpicó en los ojos, en ese momento procedió a lavarse con abundante agua. "/>
    <s v="CABEZA"/>
    <m/>
    <m/>
    <x v="2"/>
    <s v="Julio "/>
    <n v="4"/>
    <n v="3"/>
    <m/>
    <n v="3"/>
    <m/>
    <m/>
    <m/>
    <x v="19"/>
    <s v="Limpiando instalaciones"/>
    <s v="Contacto sustancia Quimica"/>
    <m/>
    <s v="Identificación inadecuada peligros"/>
    <s v="Limtek"/>
  </r>
  <r>
    <m/>
    <s v="COPSA"/>
    <m/>
    <s v="PRODUCCIÓN"/>
    <s v="PCO1201"/>
    <s v="Jose Jorge Huacal Sanchez "/>
    <n v="20"/>
    <s v="Personal Alicorp"/>
    <s v="M"/>
    <s v="2do"/>
    <s v="CAPAC.LAB.JUVENIL"/>
    <s v="6 meses"/>
    <d v="2013-07-10T21:00:00"/>
    <s v="Lesión Incapacitante"/>
    <s v="Lesión Incapacitante"/>
    <s v="Girando una ruma de latas el dedo anular de la mano izquierda tiene contacto con el filo cortante de la boca de la lata (orificio de llenado) ocacionandole un corte de un cm de largo en la yema del dedo. "/>
    <s v="MANO "/>
    <m/>
    <m/>
    <x v="2"/>
    <s v="Julio "/>
    <n v="4"/>
    <n v="3"/>
    <m/>
    <n v="3"/>
    <d v="1899-12-30T21:00:00"/>
    <n v="21434"/>
    <m/>
    <x v="57"/>
    <s v="Contacto con lata"/>
    <s v="Corte"/>
    <m/>
    <s v="Falta de cuidado "/>
    <m/>
  </r>
  <r>
    <m/>
    <s v="GALLETERA LIMA"/>
    <m/>
    <s v="PRODUCCIÓN"/>
    <s v="PGL1206"/>
    <s v="Haydee Avedaño Galindo"/>
    <n v="40"/>
    <s v="Personal Alicorp"/>
    <s v="F"/>
    <s v="1ro"/>
    <s v="OBRERO ESTABLE"/>
    <s v="10 años"/>
    <d v="2013-07-11T14:20:00"/>
    <s v="Lesión Incapacitante"/>
    <s v="Lesión Incapacitante"/>
    <s v="se encontraba sacando restos de wafer que se encontraba en el “empujador” que los lleva hacia la envasadora Easy Run,pero NO paró la envasadora a través de la botonera,sino que lo hizo sin este bloqueo y en esas circunstancias es que el “empujador” se activa y ella saca su mano y se corta el cuarto dedo de la mano derecha con los filos de la cadena transmisora,que ya estaba en movimiento. Al examen Físico, se encuentra una herida horizontal en tercio medio del 4° dedo (articulación interfalángica proximal) de la mano derecha, en la cual se evidencia la presencia del tendón flexor. "/>
    <s v="MANO "/>
    <m/>
    <m/>
    <x v="2"/>
    <s v="Julio "/>
    <n v="5"/>
    <n v="95"/>
    <m/>
    <n v="95"/>
    <d v="1899-12-30T14:20:00"/>
    <n v="10648"/>
    <m/>
    <x v="3"/>
    <s v="Limpiando equipo"/>
    <s v="Corte"/>
    <m/>
    <s v="No seguir procedimiento"/>
    <m/>
  </r>
  <r>
    <m/>
    <s v="GALLETERA LIMA"/>
    <m/>
    <s v="PRODUCCIÓN"/>
    <s v="PGL1332"/>
    <s v="Estefany Rodriguez"/>
    <n v="22"/>
    <s v="Personal Alicorp"/>
    <s v="F"/>
    <s v="1ro"/>
    <s v="CAPAC.LAB.JUVENIL"/>
    <s v="1 mes "/>
    <d v="2013-07-15T13:30:00"/>
    <s v="Lesión Incapacitante"/>
    <s v="Lesión Incapacitante"/>
    <s v="Se tropezo al enredarse el pie con el Stretch Film que se encontraba en el suelo proveniente del pallet donde retiraban las cajas , esto causó que se doblara el pie izquierdo dando como resultado un esguince de segundo grado en el tobillo."/>
    <s v="PIE"/>
    <m/>
    <m/>
    <x v="2"/>
    <s v="Julio "/>
    <n v="2"/>
    <n v="15"/>
    <m/>
    <n v="15"/>
    <d v="1899-12-30T13:30:00"/>
    <n v="22013"/>
    <m/>
    <x v="58"/>
    <s v="Retiro de cajas de pallet"/>
    <s v="Esguince"/>
    <m/>
    <s v="Diseño inadecuado puesto trabajo"/>
    <m/>
  </r>
  <r>
    <m/>
    <s v="COPSA"/>
    <m/>
    <s v="PRODUCCIÓN"/>
    <s v="PCO1243"/>
    <s v="Ronald Mauricio Ochoa"/>
    <n v="34"/>
    <s v="Personal Alicorp"/>
    <s v="M"/>
    <s v="2do"/>
    <s v="OBRERO ESTABLE"/>
    <s v="8 años"/>
    <d v="2013-07-15T16:00:00"/>
    <s v="Lesión Incapacitante"/>
    <s v="Lesión Incapacitante"/>
    <s v="EL Sr. Ochoa ayduante SCN Jaboneria, al tratar de abriri una valvula en la zona de tanque de condensos, rebala e introduce el pie derecho en un buzon de drenaje con agua caliente. Lo cual le produce quemaduras de 2do grado."/>
    <s v="PIE"/>
    <m/>
    <m/>
    <x v="2"/>
    <s v="Julio "/>
    <n v="2"/>
    <n v="45"/>
    <m/>
    <n v="45"/>
    <d v="1899-12-30T16:00:00"/>
    <n v="10057"/>
    <m/>
    <x v="59"/>
    <s v="Mantenimiento"/>
    <s v="Golpe"/>
    <s v="Caida"/>
    <s v="Identificación inadecuada peligros"/>
    <m/>
  </r>
  <r>
    <m/>
    <s v="COPSA"/>
    <m/>
    <s v="OTROS"/>
    <s v="PCO2433"/>
    <m/>
    <m/>
    <s v="Personal No Alicorp "/>
    <m/>
    <m/>
    <s v="TERCERO"/>
    <m/>
    <d v="2013-07-18T00:00:00"/>
    <s v="Lesión Incapacitante"/>
    <s v="Lesión Incapacitante"/>
    <s v="apertura del contenedor de Aceite Girasol de importación, el bolsón que contenía las 22 toneladas del producto (sin jaula de contención solo con reja de contención) se rompe y origina la apertura brusca de la puerta, golpeando al chofer y afectando a 2 trabajadores del Área de Refinerías COPSA, e inundando la Calle Refinerías"/>
    <s v="CUERPO"/>
    <m/>
    <m/>
    <x v="2"/>
    <s v="Julio "/>
    <n v="5"/>
    <n v="2"/>
    <m/>
    <n v="2"/>
    <m/>
    <m/>
    <m/>
    <x v="60"/>
    <s v="Recepción productos"/>
    <s v="Golpe"/>
    <m/>
    <s v="Falta de cuidado "/>
    <m/>
  </r>
  <r>
    <m/>
    <s v="COPSA"/>
    <m/>
    <s v="OTROS"/>
    <s v="PCO2433"/>
    <s v="Armando Peña "/>
    <n v="48"/>
    <s v="Personal Alicorp "/>
    <s v="M"/>
    <s v="1ro"/>
    <s v="EMPLEADO ESTABLE "/>
    <s v="19 años "/>
    <d v="2013-07-18T00:00:00"/>
    <s v="Lesión Incapacitante"/>
    <s v="Lesión Incapacitante"/>
    <s v="apertura del contenedor de Aceite Girasol de importación, el bolsón que contenía las 22 toneladas del producto (sin jaula de contención solo con reja de contención) se rompe y origina la apertura brusca de la puerta, golpeando al chofer y afectando a 2 trabajadores del Área de Refinerías COPSA, e inundando la Calle Refinerías"/>
    <s v="PIERNA"/>
    <m/>
    <m/>
    <x v="2"/>
    <s v="Julio "/>
    <n v="5"/>
    <n v="2"/>
    <m/>
    <n v="2"/>
    <d v="1899-12-30T09:15:00"/>
    <n v="1561"/>
    <m/>
    <x v="60"/>
    <s v="Recepción productos"/>
    <s v="Golpe"/>
    <m/>
    <s v="Falta de cuidado "/>
    <m/>
  </r>
  <r>
    <m/>
    <s v="NUTRICION ANIMAL TRUJILLO "/>
    <m/>
    <s v="DISTRIBUCIÓN"/>
    <s v="NAT1337"/>
    <m/>
    <m/>
    <s v="Personal No Alicorp "/>
    <m/>
    <m/>
    <s v="TERCERO"/>
    <m/>
    <d v="2013-07-27T11:30:00"/>
    <s v="Lesión Incapacitante"/>
    <s v="Lesión Incapacitante"/>
    <s v="El personal ISELSA Santos Bedon, Rafael; se presiono el dedo al querer sacar los palos de la carreta, el cual le produzco un corte de 1 cm en el dedo."/>
    <s v="MANO "/>
    <m/>
    <m/>
    <x v="2"/>
    <s v="Julio "/>
    <n v="7"/>
    <n v="3"/>
    <m/>
    <n v="3"/>
    <m/>
    <m/>
    <m/>
    <x v="14"/>
    <s v="carga/descarga de camión"/>
    <s v="Atricción"/>
    <m/>
    <s v="Falta de cuidado "/>
    <s v="Iselsa"/>
  </r>
  <r>
    <m/>
    <s v="COPSA"/>
    <m/>
    <s v="PRODUCCIÓN"/>
    <s v="NNA1382"/>
    <s v="CHAFLOQUE AYASTA PEDRO HUGO"/>
    <n v="44"/>
    <s v="Personal Alicorp "/>
    <s v="M"/>
    <s v="1ro"/>
    <s v="OBRERO ESTABLE"/>
    <s v="6 años "/>
    <d v="2013-08-02T00:00:00"/>
    <s v="Lesión Incapacitante"/>
    <s v="Lesión Incapacitante"/>
    <s v="alineando pequeños contenedores con OXIPET POLVO cuando quiso estibar el contenido en polvo cuando repentinamente una porción “saltó” a su ojo izquierdo. "/>
    <s v="OJO"/>
    <m/>
    <m/>
    <x v="2"/>
    <s v="Agosto "/>
    <n v="6"/>
    <n v="3"/>
    <m/>
    <n v="3"/>
    <d v="1899-12-30T14:07:00"/>
    <n v="12089"/>
    <m/>
    <x v="19"/>
    <s v="Acomodo "/>
    <s v="Contacto sustancia Quimica"/>
    <m/>
    <s v="Identificación inadecuada peligros"/>
    <m/>
  </r>
  <r>
    <m/>
    <s v="MOLINO FAUCETT"/>
    <m/>
    <s v="PRODUCCIÓN"/>
    <s v="MFA1461"/>
    <s v="MIO VILLEGAS HECTOR IVAN"/>
    <n v="23"/>
    <s v="Personal Alicorp "/>
    <s v="M"/>
    <s v="3er "/>
    <s v="OBRERO CONTRATADO"/>
    <s v="1año 5 meses"/>
    <d v="2013-08-15T00:00:00"/>
    <s v="Lesión Incapacitante"/>
    <s v="Lesión Incapacitante"/>
    <s v="Contusión codo brazo izquierdo  desatar el hilo que se usa para coser  los sacos de pre mezcla, resbala y cae al piso "/>
    <s v="BRAZO/HOMBRO"/>
    <m/>
    <m/>
    <x v="2"/>
    <s v="Agosto "/>
    <m/>
    <n v="2"/>
    <m/>
    <n v="2"/>
    <d v="1899-12-30T01:15:00"/>
    <n v="19880"/>
    <m/>
    <x v="3"/>
    <s v="Desatar hilo "/>
    <s v="Golpe"/>
    <s v="Caida"/>
    <s v="Falta de cuidado "/>
    <m/>
  </r>
  <r>
    <m/>
    <s v="COPSA"/>
    <m/>
    <s v="ALMACEN DE INSUMOS "/>
    <s v="PCO1589"/>
    <m/>
    <m/>
    <s v="Personal no Alicorp "/>
    <m/>
    <m/>
    <s v="TERCERO"/>
    <m/>
    <d v="2013-08-29T00:00:00"/>
    <s v="Lesión Incapacitante"/>
    <s v="Lesión Incapacitante"/>
    <s v="Salpicadura de Ácido Sulfúrico Rostro y Cuello (Lado derecho)"/>
    <s v="CABEZA"/>
    <m/>
    <m/>
    <x v="2"/>
    <s v="Agosto "/>
    <m/>
    <n v="10"/>
    <m/>
    <n v="10"/>
    <m/>
    <m/>
    <m/>
    <x v="19"/>
    <s v="Medición de Tanque "/>
    <s v="Contacto sustancia Quimica"/>
    <m/>
    <s v="Coordinación inadecuada"/>
    <s v="Empresa Transporte Enrique Cárcamo Granda SAC"/>
  </r>
  <r>
    <m/>
    <s v="GALLETERA LIMA"/>
    <m/>
    <s v="PRODUCCIÓN"/>
    <s v="PGL1659"/>
    <s v="Josselyne Perez Fajardo"/>
    <n v="19"/>
    <s v="Personal Alicorp "/>
    <s v="F"/>
    <s v="2do"/>
    <s v="CAPAC.LAB.JUVENIL"/>
    <s v="13 meses"/>
    <d v="2013-09-09T00:00:00"/>
    <s v="Lesión Incapacitante"/>
    <s v="Lesión Incapacitante"/>
    <s v="Corte en dedo Pulgar de Mano "/>
    <s v="MANO "/>
    <m/>
    <m/>
    <x v="2"/>
    <s v="Septiembre"/>
    <m/>
    <n v="3"/>
    <m/>
    <n v="3"/>
    <d v="1899-12-30T21:31:00"/>
    <n v="22584"/>
    <m/>
    <x v="17"/>
    <s v="Durante operación productiva"/>
    <s v="Corte"/>
    <m/>
    <s v="condicion sub-estandar "/>
    <m/>
  </r>
  <r>
    <m/>
    <s v="FIDEERIA LIMA"/>
    <m/>
    <s v="PRODUCCIÓN"/>
    <s v="PFL2499"/>
    <s v="Ivan Rugel"/>
    <m/>
    <s v="Personal Alicorp "/>
    <m/>
    <m/>
    <s v="OBRERO ESTABLE"/>
    <m/>
    <d v="2013-09-15T00:00:00"/>
    <s v="Lesión Incapacitante"/>
    <s v="Lesión Incapacitante"/>
    <s v="Material extraño al ojo "/>
    <s v="OJO"/>
    <m/>
    <m/>
    <x v="2"/>
    <s v="Septiembre"/>
    <m/>
    <n v="2"/>
    <m/>
    <n v="2"/>
    <m/>
    <m/>
    <m/>
    <x v="40"/>
    <s v="Trasladandose"/>
    <s v="PICADURA"/>
    <m/>
    <s v="condicion sub-estandar "/>
    <m/>
  </r>
  <r>
    <m/>
    <s v="FIDEERIA LIMA"/>
    <m/>
    <s v="PRODUCCIÓN"/>
    <s v="PFL 1738"/>
    <m/>
    <m/>
    <s v="Personal Alicorp "/>
    <m/>
    <m/>
    <m/>
    <m/>
    <d v="2013-09-20T00:00:00"/>
    <s v="Lesión Incapacitante"/>
    <s v="Lesión Incapacitante"/>
    <s v="Herida cortante en la frente"/>
    <s v="CABEZA"/>
    <m/>
    <m/>
    <x v="2"/>
    <s v="Septiembre"/>
    <m/>
    <n v="3"/>
    <m/>
    <n v="3"/>
    <m/>
    <m/>
    <m/>
    <x v="38"/>
    <s v="Mantenimiento"/>
    <s v="Golpe"/>
    <m/>
    <s v="uso de equipo inadecuado"/>
    <m/>
  </r>
  <r>
    <m/>
    <s v="SIDSUR"/>
    <m/>
    <s v="MANTENIMIENTO"/>
    <s v="SID1740"/>
    <s v="JESUS VILCA GUTIERREZ"/>
    <m/>
    <s v="Personal Alicorp "/>
    <s v="M"/>
    <s v="1ro"/>
    <s v="OBRERO ESTABLE"/>
    <s v="30 AÑOS"/>
    <d v="2013-09-22T00:00:00"/>
    <s v="Lesión Incapacitante"/>
    <s v="Lesión Incapacitante"/>
    <s v="Contusión en la cabeza y quemaduras eléctricas externas de segundo grado"/>
    <s v="CUERPO"/>
    <m/>
    <m/>
    <x v="2"/>
    <s v="Septiembre"/>
    <m/>
    <n v="60"/>
    <m/>
    <n v="60"/>
    <d v="1899-12-30T14:30:00"/>
    <m/>
    <m/>
    <x v="49"/>
    <s v="Mantenimiento"/>
    <s v="Quemadura"/>
    <m/>
    <s v="mal juicio"/>
    <m/>
  </r>
  <r>
    <m/>
    <s v="CDC"/>
    <m/>
    <s v="DISTRIBUCIÓN"/>
    <s v="DIS1743"/>
    <m/>
    <m/>
    <s v="Personal no Alicorp "/>
    <m/>
    <m/>
    <s v="TERCERO"/>
    <m/>
    <d v="2013-09-23T00:00:00"/>
    <s v="Lesión Incapacitante"/>
    <s v="Lesión Incapacitante"/>
    <s v="Golpe en mano izquierda con puerta furgoneta"/>
    <s v="MANO "/>
    <m/>
    <m/>
    <x v="2"/>
    <s v="Septiembre"/>
    <m/>
    <n v="2"/>
    <m/>
    <n v="2"/>
    <m/>
    <m/>
    <m/>
    <x v="14"/>
    <s v="carga/descarga de camión"/>
    <s v="Golpe"/>
    <m/>
    <s v="Incumplimiento del plan de mantenimiento"/>
    <s v="CR SERVICE"/>
  </r>
  <r>
    <m/>
    <s v="OTROS"/>
    <m/>
    <s v="Seguridad Ind."/>
    <m/>
    <s v="erickson Yaser Guerrero"/>
    <n v="24"/>
    <s v="Personal Alicorp "/>
    <s v="M"/>
    <s v="1ro"/>
    <s v="OBRERO CONTRATADO"/>
    <m/>
    <d v="2013-09-30T00:00:00"/>
    <s v="Lesión Incapacitante"/>
    <s v="Lesión Incapacitante"/>
    <s v="Esguince de 4to dedo de la mano derecha manipulando extintor"/>
    <s v="MANO "/>
    <m/>
    <m/>
    <x v="2"/>
    <s v="Septiembre"/>
    <m/>
    <n v="13"/>
    <m/>
    <n v="13"/>
    <m/>
    <n v="19756"/>
    <m/>
    <x v="61"/>
    <s v="Inspeccionando"/>
    <s v="Golpe"/>
    <m/>
    <s v="mal juicio"/>
    <m/>
  </r>
  <r>
    <m/>
    <s v="MOLINCA"/>
    <m/>
    <s v="Producción "/>
    <m/>
    <s v="Víctor Noé Rodríguez Aguilar"/>
    <m/>
    <s v="Molinca"/>
    <s v="M"/>
    <s v="1ro"/>
    <s v="OBRERO CONTRATADO"/>
    <s v="7 meses"/>
    <d v="2013-10-08T00:00:00"/>
    <s v="Lesión Incapacitante (MOLINCA)"/>
    <s v="Lesión Incapacitante (MOLINCA)"/>
    <s v="atrapamiento de la mano en polin y linea transportadora"/>
    <s v="MANO "/>
    <m/>
    <m/>
    <x v="2"/>
    <s v="Octubre"/>
    <m/>
    <n v="60"/>
    <m/>
    <n v="60"/>
    <d v="1899-12-30T07:20:00"/>
    <m/>
    <m/>
    <x v="22"/>
    <s v="Durante operación productiva"/>
    <s v="Atricción"/>
    <m/>
    <m/>
    <m/>
  </r>
  <r>
    <m/>
    <s v="NUTRICION ANIMAL TRUJILLO "/>
    <m/>
    <s v="DISTRIBUCIÓN"/>
    <s v="NAT1906"/>
    <m/>
    <m/>
    <s v="Personal no Alicorp "/>
    <m/>
    <m/>
    <s v="TERCERO"/>
    <m/>
    <d v="2013-10-15T00:00:00"/>
    <s v="Lesión Incapacitante"/>
    <s v="Lesión Incapacitante"/>
    <s v="corte con amoladora de 7 pulgadas"/>
    <s v="BRAZO/HOMBRO"/>
    <m/>
    <m/>
    <x v="2"/>
    <s v="Octubre"/>
    <m/>
    <n v="30"/>
    <m/>
    <n v="30"/>
    <m/>
    <m/>
    <m/>
    <x v="38"/>
    <s v="Mantenimiento"/>
    <s v="Corte"/>
    <m/>
    <s v="falta de pericia por parte del trabajador"/>
    <s v="CASOLI"/>
  </r>
  <r>
    <m/>
    <s v="NUTRICION ANIMAL TRUJILLO "/>
    <m/>
    <s v="PRODUCCIÓN"/>
    <s v=" NAT1932"/>
    <s v="Jose Rafael Leyva"/>
    <m/>
    <s v="Personal Alicorp "/>
    <s v="M"/>
    <s v="2do"/>
    <s v="OBRERO ESTABLE"/>
    <s v="8 años"/>
    <d v="2013-10-20T00:00:00"/>
    <s v="Lesión Incapacitante"/>
    <s v="Lesión Incapacitante"/>
    <s v="esguince rodilla izquierda, ruptura de menisco "/>
    <s v="PIERNA"/>
    <m/>
    <m/>
    <x v="2"/>
    <s v="Octubre"/>
    <m/>
    <n v="15"/>
    <m/>
    <n v="15"/>
    <d v="1899-12-30T16:45:00"/>
    <m/>
    <m/>
    <x v="20"/>
    <s v="Trasladandose"/>
    <s v="Golpe"/>
    <s v="Caida"/>
    <s v="Falta de señalización "/>
    <m/>
  </r>
  <r>
    <m/>
    <s v="FIDEERIA LIMA"/>
    <m/>
    <s v="RELACIONES LABORALES"/>
    <s v="####"/>
    <m/>
    <m/>
    <s v="Personal no Alicorp "/>
    <m/>
    <m/>
    <s v="TERCERO"/>
    <m/>
    <d v="2013-11-01T00:00:00"/>
    <s v="Lesión Incapacitante"/>
    <s v="Lesión Incapacitante"/>
    <s v="corte del 3er y 4to dedo "/>
    <s v="MANO "/>
    <m/>
    <m/>
    <x v="2"/>
    <s v="Noviembre"/>
    <m/>
    <n v="2"/>
    <m/>
    <n v="2"/>
    <m/>
    <m/>
    <m/>
    <x v="6"/>
    <s v="Cocinando"/>
    <s v="Corte"/>
    <m/>
    <s v="Falta de cuidado "/>
    <s v="FLORIMAR"/>
  </r>
  <r>
    <m/>
    <s v="FIDEERIA LIMA"/>
    <m/>
    <s v="PROYECTOS"/>
    <s v="PFL2074"/>
    <m/>
    <m/>
    <s v="Personal no Alicorp "/>
    <m/>
    <m/>
    <s v="TERCERO"/>
    <m/>
    <d v="2013-11-08T00:00:00"/>
    <s v="Lesión Incapacitante"/>
    <s v="Lesión Incapacitante"/>
    <s v="clavo en el pie"/>
    <s v="PIE"/>
    <m/>
    <m/>
    <x v="2"/>
    <s v="Noviembre"/>
    <m/>
    <n v="1"/>
    <m/>
    <n v="1"/>
    <m/>
    <m/>
    <m/>
    <x v="62"/>
    <s v="Trasladandose"/>
    <s v="Punzada"/>
    <m/>
    <s v="Falta orden y limpieza"/>
    <s v="MMG"/>
  </r>
  <r>
    <m/>
    <s v="MOLINO FAUCETT"/>
    <m/>
    <s v="PRODUCCIÓN"/>
    <s v="MFA 2185"/>
    <s v="Angel Quispe Pedraza"/>
    <n v="32"/>
    <s v="Personal Alicorp "/>
    <s v="M"/>
    <s v="3ro"/>
    <s v="OBRERO ESTABLE"/>
    <s v="7 años"/>
    <d v="2013-11-20T00:00:00"/>
    <s v="Lesión Incapacitante"/>
    <s v="Lesión Incapacitante"/>
    <s v="Atricción del tercer dedo de la mano derecha  en linea de fraccionados"/>
    <s v="MANO "/>
    <m/>
    <m/>
    <x v="2"/>
    <s v="Noviembre"/>
    <m/>
    <n v="27"/>
    <m/>
    <n v="27"/>
    <d v="1899-12-30T04:40:00"/>
    <n v="16529"/>
    <m/>
    <x v="3"/>
    <s v="Durante operación productiva"/>
    <s v="Atricción"/>
    <m/>
    <s v="mal juicio"/>
    <m/>
  </r>
  <r>
    <m/>
    <s v="DISTRIBUCION"/>
    <m/>
    <s v="ADMINISTRACIÓN"/>
    <s v="ADM2343"/>
    <m/>
    <m/>
    <s v="Personal no Alicorp "/>
    <m/>
    <m/>
    <s v="TERCERO"/>
    <m/>
    <d v="2013-11-25T00:00:00"/>
    <s v="Lesión Incapacitante"/>
    <s v="Lesión Incapacitante"/>
    <s v="Contusion en falange proximal 5to dedo derecho, a descartar fractura al resbalar en vestuarios CDC"/>
    <s v="MANO "/>
    <m/>
    <m/>
    <x v="2"/>
    <s v="Noviembre"/>
    <m/>
    <n v="10"/>
    <m/>
    <n v="10"/>
    <m/>
    <m/>
    <m/>
    <x v="20"/>
    <s v="Trasladandose"/>
    <s v="Golpe"/>
    <s v="Caida"/>
    <s v="No seguir procedimiento"/>
    <s v="LIMTEK"/>
  </r>
  <r>
    <m/>
    <s v="COPSA"/>
    <m/>
    <s v="PROYECTOS"/>
    <s v="PCO2298"/>
    <m/>
    <m/>
    <s v="TERCERO"/>
    <m/>
    <m/>
    <s v="TERCERO"/>
    <m/>
    <d v="2013-11-26T00:00:00"/>
    <s v="Lesión Incapacitante"/>
    <s v="Lesión Incapacitante"/>
    <s v="caida de 6 metros por orificio en piso tapado con madera"/>
    <s v="CUERPO"/>
    <m/>
    <m/>
    <x v="2"/>
    <s v="Noviembre"/>
    <m/>
    <n v="60"/>
    <m/>
    <n v="60"/>
    <m/>
    <m/>
    <m/>
    <x v="63"/>
    <s v="Mantenimiento"/>
    <s v="Golpe"/>
    <s v="Caida"/>
    <s v="falta de pericia por parte del trabajador"/>
    <s v="DMD"/>
  </r>
  <r>
    <m/>
    <s v="SIDSUR"/>
    <m/>
    <s v="PRODUCCIÓN"/>
    <s v="SID2213"/>
    <s v="Serapio Felipe Loaiza Chavez"/>
    <n v="18"/>
    <s v="Personal Alicorp "/>
    <s v="M"/>
    <s v="1ro"/>
    <m/>
    <m/>
    <d v="2013-11-27T00:00:00"/>
    <s v="Lesión Incapacitante"/>
    <s v="Lesión Incapacitante"/>
    <s v="Atrición del tercer dedo de la mano derecha al colocar faja de transmisión"/>
    <s v="BRAZO/HOMBRO"/>
    <m/>
    <m/>
    <x v="2"/>
    <s v="Noviembre"/>
    <m/>
    <n v="7"/>
    <m/>
    <n v="7"/>
    <d v="1899-12-30T14:00:00"/>
    <m/>
    <m/>
    <x v="50"/>
    <s v="Mantenimiento"/>
    <s v="Atricción"/>
    <m/>
    <s v="exeso de confianza"/>
    <m/>
  </r>
  <r>
    <m/>
    <s v="DETERGENTES"/>
    <m/>
    <s v="PRODUCCIÓN"/>
    <s v="DET2208"/>
    <s v="La Rosa Vilcherres, Jerry Lener"/>
    <n v="28"/>
    <s v="Personal Alicorp "/>
    <s v="F"/>
    <s v="3ro"/>
    <s v="OBRERO CONTRATADO"/>
    <s v="3 años"/>
    <d v="2013-11-28T00:00:00"/>
    <s v="Lesión Incapacitante"/>
    <s v="Lesión Incapacitante"/>
    <s v="Herida en mano por atricción mano derecha en faja y polin por no bloquear equipo"/>
    <s v="BRAZO/HOMBRO"/>
    <m/>
    <m/>
    <x v="2"/>
    <s v="Noviembre"/>
    <m/>
    <n v="15"/>
    <m/>
    <n v="15"/>
    <d v="1899-12-30T01:55:00"/>
    <n v="17508"/>
    <m/>
    <x v="22"/>
    <s v="Calibrando/Regulando"/>
    <s v="Atricción"/>
    <m/>
    <s v=" Falta de conocimiento "/>
    <m/>
  </r>
  <r>
    <m/>
    <s v="INSTANTANEOS"/>
    <m/>
    <s v="ALMACEN DE INSUMOS "/>
    <s v="BRÑ2236"/>
    <s v="Jose Luis Quispe Diaz "/>
    <m/>
    <s v="Personal Alicorp "/>
    <s v="M"/>
    <m/>
    <m/>
    <s v="10 años"/>
    <d v="2013-11-30T00:00:00"/>
    <s v="Lesión Incapacitante"/>
    <s v="Lesión Incapacitante"/>
    <s v="Aplastamiento con montacarga contra rack"/>
    <s v="CUERPO"/>
    <m/>
    <m/>
    <x v="2"/>
    <s v="Noviembre"/>
    <m/>
    <n v="17"/>
    <m/>
    <n v="17"/>
    <m/>
    <n v="14925"/>
    <m/>
    <x v="18"/>
    <s v="Manejando traspaleta/Montacarga"/>
    <s v="Atricción"/>
    <m/>
    <s v="uso de equipo inadecuado"/>
    <m/>
  </r>
  <r>
    <m/>
    <s v="COPSA"/>
    <m/>
    <s v="PROYECTOS"/>
    <s v="PCO2438"/>
    <m/>
    <m/>
    <s v="Personal no Alicorp "/>
    <m/>
    <m/>
    <s v="TERCERO"/>
    <m/>
    <d v="2013-12-09T00:00:00"/>
    <s v="Lesión Incapacitante"/>
    <s v="Lesión Incapacitante"/>
    <s v="caida de dos metro de altura (muñeca)"/>
    <s v="MANO "/>
    <m/>
    <m/>
    <x v="2"/>
    <s v="Diciembre"/>
    <m/>
    <n v="23"/>
    <m/>
    <n v="23"/>
    <m/>
    <m/>
    <m/>
    <x v="7"/>
    <s v="Mantenimiento"/>
    <s v="Golpe"/>
    <s v="Caida"/>
    <s v="exeso de confianza"/>
    <s v="GRACO"/>
  </r>
  <r>
    <m/>
    <s v="CDC"/>
    <m/>
    <s v="DISTRIBUCIÓN"/>
    <s v="DIS2333"/>
    <m/>
    <m/>
    <s v="Personal no Alicorp "/>
    <m/>
    <m/>
    <s v="TERCERO"/>
    <m/>
    <d v="2013-12-14T00:00:00"/>
    <s v="Lesión Incapacitante"/>
    <s v="Lesión Incapacitante"/>
    <s v="mientras realizaba sus labores de supervisión en los camiones en el estacionamiento de CDC , caminando en el interior de l mismo cubierto por unos cartones se encontraba un agujero el cual al pisarlo cae intempestivamente produciendo politraumatismo ."/>
    <s v="PIE"/>
    <m/>
    <m/>
    <x v="2"/>
    <s v="Diciembre"/>
    <m/>
    <n v="10"/>
    <m/>
    <n v="10"/>
    <m/>
    <m/>
    <m/>
    <x v="14"/>
    <s v="carga/descarga de camión"/>
    <s v="Golpe"/>
    <s v="Caida"/>
    <s v="mal juicio "/>
    <s v="JMA"/>
  </r>
  <r>
    <m/>
    <s v="INSTANTANEOS"/>
    <m/>
    <s v="PRODUCCIÓN"/>
    <s v="BRÑ2443"/>
    <s v="SILVANO CERVANTES AMBROCIA LUCIA"/>
    <n v="31"/>
    <s v="Personal Alicorp "/>
    <m/>
    <m/>
    <s v="OBRERO ESTABLE"/>
    <m/>
    <d v="2013-12-26T00:00:00"/>
    <s v="Lesión Incapacitante"/>
    <s v="Lesión Incapacitante"/>
    <s v="Atrición del primer dedo de la mano derecha; selladora manual de la máquina P-3 "/>
    <s v="MANO "/>
    <m/>
    <m/>
    <x v="2"/>
    <s v="Diciembre"/>
    <m/>
    <n v="11"/>
    <m/>
    <n v="11"/>
    <m/>
    <n v="11829"/>
    <m/>
    <x v="3"/>
    <s v="Durante operación productiva"/>
    <s v="Atricción"/>
    <m/>
    <s v="exeso de confianza "/>
    <m/>
  </r>
  <r>
    <m/>
    <s v="DISTRIBUCION"/>
    <m/>
    <s v="DISTRIBUCIÓN"/>
    <s v="R-DIS-2012-008375"/>
    <s v="ZAPATA RAMOS ROSSANA"/>
    <n v="52"/>
    <s v="Personal Alicorp"/>
    <s v="F"/>
    <s v="1ro"/>
    <s v="EMPLEADO ESTABLE"/>
    <s v="13 años"/>
    <d v="2012-01-09T00:00:00"/>
    <s v="Lesión Incapacitante"/>
    <s v="Lesión Incapacitante"/>
    <s v="Albajar del Bus Rossana zapata recibe un diario y al caminar distraida sufre una caída al piso sufirendo un esguince en el tobillo-"/>
    <s v="PIE"/>
    <m/>
    <m/>
    <x v="3"/>
    <s v="Enero"/>
    <n v="1"/>
    <n v="27"/>
    <m/>
    <n v="27"/>
    <d v="1899-12-30T08:20:00"/>
    <n v="6783"/>
    <m/>
    <x v="20"/>
    <s v="Trasladandose"/>
    <s v="Esguince"/>
    <m/>
    <m/>
    <m/>
  </r>
  <r>
    <m/>
    <s v="INSTANTANEOS"/>
    <m/>
    <s v="ADMINISTRACIÓN"/>
    <s v="R-BRÑ-2012-002518_x000a_nueva ROM: R-BRÑ-2012-002546"/>
    <s v="-"/>
    <s v="-"/>
    <s v="Personal No Alicorp"/>
    <m/>
    <s v="-"/>
    <s v="TERCERO"/>
    <s v="-"/>
    <d v="2012-01-14T00:00:00"/>
    <s v="Lesión Incapacitante"/>
    <s v="Lesión Incapacitante"/>
    <s v="colaborador de limtek Guillermo Villegas Burga sufre caida de escalera tipo tijera y es trasladado a la clinica san gabriel."/>
    <s v="MANO "/>
    <m/>
    <m/>
    <x v="3"/>
    <s v="Enero"/>
    <n v="6"/>
    <n v="30"/>
    <m/>
    <n v="30"/>
    <s v="-"/>
    <m/>
    <m/>
    <x v="30"/>
    <s v="Mantenimiento"/>
    <s v="Golpe"/>
    <s v="Caida"/>
    <m/>
    <s v="LIMTEK"/>
  </r>
  <r>
    <m/>
    <s v="SIDSUR"/>
    <m/>
    <s v="PRODUCCIÓN"/>
    <s v="R-SID-2012-009607"/>
    <s v="PINGO CASTRO SAMUEL"/>
    <n v="40"/>
    <s v="Personal Alicorp"/>
    <s v="M"/>
    <s v="2do"/>
    <s v="OBRERO ESTABLE"/>
    <s v="13 años"/>
    <d v="2012-01-16T00:00:00"/>
    <s v="Lesión Incapacitante"/>
    <s v="Lesión Incapacitante"/>
    <s v="Atricción de falanges distales 3er y 4to dedos mano derecha cambiando molde  fideería"/>
    <s v="MANO "/>
    <m/>
    <m/>
    <x v="3"/>
    <s v="Enero"/>
    <n v="1"/>
    <n v="90"/>
    <m/>
    <n v="90"/>
    <d v="1899-12-30T15:00:00"/>
    <n v="4189"/>
    <m/>
    <x v="26"/>
    <s v="Durante operación productiva"/>
    <s v="Atricción"/>
    <m/>
    <m/>
    <m/>
  </r>
  <r>
    <m/>
    <s v="GALLETERA LIMA"/>
    <m/>
    <s v="PRODUCCIÓN"/>
    <s v="R-PGL-2012-006101"/>
    <s v="GONZALES RODRIGUES, ROSA"/>
    <n v="40"/>
    <s v="Personal Alicorp"/>
    <s v="F"/>
    <s v="2do"/>
    <s v="OBRERO ESTABLE"/>
    <s v="5 años"/>
    <d v="2012-01-17T00:00:00"/>
    <s v="Lesión Incapacitante"/>
    <s v="Lesión Incapacitante"/>
    <s v="Golpe de mano derecha ocasionado por atricción con puertas abatibles."/>
    <s v="MANO "/>
    <m/>
    <m/>
    <x v="3"/>
    <s v="Enero"/>
    <n v="2"/>
    <n v="10"/>
    <m/>
    <n v="10"/>
    <d v="1899-12-30T21:19:00"/>
    <n v="15188"/>
    <m/>
    <x v="34"/>
    <s v="Trasladandose"/>
    <s v="Golpe"/>
    <m/>
    <m/>
    <m/>
  </r>
  <r>
    <m/>
    <s v="PROYECTOS"/>
    <m/>
    <s v="PROYECTOS"/>
    <s v="R-PIN-2012-000001; SE ANULO ESTA ROM Y SE CREO OTRA _x000a_R-PFL-2012-003762  _x000a_Etapa: EN EJECUCION  _x000a_"/>
    <s v="-"/>
    <s v="-"/>
    <s v="TERCERO"/>
    <m/>
    <s v="-"/>
    <s v="TERCERO"/>
    <s v="-"/>
    <d v="2012-01-25T00:00:00"/>
    <s v="Lesión Incapacitante"/>
    <s v="Lesión Incapacitante"/>
    <s v="CORTE PROFUNDO EN MUÑECA MANO DERECHA"/>
    <s v="MANO "/>
    <m/>
    <m/>
    <x v="3"/>
    <s v="Enero"/>
    <n v="3"/>
    <n v="45"/>
    <m/>
    <n v="45"/>
    <s v="-"/>
    <m/>
    <m/>
    <x v="64"/>
    <s v="Mantenimiento"/>
    <s v="Corte"/>
    <m/>
    <m/>
    <m/>
  </r>
  <r>
    <m/>
    <s v="COPSA"/>
    <m/>
    <s v="PRODUCCIÓN"/>
    <s v="R-PCO-2012-014273"/>
    <s v="MONTALVO VERA RAMON PRIMITIVO"/>
    <n v="61"/>
    <s v="Personal Alicorp"/>
    <s v="M"/>
    <s v="3ro"/>
    <s v="EMPLEADO ESTABLE"/>
    <s v="23 años"/>
    <d v="2012-02-16T00:00:00"/>
    <s v="Lesión Incapacitante"/>
    <s v="Lesión Incapacitante"/>
    <s v="Salpicadura de agua de tanque de condensos al colaborador Ramon Montalvo"/>
    <s v="PIERNA"/>
    <m/>
    <m/>
    <x v="3"/>
    <s v="febrero"/>
    <n v="4"/>
    <n v="15"/>
    <m/>
    <n v="15"/>
    <d v="1899-12-30T05:40:00"/>
    <n v="1110"/>
    <m/>
    <x v="65"/>
    <s v="Durante operación productiva"/>
    <s v="Quemadura"/>
    <m/>
    <m/>
    <m/>
  </r>
  <r>
    <m/>
    <s v="DETERGENTES"/>
    <m/>
    <s v="PRODUCCIÓN"/>
    <s v="R-DET-2012-001788"/>
    <s v="AZAÑERO CUEVA WILMER DE LA CRUZ"/>
    <n v="34"/>
    <s v="Personal Alicorp"/>
    <s v="M"/>
    <s v="1ro"/>
    <s v="OBRERO ESTABLE"/>
    <s v="6 años"/>
    <d v="2012-03-02T00:00:00"/>
    <s v="Lesión Incapacitante"/>
    <s v="Lesión Incapacitante"/>
    <s v="Quemadura de brazo derecho por detergente liquido caliente"/>
    <s v="BRAZO/HOMBRO"/>
    <m/>
    <m/>
    <x v="3"/>
    <s v="Marzo"/>
    <n v="5"/>
    <n v="16"/>
    <m/>
    <n v="16"/>
    <d v="1899-12-30T10:33:00"/>
    <n v="12298"/>
    <m/>
    <x v="66"/>
    <s v="Durante operación productiva"/>
    <s v="Quemadura"/>
    <m/>
    <m/>
    <m/>
  </r>
  <r>
    <m/>
    <s v="FIDEERIA LIMA"/>
    <m/>
    <s v="DISTRIBUCIÓN"/>
    <s v="R-PFL-2012-003767 "/>
    <s v="Alexander Cabezas Galvez"/>
    <n v="29"/>
    <s v="Personal Alicorp"/>
    <s v="M"/>
    <s v="1ro"/>
    <s v="OBRERO CONTRATADO"/>
    <s v="1año"/>
    <d v="2012-03-15T00:00:00"/>
    <s v="Lesión Incapacitante"/>
    <s v="Lesión Incapacitante"/>
    <s v="Choque de paleta vacia contra el tobillo del Ayudante Paletizador (Sr. Alexander Cabezas Galvez, Fideería Lima)"/>
    <s v="PIE"/>
    <m/>
    <m/>
    <x v="3"/>
    <s v="Marzo"/>
    <n v="4"/>
    <n v="2"/>
    <m/>
    <n v="2"/>
    <d v="1899-12-30T10:15:00"/>
    <m/>
    <m/>
    <x v="27"/>
    <s v="Durante operación productiva"/>
    <s v="Golpe"/>
    <m/>
    <m/>
    <m/>
  </r>
  <r>
    <m/>
    <s v="DISTRIBUCION"/>
    <m/>
    <s v="DISTRIBUCIÓN"/>
    <s v="R-DIS-2012-008462 "/>
    <s v="Pedro Phil Renato Bocanegra Colacc"/>
    <n v="33"/>
    <s v="Personal Alicorp"/>
    <s v="M"/>
    <s v="2do"/>
    <s v="OBRERO ESTABLE"/>
    <s v="8 años"/>
    <d v="2012-03-26T00:00:00"/>
    <s v="Lesión Incapacitante"/>
    <s v="Lesión Incapacitante"/>
    <s v="Sr. Pedro Phil Renato Bocanegra Colacci (CDC), mientras se encontraba manejando una maquina (traspaletas) es golpeado por otra maquina (elevador electrico) golpeandose a nivel de hemitorax anterior izquierdo cayendo al suelo en posicion sentada de una altura aproximada de 15 cm."/>
    <s v="CUERPO"/>
    <m/>
    <m/>
    <x v="3"/>
    <s v="Marzo"/>
    <n v="1"/>
    <n v="14"/>
    <m/>
    <n v="14"/>
    <d v="1899-12-30T17:37:00"/>
    <n v="11297"/>
    <m/>
    <x v="12"/>
    <s v="Manejando traspaleta/Montacarga"/>
    <s v="Golpe"/>
    <m/>
    <m/>
    <m/>
  </r>
  <r>
    <m/>
    <s v="DETERGENTES"/>
    <m/>
    <s v="PRODUCCIÓN"/>
    <s v="R-DET-2012-001799 "/>
    <s v="Cesar Alarcon "/>
    <n v="37"/>
    <s v="Personal Alicorp"/>
    <s v="M"/>
    <s v="2do"/>
    <s v="OBRERO ESTABLE"/>
    <s v="4años"/>
    <d v="2012-03-28T00:00:00"/>
    <s v="Lesión Incapacitante"/>
    <s v="Lesión Incapacitante"/>
    <s v="Trabajador Cesar Alarcon , operador Receptor de Granel,  se encontraba jalando un carro de granel de Bolivar para la alimentación de las maquinas HH, el carro se corre a un lado aprisionandole la canilla de la pierna izquierda entre la base de la rueda y la baranda de protección de la Massipak &quot; D &quot;. "/>
    <s v="PIERNA"/>
    <m/>
    <m/>
    <x v="3"/>
    <s v="Marzo"/>
    <n v="3"/>
    <n v="22"/>
    <m/>
    <n v="22"/>
    <d v="1899-12-30T18:15:00"/>
    <n v="15756"/>
    <m/>
    <x v="67"/>
    <s v="Durante operación productiva"/>
    <s v="Golpe"/>
    <m/>
    <m/>
    <m/>
  </r>
  <r>
    <m/>
    <s v="FIDEERIA LIMA"/>
    <m/>
    <s v="DISTRIBUCIÓN"/>
    <s v="R-PFL-2012-003777"/>
    <s v="-"/>
    <s v="-"/>
    <s v="Personal no Alicorp"/>
    <m/>
    <s v="-"/>
    <s v="TERCERO"/>
    <s v="-"/>
    <d v="2012-03-29T00:00:00"/>
    <s v="Lesión Incapacitante"/>
    <s v="Lesión Incapacitante"/>
    <s v="Sr. Alejandro Ross Zuñiga  de la empresa ISELSA. Golpe en la cabeza con la puerta del container."/>
    <s v="CABEZA"/>
    <m/>
    <m/>
    <x v="3"/>
    <s v="Marzo"/>
    <n v="4"/>
    <n v="2"/>
    <m/>
    <n v="2"/>
    <s v="-"/>
    <m/>
    <m/>
    <x v="14"/>
    <s v="carga/descarga de camión"/>
    <s v="Golpe"/>
    <m/>
    <m/>
    <s v="ISELSA"/>
  </r>
  <r>
    <m/>
    <s v="FIDEERIA ALIANZA"/>
    <m/>
    <s v="PRODUCCIÓN"/>
    <s v="R-PFA-2012-003572"/>
    <s v="JHON TARAZONA BERNUY"/>
    <n v="40"/>
    <s v="Personal Alicorp"/>
    <s v="M"/>
    <s v="2do"/>
    <s v="OBRERO ESTABLE"/>
    <s v="10 años"/>
    <d v="2012-04-04T00:00:00"/>
    <s v="Lesión Incapacitante"/>
    <s v="Lesión Incapacitante"/>
    <s v="Sr. John Tarazona Bernuy, colaborador de Fideería Alianza. Corte en el dedo índice de la mano derecha"/>
    <s v="MANO "/>
    <m/>
    <m/>
    <x v="3"/>
    <s v="Abril"/>
    <n v="3"/>
    <n v="11"/>
    <m/>
    <n v="11"/>
    <d v="1899-12-30T22:58:00"/>
    <n v="10221"/>
    <s v="*"/>
    <x v="3"/>
    <s v="Limpiando instalaciones"/>
    <s v="Corte"/>
    <m/>
    <m/>
    <m/>
  </r>
  <r>
    <m/>
    <s v="GALLETERA LIMA"/>
    <m/>
    <s v="RELACIONES LABORALES"/>
    <s v="R-PGL-2012-006166 "/>
    <s v="-"/>
    <s v="-"/>
    <s v="Personal no alicorp"/>
    <m/>
    <s v="-"/>
    <s v="TERCERO"/>
    <s v="-"/>
    <d v="2012-04-26T00:00:00"/>
    <s v="Lesión Incapacitante"/>
    <s v="Lesión Incapacitante"/>
    <s v="Sr Jose luis Astupiñan Tantaruna, trabajador (empresa Regis) del comedor de planta Galletera. Quemadura de Primer grado en cara y antebrazo."/>
    <s v="CABEZA"/>
    <m/>
    <m/>
    <x v="3"/>
    <s v="Abril"/>
    <n v="4"/>
    <n v="4"/>
    <m/>
    <n v="4"/>
    <s v="-"/>
    <m/>
    <m/>
    <x v="65"/>
    <s v="Cocinando"/>
    <s v="Quemadura"/>
    <m/>
    <m/>
    <s v="REGIS"/>
  </r>
  <r>
    <m/>
    <s v="SIDSUR"/>
    <m/>
    <s v="PRODUCCIÓN"/>
    <s v="R-SID-2012-009638 "/>
    <s v="Alfredo Alvarez Pinto"/>
    <n v="25"/>
    <s v="Personal Alicorp"/>
    <s v="M"/>
    <s v="2do"/>
    <s v="OBRERO CONTRATADO"/>
    <m/>
    <d v="2012-05-09T00:00:00"/>
    <s v="Lesión Incapacitante"/>
    <s v="Lesión Incapacitante"/>
    <s v="Sr. Alfredo Alvarez Pinto, colaborador Molino Victoria. Esguince en el metacarpo del dedo pulgar derecho."/>
    <s v="MANO "/>
    <m/>
    <m/>
    <x v="3"/>
    <s v="Mayo"/>
    <n v="3"/>
    <n v="11"/>
    <m/>
    <n v="11"/>
    <d v="1899-12-30T16:55:00"/>
    <n v="10702"/>
    <m/>
    <x v="21"/>
    <s v="Estibando"/>
    <s v="Esguince"/>
    <m/>
    <m/>
    <m/>
  </r>
  <r>
    <m/>
    <s v="DISTRIBUCION"/>
    <m/>
    <s v="DISTRIBUCIÓN"/>
    <s v="R-DIS-2012-008520"/>
    <s v="Luis Cavero Martinez"/>
    <n v="26"/>
    <s v="Personal Alicorp"/>
    <s v="M"/>
    <s v="2do"/>
    <s v="OBRERO CONTRATADO"/>
    <s v="11 meses"/>
    <d v="2012-05-21T00:00:00"/>
    <s v="Lesión Incapacitante"/>
    <s v="Lesión Incapacitante"/>
    <s v="Sr. Luis Cavero Martinez, colaborador de Distribucion. Esguinse de muñeca cargando lata_x000a_"/>
    <s v="MANO "/>
    <m/>
    <m/>
    <x v="3"/>
    <s v="Mayo"/>
    <n v="1"/>
    <n v="1"/>
    <m/>
    <n v="1"/>
    <d v="1899-12-30T20:17:00"/>
    <n v="18960"/>
    <m/>
    <x v="57"/>
    <s v="Estibando"/>
    <s v="Esguince"/>
    <m/>
    <m/>
    <m/>
  </r>
  <r>
    <m/>
    <s v="COPSA"/>
    <m/>
    <s v="PRODUCCIÓN"/>
    <s v="R-PCO-2012-014318"/>
    <s v="BURGOS RIBOTTE JEFFERSON"/>
    <n v="21"/>
    <s v="Personal Alicorp"/>
    <s v="M"/>
    <s v="3ro"/>
    <s v="CAPAC.LAB.JUVENIL"/>
    <s v="5 mese"/>
    <d v="2012-05-23T00:00:00"/>
    <s v="Lesión Incapacitante"/>
    <s v="Lesión Incapacitante"/>
    <s v="Sr. BURGOS RIBOTTE JEFFERSON, del sector de COPSA ENVASAMIENTO ACEITES. En circunstancias en que manipulaba haciendo cortes de bidones en la maquina Romela es que se le resbala y la cuchilla le produce un corte en el antebrazo izquierdo."/>
    <s v="BRAZO/HOMBRO"/>
    <m/>
    <m/>
    <x v="3"/>
    <s v="Mayo"/>
    <n v="3"/>
    <n v="12"/>
    <m/>
    <n v="12"/>
    <d v="1899-12-30T06:25:00"/>
    <n v="19674"/>
    <m/>
    <x v="23"/>
    <s v="Durante operación productiva"/>
    <s v="Corte"/>
    <m/>
    <m/>
    <m/>
  </r>
  <r>
    <m/>
    <s v="COPSA"/>
    <m/>
    <s v="PRODUCCIÓN"/>
    <s v="R-PCO-2012-014319"/>
    <s v="José Matos Silva"/>
    <n v="43"/>
    <s v="Personal Alicorp"/>
    <s v="M"/>
    <s v="1ro"/>
    <s v="OBRERO ESTABLE"/>
    <s v="15 años"/>
    <d v="2012-05-26T00:00:00"/>
    <s v="Lesión Incapacitante"/>
    <s v="Lesión Incapacitante"/>
    <s v="SR JOSE MATOS SILVA (COPSA). QUEMADURA (EN LA CARA) QUIMICA POR AMONIACO "/>
    <s v="CABEZA"/>
    <m/>
    <m/>
    <x v="3"/>
    <s v="Mayo"/>
    <n v="6"/>
    <n v="15"/>
    <m/>
    <n v="15"/>
    <d v="1899-12-30T09:00:00"/>
    <n v="10033"/>
    <m/>
    <x v="19"/>
    <s v="Durante operación productiva"/>
    <s v="Contacto sustancia Quimica"/>
    <m/>
    <m/>
    <m/>
  </r>
  <r>
    <m/>
    <s v="MOLINO CALLAO"/>
    <m/>
    <s v="DISTRIBUCIÓN"/>
    <s v="R-MCA-2012-004342"/>
    <s v="-"/>
    <s v="-"/>
    <s v="Personal No Alicorp"/>
    <m/>
    <s v="-"/>
    <s v="TERCERO"/>
    <s v="-"/>
    <d v="2012-06-07T00:00:00"/>
    <s v="Lesión Incapacitante"/>
    <s v="Lesión Incapacitante"/>
    <s v="Durante la operación estibado de sacos, luego de hacer la inspección respectiva de la plataforma del vehículo con Placa YD3807 de la Empresa Guzmán, se procede a cargar el camión, es en estos momentos que el estibador Antonio Guzmán, pisa una de las tablas la cual se rompe transversalmente, ocasionando que su pie derecho se introduzca en el espacio generado; no llega a caerse totalmente porque su pie encuentra apoyo en un soporte metálico que tenía el vehículo (APT - MCA)"/>
    <s v="PIE"/>
    <m/>
    <m/>
    <x v="3"/>
    <s v="Junio"/>
    <n v="4"/>
    <n v="3"/>
    <m/>
    <n v="3"/>
    <s v="-"/>
    <m/>
    <m/>
    <x v="14"/>
    <s v="carga/descarga de camión"/>
    <s v="Golpe"/>
    <m/>
    <m/>
    <m/>
  </r>
  <r>
    <m/>
    <s v="FIDEERIA LIMA"/>
    <m/>
    <s v="DISTRIBUCIÓN"/>
    <s v="R-PFL-2012-003792 "/>
    <s v="-"/>
    <s v="-"/>
    <s v="Personal No Alicorp"/>
    <m/>
    <s v="-"/>
    <s v="TERCERO"/>
    <s v="-"/>
    <d v="2012-06-08T00:00:00"/>
    <s v="Lesión Incapacitante"/>
    <s v="Lesión Incapacitante"/>
    <s v="Planta Fideria APT: Sr. Deivis Allca Huaraca de la Empresa Hermanos Cure, mientras se encontraba en el camión acomodando con la malla los sacos de afrecho ,se resbala de una altura de 4.5 metros aprox.  Paciente refiere que al resbalar se coge de la malla para no caer al suelo ,posteriormente cae al suelo en posición de pie._x000a_D/C Fractura de Calcaneo vs Fractura de Astragalo."/>
    <s v="PIE"/>
    <m/>
    <m/>
    <x v="3"/>
    <s v="Junio"/>
    <n v="5"/>
    <n v="2"/>
    <m/>
    <n v="2"/>
    <s v="-"/>
    <m/>
    <m/>
    <x v="8"/>
    <s v="Durante operación productiva"/>
    <s v="Golpe"/>
    <s v="Caida"/>
    <m/>
    <m/>
  </r>
  <r>
    <m/>
    <s v="FIDEERIA LIMA"/>
    <m/>
    <s v="ADMINISTRACIÓN"/>
    <s v="R-PFL-2012-003795 "/>
    <s v="-"/>
    <s v="-"/>
    <s v="Personal No Alicorp"/>
    <m/>
    <s v="-"/>
    <s v="TERCERO"/>
    <s v="-"/>
    <d v="2012-06-15T00:00:00"/>
    <s v="Lesión Incapacitante"/>
    <s v="Lesión Incapacitante"/>
    <s v="SR. CHUCCHUCAN  HUARIPATA LUIS FERNANDO (LIMTECK). PACIENTE REFIERE AL ENCONTRARSE LIMPIANDO EN FIDERIA , MOLINO  3ER PISO AL LEVANTAR DEL SUELO UN TUBO DE FIERRO QUE SIRVE PARA ARMAR ANDAMIO  SE  LE RESBALA  DE LA MANO Y CAE SOBRE SU PIE IZQUIERDO PRODUCIENDO TRAUMATISMO SUPERFICIAL CAUSANDO DOLOR AGUDO_x000a_"/>
    <s v="PIE"/>
    <m/>
    <m/>
    <x v="3"/>
    <s v="Junio"/>
    <n v="5"/>
    <n v="9"/>
    <m/>
    <n v="9"/>
    <s v="-"/>
    <m/>
    <m/>
    <x v="56"/>
    <s v="Limpiando instalaciones"/>
    <s v="Golpe"/>
    <m/>
    <m/>
    <m/>
  </r>
  <r>
    <m/>
    <s v="COPSA"/>
    <m/>
    <s v="PRODUCCIÓN"/>
    <s v="R-PCO-2012-014329"/>
    <s v="Cesar Dominguez"/>
    <n v="37"/>
    <s v="Personal Alicorp"/>
    <s v="M"/>
    <s v="2do"/>
    <s v="OBRERO ESTABLE"/>
    <s v="15 años"/>
    <d v="2012-06-18T00:00:00"/>
    <s v="Lesión Incapacitante"/>
    <s v="Lesión Incapacitante"/>
    <s v="Sr. César Augusto Domínguez Rodríguez , trabajador de COPSA. Paciente se encontraba ayudando a reparar una &quot;máquina Petri&quot;, indica que al manipularla con una llave esta aplasta su mano derecha sobre una superficie. _x000a_Presenta 2 heridas superficiales en primer dedo, sangrado escaso. Refiere dolor moderado en primer y tercer dedo de la mano derecha."/>
    <s v="MANO "/>
    <m/>
    <m/>
    <x v="3"/>
    <s v="Junio"/>
    <n v="1"/>
    <n v="20"/>
    <m/>
    <n v="20"/>
    <d v="1899-12-30T20:20:00"/>
    <n v="9959"/>
    <m/>
    <x v="38"/>
    <s v="Mantenimiento"/>
    <s v="Golpe"/>
    <m/>
    <m/>
    <m/>
  </r>
  <r>
    <m/>
    <s v="RELACIONES LABORALES"/>
    <m/>
    <s v="RELACIONES LABORALES"/>
    <s v="R-ADM-2012-000256 "/>
    <s v="-"/>
    <s v="-"/>
    <s v="Personal No Alicorp"/>
    <m/>
    <s v="-"/>
    <s v="TERCERO"/>
    <s v="-"/>
    <d v="2012-06-20T00:00:00"/>
    <s v="Lesión Incapacitante"/>
    <s v="Lesión Incapacitante"/>
    <s v="Sr. Hector Cuellar Caceres, personal que brinda servicios a la Empresa  &quot;Servicios Balbinito&quot;, refiere que mientras se encontraba cortando lechuga con cuchillo, sufre lesión en región palmar de mano izquierda provocando sangrado de regular cantidad. "/>
    <s v="MANO "/>
    <m/>
    <m/>
    <x v="3"/>
    <s v="Junio"/>
    <n v="3"/>
    <n v="7"/>
    <m/>
    <n v="7"/>
    <s v="-"/>
    <m/>
    <m/>
    <x v="6"/>
    <s v="Cocinando"/>
    <s v="Corte"/>
    <m/>
    <m/>
    <m/>
  </r>
  <r>
    <m/>
    <s v="FIDEERIA ALIANZA"/>
    <m/>
    <s v="PRODUCCIÓN"/>
    <s v="R-PFA-2012-003608 "/>
    <s v="-"/>
    <s v="-"/>
    <s v="Personal No Alicorp"/>
    <m/>
    <s v="-"/>
    <s v="TERCERO"/>
    <s v="-"/>
    <d v="2012-06-25T00:00:00"/>
    <s v="Lesión Incapacitante"/>
    <s v="Lesión Incapacitante"/>
    <s v="Sarita Alarcón Medina, contratista de la empresa ACCESS LINE SRL (accidente ocurrido en Fidería Alianza. Mientras se encontraba sellando envoltura con la máquina selladora, en el área  de envasados manuales, el segundo dedo de mano derecha queda atrapado provocándole lesión en región distal de dicho dedo acompañado de abundante sangrado. _x000a_"/>
    <s v="MANO "/>
    <m/>
    <m/>
    <x v="3"/>
    <s v="Junio"/>
    <n v="1"/>
    <n v="13"/>
    <m/>
    <n v="13"/>
    <s v="-"/>
    <m/>
    <m/>
    <x v="3"/>
    <s v="Durante operación productiva"/>
    <s v="Corte"/>
    <m/>
    <m/>
    <m/>
  </r>
  <r>
    <m/>
    <s v="FIDEERIA LIMA"/>
    <m/>
    <s v="MANTENIMIENTO"/>
    <s v="R-PFL-2012-003797 "/>
    <s v="-"/>
    <s v="-"/>
    <s v="Personal No Alicorp"/>
    <m/>
    <s v="-"/>
    <s v="TERCERO"/>
    <s v="-"/>
    <d v="2012-06-30T00:00:00"/>
    <s v="Lesión Incapacitante"/>
    <s v="Lesión Incapacitante"/>
    <s v="Sr Edson Rodriguez de Baca, contratista de la empresa San Silvestre. Paciente refiere que mientras hacia lubricación de la maquinaria de la línea 24 de la planta de Fideria, se quedo atrapado el trapo en la cadena y al tratar de sacarlo se le atriccionó la mano.  "/>
    <s v="MANO "/>
    <m/>
    <m/>
    <x v="3"/>
    <s v="Junio"/>
    <n v="6"/>
    <n v="13"/>
    <m/>
    <n v="13"/>
    <s v="-"/>
    <m/>
    <m/>
    <x v="16"/>
    <s v="Mantenimiento"/>
    <s v="Atricción"/>
    <m/>
    <m/>
    <m/>
  </r>
  <r>
    <m/>
    <s v="VENTAS"/>
    <m/>
    <m/>
    <s v="OFIC VTAS CUZCO"/>
    <m/>
    <m/>
    <s v="Personal Alicorp"/>
    <m/>
    <m/>
    <m/>
    <m/>
    <d v="2012-07-02T00:00:00"/>
    <s v="Lesión Incapacitante"/>
    <s v="Lesión Incapacitante"/>
    <s v="Srta Grecia mientras se encontraba bajando los escalones del segundo al primer piso luego de sacar copias, sufre un resbalón ocasionándole golpes en las piernas y la nalga."/>
    <s v="PIERNA"/>
    <m/>
    <m/>
    <x v="3"/>
    <s v="Julio"/>
    <n v="1"/>
    <n v="7"/>
    <m/>
    <n v="7"/>
    <m/>
    <m/>
    <m/>
    <x v="53"/>
    <s v="Trasladandose"/>
    <s v="Golpe"/>
    <s v="Caida"/>
    <m/>
    <m/>
  </r>
  <r>
    <m/>
    <s v="COPSA"/>
    <m/>
    <s v="PRODUCCIÓN"/>
    <s v="R-PCO-2012-014345 "/>
    <s v="Castillo Luna Jacqueline"/>
    <n v="43"/>
    <s v="Personal Alicorp"/>
    <s v="F"/>
    <s v="1ro"/>
    <s v="OBRERO ESTABLE"/>
    <s v="6 años"/>
    <d v="2012-07-14T00:00:00"/>
    <s v="Lesión Incapacitante"/>
    <s v="Lesión Incapacitante"/>
    <s v="SRA CASTILLO LUNA JACQUELINE SOLEDAD, TRABAJADORA DEL ÁREA DE COPSA ENVASAMIENTO MARGARINA. MIENTRAS TRABAJABA EN LA FAJA TRANSPORTADORA DE CAJAS, ESTAS NO CIRCULABAN POR LO CUAL CON LA MANO DERECHA EMPUJA LA CAJA OBSTRUIDA Y CON LA IZQUIERDA RETIENE LAS DEMAS, AL GIRAR LA VISTA HACIA EL LADO IZQUIERO BAJA LA MANO DERECHA LA CUAL QUEDA ATRAPADA ENTRE LA FAJA Y EL POLIN POR UN LAPSO APROX. DE 3 MINUTOS, SIENDO AUXILIADA POR SUS COMPAÑEROS Y EL EQUIPO DE SEGURIDAD INDUSTRIAL. "/>
    <s v="MANO "/>
    <m/>
    <m/>
    <x v="3"/>
    <s v="Julio"/>
    <n v="6"/>
    <n v="28"/>
    <m/>
    <n v="28"/>
    <d v="1899-12-30T10:00:00"/>
    <n v="12607"/>
    <m/>
    <x v="22"/>
    <s v="Durante operación productiva"/>
    <s v="Atricción"/>
    <m/>
    <m/>
    <m/>
  </r>
  <r>
    <m/>
    <s v="NUTRICION ANIMAL TRUJILLO "/>
    <m/>
    <s v="PRODUCCIÓN"/>
    <s v="R-NAT-2012-004026"/>
    <s v="GUANILO LEON ALBERTO RAPHAEL"/>
    <n v="38"/>
    <s v="Personal Alicorp"/>
    <s v="M"/>
    <s v="1ro"/>
    <s v="OBRERO CONTRATADO"/>
    <s v="7 dias"/>
    <d v="2012-07-22T00:00:00"/>
    <s v="Lesión Incapacitante"/>
    <s v="Lesión Incapacitante"/>
    <s v="el envasador utiliza el montacargas para retirar el big bag de finos de Krs , en ese momento el montacargas arranca pero pierde aceleración ^balón de gas nivel mínimo, casi vacío^, al no avanzar  insiste con el acelerador , tras varios intentos arranca a alta velocidad  y gira el volante para no atropellar a compañero que se encontraba a aproximadamente 1 metro trabajando como segundo emparrillador, éste trata de evitar el impacto pero la parte lateral del castillo de montacargas le golpea el hombro derecho."/>
    <s v="BRAZO/HOMBRO"/>
    <m/>
    <m/>
    <x v="3"/>
    <s v="Julio"/>
    <n v="7"/>
    <n v="3"/>
    <m/>
    <n v="3"/>
    <d v="1899-12-30T12:10:00"/>
    <n v="20527"/>
    <m/>
    <x v="18"/>
    <s v="Manejando traspaleta/Montacarga"/>
    <s v="Atropello"/>
    <m/>
    <m/>
    <m/>
  </r>
  <r>
    <m/>
    <s v="GALLETERA LIMA"/>
    <m/>
    <s v="PRODUCCIÓN"/>
    <s v="R-PGL-2012-006263"/>
    <s v="FUENTES LEON RONALD"/>
    <n v="22"/>
    <s v="Personal Alicorp"/>
    <s v="M"/>
    <s v="3ro"/>
    <s v="OBRERO CONTRATADO"/>
    <s v="2.5 meses"/>
    <d v="2012-08-18T00:00:00"/>
    <s v="Lesión incapacitante "/>
    <s v="Lesión incapacitante "/>
    <s v="Al iniciar el tercer turno el colaborador Ronald Fuentes ^Contratado^se dirigió a su puesto de armado de cajas de la línea 3. Al momento de coger un paquete de cajas que estaban ubicadas sobre una paleta de madera se le incrustó una astilla en un dedo de la mano derecha. Dicha astilla era de 1.2 cm aprox, se dirigió al tópico y el doctor indico que tenía que ser trasladado a la clínica para la extracción de dicha astilla.En la clínica el doctor le realizo una pequeña cirugía para la extracción de la astilla otorgándole un descanso relativo de 5 días."/>
    <s v="MANO "/>
    <m/>
    <m/>
    <x v="3"/>
    <s v="Agosto "/>
    <n v="5"/>
    <n v="13"/>
    <m/>
    <n v="13"/>
    <d v="1899-12-30T23:10:00"/>
    <n v="20249"/>
    <m/>
    <x v="68"/>
    <s v="Durante operación productiva"/>
    <s v="Incrustación astilla"/>
    <m/>
    <m/>
    <m/>
  </r>
  <r>
    <m/>
    <s v="MOLINCA"/>
    <m/>
    <s v="Producción "/>
    <s v="Galletera Trujillo "/>
    <s v="Nelson Alberto Quiroz Jimenez"/>
    <n v="59"/>
    <s v="Molinca "/>
    <s v="M"/>
    <s v="1ro"/>
    <s v="OBRERO ESTABLE"/>
    <s v="15 años"/>
    <d v="2012-08-22T00:00:00"/>
    <s v="Lesión Incapacitante (MOLINCA)"/>
    <s v="Lesión Incapacitante (MOLINCA)"/>
    <s v="Cuando el trabajador se encontraba retirando la manta que cubría un lote de cajas almacenadas de manera temporal en el patio de maniobras para su atención a planta, la manta queda enganchada en una parihuela, por lo que el trabajador decide subir sobre una parihuela con cajas que se encontraba junto a los pallets a fin de desenganchar la manta. Al ejercer presión sobre la parihuela con cajas, éstas se deslizan parcialmente, ocasionando la caída del trabajador.Esta zona de almacenamiento ha sido habilitada temporalmente a fin de poder efectuar trabajos de obras civiles en el Almacén de Envases (unión a media caña) de acuerdo a exigencias sanitarias."/>
    <s v="PIERNA"/>
    <m/>
    <m/>
    <x v="3"/>
    <s v="Agosto "/>
    <n v="3"/>
    <n v="7"/>
    <m/>
    <n v="7"/>
    <d v="1899-12-30T09:00:00"/>
    <m/>
    <m/>
    <x v="8"/>
    <s v="Durante operación productiva"/>
    <s v="Golpe"/>
    <s v="Caida"/>
    <m/>
    <m/>
  </r>
  <r>
    <m/>
    <s v="FIDEERIA ALIANZA"/>
    <m/>
    <s v="Administración "/>
    <s v="R-PFA-2012-003636"/>
    <s v="-"/>
    <s v="-"/>
    <s v="Personal No Alicorp "/>
    <m/>
    <s v="-"/>
    <s v="TERCERO"/>
    <s v="-"/>
    <d v="2012-08-23T00:00:00"/>
    <s v="Lesión incapacitante "/>
    <s v="Lesión incapacitante "/>
    <s v="El accidente ocurre en circunstancias que el trabajador de Limtek luego de desechar bolsas de basura bajaba las escaleras de la Oficina del Molino- Balanza y al estar en el penúltimo peldaño resbala torciendo se el tobillo. Evaluado en la Clínica San Gabriel diagnostican fractura distal del pie izquierdo."/>
    <s v="PIE"/>
    <m/>
    <m/>
    <x v="3"/>
    <s v="Agosto "/>
    <n v="4"/>
    <n v="30"/>
    <m/>
    <n v="30"/>
    <s v="-"/>
    <m/>
    <m/>
    <x v="53"/>
    <s v="Trasladandose"/>
    <s v="Fractura"/>
    <m/>
    <m/>
    <m/>
  </r>
  <r>
    <m/>
    <s v="COPSA"/>
    <m/>
    <s v="Producción "/>
    <s v="R-PCO-2012-014359"/>
    <s v="-"/>
    <s v="-"/>
    <s v="Personal No Alicorp "/>
    <m/>
    <s v="-"/>
    <s v="TERCERO"/>
    <s v="-"/>
    <d v="2012-08-23T00:00:00"/>
    <s v="Lesión incapacitante "/>
    <s v="Lesión incapacitante "/>
    <s v="Siendo las 15:45hrs del día de hoy, 23^08^2012 acude al Tópico el Sr. Felipe Atauje Muñoz, de 47 años de edad, trabajador de la empresa CONSORCIO ARAL colaboradora de SEDAPAL, debido a que, mientras cortaba un tubo de agua con un esmeril en el pozo Nro 3 de COPSA el disco del equipo queda atrapado en la zona cortada de la tubería, por lo que opta por jalarlo con fuerza, fuerza que no es controlada ocasionando que el disco del esmeril le corte el rostro por debajo del pómulo derecho."/>
    <s v="CABEZA"/>
    <m/>
    <m/>
    <x v="3"/>
    <s v="Agosto "/>
    <n v="4"/>
    <n v="7"/>
    <m/>
    <n v="7"/>
    <s v="-"/>
    <m/>
    <m/>
    <x v="38"/>
    <s v="Mantenimiento"/>
    <s v="Corte"/>
    <m/>
    <m/>
    <m/>
  </r>
  <r>
    <m/>
    <s v="OFICINAS ADMINISTRATIVAS"/>
    <m/>
    <s v="Administración "/>
    <s v="R-ADM-2012-000258"/>
    <s v="Michael LLactas Ataucusi"/>
    <n v="23"/>
    <s v="Personal Alicorp "/>
    <s v="M"/>
    <s v="3ro"/>
    <s v="CAPAC.LAB.JUVENIL"/>
    <s v="3 meses"/>
    <d v="2012-08-24T00:00:00"/>
    <s v="Lesión incapacitante "/>
    <s v="Lesión incapacitante "/>
    <s v="SIENDO LAS 7:10AM ACUDE A TOPICO EL SR MICHAEL LLACTAS ATAUCUSI DE 19 AÑOS, CON CODIGO 20496, CLJ DE BALANCEADOS LIMA. PACIENTE REFIERE QUE SE RESBALO EN EL BAÑO DEBIDO A QUE EL PISO SE ENCONTRABA MOJADO. Y  AL CAER DE ESPALDAS PARA NO GOLPEARSE PONE LA MANO IZQUIERDA EXTENDIDA.SE EVALUA AL PACIENTE  SE APLICA ANALGESICO Y SE DECIDE EL TRASLADO A LA CLINICA SAN GABRIEL PARA RX DE MANO. DX: CONTUSION DE MANO Y MUÑECA, D/C FX DE HUESOS DEL CARPO (ESCAFORIDES)"/>
    <s v="MANO "/>
    <m/>
    <m/>
    <x v="3"/>
    <s v="Agosto "/>
    <n v="5"/>
    <n v="8"/>
    <m/>
    <n v="8"/>
    <d v="1899-12-30T06:50:00"/>
    <n v="22106"/>
    <m/>
    <x v="20"/>
    <s v="Trasladandose"/>
    <s v="Golpe"/>
    <m/>
    <m/>
    <m/>
  </r>
  <r>
    <m/>
    <s v="FIDEERIA ALIANZA"/>
    <m/>
    <s v="MANTENIMIENTO"/>
    <s v="R-PFA-2012-003644"/>
    <s v="CCOLCCA AVALOS ZACARIAS"/>
    <n v="28"/>
    <s v="Personal Alicorp "/>
    <s v="M"/>
    <s v="1ro"/>
    <s v="OBRERO ESTABLE"/>
    <s v="2.5 años"/>
    <d v="2012-08-28T00:00:00"/>
    <s v="Lesión incapacitante "/>
    <s v="Lesión incapacitante "/>
    <s v="Cuando se encontraba realizando el cambio de empaquetadura de vibradores de cisterna, siendo las 12:45pm, el mecanico Zacarias Ccolcca Avalos con codigo 18060 sufre un corte profundo en el dedo anular de la mano derecha con una cuchilla, se procede a llamar a Alerta Medica luego de ser evaluado se determina su traslado a la clinica San Gabriel, en la clinica le colocaron 4 puntos y le otorgan 5 dias de descanso medico"/>
    <s v="MANO "/>
    <m/>
    <m/>
    <x v="3"/>
    <s v="Agosto "/>
    <n v="2"/>
    <n v="9"/>
    <m/>
    <n v="9"/>
    <d v="1899-12-30T12:45:00"/>
    <n v="18060"/>
    <m/>
    <x v="23"/>
    <s v="Mantenimiento"/>
    <s v="Corte"/>
    <m/>
    <m/>
    <m/>
  </r>
  <r>
    <m/>
    <s v="GALLETERA LIMA"/>
    <m/>
    <s v="Producción "/>
    <s v="R-PGL-2012-006280"/>
    <s v="Norma Chira Romanet "/>
    <n v="27"/>
    <s v="Personal Alicorp "/>
    <s v="F"/>
    <s v="2do"/>
    <s v="OBRERO CONTRATADO"/>
    <s v="5 años"/>
    <d v="2012-08-29T00:00:00"/>
    <s v="Lesión incapacitante "/>
    <s v="Lesión incapacitante "/>
    <s v="Siendo las 09:30 p.m. del día 29-08-12, la colaboradora Norma Chira Romanet se encontraba encajando galletas Miniglacitas, cuando al momento de jalar las bolsitas con galletas que se encontraban sobre la faja, su dedo anular de la mano izquierda queda atrapado entre la faja y una plancha de metal provocandole una herida, la colaboradora es llevado al tópico, es evaluada por el médico quien decide envíarla a la clínica San Gabriel para descartar fractura a donde va acompañada del Ing. Francisco Medrano, En la clinica se le saca una radiografía no encontrandose fractura, se le cura la herida y se le otorga descanso médico hasta el día sábado, día en que tiene que ir a la clínica para ser nuevamente evaluada."/>
    <s v="MANO "/>
    <m/>
    <m/>
    <x v="3"/>
    <s v="Agosto "/>
    <n v="3"/>
    <n v="7"/>
    <m/>
    <n v="7"/>
    <d v="1899-12-30T21:30:00"/>
    <n v="19882"/>
    <m/>
    <x v="22"/>
    <s v="Durante operación productiva"/>
    <s v="Corte"/>
    <m/>
    <m/>
    <m/>
  </r>
  <r>
    <m/>
    <s v="MOLINCA"/>
    <m/>
    <s v="Producción "/>
    <m/>
    <s v="Juan Villarroel Rojas "/>
    <n v="62"/>
    <s v="Molinca "/>
    <s v="M"/>
    <s v="2do"/>
    <s v="OBRERO ESTABLE"/>
    <s v="37 años"/>
    <d v="2012-09-01T00:00:00"/>
    <s v="Lesión Incapacitante (MOLINCA)"/>
    <s v="Lesión Incapacitante (MOLINCA)"/>
    <s v="Habiéndose cortado la carga de la Línea “B” para la parada semanal del molino, el trabajador Juan Villarroel Rojas junto con el Coordinador de Molino, Fernando Guevara Tuesta, al tener que reprocesar unos sacos de harina provenientes de un atoro de la rosca en el Sótano de esta línea, procedieron a retirar un sector de la tapa de la rosca transportadora para vaciar el producto, y en estas circunstancias el saco de polipropileno es atrapado por las paletas de la rosca, jalando y atrapando el brazo izquierdo del trabajador Juan Villarroel. El Coordinador de Molino, quien se encontraba en el lugar, trabó la rosca con un madero, sacándola fuera de servicio. El Supervisor de Operaciones y brigadistas procedieron a liberar el brazo del trabajador, brindándole los primeros auxilios y evacuándolo al Hospital Víctor Lazarte Echegaray. El trabajador se encuentra internado en dicho hospital, presenta una buena evolución y en evaluación permanente por parte del cuerpo médico."/>
    <s v="BRAZO/HOMBRO"/>
    <m/>
    <m/>
    <x v="3"/>
    <s v="Septiembre"/>
    <n v="6"/>
    <n v="180"/>
    <m/>
    <n v="180"/>
    <d v="1899-12-30T22:45:00"/>
    <m/>
    <m/>
    <x v="69"/>
    <s v="Durante operación productiva"/>
    <s v="Fractura"/>
    <m/>
    <m/>
    <m/>
  </r>
  <r>
    <m/>
    <s v="PROYECTOS"/>
    <m/>
    <s v="Proyectos "/>
    <m/>
    <s v="-"/>
    <s v="-"/>
    <s v="Personal No Alicorp "/>
    <m/>
    <s v="-"/>
    <s v="TERCERO"/>
    <s v="-"/>
    <d v="2012-09-11T00:00:00"/>
    <s v="Lesión incapacitante "/>
    <s v="Lesión incapacitante "/>
    <s v="Siendo las 17:09 hrs del día de hoy acude a Tópico el Sr. Roberto Rivas Prieto, de 51 años, colaborador de MMG Mientras realizaba el desencofrado de una viga de concreto, al intentar retirar una placa de encofrado metálico de 1.20mx0.35m realizó una incorrecta manipulación de la placa de encofrado tomando la placa por la parte inferior. Al momento que la placa fue removida, por la fuerza misma utilizada,  la mano derecha quedó atrapada entre la placa de encofrado y un canal metálico ubicado debajo de la placa de encofrado provocando la lesión. El señor es derivado a la Clínica San Gabriel y se le otorgan 08 días de descanso medico. En la clínica se descarta fractura de dedo._x000a_"/>
    <s v="MANO "/>
    <m/>
    <m/>
    <x v="3"/>
    <s v="Septiembre"/>
    <n v="2"/>
    <n v="8"/>
    <m/>
    <n v="8"/>
    <s v="-"/>
    <m/>
    <m/>
    <x v="70"/>
    <s v="proyectos"/>
    <s v="Atricción"/>
    <m/>
    <m/>
    <m/>
  </r>
  <r>
    <m/>
    <s v="DISTRIBUCION"/>
    <m/>
    <s v="DISTRIBUCIÓN"/>
    <s v="R-MCA-2012-004357"/>
    <s v="-"/>
    <s v="-"/>
    <s v="Personal No Alicorp "/>
    <m/>
    <s v="-"/>
    <s v="TERCERO"/>
    <s v="-"/>
    <d v="2012-09-16T00:00:00"/>
    <s v="Lesión incapacitante "/>
    <s v="Lesión incapacitante "/>
    <s v="El Sr. Lingán había terminado de realizar la tarea de “desenmantar la tolva del camión”, cuando se disponía a bajar de la tolva usando las escaleras cae de una altura aproximada de 2 mt sufriendo un golpe en la cabeza. Se le diagnostica Herida contusa en cabeza. Es trasladado a la clínica San Gabriel "/>
    <s v="CABEZA"/>
    <m/>
    <m/>
    <x v="3"/>
    <s v="Septiembre"/>
    <n v="7"/>
    <n v="10"/>
    <m/>
    <n v="10"/>
    <s v="-"/>
    <m/>
    <m/>
    <x v="14"/>
    <s v="carga/descarga de camión"/>
    <s v="Golpe"/>
    <s v="Caida"/>
    <m/>
    <m/>
  </r>
  <r>
    <m/>
    <s v="DISTRIBUCION"/>
    <m/>
    <s v="DISTRIBUCIÓN"/>
    <s v=" R-PFL-2012-003833"/>
    <s v="Davod Infante Huahualuque"/>
    <n v="20"/>
    <s v="Personal Alicorp "/>
    <s v="M"/>
    <s v="1ro"/>
    <s v="OBRERO CONTRATADO"/>
    <s v="2 semanas"/>
    <d v="2012-10-13T00:00:00"/>
    <s v="Lesión incapacitante "/>
    <s v="Lesión incapacitante "/>
    <s v="Bajaba paquetes de la línea 26 de Fideería, su pie izquierdo fue golpeado por la uña de equipo Traspaleta Eléctrico, cuando el Ayudante Edi Mayuri procedía a retirar el pallet completo de producto terminado."/>
    <s v="PIE"/>
    <m/>
    <m/>
    <x v="3"/>
    <s v="Octubre"/>
    <n v="6"/>
    <n v="3"/>
    <m/>
    <n v="3"/>
    <d v="1899-12-30T13:45:00"/>
    <n v="20651"/>
    <m/>
    <x v="12"/>
    <s v="Durante operación productiva"/>
    <s v="Golpe"/>
    <m/>
    <m/>
    <m/>
  </r>
  <r>
    <m/>
    <s v="GALLETERA LIMA"/>
    <m/>
    <s v="Producción "/>
    <s v=" R-PGL-2012-006334"/>
    <s v="Jose Inoñan"/>
    <n v="21"/>
    <s v="Personal Alicorp "/>
    <s v="M"/>
    <s v="2do"/>
    <s v="CAPAC.LAB.JUVENIL"/>
    <s v="5 meses"/>
    <d v="2012-10-17T00:00:00"/>
    <s v="Lesión incapacitante "/>
    <s v="Lesión incapacitante "/>
    <s v="Siendo las 17:10 horas cuatro operarios intentan mover (acomodar) una paleta cargada con producto que se encontraba mal ubicada en el segundo nivel de un rack en el almacén de frio. Cuando ya estaban por acomodarla esta resbaló y golpeó la mano izquierda de Jose Miguel Inoñan contra el rack causándole una contusión y raspado de la mano izquierda."/>
    <s v="MANO "/>
    <m/>
    <m/>
    <x v="3"/>
    <s v="Octubre"/>
    <n v="3"/>
    <n v="6"/>
    <m/>
    <n v="6"/>
    <d v="1899-12-30T17:10:00"/>
    <n v="20303"/>
    <m/>
    <x v="27"/>
    <s v="Almacenando"/>
    <s v="Golpe"/>
    <m/>
    <m/>
    <m/>
  </r>
  <r>
    <m/>
    <s v="DISTRIBUCION"/>
    <m/>
    <s v="DISTRIBUCIÓN"/>
    <s v="R-DIS-2012-008638"/>
    <s v="-"/>
    <s v="-"/>
    <s v="Personal No Alicorp "/>
    <m/>
    <s v="-"/>
    <s v="TERCERO"/>
    <s v="-"/>
    <d v="2012-10-22T00:00:00"/>
    <s v="Lesión incapacitante "/>
    <s v="Lesión incapacitante "/>
    <s v="Mientras descargaba galleta molida una de las puertas corredizas se desliza atrapando el dedo de la mano derecha , ocasionándole un corte en el pulgar de la maño derecha."/>
    <s v="MANO "/>
    <m/>
    <m/>
    <x v="3"/>
    <s v="Octubre"/>
    <n v="1"/>
    <n v="3"/>
    <m/>
    <n v="3"/>
    <s v="-"/>
    <m/>
    <m/>
    <x v="3"/>
    <s v="Durante operación productiva"/>
    <s v="Corte"/>
    <m/>
    <m/>
    <m/>
  </r>
  <r>
    <m/>
    <s v="OFICINAS ADMINISTRATIVAS"/>
    <m/>
    <s v="ADMINISTRACIÓN"/>
    <m/>
    <s v="-"/>
    <s v="-"/>
    <s v="Personal No Alicorp "/>
    <m/>
    <s v="-"/>
    <s v="TERCERO"/>
    <s v="-"/>
    <d v="2012-11-02T00:00:00"/>
    <s v="Lesión incapacitante "/>
    <s v="Lesión incapacitante "/>
    <s v="Golpe con palo de mopa en los testiculos (LIMTEK)"/>
    <s v="CUERPO"/>
    <m/>
    <m/>
    <x v="3"/>
    <s v="Noviembre"/>
    <n v="5"/>
    <n v="2"/>
    <m/>
    <n v="2"/>
    <s v="-"/>
    <m/>
    <m/>
    <x v="71"/>
    <s v="Limpiando instalaciones"/>
    <s v="Golpe"/>
    <m/>
    <m/>
    <m/>
  </r>
  <r>
    <m/>
    <s v="DISTRIBUCION"/>
    <m/>
    <s v="DISTRIBUCIÓN"/>
    <m/>
    <s v="-"/>
    <s v="-"/>
    <s v="Personal No Alicorp "/>
    <m/>
    <s v="-"/>
    <s v="TERCERO"/>
    <s v="-"/>
    <d v="2012-11-06T00:00:00"/>
    <s v="Lesión incapacitante "/>
    <s v="Lesión incapacitante "/>
    <s v="Aplastamiento de chofer entre dos vehículos (Empresa transporte ELIZ SA)"/>
    <s v="CUERPO"/>
    <m/>
    <m/>
    <x v="3"/>
    <s v="Noviembre"/>
    <n v="2"/>
    <n v="18"/>
    <m/>
    <n v="18"/>
    <s v="-"/>
    <m/>
    <m/>
    <x v="14"/>
    <s v="carga/descarga de camión"/>
    <s v="Atricción"/>
    <m/>
    <m/>
    <m/>
  </r>
  <r>
    <m/>
    <s v="COPSA"/>
    <m/>
    <s v="Almacén Insumos"/>
    <m/>
    <s v="-"/>
    <s v="-"/>
    <s v="Personal No Alicorp "/>
    <m/>
    <s v="-"/>
    <s v="TERCERO"/>
    <s v="-"/>
    <d v="2012-11-14T00:00:00"/>
    <s v="Lesión incapacitante "/>
    <s v="Lesión incapacitante "/>
    <s v="Trauma acústico por voladura bolsa de aire del sistema de suspensión neumática. (ayudante de transporte)"/>
    <s v="CABEZA"/>
    <m/>
    <m/>
    <x v="3"/>
    <s v="Noviembre"/>
    <n v="3"/>
    <n v="2"/>
    <m/>
    <n v="2"/>
    <s v="-"/>
    <m/>
    <m/>
    <x v="14"/>
    <s v="carga/descarga de camión"/>
    <s v="Trauma acustico"/>
    <m/>
    <m/>
    <m/>
  </r>
  <r>
    <m/>
    <s v="COPSA"/>
    <m/>
    <s v="PRODUCCIÓN"/>
    <s v="R-PCO-2012-014420 "/>
    <s v="FIGUEROA CASTILLEJO ELODIA ELIZABETH"/>
    <n v="37"/>
    <s v="Personal Alicorp "/>
    <s v="F"/>
    <s v="3ro"/>
    <s v="OBRERO ESTABLE"/>
    <s v="9 años"/>
    <d v="2012-11-17T00:00:00"/>
    <s v="Lesión incapacitante "/>
    <s v="Lesión incapacitante "/>
    <s v="Torcedura de Tobillo al bajar ultimo peldaño de escalera vesturarios COPSA"/>
    <s v="PIE"/>
    <m/>
    <m/>
    <x v="3"/>
    <s v="Noviembre"/>
    <n v="6"/>
    <n v="25"/>
    <m/>
    <n v="25"/>
    <d v="1899-12-30T03:05:00"/>
    <s v="11251"/>
    <m/>
    <x v="53"/>
    <s v="Trasladandose"/>
    <s v="Esguince"/>
    <m/>
    <m/>
    <m/>
  </r>
  <r>
    <m/>
    <s v="SIDSUR"/>
    <m/>
    <s v="MANTENIMIENTO"/>
    <s v="Sidsur "/>
    <s v="ARISPE CHALCO RONY WARDO"/>
    <n v="30"/>
    <s v="Personal Alicorp "/>
    <s v="M"/>
    <s v="3ro"/>
    <s v="OBRERO ESTABLE"/>
    <s v="3 años"/>
    <d v="2012-11-18T00:00:00"/>
    <s v="Lesión incapacitante "/>
    <s v="Lesión incapacitante "/>
    <s v="Fractura en falange distal dedo medio mano izquierda al intentar levantar molde fideería con desarmador"/>
    <s v="MANO "/>
    <m/>
    <m/>
    <x v="3"/>
    <s v="Noviembre"/>
    <n v="7"/>
    <n v="15"/>
    <m/>
    <n v="15"/>
    <d v="1899-12-30T23:50:00"/>
    <n v="15324"/>
    <m/>
    <x v="26"/>
    <s v="Durante operación productiva"/>
    <s v="Fractura"/>
    <m/>
    <m/>
    <m/>
  </r>
  <r>
    <m/>
    <s v="OFICINAS ADMINISTRATIVAS"/>
    <m/>
    <s v="ADMINISTRACIÓN"/>
    <m/>
    <s v="Analy Troncoso"/>
    <n v="31"/>
    <s v="Personal Alicorp "/>
    <s v="M"/>
    <s v="1ro"/>
    <s v="EMPLEADO ESTABLE"/>
    <s v="9 meses"/>
    <d v="2012-11-20T00:00:00"/>
    <s v="Lesión incapacitante "/>
    <s v="Lesión incapacitante "/>
    <s v="Caída por resbalón por piso mojado goteo aire acondicionado (Ofic.NNAA)"/>
    <s v="CUERPO"/>
    <m/>
    <m/>
    <x v="3"/>
    <s v="Noviembre"/>
    <n v="2"/>
    <n v="7"/>
    <m/>
    <n v="7"/>
    <d v="1899-12-30T11:50:00"/>
    <n v="19929"/>
    <m/>
    <x v="20"/>
    <s v="Trasladandose"/>
    <s v="Golpe"/>
    <s v="Caida"/>
    <m/>
    <m/>
  </r>
  <r>
    <m/>
    <s v="NUTRICION ANIMAL TRUJILLO "/>
    <m/>
    <s v="Producción "/>
    <s v="R-NAT-2012-004082"/>
    <s v="PLASENCIA LEON CARLOS ENRIQUE"/>
    <n v="31"/>
    <s v="Personal Alicorp "/>
    <s v="M"/>
    <s v="3ro"/>
    <s v="OBRERO CONTRATADO"/>
    <s v="5 meses"/>
    <d v="2012-11-23T00:00:00"/>
    <s v="Lesión incapacitante "/>
    <s v="Lesión incapacitante "/>
    <s v="Pérdida falange en limpieza interna del enfriador."/>
    <s v="MANO "/>
    <m/>
    <m/>
    <x v="3"/>
    <s v="Noviembre"/>
    <n v="5"/>
    <n v="60"/>
    <n v="400"/>
    <n v="460"/>
    <d v="1899-12-30T23:30:00"/>
    <n v="20534"/>
    <m/>
    <x v="55"/>
    <s v="Limpiando equipo"/>
    <s v="Pérdida Falanges"/>
    <m/>
    <m/>
    <m/>
  </r>
  <r>
    <m/>
    <s v="NUTRICION ANIMAL TRUJILLO "/>
    <m/>
    <s v="Producción "/>
    <s v="R-NAT-2012-004083"/>
    <s v="RIVASPLATA CUEVA CESAR RAUL"/>
    <n v="41"/>
    <s v="Personal Alicorp "/>
    <s v="M"/>
    <s v="2do"/>
    <s v="OBRERO CONTRATADO"/>
    <m/>
    <d v="2012-11-23T00:00:00"/>
    <s v="Lesión incapacitante "/>
    <s v="Lesión incapacitante "/>
    <s v="Caída por saco roto "/>
    <s v="PIERNA"/>
    <m/>
    <m/>
    <x v="3"/>
    <s v="Noviembre"/>
    <n v="5"/>
    <n v="7"/>
    <m/>
    <n v="7"/>
    <d v="1899-12-30T15:20:00"/>
    <n v="20132"/>
    <m/>
    <x v="21"/>
    <s v="Durante operación productiva"/>
    <s v="Esguince"/>
    <m/>
    <m/>
    <m/>
  </r>
  <r>
    <m/>
    <s v="DETERGENTES"/>
    <m/>
    <s v="Producción "/>
    <s v="Detergentes"/>
    <s v="Carlos Guzman de la Cruz"/>
    <n v="32"/>
    <s v="Personal Alicorp "/>
    <s v="M"/>
    <s v="2do"/>
    <s v="OBRERO ESTABLE"/>
    <s v="2 años"/>
    <d v="2012-12-11T00:00:00"/>
    <s v="Lesión incapacitante "/>
    <s v="Lesión incapacitante "/>
    <s v="operando el Traspaleta eléctrico en retroceso impactando contra una paleta llena de insumos sólidos golpeándose parte del pecho contra el manubrio del timón del Traspaleta eléctrico"/>
    <s v="CUERPO"/>
    <m/>
    <m/>
    <x v="3"/>
    <s v="Diciembre"/>
    <n v="2"/>
    <n v="7"/>
    <m/>
    <n v="7"/>
    <d v="1899-12-30T03:00:00"/>
    <n v="17506"/>
    <m/>
    <x v="12"/>
    <s v="Transitando"/>
    <s v="Golpe"/>
    <m/>
    <m/>
    <m/>
  </r>
  <r>
    <m/>
    <s v="COPSA"/>
    <m/>
    <s v="Producción "/>
    <s v="Copsa "/>
    <s v="GOMEZ LEZAMA FERNANDO LUIS"/>
    <n v="21"/>
    <s v="Personal Alicorp "/>
    <s v="M"/>
    <s v="3ro"/>
    <s v="OBRERO ESTABLE"/>
    <s v="14 meses"/>
    <d v="2012-12-12T00:00:00"/>
    <s v="Lesión incapacitante "/>
    <s v="Lesión incapacitante "/>
    <s v="desplazando con prisa para desatorar la tolva de tapas de la máquina y es ahí cuando se resbala y al tratar de sujetarse del eje de las bobinas para no caerse, no logra hacerlo y su brazo entra en contacto con el eje que sobresale de la máquina y le produce el corte.  "/>
    <s v="BRAZO/HOMBRO"/>
    <m/>
    <m/>
    <x v="3"/>
    <s v="Diciembre "/>
    <n v="3"/>
    <n v="26"/>
    <m/>
    <n v="26"/>
    <d v="1899-12-30T05:10:00"/>
    <n v="19280"/>
    <m/>
    <x v="3"/>
    <s v="Durante operación productiva"/>
    <s v="Golpe"/>
    <m/>
    <m/>
    <m/>
  </r>
  <r>
    <m/>
    <s v="DETERGENTES"/>
    <m/>
    <s v="Producción "/>
    <s v="Detergentes"/>
    <s v="CARHUAPOMA PALMA GIAN CARLOS MANUEL"/>
    <n v="26"/>
    <s v="Personal Alicorp "/>
    <s v="M"/>
    <s v="3ro"/>
    <s v="OBRERO CONTRATADO"/>
    <s v="1.5 años"/>
    <d v="2012-12-31T00:00:00"/>
    <s v="Lesión incapacitante "/>
    <s v="Lesión incapacitante "/>
    <s v="operando el Traspaleta eléctrico luego de dejar una ruma de paletas vacías y mirar hacia atrás retrocede justo en momentos que el envasador bordea su paleta para revisarla golpeándolo en la pierna izquierda."/>
    <s v="PIERNA"/>
    <m/>
    <m/>
    <x v="3"/>
    <s v="Diciembre"/>
    <n v="1"/>
    <n v="11"/>
    <m/>
    <n v="11"/>
    <d v="1899-12-30T02:15:00"/>
    <n v="18803"/>
    <m/>
    <x v="12"/>
    <s v="Transitando"/>
    <s v="Golpe"/>
    <m/>
    <m/>
    <m/>
  </r>
  <r>
    <s v="si"/>
    <s v="TEAL"/>
    <m/>
    <s v="PRODUCCIÓN"/>
    <m/>
    <s v="Jose Tapia Cuchi "/>
    <n v="39"/>
    <s v="Maquinista"/>
    <s v="M"/>
    <s v="3ro "/>
    <s v="OBRERO ESTABLE"/>
    <s v="12 años"/>
    <s v="20/01/16_x000a_01:30 "/>
    <s v="Accidente Incapacitante"/>
    <s v="Parcial Temporal "/>
    <s v="Corte en dedo por manipulacion de galleta atrapada en máquina en movimiento"/>
    <s v="MANO "/>
    <m/>
    <m/>
    <x v="4"/>
    <s v="Enero"/>
    <m/>
    <n v="21"/>
    <m/>
    <n v="21"/>
    <m/>
    <m/>
    <m/>
    <x v="16"/>
    <s v="Durante operación productiva"/>
    <s v="Corte"/>
    <m/>
    <m/>
    <m/>
  </r>
  <r>
    <s v="si"/>
    <s v="GLOBAL"/>
    <m/>
    <s v="GLOBAL"/>
    <m/>
    <s v="Palacios Quispe Nancy Justina_x000a_"/>
    <n v="33"/>
    <s v="TERCERO"/>
    <s v="F"/>
    <s v="1ro"/>
    <s v="X"/>
    <s v="4 meses"/>
    <s v="09/01/2016_x000a_08:00"/>
    <s v="Accidente Incapacitante"/>
    <s v="Parcial Temporal "/>
    <s v="Irritación ojo izquierdo por salpicadura de Topax "/>
    <s v="OJO"/>
    <m/>
    <m/>
    <x v="4"/>
    <s v="Enero"/>
    <m/>
    <n v="1"/>
    <m/>
    <n v="1"/>
    <m/>
    <m/>
    <m/>
    <x v="72"/>
    <s v="Limpiando instalaciones"/>
    <s v="Contacto S.Quimica"/>
    <m/>
    <m/>
    <s v="MAN POWER"/>
  </r>
  <r>
    <s v="si"/>
    <s v="GLOBAL"/>
    <m/>
    <s v="GLOBAL"/>
    <m/>
    <s v="Cóndor Vega Jefferson Raul_x000a_"/>
    <n v="24"/>
    <s v="TERCERO "/>
    <s v="M"/>
    <s v="3ro"/>
    <s v="X"/>
    <s v="4 meses"/>
    <s v="12/01/2016  _x000a_23:00"/>
    <s v="Accidente Incapacitante"/>
    <s v="Parcial Temporal "/>
    <s v="Quemaduras de II y III grado en rostro y brazos, queratitis térmica al instalar un contactor en un tablero energizado "/>
    <s v="CUERPO"/>
    <m/>
    <m/>
    <x v="4"/>
    <s v="Enero"/>
    <m/>
    <n v="80"/>
    <m/>
    <n v="80"/>
    <m/>
    <m/>
    <m/>
    <x v="49"/>
    <s v="Mantenimiento"/>
    <s v="Quemadura Electrica"/>
    <m/>
    <m/>
    <s v="MAN POWER"/>
  </r>
  <r>
    <s v="si"/>
    <s v="GLOBAL"/>
    <m/>
    <s v="GLOBAL"/>
    <m/>
    <s v="Oscar Ramirez Carhuas_x000a_"/>
    <n v="43"/>
    <s v="TERCERO "/>
    <s v="M"/>
    <s v="1ro"/>
    <s v="X"/>
    <s v="4 años"/>
    <d v="2016-01-16T00:00:00"/>
    <s v="Accidente Incapacitante"/>
    <s v="Parcial Temporal "/>
    <s v="Herida cortante índice mano izquierda por aprisionamiento con compuerta durante acomodo de equipo"/>
    <s v="MANO "/>
    <m/>
    <m/>
    <x v="4"/>
    <s v="Enero"/>
    <m/>
    <n v="47"/>
    <m/>
    <n v="47"/>
    <m/>
    <m/>
    <m/>
    <x v="25"/>
    <s v="Durante operación productiva"/>
    <s v="Corte"/>
    <m/>
    <m/>
    <s v="MAN POWER"/>
  </r>
  <r>
    <s v="si"/>
    <s v="GLOBAL"/>
    <m/>
    <s v="GLOBAL"/>
    <m/>
    <s v="Milagros Martinez Berrocal_x000a_"/>
    <n v="29"/>
    <s v="TERCERO"/>
    <s v="F"/>
    <s v="1ro"/>
    <s v="X"/>
    <s v="1 año 9 meses"/>
    <s v="26/01/2016_x000a_7:05 "/>
    <s v="Accidente Incapacitante"/>
    <s v="Parcial Temporal "/>
    <s v="Corte en mano derecha contacto con faja en movimiento "/>
    <s v="MANO "/>
    <m/>
    <m/>
    <x v="4"/>
    <s v="Enero"/>
    <m/>
    <n v="13"/>
    <m/>
    <n v="13"/>
    <m/>
    <m/>
    <m/>
    <x v="22"/>
    <s v="Durante operación productiva"/>
    <s v="Corte"/>
    <m/>
    <m/>
    <s v="MAN POWER"/>
  </r>
  <r>
    <s v="si"/>
    <s v="OTROS"/>
    <m/>
    <s v="OTROS"/>
    <s v="SID7272"/>
    <s v="Robert Perez Argadoña"/>
    <n v="47"/>
    <s v="TERCERO"/>
    <s v="M"/>
    <s v="3ro"/>
    <s v="X"/>
    <s v="4 meses en Alicorp"/>
    <s v="05/02/2016_x000a_03:30 am"/>
    <s v="Accidente Incapacitante"/>
    <s v="Parcial Temporal "/>
    <s v="Golpe en el hombro por caída a desnivel desde muelle de patio de CDA SIDSUR"/>
    <s v="BRAZO/HOMBRO"/>
    <m/>
    <m/>
    <x v="4"/>
    <s v="febrero"/>
    <m/>
    <n v="20"/>
    <m/>
    <n v="20"/>
    <m/>
    <m/>
    <m/>
    <x v="8"/>
    <s v="Trasladandose a pie"/>
    <s v="Fractura"/>
    <m/>
    <m/>
    <s v="PROSERGUR"/>
  </r>
  <r>
    <s v="si"/>
    <s v="JABONERÍA"/>
    <m/>
    <s v="MANTENIMIENTO"/>
    <s v="JAB6881"/>
    <s v="Joel Hancco Huaman"/>
    <n v="19"/>
    <s v="TERCERO"/>
    <s v="M"/>
    <s v="1ro"/>
    <s v="X"/>
    <s v="10 meses"/>
    <d v="2016-01-11T00:00:00"/>
    <s v="Accidente Incapacitante"/>
    <s v="Parcial Temporal "/>
    <s v="Quemadura de 2° grado durante purga de tubería de vapor. Por manipulación del tapón de tubería."/>
    <s v="PIERNA"/>
    <m/>
    <m/>
    <x v="4"/>
    <s v="Enero"/>
    <m/>
    <n v="15"/>
    <m/>
    <n v="15"/>
    <m/>
    <m/>
    <m/>
    <x v="73"/>
    <s v="proyectos"/>
    <s v="Quemadura"/>
    <m/>
    <m/>
    <s v="EDIN"/>
  </r>
  <r>
    <s v="si"/>
    <s v="INSTANTANEOS"/>
    <m/>
    <s v="PRODUCCIÓN"/>
    <s v="PGL6895"/>
    <s v="Heggar Tafur Chocano "/>
    <n v="40"/>
    <s v="Operario de Producción"/>
    <s v="M"/>
    <s v="1ro"/>
    <s v="OBRERO ESTABLE"/>
    <s v="8 años 7 meses"/>
    <s v="17/01/2016_x000a_10:50"/>
    <s v="Accidente Incapacitante"/>
    <s v="Parcial Temporal "/>
    <s v="Durante limpieza de equipo cae una puerta a la altura de la ceja izquierda del colaborador. Lesión policontusa en la cabeza"/>
    <s v="CABEZA"/>
    <m/>
    <m/>
    <x v="4"/>
    <s v="Enero"/>
    <m/>
    <n v="8"/>
    <m/>
    <n v="8"/>
    <m/>
    <m/>
    <m/>
    <x v="25"/>
    <s v="Limpiando equipo"/>
    <s v="Golpe"/>
    <m/>
    <m/>
    <m/>
  </r>
  <r>
    <s v="si"/>
    <s v="JABONERÍA"/>
    <m/>
    <s v="PRODUCCIÓN"/>
    <s v="JAB6907"/>
    <s v="Esteban Garcia Narciso"/>
    <n v="41"/>
    <s v="Operador Lavanderia "/>
    <s v="M"/>
    <s v="2do"/>
    <s v="OBRERO ESTABLE"/>
    <s v="8 años"/>
    <s v="20/01/2016_x000a_20:00"/>
    <s v="Accidente Incapacitante"/>
    <s v="Parcial Temporal "/>
    <s v="Golpe en la mano izquierda al intentar cambiar pieza en maquina cortadora en Equipo "/>
    <s v="MANO "/>
    <m/>
    <m/>
    <x v="4"/>
    <s v="Enero"/>
    <m/>
    <n v="28"/>
    <m/>
    <n v="28"/>
    <m/>
    <m/>
    <m/>
    <x v="25"/>
    <s v="Mantenimiento"/>
    <s v="Golpe"/>
    <m/>
    <m/>
    <m/>
  </r>
  <r>
    <s v="si"/>
    <s v="DETERGENTES"/>
    <m/>
    <s v="PRODUCCIÓN"/>
    <s v="DET6978"/>
    <s v="Elias Olivo Grijalva"/>
    <n v="27"/>
    <s v="Ayudante de planta"/>
    <s v="M"/>
    <s v="1ro"/>
    <s v="OBRERO CONTRATADO"/>
    <s v="2 semanas"/>
    <s v="03/02/2016_x000a_13:00"/>
    <s v="Accidente Incapacitante"/>
    <s v="Parcial Temporal "/>
    <s v="Esquince en el tobillo izquierdo al bajar de Big Bag y pisar sobre una parihuela durante izaje con cadena del tecle. "/>
    <s v="PIE"/>
    <m/>
    <m/>
    <x v="4"/>
    <s v="febrero"/>
    <m/>
    <n v="23"/>
    <m/>
    <n v="23"/>
    <m/>
    <m/>
    <m/>
    <x v="8"/>
    <s v="Durante operación productiva"/>
    <s v="Esguince"/>
    <m/>
    <m/>
    <m/>
  </r>
  <r>
    <s v="si"/>
    <s v="CDC"/>
    <m/>
    <s v="DISTRIBUCIÓN"/>
    <s v="DIS6985"/>
    <s v="Marcos Castillo Zapata"/>
    <n v="23"/>
    <s v="Ayudante de almacén B"/>
    <s v="M"/>
    <s v="2do"/>
    <s v="OBRERO CONTRATADO"/>
    <s v="1.5 años"/>
    <s v="09/02/2016_x000a_19:18"/>
    <s v="Accidente Incapacitante"/>
    <s v="Parcial Temporal "/>
    <s v="Corte en tobillo derecho, por aprisión entre base de estantería y plataforma de ERE714 al bajar del equipo en movimiento,"/>
    <s v="PIE"/>
    <m/>
    <m/>
    <x v="4"/>
    <s v="febrero"/>
    <m/>
    <n v="10"/>
    <m/>
    <n v="10"/>
    <m/>
    <m/>
    <m/>
    <x v="12"/>
    <s v="Manejando traspaleta/Montacarga"/>
    <s v="Golpe"/>
    <m/>
    <m/>
    <m/>
  </r>
  <r>
    <m/>
    <s v="CDC"/>
    <m/>
    <s v="DISTRIBUCIÓN"/>
    <m/>
    <s v="Leonardo Carrasco Benavides"/>
    <n v="56"/>
    <s v="TERCERO"/>
    <s v="M"/>
    <n v="1"/>
    <s v="EMPLEADO ESTABLE"/>
    <s v="1 año 3 meses"/>
    <d v="2016-04-04T15:20:00"/>
    <s v="Accidente Incapacitante"/>
    <s v="Parcial Temporal "/>
    <s v="Pierde el control del vehículo y colisiona con un auto estacionado quedando policontuso "/>
    <s v="CUERPO"/>
    <m/>
    <m/>
    <x v="4"/>
    <s v="Abril"/>
    <m/>
    <n v="3"/>
    <m/>
    <n v="3"/>
    <m/>
    <m/>
    <m/>
    <x v="74"/>
    <s v="Manejando Camioneta"/>
    <s v="Golpe"/>
    <m/>
    <m/>
    <m/>
  </r>
  <r>
    <m/>
    <s v="GLOBAL"/>
    <m/>
    <s v="GLOBAL"/>
    <m/>
    <s v="Rimachi Jorge, Florencio_x000a_"/>
    <n v="42"/>
    <s v="TERCERO"/>
    <s v="M"/>
    <n v="2"/>
    <s v="X"/>
    <s v="9 meses"/>
    <d v="2016-03-31T21:50:00"/>
    <s v="Accidente Incapacitante"/>
    <s v="Parcial Temporal"/>
    <s v="Cabeza choca con el drenaje del tubo del secador, ocasionándole este un corte."/>
    <s v="CABEZA"/>
    <m/>
    <m/>
    <x v="4"/>
    <s v="Marzo"/>
    <m/>
    <n v="8"/>
    <m/>
    <n v="8"/>
    <m/>
    <m/>
    <m/>
    <x v="17"/>
    <s v="Durante operación productiva"/>
    <s v="Golpe"/>
    <m/>
    <m/>
    <s v="MAN POWER"/>
  </r>
  <r>
    <m/>
    <s v="CDC"/>
    <m/>
    <s v="DISTRIBUCIÓN"/>
    <m/>
    <s v="Lady Burgos "/>
    <n v="27"/>
    <s v="Jefe de Turno"/>
    <s v="F"/>
    <n v="1"/>
    <s v="EMPLEADO ESTABLE"/>
    <s v="1 año 7 mese"/>
    <d v="2016-03-16T07:10:00"/>
    <s v="Accidente Incapacitante"/>
    <s v="Parcial Temporal"/>
    <s v="Sufre doblatura a la altura del tobillo y cae sentada apoyando las manos en las gradas de la escalera frente al CDC."/>
    <s v="PIE"/>
    <m/>
    <m/>
    <x v="4"/>
    <s v="Marzo"/>
    <m/>
    <n v="4"/>
    <m/>
    <n v="4"/>
    <m/>
    <m/>
    <m/>
    <x v="53"/>
    <s v="Trasladandose a pie"/>
    <s v="Esguince"/>
    <m/>
    <m/>
    <m/>
  </r>
  <r>
    <m/>
    <s v="MOLINCA"/>
    <m/>
    <s v="PRODUCCIÓN"/>
    <m/>
    <s v="Edison Altamirano León"/>
    <n v="29"/>
    <s v="Operador de empaque"/>
    <s v="M"/>
    <n v="2"/>
    <s v="OBRERO CONTRATADO"/>
    <s v="1 mes 12 días"/>
    <d v="2016-03-18T03:35:00"/>
    <s v="Accidente Incapacitante"/>
    <s v="Parcial Permanente"/>
    <s v="Perdida falange del dedo medio de la mano derecha queda atrapado contra el tobogán mientras realizaba el alimentado."/>
    <s v="MANO "/>
    <m/>
    <m/>
    <x v="4"/>
    <s v="Marzo"/>
    <m/>
    <n v="59"/>
    <n v="75"/>
    <n v="134"/>
    <m/>
    <m/>
    <m/>
    <x v="25"/>
    <s v="Durante operación productiva"/>
    <s v="Perdida Falange"/>
    <m/>
    <m/>
    <m/>
  </r>
  <r>
    <m/>
    <s v="JABONERÍA"/>
    <m/>
    <s v="PRODUCCIÓN"/>
    <m/>
    <s v="Johan Rojas Quispe"/>
    <n v="37"/>
    <s v="Preparación de Ingredientes"/>
    <s v="M"/>
    <n v="3"/>
    <s v="OBRERO ESTABLE"/>
    <s v="2 meses"/>
    <d v="2016-03-02T23:05:00"/>
    <s v="Accidente Incapacitante"/>
    <s v="Parcial Temporal"/>
    <s v="Le salpica jabón preparado cuando Se acercó a la tapa superior del tanque pulmón para ver si había obstrucción"/>
    <s v="OJO"/>
    <m/>
    <m/>
    <x v="4"/>
    <s v="Marzo"/>
    <m/>
    <n v="8"/>
    <m/>
    <n v="8"/>
    <m/>
    <m/>
    <m/>
    <x v="75"/>
    <s v="Durante operación productiva"/>
    <s v="Quemadura"/>
    <m/>
    <m/>
    <m/>
  </r>
  <r>
    <m/>
    <s v="GLOBAL"/>
    <m/>
    <s v="GLOBAL"/>
    <m/>
    <s v="Yauli Cuadros, Moises Lee_x000a_"/>
    <n v="21"/>
    <s v="TERCERO"/>
    <s v="M"/>
    <n v="2"/>
    <s v="X"/>
    <s v="1 año"/>
    <d v="2016-04-23T00:00:00"/>
    <s v="Accidente Incapacitante"/>
    <s v="Parcial Temporal"/>
    <s v="Corte de uña de dedo índice izquierdo durante reparación de máquina envasadora."/>
    <s v="MANO "/>
    <m/>
    <m/>
    <x v="4"/>
    <s v="Abril"/>
    <m/>
    <n v="7"/>
    <m/>
    <n v="7"/>
    <m/>
    <m/>
    <m/>
    <x v="25"/>
    <s v="Mantenimiento"/>
    <s v="Golpe"/>
    <m/>
    <m/>
    <s v="MAN POWER"/>
  </r>
  <r>
    <m/>
    <s v="NUTRICION ANIMAL TRUJILLO "/>
    <m/>
    <s v="VITAPRO"/>
    <m/>
    <s v="Espino Leyva, Creisaan "/>
    <n v="37"/>
    <s v="TERCERO"/>
    <s v="M"/>
    <s v="1ro"/>
    <s v="X"/>
    <s v="3 años"/>
    <d v="2016-04-07T00:00:00"/>
    <s v="Accidente Incapacitante"/>
    <s v="Total temporal "/>
    <s v="Caída desde 2.5 metros por trabajos de hermetización en el almacén de materias primas provoca fractura de vértebra lumbar 1 "/>
    <s v="CUERPO"/>
    <m/>
    <m/>
    <x v="4"/>
    <s v="Abril"/>
    <m/>
    <n v="238"/>
    <m/>
    <n v="238"/>
    <m/>
    <m/>
    <m/>
    <x v="8"/>
    <s v="Mantenimiento"/>
    <s v="Golpe"/>
    <m/>
    <m/>
    <s v="SGOC"/>
  </r>
  <r>
    <m/>
    <s v="GLOBAL"/>
    <m/>
    <s v="GLOBAL"/>
    <m/>
    <s v="Victor Lizano Beltrán_x000a_"/>
    <n v="35"/>
    <s v="TERCERO"/>
    <s v="M"/>
    <s v="3er "/>
    <s v="X"/>
    <s v="2 años"/>
    <d v="2016-05-26T00:00:00"/>
    <s v="Accidente Incapacitante "/>
    <s v="Parcial Temporal "/>
    <s v="Contusión rodilla derecha cuando la pierna del supervisor cae en el espacio entre la plataforma de los multicabezales y la plataforma de tránsito "/>
    <s v="PIERNA"/>
    <m/>
    <m/>
    <x v="4"/>
    <s v="Mayo"/>
    <m/>
    <n v="6"/>
    <m/>
    <n v="6"/>
    <m/>
    <m/>
    <m/>
    <x v="17"/>
    <s v="Durante operación productiva"/>
    <s v="Golpe"/>
    <m/>
    <m/>
    <s v="MAN POWER"/>
  </r>
  <r>
    <m/>
    <s v="GLOBAL"/>
    <m/>
    <s v="GLOBAL"/>
    <m/>
    <s v="Ángela Viera Gutierrez_x000a_"/>
    <n v="43"/>
    <s v="Operador de Secado "/>
    <s v="F "/>
    <s v="3er "/>
    <s v="OBRERO CONTRATADO"/>
    <s v="1 año 7 mese"/>
    <d v="2016-05-16T00:00:00"/>
    <s v="Accidente Incapacitante "/>
    <s v="Parcial Temporal "/>
    <s v="Corte y golpe de la mano derecha durante la limpieza del mezclador al no esperar que pare la "/>
    <s v="MANO "/>
    <m/>
    <m/>
    <x v="4"/>
    <s v="Mayo"/>
    <m/>
    <n v="138"/>
    <m/>
    <n v="138"/>
    <m/>
    <m/>
    <m/>
    <x v="16"/>
    <s v="Limpiando equipo"/>
    <s v="Corte"/>
    <m/>
    <m/>
    <m/>
  </r>
  <r>
    <m/>
    <s v="GLOBAL"/>
    <m/>
    <s v="GLOBAL"/>
    <m/>
    <s v="Carbajal Gutiérrez Junior_x000a_"/>
    <n v="21"/>
    <s v="TERCERO"/>
    <s v="M"/>
    <s v="2ndo"/>
    <s v="X"/>
    <s v="32 días"/>
    <d v="2016-05-02T00:00:00"/>
    <s v="Accidente Incapacitante "/>
    <s v="Parcial Temporal "/>
    <s v="Golpe en la rodilla al pierna entre entre la plataforma y la envasadora "/>
    <s v="PIERNA"/>
    <m/>
    <m/>
    <x v="4"/>
    <s v="Mayo"/>
    <m/>
    <n v="2"/>
    <m/>
    <n v="2"/>
    <m/>
    <m/>
    <m/>
    <x v="17"/>
    <s v="Durante operación productiva"/>
    <s v="Golpe"/>
    <m/>
    <m/>
    <s v="MAN POWER"/>
  </r>
  <r>
    <m/>
    <s v="BSF PUNTA HERMOSA"/>
    <m/>
    <s v="DISTRIBUCIÓN"/>
    <m/>
    <s v="Valera Chumpitaz, Raúl_x000a_"/>
    <n v="40"/>
    <s v="TERCERO"/>
    <s v="M"/>
    <s v="1ero"/>
    <s v="X"/>
    <s v="5 años"/>
    <d v="2016-05-03T00:00:00"/>
    <s v="Accidente Incapacitante"/>
    <s v="Parcial Temporal "/>
    <s v="Golpe de montacarga a persona, mientra esta caminaba cerca de la línea peatonal en zona colindante al almacen ALICORP. "/>
    <s v="PIERNA"/>
    <m/>
    <m/>
    <x v="4"/>
    <s v="Mayo"/>
    <m/>
    <n v="12"/>
    <m/>
    <n v="12"/>
    <m/>
    <m/>
    <m/>
    <x v="76"/>
    <s v="Manejando traspaleta/Montacarga"/>
    <s v="Golpe"/>
    <m/>
    <m/>
    <s v="AGENTE SERGURIDAD (ITSANET PERU)"/>
  </r>
  <r>
    <m/>
    <s v="OTROS"/>
    <m/>
    <s v="OTROS"/>
    <m/>
    <s v="Susana Tello"/>
    <n v="40"/>
    <s v="Supervisor Instrumentos Financieros"/>
    <s v="F"/>
    <s v="1ero"/>
    <s v="EMPLEADO ESTABLE"/>
    <s v="2 años"/>
    <d v="2016-05-13T00:00:00"/>
    <s v="Accidente Incapacitante"/>
    <s v="Parcial Temporal "/>
    <s v="Esguince en el tobillo por caída en escalera frente a Consumo Masivo "/>
    <s v="PIE"/>
    <m/>
    <m/>
    <x v="4"/>
    <s v="Mayo"/>
    <m/>
    <n v="25"/>
    <m/>
    <n v="25"/>
    <m/>
    <m/>
    <m/>
    <x v="53"/>
    <s v="Trasladandose a pie"/>
    <s v="Golpe"/>
    <m/>
    <m/>
    <m/>
  </r>
  <r>
    <m/>
    <s v="NUTRICION ANIMAL TRUJILLO "/>
    <m/>
    <s v="VITAPRO"/>
    <m/>
    <s v="Richard Mejia _x000a_"/>
    <n v="48"/>
    <s v="Operador de Quebrantadora"/>
    <s v="M"/>
    <s v="2ndo"/>
    <s v="OBRERO ESTABLE"/>
    <s v="6 años"/>
    <d v="2016-05-22T00:00:00"/>
    <s v="Accidente Incapacitante"/>
    <s v="Parcial Temporal "/>
    <s v="Fractura dedo pulgar mano izquierda durante el desatoro de Envasadora automática KR "/>
    <s v="MANO "/>
    <m/>
    <m/>
    <x v="4"/>
    <s v="Mayo"/>
    <m/>
    <n v="56"/>
    <m/>
    <n v="56"/>
    <m/>
    <m/>
    <m/>
    <x v="25"/>
    <s v="Durante operación productiva"/>
    <s v="Fractura"/>
    <m/>
    <m/>
    <m/>
  </r>
  <r>
    <m/>
    <s v="COPSA"/>
    <m/>
    <s v="ALMACEN DE INSUMOS "/>
    <s v="PCO7534"/>
    <s v="Gustavo Luis Mendoza Martinez"/>
    <n v="27"/>
    <s v="Operario de Almacén"/>
    <s v="M"/>
    <n v="1"/>
    <s v="OBRERO CONTRATADO"/>
    <s v="7 meses"/>
    <d v="2016-06-08T00:00:00"/>
    <s v="Accidente Incapacitante"/>
    <s v="Parcial Temporal "/>
    <s v="Fractura en la parte superior del dedo anular manipulando cilindros de insumos"/>
    <s v="MANO "/>
    <m/>
    <m/>
    <x v="4"/>
    <s v="Junio"/>
    <m/>
    <n v="20"/>
    <m/>
    <n v="20"/>
    <m/>
    <m/>
    <m/>
    <x v="77"/>
    <s v="Manipulando materiales"/>
    <s v="Fractura"/>
    <m/>
    <m/>
    <m/>
  </r>
  <r>
    <m/>
    <s v="ADMINISTRACIÓN"/>
    <m/>
    <s v="ADMINISTRACIÓN"/>
    <m/>
    <s v="Miker Tapullima Yahuarcani _x000a_"/>
    <n v="22"/>
    <s v="TERCERO"/>
    <s v="M"/>
    <n v="2"/>
    <s v="X"/>
    <s v="7 meses"/>
    <d v="2016-06-11T00:00:00"/>
    <s v="Accidente Incapacitante"/>
    <s v="Parcial Temporal "/>
    <s v="Atricción del torax al caerle bolson de fideeos para moler al empujar stocka"/>
    <s v="CUERPO"/>
    <m/>
    <m/>
    <x v="4"/>
    <s v="Junio"/>
    <m/>
    <n v="1"/>
    <m/>
    <n v="1"/>
    <m/>
    <m/>
    <m/>
    <x v="44"/>
    <s v="Manipulando materiales"/>
    <s v="Atricción"/>
    <m/>
    <m/>
    <s v="TRASVIDA"/>
  </r>
  <r>
    <m/>
    <s v="DETERGENTES"/>
    <m/>
    <s v="ALMACEN DE INSUMOS "/>
    <m/>
    <s v="Reynaldo Malpartida Lopez"/>
    <n v="62"/>
    <s v="TERCERO"/>
    <s v="M"/>
    <n v="2"/>
    <s v="X"/>
    <m/>
    <d v="2016-06-13T00:00:00"/>
    <s v="Accidente Incapacitante"/>
    <s v="Parcial Temporal "/>
    <s v="Caida al bajar de camión cisterna de Sulfónico luego de descargar"/>
    <s v="CABEZA"/>
    <m/>
    <m/>
    <x v="4"/>
    <s v="Junio"/>
    <m/>
    <n v="29"/>
    <m/>
    <n v="29"/>
    <m/>
    <m/>
    <m/>
    <x v="14"/>
    <s v="carga/descarga de camión"/>
    <s v="Caida"/>
    <m/>
    <m/>
    <m/>
  </r>
  <r>
    <m/>
    <s v="ADMINISTRACIÓN"/>
    <m/>
    <s v="ADMINISTRACIÓN"/>
    <m/>
    <s v="Juan Miguel Ortiz Uzuriaga_x000a_"/>
    <n v="36"/>
    <s v="TERCERO"/>
    <s v="M"/>
    <n v="1"/>
    <s v="X"/>
    <s v="7 meses"/>
    <d v="2016-06-16T00:00:00"/>
    <s v="Accidente Incapacitante"/>
    <s v="Parcial Temporal "/>
    <s v="Golpe en la nariz al caer sobre baranda de escalera frente a mensajeria"/>
    <s v="CABEZA"/>
    <m/>
    <m/>
    <x v="4"/>
    <s v="Junio"/>
    <m/>
    <n v="2"/>
    <m/>
    <n v="2"/>
    <m/>
    <m/>
    <m/>
    <x v="53"/>
    <s v="Trasladandose a pie"/>
    <s v="Fractura"/>
    <m/>
    <m/>
    <s v="PROSEGUR"/>
  </r>
  <r>
    <m/>
    <s v="SIDSUR"/>
    <m/>
    <s v="DISTRIBUCIÓN"/>
    <m/>
    <s v="Hachiri Chancayauri, Huber_x000a_"/>
    <n v="19"/>
    <s v="Aprendiz de Operario en Logística y Almacenes"/>
    <s v="M"/>
    <n v="3"/>
    <s v="APRENDIZ"/>
    <s v="1 mes"/>
    <d v="2016-06-17T00:00:00"/>
    <s v="Accidente Incapacitante"/>
    <s v="Parcial Temporal "/>
    <s v="Fractura en la tibia pierna derecha al retroceder el ERE y chocar contra otro en retroceso con pierna abajo accionando el equipo por error"/>
    <s v="PIERNA"/>
    <m/>
    <m/>
    <x v="4"/>
    <s v="Junio"/>
    <m/>
    <n v="106"/>
    <m/>
    <n v="106"/>
    <m/>
    <m/>
    <m/>
    <x v="12"/>
    <s v="Manejando traspaleta/Montacarga"/>
    <s v="Fractura"/>
    <m/>
    <m/>
    <m/>
  </r>
  <r>
    <m/>
    <s v="NUTRICION ANIMAL TRUJILLO "/>
    <m/>
    <s v="VITAPRO"/>
    <m/>
    <s v="Geremias Caushi Toledo "/>
    <n v="25"/>
    <s v="TERCERO"/>
    <s v="M"/>
    <n v="2"/>
    <s v="X"/>
    <s v="25 años"/>
    <d v="2016-06-16T00:00:00"/>
    <s v="Accidente Incapacitante"/>
    <s v="Parcial Temporal "/>
    <s v="Irritación ocular durante la reparación del quemador y pruebas de funcionamiento del caldero, ocurre una explosión en el interior del mismo, la cual generó la apertura de forma intempestiva de la tapa izquierda con rotura de los seguros. Una mezcla de hum"/>
    <s v="OJO"/>
    <m/>
    <m/>
    <x v="4"/>
    <s v="Junio"/>
    <m/>
    <n v="7"/>
    <m/>
    <n v="7"/>
    <m/>
    <m/>
    <m/>
    <x v="78"/>
    <s v="Mantenimiento"/>
    <s v="Irritación ocular"/>
    <m/>
    <m/>
    <m/>
  </r>
  <r>
    <m/>
    <s v="GLOBAL"/>
    <m/>
    <s v="GLOBAL"/>
    <m/>
    <s v="Robert Morales "/>
    <n v="47"/>
    <s v="Operador producción barras_x000a_"/>
    <s v="M"/>
    <n v="2"/>
    <s v="OBRERO CONTRATADO"/>
    <s v="5 meses"/>
    <d v="2016-06-21T00:00:00"/>
    <s v="Accidente Incapacitante"/>
    <s v="Parcial Temporal "/>
    <s v="Atricción mano derecha al momento de limpiar debajo del brazo neumático, el trapo con el que estaba realizando la limpieza activa el sensor del brazo (no había sido apagado), el cual desciende rápidamente y atrapa su mano derecha, causándole un golpe y un"/>
    <s v="MANO "/>
    <m/>
    <m/>
    <x v="4"/>
    <s v="Junio"/>
    <m/>
    <n v="11"/>
    <m/>
    <n v="11"/>
    <m/>
    <m/>
    <m/>
    <x v="25"/>
    <s v="Limpiando equipo"/>
    <s v="Atricción"/>
    <m/>
    <m/>
    <m/>
  </r>
  <r>
    <m/>
    <s v="BSF PUNTA HERMOSA"/>
    <m/>
    <s v="DISTRIBUCIÓN"/>
    <m/>
    <s v="Portilla Coronado, Víctor Jesús_x000a_"/>
    <n v="35"/>
    <s v="Ayudante de Almacén "/>
    <s v="M"/>
    <n v="1"/>
    <s v="OBRERO CONTRATADO"/>
    <s v="5 dias"/>
    <d v="2016-06-22T00:00:00"/>
    <s v="Accidente Incapacitante"/>
    <s v="Parcial Temporal "/>
    <s v="Atricción de dedo durante cambio de bateria de montacarga"/>
    <s v="MANO "/>
    <m/>
    <m/>
    <x v="4"/>
    <s v="Junio"/>
    <m/>
    <n v="1"/>
    <m/>
    <n v="1"/>
    <m/>
    <m/>
    <m/>
    <x v="0"/>
    <s v="Maniobras de equipos"/>
    <s v="Atricción"/>
    <m/>
    <m/>
    <m/>
  </r>
  <r>
    <m/>
    <s v="MOLINO FAUCETT"/>
    <m/>
    <s v="PRODUCCIÓN"/>
    <m/>
    <s v="Jorge Candela "/>
    <n v="48"/>
    <s v="Ayudante de Planta       "/>
    <s v="M"/>
    <n v="2"/>
    <s v=" OBRERO ESTABLE"/>
    <s v="1 mes"/>
    <d v="2016-06-22T00:00:00"/>
    <s v="Accidente Incapacitante"/>
    <s v="Parcial Temporal "/>
    <s v="Trauma mano derecha desatorando linea de harina"/>
    <s v="MANO "/>
    <m/>
    <m/>
    <x v="4"/>
    <s v="Junio"/>
    <m/>
    <n v="19"/>
    <m/>
    <n v="19"/>
    <m/>
    <m/>
    <m/>
    <x v="56"/>
    <s v="Durante operación productiva"/>
    <s v="Golpe"/>
    <m/>
    <m/>
    <m/>
  </r>
  <r>
    <m/>
    <s v="CDC"/>
    <m/>
    <s v="DISTRIBUCIÓN"/>
    <m/>
    <s v="Yordan Alache Acuña"/>
    <n v="22"/>
    <s v="Ayudante de planta"/>
    <s v="M"/>
    <n v="2"/>
    <s v="OBRERO CONTRATADO"/>
    <s v="7 días"/>
    <d v="2016-07-05T00:00:00"/>
    <s v="Accidente Incapacitante"/>
    <s v="Parcial Temporal "/>
    <s v="Fractura del primer Metatarsiano del pie derecho por atrapamiento de pie entre transpaleta y ruma de parihuelas. "/>
    <s v="PIE"/>
    <m/>
    <m/>
    <x v="4"/>
    <s v="Julio"/>
    <m/>
    <n v="71"/>
    <m/>
    <n v="71"/>
    <m/>
    <m/>
    <m/>
    <x v="12"/>
    <s v="Estiba"/>
    <s v="Golpe"/>
    <m/>
    <m/>
    <m/>
  </r>
  <r>
    <m/>
    <s v="INSTANTANEOS"/>
    <m/>
    <s v="PRODUCCIÓN"/>
    <m/>
    <s v="Jorge Giraldo Asencios_x000a_"/>
    <n v="31"/>
    <s v="Operario de Producción"/>
    <s v="M"/>
    <n v="1"/>
    <s v="OBRERO ESTABLE"/>
    <s v="2 meses"/>
    <d v="2016-07-08T00:00:00"/>
    <s v="Accidente Incapacitante"/>
    <s v="Parcial Permanente"/>
    <s v="Pérdida falange1er distal  2ndo dedo mano izquierda; metió la mano izquierda cerca a la mordaza para jalar la envoltura centrarla y tensarla con la máquina en movimiento y es en esta circunstancia que la cuchilla de la mordaza horizontal se activa  y secc"/>
    <s v="MANO "/>
    <m/>
    <m/>
    <x v="4"/>
    <s v="Julio"/>
    <m/>
    <n v="103"/>
    <n v="100"/>
    <n v="203"/>
    <m/>
    <m/>
    <m/>
    <x v="16"/>
    <s v="Durante operación productiva"/>
    <s v="Perdida Falange"/>
    <m/>
    <m/>
    <m/>
  </r>
  <r>
    <m/>
    <s v="GLOBAL"/>
    <m/>
    <s v="GLOBAL"/>
    <m/>
    <s v="Karol Isidro Mori_x000a_"/>
    <n v="25"/>
    <s v="TERCERO "/>
    <s v="M"/>
    <n v="1"/>
    <s v="X"/>
    <s v="4 años"/>
    <d v="2016-07-17T00:00:00"/>
    <s v="Accidente Incapacitante"/>
    <s v="Parcial Temporal "/>
    <s v="dos trabajadores de la empresa contratista suben al techo de la nave de la planta de extruidos para realizar trabajos de instalación de estructuras sin recibir autorización por parte de Global Alimentos. (sin permiso de trabajo autorizado y sin uso de EPP"/>
    <s v="MANO "/>
    <m/>
    <m/>
    <x v="4"/>
    <s v="Julio"/>
    <m/>
    <n v="118"/>
    <m/>
    <n v="118"/>
    <m/>
    <m/>
    <m/>
    <x v="8"/>
    <s v="mantenimiento"/>
    <s v="Fractura"/>
    <m/>
    <m/>
    <s v="TECNICAD"/>
  </r>
  <r>
    <m/>
    <s v="TEAL"/>
    <m/>
    <s v="PRODUCCIÓN"/>
    <m/>
    <s v="Rodriguez Pomarrosa, Clever_x000a_"/>
    <n v="38"/>
    <s v="operador"/>
    <s v="M"/>
    <n v="1"/>
    <s v=" OBRERO ESTABLE"/>
    <s v="2 años"/>
    <d v="2016-07-05T00:00:00"/>
    <s v="Accidente Incapacitante"/>
    <s v="Parcial Temporal "/>
    <s v="Corte en el dorso de los dedos índice y medio de la mano izquierda, durante limpieza de equipo fuera de servicio con trapeador."/>
    <s v="MANO "/>
    <m/>
    <m/>
    <x v="4"/>
    <s v="Julio"/>
    <m/>
    <n v="6"/>
    <m/>
    <n v="6"/>
    <m/>
    <m/>
    <m/>
    <x v="25"/>
    <s v="Limpiando equipo"/>
    <s v="Corte"/>
    <m/>
    <m/>
    <m/>
  </r>
  <r>
    <m/>
    <s v="TEAL"/>
    <m/>
    <s v="PRODUCCIÓN"/>
    <m/>
    <s v="Quispe Zelaya, Jhayson Jim_x000a_"/>
    <n v="20"/>
    <s v="Operario de Producción_x000a_"/>
    <s v="M"/>
    <n v="1"/>
    <s v="OBRERO CONTRATADO"/>
    <s v="1 año 3 meses"/>
    <d v="2016-08-03T00:00:00"/>
    <s v="Accidente Incapacitante"/>
    <s v="Parcial Permanente"/>
    <s v="Perdida falange durante el accionamiento de lona Retráctil para el inicio de envasado Galleta Soda "/>
    <s v="MANO "/>
    <m/>
    <m/>
    <x v="4"/>
    <s v="Agosto"/>
    <m/>
    <n v="120"/>
    <n v="75"/>
    <n v="195"/>
    <m/>
    <m/>
    <m/>
    <x v="16"/>
    <s v="Durante operación productiva"/>
    <s v="Perdida Falange"/>
    <m/>
    <m/>
    <m/>
  </r>
  <r>
    <m/>
    <s v="GALLETERA LIMA"/>
    <m/>
    <s v="PRODUCCIÓN"/>
    <m/>
    <s v="Carlos Bracamonte_x000a_"/>
    <n v="40"/>
    <s v="Operario de Producción _x000a_"/>
    <s v="M"/>
    <n v="3"/>
    <s v="OBRERO ESTABLE"/>
    <s v="9 año 3 meses"/>
    <d v="2016-08-03T00:00:00"/>
    <s v="Accidente Incapacitante"/>
    <s v="Parcial Temporal "/>
    <s v=": Esguince del dedo anular de la mano derecha al resbalar y caer sobre plataforma "/>
    <s v="MANO "/>
    <m/>
    <m/>
    <x v="4"/>
    <s v="Agosto"/>
    <m/>
    <n v="12"/>
    <m/>
    <n v="12"/>
    <m/>
    <m/>
    <m/>
    <x v="13"/>
    <s v="Trasladandose a pie"/>
    <s v="Esguince"/>
    <m/>
    <m/>
    <m/>
  </r>
  <r>
    <m/>
    <s v="SIDSUR"/>
    <m/>
    <s v="DISTRIBUCIÓN"/>
    <m/>
    <s v="Gomez Tomaya, Hugo_x000a_"/>
    <n v="39"/>
    <s v="TERCERO"/>
    <s v="M"/>
    <n v="3"/>
    <s v="X"/>
    <s v="1 año"/>
    <d v="2016-08-03T00:00:00"/>
    <s v="Accidente Incapacitante"/>
    <s v="Parcial Temporal "/>
    <s v="Contusión mano derecha al caer de un camión "/>
    <s v="MANO "/>
    <m/>
    <m/>
    <x v="4"/>
    <s v="Agosto"/>
    <m/>
    <n v="3"/>
    <m/>
    <n v="3"/>
    <m/>
    <m/>
    <m/>
    <x v="14"/>
    <s v="carga/descarga de camión"/>
    <s v="Golpe"/>
    <m/>
    <m/>
    <s v="IOLSA"/>
  </r>
  <r>
    <m/>
    <s v="FIDEERIA LIMA"/>
    <m/>
    <s v="MANTENIMIENTO"/>
    <m/>
    <s v="Valenzuela Rojas, Gino Alexander"/>
    <n v="31"/>
    <s v="TERCERO"/>
    <s v="M"/>
    <n v="1"/>
    <s v="X"/>
    <s v="27 dias"/>
    <d v="2016-08-03T00:00:00"/>
    <s v="Accidente Incapacitante"/>
    <s v="Parcial Temporal "/>
    <s v="Corte en la mano durante corte de liston de manera con amoladora sin guarda "/>
    <s v="MANO "/>
    <m/>
    <m/>
    <x v="4"/>
    <s v="Agosto"/>
    <m/>
    <n v="60"/>
    <m/>
    <n v="60"/>
    <m/>
    <m/>
    <m/>
    <x v="79"/>
    <s v="Mantenimiento"/>
    <s v="Corte"/>
    <m/>
    <m/>
    <s v="FERPA"/>
  </r>
  <r>
    <m/>
    <s v="NUTRICION ANIMAL TRUJILLO "/>
    <m/>
    <s v="VITAPRO"/>
    <m/>
    <s v="José Rafael Leiva_x000a_"/>
    <n v="37"/>
    <s v="AUXILIAR PRODUCCIÓN"/>
    <s v="M"/>
    <n v="1"/>
    <m/>
    <s v="4 años 5 meses"/>
    <d v="2016-08-03T00:00:00"/>
    <s v="Accidente Incapacitante (NO IF)"/>
    <s v="Parcial Temporal "/>
    <s v="Esguince al tobillo derecho al bajar de escalera que da acceso al secador de la prensa 1 . Daño a rodilla pre existente."/>
    <s v="PIERNA"/>
    <m/>
    <m/>
    <x v="4"/>
    <s v="Agosto"/>
    <m/>
    <n v="10"/>
    <m/>
    <n v="10"/>
    <m/>
    <m/>
    <m/>
    <x v="53"/>
    <s v="Durante operación productiva"/>
    <s v="Esguince"/>
    <m/>
    <m/>
    <m/>
  </r>
  <r>
    <m/>
    <s v="MOLINO FAUCETT"/>
    <m/>
    <s v="PRODUCCIÓN"/>
    <m/>
    <s v="Wilfredo Puicón_x000a_"/>
    <n v="49"/>
    <s v="Operador 2 de Molino_x000a_"/>
    <s v="M"/>
    <n v="2"/>
    <s v="OBRERO ESTABLE"/>
    <s v="7 dias"/>
    <d v="2016-08-03T00:00:00"/>
    <s v="Accidente Incapacitante"/>
    <s v="Parcial Temporal "/>
    <s v="Roce en el ojo con cartón "/>
    <s v="OJO"/>
    <m/>
    <m/>
    <x v="4"/>
    <s v="Agosto"/>
    <m/>
    <n v="4"/>
    <m/>
    <n v="4"/>
    <m/>
    <m/>
    <m/>
    <x v="80"/>
    <s v="Durante operación productiva"/>
    <s v="contacto al ojo"/>
    <m/>
    <m/>
    <m/>
  </r>
  <r>
    <m/>
    <s v="ADMINISTRACIÓN"/>
    <m/>
    <s v="ADMINISTRACIÓN"/>
    <m/>
    <s v="Jannibeth García Guerra_x000a_"/>
    <n v="45"/>
    <s v="TERCERO"/>
    <s v="F"/>
    <n v="1"/>
    <s v="X"/>
    <s v="8 dias"/>
    <d v="2016-08-03T00:00:00"/>
    <s v="Accidente Incapacitante"/>
    <s v="Parcial Temporal "/>
    <s v="Quemadura 2ndo grado en piernas con Soda Cáustica al resbalar y caer al piso en zona de ACOPIO"/>
    <s v="PIERNA"/>
    <m/>
    <m/>
    <x v="4"/>
    <s v="Agosto"/>
    <m/>
    <n v="18"/>
    <m/>
    <n v="18"/>
    <m/>
    <m/>
    <m/>
    <x v="72"/>
    <s v="Limpiando instalaciones"/>
    <s v="Quemadura Sustancias Quimica"/>
    <m/>
    <m/>
    <s v="LIMTEK"/>
  </r>
  <r>
    <m/>
    <s v="MOLINO CALLAO"/>
    <m/>
    <s v="PRODUCCIÓN"/>
    <m/>
    <s v="Elder Miguel Bastante Santana_x000a_"/>
    <n v="45"/>
    <s v="Operador 1 de Molino_x000a_"/>
    <s v="M"/>
    <n v="1"/>
    <s v="OBRERO ESTABLE"/>
    <s v="10 años"/>
    <d v="2016-08-03T00:00:00"/>
    <s v="Accidente Incapacitante"/>
    <s v="Parcial Permanente"/>
    <s v="Pérdida falange en banco de cilindros en su intento de desatorar producto "/>
    <s v="MANO "/>
    <m/>
    <m/>
    <x v="4"/>
    <s v="Agosto"/>
    <m/>
    <n v="90"/>
    <n v="60"/>
    <n v="150"/>
    <m/>
    <m/>
    <m/>
    <x v="16"/>
    <s v="Durante operación productiva"/>
    <s v="Perdida Falange"/>
    <m/>
    <m/>
    <m/>
  </r>
  <r>
    <m/>
    <s v="ADMINISTRACIÓN"/>
    <m/>
    <s v="ADMINISTRACIÓN"/>
    <m/>
    <s v="Cubas Lluncor Jose_x000a_"/>
    <n v="27"/>
    <s v="TERCERO"/>
    <s v="M"/>
    <n v="1"/>
    <s v="X"/>
    <s v="10 meses"/>
    <d v="2016-08-03T00:00:00"/>
    <s v="Accidente Incapacitante"/>
    <s v="Parcial Temporal "/>
    <s v="Atricción de dedo con puerta peatonal del portón principal del predio de Mol Sta.Rosa"/>
    <s v="MANO "/>
    <m/>
    <m/>
    <x v="4"/>
    <s v="Agosto"/>
    <m/>
    <n v="35"/>
    <m/>
    <n v="35"/>
    <m/>
    <m/>
    <m/>
    <x v="34"/>
    <s v="Otros"/>
    <s v="Atricción"/>
    <m/>
    <m/>
    <s v="PROSEGUR"/>
  </r>
  <r>
    <m/>
    <s v="MASTERBREAD"/>
    <m/>
    <s v="MASTERBREAD"/>
    <m/>
    <m/>
    <m/>
    <s v="TERCERO"/>
    <s v="F"/>
    <m/>
    <s v="X"/>
    <m/>
    <d v="2016-08-08T00:00:00"/>
    <s v="Accidente Incapacitante"/>
    <s v="Parcial Temporal "/>
    <s v="Caída de personal Limtek con golpe a la cabeza "/>
    <s v="CABEZA"/>
    <m/>
    <m/>
    <x v="4"/>
    <s v="Agosto"/>
    <m/>
    <n v="6"/>
    <m/>
    <n v="6"/>
    <m/>
    <m/>
    <m/>
    <x v="81"/>
    <s v="Limpiando instalaciones"/>
    <s v="Golpe"/>
    <m/>
    <m/>
    <s v="LIMTEK"/>
  </r>
  <r>
    <m/>
    <s v="SIDSUR"/>
    <m/>
    <s v="PRODUCCIÓN"/>
    <m/>
    <s v="Eladio Quispe Choque_x000a_"/>
    <n v="38"/>
    <s v="Ayudante de Molino_x000a_"/>
    <s v="M"/>
    <n v="2"/>
    <s v="OBRERO ESTABLE"/>
    <s v="8 AÑOS"/>
    <d v="2016-08-07T00:00:00"/>
    <s v="Accidente Incapacitante"/>
    <s v="Parcial Temporal "/>
    <s v="Síndrome Vestibular Periférico Oído Izquierdo (Inflamación de tímpano) por deterioro del ventilador_x000a_"/>
    <s v="CABEZA"/>
    <m/>
    <m/>
    <x v="4"/>
    <s v="Agosto"/>
    <m/>
    <n v="6"/>
    <m/>
    <n v="6"/>
    <m/>
    <m/>
    <m/>
    <x v="82"/>
    <s v="Durante operación productiva"/>
    <s v="Inflamación Oido"/>
    <m/>
    <m/>
    <m/>
  </r>
  <r>
    <m/>
    <s v="TEAL"/>
    <m/>
    <s v="MANTENIMIENTO"/>
    <m/>
    <s v="Silva Espinoza, Keny_x000a_"/>
    <n v="20"/>
    <s v="TERCERO"/>
    <s v="M"/>
    <n v="1"/>
    <s v="X"/>
    <s v="1 años"/>
    <d v="2016-09-03T00:00:00"/>
    <s v="Accidente Incapacitante"/>
    <s v="Parcial Temporal "/>
    <s v="Herida cortante en la mano izquierda mientras perforaba base tablero eléctrico en el taller"/>
    <s v="MANO "/>
    <m/>
    <m/>
    <x v="4"/>
    <s v="Setiembre"/>
    <m/>
    <n v="7"/>
    <m/>
    <n v="7"/>
    <m/>
    <m/>
    <m/>
    <x v="83"/>
    <s v="Mantenimiento"/>
    <s v="Corte"/>
    <m/>
    <m/>
    <s v="FLOURP"/>
  </r>
  <r>
    <m/>
    <s v="CDC"/>
    <m/>
    <s v="DISTRIBUCIÓN"/>
    <m/>
    <s v="Lizana Dominguez, Miguel Ángel_x000a_"/>
    <n v="24"/>
    <s v="Aprendiz de operario en Logística y Almacenes_x000a_"/>
    <s v="M"/>
    <n v="1"/>
    <s v="APRENDIZ"/>
    <s v="5 meses"/>
    <d v="2016-09-07T00:00:00"/>
    <s v="Accidente Incapacitante"/>
    <s v="Parcial Temporal "/>
    <s v="Atrición muñeca brazo izquierdo al deslizarse una paleta "/>
    <s v="MANO "/>
    <m/>
    <m/>
    <x v="4"/>
    <s v="Setiembre"/>
    <m/>
    <n v="7"/>
    <m/>
    <n v="7"/>
    <m/>
    <m/>
    <m/>
    <x v="27"/>
    <s v="Manipulación Materiales/Herramientas"/>
    <s v="Atricción"/>
    <m/>
    <m/>
    <m/>
  </r>
  <r>
    <m/>
    <s v="COPSA"/>
    <m/>
    <s v="PRODUCCIÓN"/>
    <m/>
    <s v="Estaban Vargas Tasayco "/>
    <n v="19"/>
    <s v="CLJ"/>
    <s v="M"/>
    <n v="1"/>
    <s v="CLJ"/>
    <s v="MENOS DE 1 AÑO"/>
    <d v="2016-09-09T00:00:00"/>
    <s v="Accidente Incapacitante"/>
    <s v="Parcial Temporal "/>
    <s v="Atricción dedo meñique con faja vertical en encintadora (Mayonesa)"/>
    <s v="MANO "/>
    <m/>
    <m/>
    <x v="4"/>
    <s v="Setiembre"/>
    <m/>
    <n v="2"/>
    <m/>
    <n v="2"/>
    <m/>
    <m/>
    <m/>
    <x v="22"/>
    <s v="Durante operación productiva"/>
    <s v="Corte"/>
    <m/>
    <m/>
    <m/>
  </r>
  <r>
    <m/>
    <s v="COPSA"/>
    <m/>
    <s v="PRODUCCIÓN"/>
    <m/>
    <s v="Edson Mario Salinas Martinez_x000a_"/>
    <n v="39"/>
    <s v="Operador de Balanzas de Refinería_x000a_"/>
    <s v="M"/>
    <n v="1"/>
    <s v="OBRERO ESTABLE"/>
    <s v="1.5 años"/>
    <d v="2016-09-10T00:00:00"/>
    <s v="Accidente Incapacitante"/>
    <s v="Parcial Temporal "/>
    <s v="Corte en dedo pulgar (mano derecha) durante lavado de envase de vidrio en laboratorio refinería"/>
    <s v="MANO "/>
    <m/>
    <m/>
    <x v="4"/>
    <s v="Setiembre"/>
    <m/>
    <n v="4"/>
    <m/>
    <n v="4"/>
    <m/>
    <m/>
    <m/>
    <x v="84"/>
    <s v="Manipulación Materiales/Herramientas"/>
    <s v="Corte"/>
    <m/>
    <m/>
    <m/>
  </r>
  <r>
    <m/>
    <s v="COPSA"/>
    <m/>
    <s v="PRODUCCIÓN"/>
    <m/>
    <s v="JEANPIERE ORTIZ FASABI _x000a_"/>
    <n v="24"/>
    <s v="Operador de Volpak_x000a_"/>
    <s v="M"/>
    <n v="1"/>
    <s v="OBRERO CONTRATADO"/>
    <s v="2 meses"/>
    <d v="2016-09-26T00:00:00"/>
    <s v="Accidente Incapacitante"/>
    <s v="Parcial Temporal "/>
    <s v="Contusión en región anterior de pie derecho con un pallet llevado con stocka por otro trabajador (Balanceados)"/>
    <s v="PIE"/>
    <m/>
    <m/>
    <x v="4"/>
    <s v="Setiembre"/>
    <m/>
    <n v="2"/>
    <m/>
    <n v="2"/>
    <m/>
    <m/>
    <m/>
    <x v="27"/>
    <s v="Maniobras de equipos"/>
    <s v="Golpe"/>
    <m/>
    <m/>
    <m/>
  </r>
  <r>
    <m/>
    <s v="COPSA"/>
    <m/>
    <s v="PRODUCCIÓN"/>
    <m/>
    <s v="RAMOS TOCTO PHILIP ABDON _x000a_"/>
    <n v="36"/>
    <s v="Operador de Volpak_x000a_"/>
    <s v="M"/>
    <n v="3"/>
    <s v="OBRERO ESTABLE"/>
    <s v="6 meses"/>
    <d v="2016-09-28T00:00:00"/>
    <s v="Accidente Incapacitante"/>
    <s v="Parcial Temporal "/>
    <s v="Corte punzocortante mano derecha envasadora Volpak 1 durante su regulación (Mayonesa)"/>
    <s v="MANO "/>
    <m/>
    <m/>
    <x v="4"/>
    <s v="Setiembre"/>
    <m/>
    <n v="11"/>
    <m/>
    <n v="11"/>
    <m/>
    <m/>
    <m/>
    <x v="3"/>
    <s v="Calibrando/Regulando"/>
    <s v="Corte"/>
    <m/>
    <m/>
    <m/>
  </r>
  <r>
    <m/>
    <s v="DETERGENTES"/>
    <m/>
    <s v="PRODUCCIÓN"/>
    <m/>
    <s v="Percy Carranza Izaguirre"/>
    <n v="42"/>
    <s v="Operador de Envasadora Masipack"/>
    <s v="M"/>
    <n v="1"/>
    <s v="OBRERO ESTABLE"/>
    <m/>
    <d v="2016-10-01T00:00:00"/>
    <s v="Accidente Incapacitante"/>
    <s v="Parcial Permanente"/>
    <s v="Amputación de falange distal dedo índice - Mano izquierda mientras alineaba el film en la MASIPACK "/>
    <s v="MANO "/>
    <m/>
    <m/>
    <x v="4"/>
    <s v="Octubre"/>
    <m/>
    <n v="107"/>
    <n v="100"/>
    <n v="207"/>
    <m/>
    <m/>
    <m/>
    <x v="3"/>
    <s v="Calibrando/Regulando"/>
    <s v="Perdida Falange"/>
    <m/>
    <m/>
    <m/>
  </r>
  <r>
    <m/>
    <s v="BSF PUNTA HERMOSA"/>
    <m/>
    <s v="DISTRIBUCIÓN"/>
    <m/>
    <s v="Victor Kana Yucravilca "/>
    <m/>
    <s v="TERCERO"/>
    <s v="M"/>
    <n v="1"/>
    <s v="X"/>
    <m/>
    <d v="2016-10-04T00:00:00"/>
    <s v="Accidente Incapacitante"/>
    <s v="Parcial Temporal "/>
    <s v="Atrapamiento del dedo de la mano derecha al cerrar puerta laterial ("/>
    <s v="MANO "/>
    <m/>
    <m/>
    <x v="4"/>
    <s v="Octubre"/>
    <m/>
    <n v="9"/>
    <m/>
    <n v="9"/>
    <m/>
    <m/>
    <m/>
    <x v="14"/>
    <s v="carga/descarga de camión"/>
    <s v="Atricción"/>
    <m/>
    <m/>
    <s v="CR TRANSPORTES"/>
  </r>
  <r>
    <m/>
    <s v="NUTRICION ANIMAL TRUJILLO "/>
    <m/>
    <s v="VITAPRO"/>
    <m/>
    <s v="Juan Lozada"/>
    <n v="37"/>
    <s v="Operador de Molinos"/>
    <s v="M"/>
    <n v="2"/>
    <s v="OBRERO ESTABLE"/>
    <s v="4 años"/>
    <d v="2016-10-07T00:00:00"/>
    <s v="Accidente Incapacitante"/>
    <s v="Parcial Permanente"/>
    <s v="Amputación parcial de la falange distal del dedo pulgar de la mano izquierda al tratar de destrabar pistón neumático del molino "/>
    <s v="MANO "/>
    <m/>
    <m/>
    <x v="4"/>
    <s v="Octubre"/>
    <m/>
    <n v="59"/>
    <n v="300"/>
    <n v="359"/>
    <m/>
    <m/>
    <m/>
    <x v="3"/>
    <s v="Limpiando equipo"/>
    <s v="Perdida Falange"/>
    <m/>
    <m/>
    <m/>
  </r>
  <r>
    <m/>
    <s v="TEAL"/>
    <m/>
    <s v="PRODUCCIÓN"/>
    <m/>
    <s v="Chujandama Saurin, Kelsen"/>
    <n v="26"/>
    <s v="Operario de Producción"/>
    <s v="M"/>
    <n v="2"/>
    <s v="PERIODO PRUEBA"/>
    <s v="1 mes  15 días"/>
    <d v="2016-10-07T00:00:00"/>
    <s v="Accidente Incapacitante"/>
    <s v="Parcial Temporal "/>
    <s v="Quemadura Ier grado con silicona en el cuello (Panetones)"/>
    <s v="CABEZA"/>
    <m/>
    <m/>
    <x v="4"/>
    <s v="Octubre"/>
    <m/>
    <n v="4"/>
    <m/>
    <n v="4"/>
    <m/>
    <m/>
    <m/>
    <x v="43"/>
    <s v="Durante operación productiva"/>
    <s v="Quemadura Sustancias Quimica"/>
    <m/>
    <m/>
    <m/>
  </r>
  <r>
    <m/>
    <s v="TEAL"/>
    <m/>
    <s v="PRODUCCIÓN"/>
    <m/>
    <s v="Rider Cabanillas Jimenez"/>
    <n v="26"/>
    <s v="Ayudante de Maquinista"/>
    <s v="M"/>
    <n v="1"/>
    <s v="OBRERO ESTABLE"/>
    <s v="2 años 2 meses"/>
    <d v="2016-10-13T00:00:00"/>
    <s v="Accidente Incapacitante"/>
    <s v="Parcial Temporal "/>
    <s v="Atricción dedo medio mientras realizaba el centrado del transportador de alimentación de masa (Galletas)"/>
    <s v="MANO "/>
    <m/>
    <m/>
    <x v="4"/>
    <s v="Octubre"/>
    <m/>
    <n v="26"/>
    <m/>
    <n v="26"/>
    <m/>
    <m/>
    <m/>
    <x v="22"/>
    <s v="Calibrando/Regulando"/>
    <s v="Atricción"/>
    <m/>
    <m/>
    <m/>
  </r>
  <r>
    <m/>
    <s v="TEAL"/>
    <m/>
    <s v="MANTENIMIENTO"/>
    <m/>
    <s v="Pedro Malaver Rodriguez"/>
    <n v="61"/>
    <s v="Técnico Mecánico "/>
    <s v="M"/>
    <n v="1"/>
    <s v="OBRERO ESTABLE"/>
    <s v="41 años"/>
    <d v="2016-10-15T00:00:00"/>
    <s v="Accidente Incapacitante"/>
    <s v="Parcial Temporal "/>
    <s v="Herida contusa abierta en el falange distal del dedo meñique de la mano izquierda durante el traslado de puerta enrollable automática de poliuretano al almacén"/>
    <s v="MANO "/>
    <m/>
    <m/>
    <x v="4"/>
    <s v="Octubre"/>
    <m/>
    <n v="38"/>
    <m/>
    <n v="38"/>
    <m/>
    <m/>
    <m/>
    <x v="85"/>
    <s v="Manipulación Materiales/Herramientas"/>
    <s v="Corte"/>
    <m/>
    <m/>
    <m/>
  </r>
  <r>
    <m/>
    <s v="DETERGENTES"/>
    <m/>
    <s v="PRODUCCIÓN"/>
    <m/>
    <s v="Olivo Grijalva, Elias_x000a_"/>
    <n v="29"/>
    <s v="Ayudante de Planta_x000a_"/>
    <s v="M"/>
    <n v="1"/>
    <s v="OBRERO CONTRATADO"/>
    <s v="8 meses29 dias"/>
    <d v="2016-10-19T00:00:00"/>
    <s v="Accidente Incapacitante"/>
    <s v="Parcial Permanente"/>
    <s v="Amputación de brazo durante limpieza de tambor motriz de faja Post Dosing en movimiento ubicada en el 4to piso de Manufactura "/>
    <s v="BRAZO "/>
    <m/>
    <m/>
    <x v="4"/>
    <s v="Octubre"/>
    <m/>
    <n v="90"/>
    <n v="4500"/>
    <n v="4590"/>
    <m/>
    <m/>
    <m/>
    <x v="22"/>
    <s v="Limpiando equipo"/>
    <s v="Perdida Brazo"/>
    <m/>
    <m/>
    <m/>
  </r>
  <r>
    <m/>
    <s v="GLOBAL"/>
    <m/>
    <s v="PRODUCCIÓN"/>
    <m/>
    <m/>
    <m/>
    <s v="TERCERO"/>
    <s v="M"/>
    <n v="3"/>
    <s v="X"/>
    <s v="5 años 25 dias"/>
    <d v="2016-10-20T00:00:00"/>
    <s v="Accidente Incapacitante"/>
    <s v="Parcial Temporal "/>
    <s v="Golpe y corte en el dedo medio, mano derecha cerrando la puerta de la esclusa de la aduana"/>
    <s v="MANO "/>
    <m/>
    <m/>
    <x v="4"/>
    <s v="Octubre"/>
    <m/>
    <n v="5"/>
    <m/>
    <n v="5"/>
    <m/>
    <m/>
    <m/>
    <x v="34"/>
    <s v="Otros"/>
    <s v="Atricción"/>
    <m/>
    <m/>
    <s v="MANPOWER"/>
  </r>
  <r>
    <m/>
    <s v="GALLETERA LIMA"/>
    <m/>
    <s v="PRODUCCIÓN"/>
    <m/>
    <s v="Pedro Vargas Quintana  "/>
    <n v="62"/>
    <s v="operador"/>
    <s v="M"/>
    <n v="3"/>
    <s v="OBRERO ESTABLE"/>
    <s v="14 años 5 meses"/>
    <d v="2016-10-20T00:00:00"/>
    <s v="Accidente Incapacitante"/>
    <s v="Parcial Temporal "/>
    <s v="Corte en el dedo índice de la mano derecha mientras estaba alimentando en el magazine de galletas de la L1 "/>
    <s v="MANO "/>
    <m/>
    <m/>
    <x v="4"/>
    <s v="Octubre"/>
    <m/>
    <n v="11"/>
    <m/>
    <n v="11"/>
    <m/>
    <m/>
    <m/>
    <x v="3"/>
    <s v="Durante operación productiva"/>
    <s v="Corte"/>
    <m/>
    <m/>
    <m/>
  </r>
  <r>
    <m/>
    <s v="GALLETERA LIMA"/>
    <m/>
    <s v="PRODUCCIÓN"/>
    <m/>
    <s v="Grace Aguilar Cerna  "/>
    <n v="18"/>
    <s v="SENATI"/>
    <s v="M"/>
    <n v="1"/>
    <s v="SENATI"/>
    <s v="2 meses 3 semanas"/>
    <d v="2016-10-26T00:00:00"/>
    <s v="Accidente Incapacitante"/>
    <s v="Parcial Temporal "/>
    <s v="Esguince de 1er grado en pie derecho al intentar pasar por encima de paleta"/>
    <s v="PIE"/>
    <m/>
    <m/>
    <x v="4"/>
    <s v="Octubre"/>
    <m/>
    <n v="3"/>
    <m/>
    <n v="3"/>
    <m/>
    <m/>
    <m/>
    <x v="27"/>
    <s v="Trasladandose a pie"/>
    <s v="Esguince"/>
    <m/>
    <m/>
    <m/>
  </r>
  <r>
    <m/>
    <s v="GLOBAL"/>
    <m/>
    <s v="PRODUCCIÓN"/>
    <m/>
    <m/>
    <m/>
    <s v="Operador de barras"/>
    <s v="M"/>
    <n v="1"/>
    <s v="OBRERO CONTRATADO"/>
    <m/>
    <d v="2016-10-27T00:00:00"/>
    <s v="Accidente Incapacitante"/>
    <s v="Parcial Temporal "/>
    <s v="Quemadura 2ndo grado en brazo derecho por salpicadura de jarabe"/>
    <s v="BRAZO "/>
    <m/>
    <m/>
    <x v="4"/>
    <s v="Octubre"/>
    <m/>
    <n v="7"/>
    <m/>
    <n v="7"/>
    <m/>
    <m/>
    <m/>
    <x v="86"/>
    <s v="Durante operación productiva"/>
    <s v="Quemadura Sustancias Quimica"/>
    <m/>
    <m/>
    <m/>
  </r>
  <r>
    <m/>
    <s v="CDC"/>
    <m/>
    <s v="DISTRIBUCIÓN"/>
    <m/>
    <s v="Raul Castro Sayan "/>
    <n v="23"/>
    <s v="Aprendiz de Operario de Logística y Almacén"/>
    <s v="M"/>
    <m/>
    <s v="APRENDIZ"/>
    <s v="MENOS DE 1 AÑO"/>
    <d v="2016-10-04T00:00:00"/>
    <s v="Accidente Incapacitante"/>
    <s v="Parcial Temporal "/>
    <s v="Atricción del pie con paleta al bajarla de ruma de 5 paletas durante paletización de salsas"/>
    <s v="PIE"/>
    <m/>
    <m/>
    <x v="4"/>
    <s v="Octubre"/>
    <m/>
    <n v="3"/>
    <m/>
    <n v="3"/>
    <m/>
    <m/>
    <m/>
    <x v="27"/>
    <s v="Durante operación productiva"/>
    <s v="Atricción"/>
    <m/>
    <m/>
    <m/>
  </r>
  <r>
    <m/>
    <s v="COPSA"/>
    <m/>
    <s v="PRODUCCIÓN"/>
    <m/>
    <s v="Jeydy Hernandez Cherres"/>
    <n v="19"/>
    <s v="CLJ"/>
    <s v="F"/>
    <n v="3"/>
    <s v="CLJ"/>
    <s v="MENOS DE 1 AÑO"/>
    <d v="2016-12-04T00:00:00"/>
    <s v="Accidente Incapacitante"/>
    <s v="Parcial Temporal "/>
    <s v="Caída mismo nivel mientras transitaba hacia vestidores. Bromeaba con compañero. Golpe en la rostro , labio y rodilla"/>
    <s v="CABEZA"/>
    <m/>
    <m/>
    <x v="4"/>
    <s v="Noviembre"/>
    <m/>
    <n v="3"/>
    <m/>
    <n v="3"/>
    <m/>
    <m/>
    <m/>
    <x v="87"/>
    <s v="Trasladandose a pie"/>
    <s v="Caida"/>
    <m/>
    <m/>
    <m/>
  </r>
  <r>
    <m/>
    <s v="MASTERBREAD"/>
    <m/>
    <s v="MASTERBREAD"/>
    <m/>
    <m/>
    <m/>
    <s v="TERCERO"/>
    <s v="F"/>
    <m/>
    <s v="X"/>
    <m/>
    <d v="2016-11-07T00:00:00"/>
    <s v="Accidente Incapacitante"/>
    <s v="Parcial Temporal "/>
    <s v="responsable de la maquina cortadora de Pan, se presta a sacar un porta cuchillas del rack,  accidentalmente golpea a otro juego de porta cuchillas que estaba más arriba, provocando la caída de este del rack y cayendo directamente en su brazo, provocándole un profundo corte en el brazo."/>
    <s v="CABEZA"/>
    <m/>
    <m/>
    <x v="4"/>
    <s v="Agosto"/>
    <m/>
    <n v="8"/>
    <m/>
    <n v="8"/>
    <m/>
    <m/>
    <m/>
    <x v="81"/>
    <s v="Durante operación productiva"/>
    <s v="Corte"/>
    <m/>
    <m/>
    <s v="LIMTEK"/>
  </r>
  <r>
    <m/>
    <s v="TEAL"/>
    <m/>
    <s v="MANTENIMIENTO"/>
    <m/>
    <s v="Gerónimo Piralla Zela"/>
    <m/>
    <s v="Tornero principal"/>
    <s v="M"/>
    <m/>
    <m/>
    <m/>
    <d v="2016-12-21T00:00:00"/>
    <s v="Accidente Incapacitante"/>
    <s v="Parcial Temporal "/>
    <s v="Herida contusa en dedo índice realizando trabajos de mecanizado en el torno ubicado en el taller de mantenimiento; en específico, el proceso de asentamiento del eje en bocina para el soporte de cuchilla perteneciente a la envolvedora de chicles del área caramelos, una mala maniobra hizo que se deslizara el dedo índice de la mano derecha cerca de la estructura que rotaba sobre el eje en el torno, "/>
    <s v="MANO "/>
    <m/>
    <m/>
    <x v="4"/>
    <s v="Diciembre"/>
    <m/>
    <n v="8"/>
    <m/>
    <n v="8"/>
    <m/>
    <m/>
    <m/>
    <x v="88"/>
    <s v="Durante operación productiva"/>
    <s v="Corte"/>
    <m/>
    <m/>
    <m/>
  </r>
  <r>
    <m/>
    <s v="ADMINISTRACIÓN"/>
    <m/>
    <s v="ADMINISTRACIÓN"/>
    <m/>
    <s v="Katherin Cristobal Ccahuana"/>
    <m/>
    <s v="TERCERO"/>
    <s v="F"/>
    <m/>
    <s v="X"/>
    <m/>
    <d v="2016-12-10T00:00:00"/>
    <s v="Accidente Incapacitante"/>
    <s v="Parcial Temporal "/>
    <s v="Conjuntivitis química por contacto con lejía durante limpieza de SSHH en oficinas Mol.Callao"/>
    <s v="OJO"/>
    <m/>
    <m/>
    <x v="4"/>
    <s v="Diciembre"/>
    <m/>
    <n v="3"/>
    <m/>
    <n v="3"/>
    <m/>
    <m/>
    <m/>
    <x v="89"/>
    <s v="Limpiando instalaciones"/>
    <s v="contacto al ojo"/>
    <m/>
    <m/>
    <s v="LIMTEK"/>
  </r>
  <r>
    <m/>
    <s v="GLOBAL"/>
    <m/>
    <s v="GLOBAL"/>
    <m/>
    <s v="Jusvani Ramos "/>
    <m/>
    <s v="Operador de envasado"/>
    <s v="M"/>
    <m/>
    <m/>
    <s v="1 mes y 1 dia"/>
    <d v="2016-12-02T00:00:00"/>
    <s v="Accidente Incapacitante"/>
    <s v="Parcial Temporal "/>
    <s v="Corte en el dedo índice y quemaduras de primer grado en el mismo dedo de la mano derecha durante la limpieza de la maquina 15 de empacado con la ayuda de un trabajador del área de recepción Jonathan Apaza (Manpower), cuya función era mantener presionado el botón de “abierto” mientras Jusvani Ramos limpiaba la cuchilla. Al terminar de limpiar la cuchilla Jusvani menciona que ha terminado y el ayudante Jonathan Apaza deja de presionar el botón de abierto y presiona el botón de cierre, cuando en ningún momento se le dio dicha orden, ya que toda la actividad terminaba al dejar de presionar el botón de “abierto”. "/>
    <s v="MANO "/>
    <m/>
    <m/>
    <x v="4"/>
    <s v="Diciembre"/>
    <m/>
    <n v="10"/>
    <m/>
    <n v="10"/>
    <m/>
    <m/>
    <m/>
    <x v="3"/>
    <s v="Limpiando equipo"/>
    <s v="Corte"/>
    <m/>
    <m/>
    <m/>
  </r>
  <r>
    <m/>
    <s v="GLOBAL"/>
    <m/>
    <s v="GLOBAL"/>
    <m/>
    <s v="Casimiro Ccasihue "/>
    <m/>
    <s v="Operador de producción"/>
    <s v="M"/>
    <m/>
    <m/>
    <s v="12 años y 7 meses "/>
    <d v="2016-12-21T00:00:00"/>
    <s v="Accidente Incapacitante"/>
    <s v="Parcial Temporal "/>
    <s v="Quemadura en el antebrazo izquierdo y dedo pulgar izquierdo.había parado el extrusor 2, ya que este se había atorado y tenia que limpiar la matriz, para lo cual quito los seguros del coche del extrusor 2 y correr el coche de forma manual por su respectiva riel. Durante dicha acción por uno de los orificios de la matriz salió disparada un poco de masa caliente, la cual le cayó en el brazo y parte de la mano izquierda.  _x000a__x000a_"/>
    <s v="MANO "/>
    <m/>
    <m/>
    <x v="4"/>
    <s v="Diciembre"/>
    <m/>
    <n v="19"/>
    <m/>
    <n v="19"/>
    <m/>
    <m/>
    <m/>
    <x v="3"/>
    <s v="Limpiando equipo"/>
    <s v="Quemadura con producto"/>
    <m/>
    <m/>
    <m/>
  </r>
  <r>
    <m/>
    <s v="RELACIONES LABORALES"/>
    <m/>
    <s v="RELACIONES LABORALES"/>
    <m/>
    <s v="Anthony Aguilar Núñez "/>
    <n v="22"/>
    <s v="TERCERO"/>
    <s v="M"/>
    <m/>
    <s v="X"/>
    <m/>
    <d v="2016-12-26T00:00:00"/>
    <s v="Accidente Incapacitante"/>
    <s v="Parcial Temporal "/>
    <s v="Corte en tercer dedo de mano en comedor Copsa, cortando verduras con cuchillo"/>
    <s v="MANO "/>
    <m/>
    <m/>
    <x v="4"/>
    <s v="Diciembre"/>
    <m/>
    <n v="3"/>
    <m/>
    <n v="3"/>
    <m/>
    <m/>
    <m/>
    <x v="6"/>
    <s v="Otros"/>
    <s v="Corte"/>
    <m/>
    <m/>
    <s v="BALVINITO"/>
  </r>
  <r>
    <m/>
    <s v="COPSA"/>
    <m/>
    <s v="PRODUCCIÓN"/>
    <m/>
    <s v="Saul Pariona Perez "/>
    <m/>
    <s v="Operador de Manufactura Mostaza"/>
    <s v="M"/>
    <m/>
    <m/>
    <m/>
    <d v="2016-12-28T00:00:00"/>
    <s v="Accidente Incapacitante"/>
    <s v="Parcial Temporal "/>
    <s v="Quemadura de segundo grado pierna derecha, altura de la rodilla en circunstancias que se realizaba el lavado CIP (pase de solución alcalina caliente"/>
    <s v="PIERNA"/>
    <m/>
    <m/>
    <x v="4"/>
    <s v="Diciembre"/>
    <m/>
    <n v="4"/>
    <m/>
    <n v="4"/>
    <m/>
    <m/>
    <m/>
    <x v="90"/>
    <s v="Limpiando equipo"/>
    <s v="Quemadura con producto"/>
    <m/>
    <m/>
    <m/>
  </r>
  <r>
    <s v="COPSA"/>
    <s v="COPSA"/>
    <m/>
    <s v="PRODUCCIÓN"/>
    <m/>
    <s v="FAUSTINO REYES LIDIA "/>
    <n v="19"/>
    <s v="AYUDANTE EMBALADOR A MANO/CAJA"/>
    <s v="F"/>
    <s v="NOCHE"/>
    <s v="CLJ"/>
    <s v="5 MESES"/>
    <d v="2017-01-09T00:00:00"/>
    <s v="Accidente Incapacitante"/>
    <m/>
    <s v="Aplatamiento mano derecha al coger doypack al final de la faja (DM: 7 días)_x000a_"/>
    <s v="MANO "/>
    <m/>
    <m/>
    <x v="5"/>
    <s v="Enero"/>
    <m/>
    <n v="7"/>
    <m/>
    <n v="7"/>
    <m/>
    <m/>
    <n v="2"/>
    <x v="22"/>
    <s v="Durante operación productiva"/>
    <s v="Atricción"/>
    <m/>
    <m/>
    <m/>
  </r>
  <r>
    <s v="MOLINO SANTA ROSA "/>
    <s v="MOLINO SANTA ROSA "/>
    <m/>
    <s v="PRODUCCIÓN"/>
    <m/>
    <s v="MANUYAMA DIAZ JHON "/>
    <n v="26"/>
    <s v="AYUDANTE DE PLANTA"/>
    <s v="F"/>
    <s v="NOCHE"/>
    <m/>
    <s v="2 MESES"/>
    <d v="2017-01-13T00:00:00"/>
    <s v="Accidente Incapacitante"/>
    <m/>
    <s v="Traumatismo por aplastamiento de la de la mano izquierda con mordaza de jebe de embolsadora "/>
    <s v="MANO "/>
    <m/>
    <m/>
    <x v="5"/>
    <s v="Enero"/>
    <m/>
    <n v="11"/>
    <m/>
    <n v="11"/>
    <m/>
    <m/>
    <n v="6"/>
    <x v="3"/>
    <s v="Durante operación productiva"/>
    <s v="Atricción"/>
    <m/>
    <m/>
    <m/>
  </r>
  <r>
    <s v="CDC"/>
    <s v="APT FIDEERIA LIMA"/>
    <m/>
    <s v="DISTRIBUCIÓN"/>
    <m/>
    <s v=". Lucas Jaque Torero"/>
    <n v="58"/>
    <s v="AUXILIAR ESTIBA"/>
    <s v="M"/>
    <s v="DIA"/>
    <s v="TERCERO"/>
    <s v="4 MESES"/>
    <d v="2017-01-13T00:00:00"/>
    <s v="Accidente Incapacitante"/>
    <m/>
    <s v="Caida en un contenedor con golpe en la cabeza"/>
    <s v="CABEZA"/>
    <m/>
    <m/>
    <x v="5"/>
    <s v="Enero"/>
    <m/>
    <n v="3"/>
    <m/>
    <n v="3"/>
    <m/>
    <m/>
    <n v="6"/>
    <x v="91"/>
    <s v="carga/descarga de camión"/>
    <s v="Caida"/>
    <m/>
    <m/>
    <s v="IOLSA"/>
  </r>
  <r>
    <s v="DETERGENTES"/>
    <s v="DETERGENTES"/>
    <m/>
    <s v="CALIDAD"/>
    <m/>
    <s v="Lizmar Huaman  Echegaray "/>
    <n v="34"/>
    <s v="Tecnico de Laboratorio "/>
    <s v="M"/>
    <s v="DIA"/>
    <m/>
    <s v="9 meses en Laboratorio Jabonería_x000a_2 semanas en Laboratorio Detergentes_x000a_"/>
    <d v="2017-01-30T00:00:00"/>
    <s v="Accidente Incapacitante"/>
    <m/>
    <s v="Herida en el 2do dedo del pie derecho al golpearse con puerta de casillero en vestuariosCopsa"/>
    <s v="PIE"/>
    <m/>
    <m/>
    <x v="5"/>
    <s v="Enero"/>
    <m/>
    <n v="2"/>
    <m/>
    <n v="2"/>
    <m/>
    <m/>
    <n v="2"/>
    <x v="92"/>
    <s v="Otros"/>
    <s v="Golpe"/>
    <m/>
    <m/>
    <m/>
  </r>
  <r>
    <s v="PROYECTOS"/>
    <s v="PROYECTOS"/>
    <m/>
    <s v="PROYECTOS"/>
    <m/>
    <s v="Juan Garcia  Zapata_x000a_"/>
    <n v="45"/>
    <s v="Oficial civil"/>
    <s v="M"/>
    <s v="DIA"/>
    <s v="TERCERO"/>
    <s v="1 AÑO 2 MESES"/>
    <d v="2017-01-13T00:00:00"/>
    <s v="Accidente Incapacitante"/>
    <m/>
    <s v="Poryección de particula al ojo mientras  realizaba la demolición de base con rotomartillo_x000a_"/>
    <s v="OJO"/>
    <m/>
    <m/>
    <x v="5"/>
    <s v="Enero"/>
    <m/>
    <n v="1"/>
    <m/>
    <n v="1"/>
    <m/>
    <m/>
    <n v="6"/>
    <x v="93"/>
    <s v="proyectos"/>
    <s v="Materia extraña al ojo"/>
    <m/>
    <m/>
    <s v="ECEL"/>
  </r>
  <r>
    <s v="CDC"/>
    <s v="APT FIDEERIA LIMA"/>
    <m/>
    <s v="DISTRIBUCIÓN"/>
    <m/>
    <s v="Daniel Montalván Orbegozo"/>
    <m/>
    <s v="Conductor "/>
    <s v="M"/>
    <s v="DIA"/>
    <s v="TERCERO"/>
    <s v="5 AÑOS"/>
    <d v="2017-02-07T00:00:00"/>
    <s v="Accidente Incapacitante"/>
    <m/>
    <s v="Golpe en cabeza y espalda al caer de la cabina de un camión aprox 1.20 mt "/>
    <s v="CABEZA"/>
    <m/>
    <m/>
    <x v="5"/>
    <s v="febrero"/>
    <m/>
    <n v="3"/>
    <m/>
    <n v="3"/>
    <m/>
    <m/>
    <n v="3"/>
    <x v="91"/>
    <s v="carga/descarga de camión"/>
    <s v="Caida"/>
    <m/>
    <m/>
    <s v="JUAN CARLOS ECHEGARAY (transp)"/>
  </r>
  <r>
    <s v="TEAL"/>
    <s v="TEAL"/>
    <m/>
    <s v="PRODUCCIÓN"/>
    <m/>
    <s v="Victor Raúl  Monja  Manayay"/>
    <n v="48"/>
    <s v="Ayudante  de Maquinista"/>
    <s v="M"/>
    <s v="NOCHE"/>
    <m/>
    <s v="5 AÑOS"/>
    <d v="2017-02-09T00:00:00"/>
    <s v="Accidente Incapacitante"/>
    <m/>
    <s v="Herida  Contusa Abierta dedo anular mano derecha al intentar desatorar silo con martillo de goma "/>
    <s v="MANO "/>
    <m/>
    <m/>
    <x v="5"/>
    <s v="febrero"/>
    <m/>
    <n v="13"/>
    <m/>
    <n v="13"/>
    <m/>
    <m/>
    <n v="5"/>
    <x v="3"/>
    <s v="Durante operación productiva"/>
    <s v="Corte"/>
    <m/>
    <m/>
    <m/>
  </r>
  <r>
    <s v="SIDSUR"/>
    <s v="SIDSUR"/>
    <m/>
    <s v="MANTENIMIENTO"/>
    <m/>
    <s v="Leonidas Luciano Diaz Herrera "/>
    <n v="52"/>
    <s v="Electricista de Turno / Ayudante de Molino "/>
    <s v="M"/>
    <s v="Tarde"/>
    <m/>
    <s v="16 AÑOS"/>
    <d v="2017-02-10T00:00:00"/>
    <s v="Accidente Incapacitante"/>
    <m/>
    <s v="Corte en el dorso de la maño derecha conctacto con vidrio durante la limpieza de mallas de las ventanas de la sala de tableros eléctricos en el sótano (Molino Victoria)"/>
    <s v="MANO "/>
    <m/>
    <m/>
    <x v="5"/>
    <s v="febrero"/>
    <m/>
    <n v="3"/>
    <m/>
    <n v="3"/>
    <m/>
    <m/>
    <n v="6"/>
    <x v="2"/>
    <s v="Mantenimiento"/>
    <s v="Corte"/>
    <m/>
    <m/>
    <m/>
  </r>
  <r>
    <s v="DETERGENTES"/>
    <s v="DETERGENTES"/>
    <m/>
    <s v="PRODUCCIÓN"/>
    <m/>
    <s v="Henry Paulino Seminario "/>
    <n v="21"/>
    <s v="RETIRO DE FARDOS"/>
    <s v="M"/>
    <s v="Tarde"/>
    <s v="APE"/>
    <s v="4 MESES"/>
    <d v="2017-02-14T00:00:00"/>
    <s v="Accidente Incapacitante"/>
    <m/>
    <s v="Contusión en dedo medio y anular mano izquierda contacto faja y polín - Línea de enfardado 2001"/>
    <s v="MANO "/>
    <m/>
    <m/>
    <x v="5"/>
    <s v="febrero"/>
    <m/>
    <n v="2"/>
    <m/>
    <n v="2"/>
    <m/>
    <m/>
    <n v="3"/>
    <x v="22"/>
    <s v="Durante operación productiva"/>
    <s v="Atricción"/>
    <m/>
    <m/>
    <m/>
  </r>
  <r>
    <s v="ADMINISTRACIÓN"/>
    <s v="ADMINISTRACIÓN"/>
    <m/>
    <s v="ADMINISTRACIÓN"/>
    <m/>
    <s v="Humberto Pimentel Flores"/>
    <n v="58"/>
    <s v="Vigilante"/>
    <s v="M"/>
    <s v="DIA"/>
    <s v="TERCERO"/>
    <s v="5 meses en Alicorp"/>
    <d v="2017-02-15T00:00:00"/>
    <s v="Accidente Incapacitante"/>
    <m/>
    <s v="Traumatismo en torax por contacto con portón de acceso a vehículos en Mol.Sta.Rosa "/>
    <s v="CUERPO"/>
    <m/>
    <m/>
    <x v="5"/>
    <s v="febrero"/>
    <m/>
    <n v="3"/>
    <m/>
    <n v="3"/>
    <m/>
    <m/>
    <n v="4"/>
    <x v="94"/>
    <s v="Otros"/>
    <s v="Golpe"/>
    <m/>
    <m/>
    <s v="LIDERMAN"/>
  </r>
  <r>
    <s v="ADMINISTRACIÓN"/>
    <s v="ADMINISTRACIÓN"/>
    <m/>
    <s v="ADMINISTRACIÓN"/>
    <m/>
    <s v="Castillo Mendoza Antonio"/>
    <n v="54"/>
    <s v="Operario de Limpieza "/>
    <s v="M"/>
    <s v="Tarde"/>
    <s v="TERCERO"/>
    <s v="3 AÑOS"/>
    <d v="2017-02-16T00:00:00"/>
    <s v="Accidente Incapacitante"/>
    <m/>
    <s v="Golpe en la nariz y esquince en muñeca al intentar bajar el coche por la gradas agarrándolo de las manijas perdiendo el equilibrio (APT Fideeria Lima)"/>
    <s v="MANO "/>
    <m/>
    <m/>
    <x v="5"/>
    <s v="febrero"/>
    <m/>
    <n v="10"/>
    <m/>
    <n v="10"/>
    <m/>
    <m/>
    <n v="5"/>
    <x v="95"/>
    <s v="Limpiando instalaciones"/>
    <s v="Golpe"/>
    <m/>
    <m/>
    <s v="LIMTEK"/>
  </r>
  <r>
    <s v="MOLINO FAUCETT"/>
    <s v="MOLINO FAUCETT"/>
    <m/>
    <s v="PRODUCCIÓN"/>
    <m/>
    <s v="Carlos Gavidia Díaz"/>
    <n v="43"/>
    <s v="Ayudante de Planta"/>
    <s v="M"/>
    <s v="DIA"/>
    <m/>
    <s v="4.5 AÑOS"/>
    <d v="2017-02-20T00:00:00"/>
    <s v="Accidente Incapacitante"/>
    <m/>
    <s v="Herida cortante en primer dedo de mano izquierda con cuchilla retráctil cortando suncho de fardo de sacos subproducto"/>
    <s v="MANO "/>
    <m/>
    <m/>
    <x v="5"/>
    <s v="febrero"/>
    <m/>
    <n v="5"/>
    <m/>
    <n v="5"/>
    <m/>
    <m/>
    <n v="2"/>
    <x v="23"/>
    <s v="Durante operación productiva"/>
    <s v="Corte"/>
    <m/>
    <m/>
    <m/>
  </r>
  <r>
    <s v="OTROS"/>
    <s v="OTROS"/>
    <m/>
    <s v="OTROS"/>
    <m/>
    <s v="CANALES ANCHORENA, PATTY  "/>
    <n v="49"/>
    <s v="COSNULTORA SISTEMAS"/>
    <s v="F"/>
    <s v="DIA"/>
    <s v="VISITA"/>
    <m/>
    <d v="2017-02-21T00:00:00"/>
    <s v="Accidente Incapacitante"/>
    <m/>
    <s v="Caída al resbalar cruzando calzada al ingresar al Predio "/>
    <s v="PIE"/>
    <m/>
    <m/>
    <x v="5"/>
    <s v="febrero"/>
    <m/>
    <n v="3"/>
    <m/>
    <n v="3"/>
    <m/>
    <m/>
    <n v="3"/>
    <x v="20"/>
    <s v="Trasladandose a pie"/>
    <s v="Caida"/>
    <m/>
    <m/>
    <s v="SISTEMAS"/>
  </r>
  <r>
    <s v="MASTERBREAD"/>
    <s v="MASTERBREAD"/>
    <m/>
    <s v="MASTERBREAD"/>
    <m/>
    <s v="Evelyn Figueroa  (LIMTEK) "/>
    <m/>
    <s v="Operario de Limpieza "/>
    <s v="M"/>
    <s v="DIA"/>
    <s v="TERCERO"/>
    <m/>
    <d v="2017-02-24T00:00:00"/>
    <s v="Accidente Incapacitante"/>
    <m/>
    <s v="Caída por los 3 ultimos peldaños de escalera con golpe en zona lumbar durante la limpieza de planta"/>
    <s v="CUERPO"/>
    <m/>
    <m/>
    <x v="5"/>
    <s v="febrero"/>
    <m/>
    <n v="1"/>
    <m/>
    <n v="1"/>
    <m/>
    <m/>
    <n v="6"/>
    <x v="20"/>
    <s v="Limpiando instalaciones"/>
    <s v="Caida"/>
    <m/>
    <m/>
    <s v="LIMTEK"/>
  </r>
  <r>
    <s v="GALLETERA LIMA"/>
    <s v="GALLETERA LIMA"/>
    <m/>
    <s v="PRODUCCIÓN"/>
    <m/>
    <s v="Omar Medina Morante"/>
    <n v="43"/>
    <s v="Operador de Wafer"/>
    <s v="M"/>
    <s v="DIA"/>
    <m/>
    <s v="14 AÑOS"/>
    <d v="2017-02-04T00:00:00"/>
    <s v="Accidente Incapacitante"/>
    <m/>
    <s v="Quemadura antebrazo izquierdo con compuerta horno Wafer"/>
    <s v="BRAZO "/>
    <m/>
    <m/>
    <x v="5"/>
    <s v="febrero"/>
    <m/>
    <n v="11"/>
    <m/>
    <n v="11"/>
    <m/>
    <m/>
    <n v="7"/>
    <x v="96"/>
    <s v="Durante operación productiva"/>
    <s v="Quemadura"/>
    <m/>
    <m/>
    <m/>
  </r>
  <r>
    <s v="DETERGENTES"/>
    <s v="DETERGENTES"/>
    <m/>
    <s v="PRODUCCIÓN"/>
    <m/>
    <s v="HUANCA IPARRAGUIRRE RAFAEL ALBERTO"/>
    <n v="45"/>
    <s v="OPERADOR DE ENFARDADO"/>
    <s v="M"/>
    <s v="NOCHE"/>
    <m/>
    <s v="3 AÑOS"/>
    <d v="2017-03-07T00:00:00"/>
    <s v="Accidente Incapacitante"/>
    <m/>
    <s v="Esguince de primer grado tobillo izquierdo al bajar por la escalera de los SSHH"/>
    <s v="PIE"/>
    <m/>
    <m/>
    <x v="5"/>
    <s v="Marzo"/>
    <m/>
    <n v="22"/>
    <m/>
    <n v="22"/>
    <m/>
    <m/>
    <n v="3"/>
    <x v="97"/>
    <s v="Trasladandose a pie"/>
    <s v="Esgunce"/>
    <m/>
    <m/>
    <m/>
  </r>
  <r>
    <s v="JABONERÍA"/>
    <s v="JABONERÍA"/>
    <m/>
    <s v="PRODUCCIÓN"/>
    <m/>
    <s v="DE LA CRUZ NAJARRO HECTOR "/>
    <n v="42"/>
    <s v="LIDER SAPONIFICACIÓN CONTINUA"/>
    <s v="M"/>
    <s v="Tarde"/>
    <m/>
    <s v="6 AÑOS"/>
    <d v="2017-03-07T00:00:00"/>
    <s v="Accidente Incapacitante"/>
    <m/>
    <s v="Quemadura II grado antebrazo derecho con vapor durante la evacuación de jabón del tanque neutralizador"/>
    <s v="BRAZO "/>
    <m/>
    <m/>
    <x v="5"/>
    <s v="Marzo"/>
    <m/>
    <n v="9"/>
    <m/>
    <n v="9"/>
    <m/>
    <m/>
    <n v="3"/>
    <x v="73"/>
    <s v="Durante operación productiva"/>
    <s v="Quemadura"/>
    <m/>
    <m/>
    <m/>
  </r>
  <r>
    <s v="VITAPRO"/>
    <s v="NUTRICION ANIMAL TRUJILLO "/>
    <m/>
    <s v="VITAPRO"/>
    <m/>
    <s v="JIMMY GUEVARA"/>
    <n v="32"/>
    <s v="OPERADOR DE EXTRUSORA"/>
    <s v="M"/>
    <s v="DIA"/>
    <m/>
    <s v="2 años 2 meses"/>
    <d v="2017-03-04T00:00:00"/>
    <s v="Accidente Incapacitante"/>
    <m/>
    <s v="Contusión por Atrición en pie izquierdo al intentar trasladar un repuesto al taller de mantenimiento "/>
    <s v="PIE"/>
    <m/>
    <m/>
    <x v="5"/>
    <s v="Marzo"/>
    <m/>
    <n v="49"/>
    <m/>
    <n v="49"/>
    <m/>
    <m/>
    <n v="7"/>
    <x v="98"/>
    <s v="Mantenimiento"/>
    <s v="Fractura"/>
    <m/>
    <m/>
    <m/>
  </r>
  <r>
    <s v="GALLETERA LIMA"/>
    <s v="GALLETERA LIMA"/>
    <m/>
    <s v="PRODUCCIÓN"/>
    <m/>
    <s v="LEON ZANMORA OSWALDO"/>
    <n v="41"/>
    <s v="OPERADOR DE MAQUINA ENVASADORA"/>
    <s v="M"/>
    <s v="Tarde"/>
    <m/>
    <s v="16 AÑOS"/>
    <d v="2017-03-14T00:00:00"/>
    <s v="Accidente Incapacitante"/>
    <m/>
    <s v="Contacto del ojo con la  varilla reguladora durante la regulación del máquina envasadora "/>
    <s v="OJO"/>
    <m/>
    <m/>
    <x v="5"/>
    <s v="Marzo"/>
    <m/>
    <n v="3"/>
    <m/>
    <n v="3"/>
    <m/>
    <m/>
    <n v="3"/>
    <x v="3"/>
    <s v="Calibrando/Regulando"/>
    <s v="Golpe"/>
    <m/>
    <m/>
    <m/>
  </r>
  <r>
    <s v="CDC"/>
    <s v="APT EL AGUSTINO"/>
    <m/>
    <s v="DISTRIBUCIÓN"/>
    <m/>
    <m/>
    <n v="34"/>
    <s v="CONDUCTOR"/>
    <s v="M"/>
    <s v="Tarde"/>
    <s v="TERCERO"/>
    <s v="5 AÑOS"/>
    <d v="2017-03-23T00:00:00"/>
    <s v="Accidente Incapacitante"/>
    <m/>
    <s v="Contusión toráxica con la puerta del camión antes de iniciar la descarga "/>
    <s v="CUERPO"/>
    <m/>
    <m/>
    <x v="5"/>
    <s v="Marzo"/>
    <m/>
    <n v="3"/>
    <m/>
    <n v="3"/>
    <m/>
    <m/>
    <n v="5"/>
    <x v="91"/>
    <s v="carga/descarga de camión"/>
    <s v="Golpe"/>
    <m/>
    <m/>
    <s v="TRANSP.PACIFICO"/>
  </r>
  <r>
    <s v="TEAL"/>
    <s v="TEAL"/>
    <m/>
    <s v="PRODUCCIÓN"/>
    <m/>
    <s v="Julio Cesar Delgado Rajo"/>
    <n v="30"/>
    <s v="operario de producción"/>
    <s v="M"/>
    <s v="NOCHE"/>
    <m/>
    <s v="1 MES 25 DIAS"/>
    <d v="2017-03-13T00:00:00"/>
    <s v="Accidente Incapacitante"/>
    <m/>
    <s v="Herida en el Pulpejo del pulgar de la mano Izquierda al cortar suncho de cajas vacías con cuchilla"/>
    <s v="MANO "/>
    <m/>
    <m/>
    <x v="5"/>
    <s v="Marzo"/>
    <m/>
    <n v="3"/>
    <m/>
    <n v="3"/>
    <m/>
    <m/>
    <n v="2"/>
    <x v="23"/>
    <s v="Durante operación productiva"/>
    <s v="Corte"/>
    <m/>
    <m/>
    <m/>
  </r>
  <r>
    <s v="GLOBAL"/>
    <s v="GLOBAL"/>
    <m/>
    <s v="GLOBAL"/>
    <m/>
    <s v="Johel de la Cruz"/>
    <n v="29"/>
    <m/>
    <s v="M"/>
    <s v="DIA"/>
    <s v="TERCERO"/>
    <s v="6 meses"/>
    <d v="2017-03-02T00:00:00"/>
    <s v="Accidente Incapacitante"/>
    <m/>
    <s v="Aplastamiento del pie con traspaleta"/>
    <s v="PIE"/>
    <m/>
    <m/>
    <x v="5"/>
    <s v="Marzo"/>
    <m/>
    <n v="30"/>
    <m/>
    <n v="30"/>
    <m/>
    <m/>
    <n v="5"/>
    <x v="99"/>
    <s v="Durante operación productiva"/>
    <s v="Fractura"/>
    <m/>
    <m/>
    <s v="MANPOW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2500-000000000000}" name="Tabla dinámica2" cacheId="9"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chartFormat="1">
  <location ref="A3:C19" firstHeaderRow="0" firstDataRow="1" firstDataCol="1" rowPageCount="1" colPageCount="1"/>
  <pivotFields count="34">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1"/>
            </reference>
          </references>
        </pivotArea>
      </autoSortScope>
    </pivotField>
    <pivotField showAll="0"/>
    <pivotField showAll="0"/>
    <pivotField axis="axisPage" showAll="0">
      <items count="7">
        <item x="3"/>
        <item x="2"/>
        <item x="1"/>
        <item x="0"/>
        <item x="4"/>
        <item x="5"/>
        <item t="default"/>
      </items>
    </pivotField>
    <pivotField showAll="0"/>
    <pivotField showAll="0" defaultSubtotal="0"/>
    <pivotField dataField="1" showAll="0"/>
    <pivotField showAll="0"/>
    <pivotField showAll="0"/>
    <pivotField showAll="0"/>
    <pivotField showAll="0"/>
    <pivotField showAll="0" defaultSubtotal="0"/>
    <pivotField axis="axisRow" showAll="0" sortType="descending">
      <items count="102">
        <item x="24"/>
        <item x="65"/>
        <item x="8"/>
        <item x="79"/>
        <item x="7"/>
        <item x="0"/>
        <item x="10"/>
        <item x="41"/>
        <item x="32"/>
        <item x="59"/>
        <item x="42"/>
        <item x="68"/>
        <item x="64"/>
        <item x="78"/>
        <item x="91"/>
        <item x="14"/>
        <item x="80"/>
        <item x="92"/>
        <item x="77"/>
        <item x="62"/>
        <item x="95"/>
        <item x="67"/>
        <item x="45"/>
        <item x="60"/>
        <item x="23"/>
        <item x="6"/>
        <item x="66"/>
        <item x="33"/>
        <item x="49"/>
        <item x="84"/>
        <item x="3"/>
        <item x="25"/>
        <item x="16"/>
        <item x="12"/>
        <item x="97"/>
        <item x="53"/>
        <item x="51"/>
        <item x="30"/>
        <item x="55"/>
        <item x="71"/>
        <item x="1"/>
        <item x="52"/>
        <item x="61"/>
        <item x="50"/>
        <item x="22"/>
        <item x="38"/>
        <item x="96"/>
        <item x="63"/>
        <item x="17"/>
        <item x="75"/>
        <item x="86"/>
        <item x="57"/>
        <item x="89"/>
        <item x="39"/>
        <item x="46"/>
        <item x="9"/>
        <item x="29"/>
        <item x="26"/>
        <item x="76"/>
        <item x="18"/>
        <item x="5"/>
        <item x="40"/>
        <item x="87"/>
        <item x="27"/>
        <item x="35"/>
        <item x="93"/>
        <item x="20"/>
        <item x="70"/>
        <item x="13"/>
        <item x="94"/>
        <item x="44"/>
        <item x="34"/>
        <item x="85"/>
        <item x="72"/>
        <item x="47"/>
        <item x="98"/>
        <item x="31"/>
        <item m="1" x="100"/>
        <item x="69"/>
        <item x="21"/>
        <item x="11"/>
        <item x="54"/>
        <item x="28"/>
        <item x="43"/>
        <item x="37"/>
        <item x="15"/>
        <item x="90"/>
        <item x="4"/>
        <item x="58"/>
        <item x="19"/>
        <item x="83"/>
        <item x="88"/>
        <item x="99"/>
        <item x="48"/>
        <item x="56"/>
        <item x="36"/>
        <item x="73"/>
        <item x="74"/>
        <item x="2"/>
        <item x="82"/>
        <item x="81"/>
        <item t="default"/>
      </items>
      <autoSortScope>
        <pivotArea dataOnly="0" outline="0" fieldPosition="0">
          <references count="1">
            <reference field="4294967294" count="1" selected="0">
              <x v="1"/>
            </reference>
          </references>
        </pivotArea>
      </autoSortScope>
    </pivotField>
    <pivotField showAll="0" sortType="descending">
      <autoSortScope>
        <pivotArea dataOnly="0" outline="0" fieldPosition="0">
          <references count="1">
            <reference field="4294967294" count="1" selected="0">
              <x v="1"/>
            </reference>
          </references>
        </pivotArea>
      </autoSortScope>
    </pivotField>
    <pivotField showAll="0" sortType="descending">
      <autoSortScope>
        <pivotArea dataOnly="0" outline="0" fieldPosition="0">
          <references count="1">
            <reference field="4294967294" count="1" selected="0">
              <x v="1"/>
            </reference>
          </references>
        </pivotArea>
      </autoSortScope>
    </pivotField>
    <pivotField showAll="0"/>
    <pivotField showAll="0"/>
    <pivotField showAll="0"/>
  </pivotFields>
  <rowFields count="1">
    <field x="28"/>
  </rowFields>
  <rowItems count="16">
    <i>
      <x v="75"/>
    </i>
    <i>
      <x v="92"/>
    </i>
    <i>
      <x v="30"/>
    </i>
    <i>
      <x v="34"/>
    </i>
    <i>
      <x v="46"/>
    </i>
    <i>
      <x v="20"/>
    </i>
    <i>
      <x v="96"/>
    </i>
    <i>
      <x v="44"/>
    </i>
    <i>
      <x v="14"/>
    </i>
    <i>
      <x v="24"/>
    </i>
    <i>
      <x v="66"/>
    </i>
    <i>
      <x v="69"/>
    </i>
    <i>
      <x v="98"/>
    </i>
    <i>
      <x v="17"/>
    </i>
    <i>
      <x v="65"/>
    </i>
    <i t="grand">
      <x/>
    </i>
  </rowItems>
  <colFields count="1">
    <field x="-2"/>
  </colFields>
  <colItems count="2">
    <i>
      <x/>
    </i>
    <i i="1">
      <x v="1"/>
    </i>
  </colItems>
  <pageFields count="1">
    <pageField fld="19" item="5" hier="-1"/>
  </pageFields>
  <dataFields count="2">
    <dataField name="Cuenta de Planta " fld="1" subtotal="count" baseField="0" baseItem="0"/>
    <dataField name="Suma de Días Perdidos x Lesión"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2600-000000000000}" name="Tabla dinámica1" cacheId="8" applyNumberFormats="0" applyBorderFormats="0" applyFontFormats="0" applyPatternFormats="0" applyAlignmentFormats="0" applyWidthHeightFormats="1" dataCaption="Valores" updatedVersion="4" minRefreshableVersion="3" useAutoFormatting="1" itemPrintTitles="1" createdVersion="4" indent="0" outline="1" outlineData="1" multipleFieldFilters="0">
  <location ref="A3:C37" firstHeaderRow="0" firstDataRow="1" firstDataCol="1" rowPageCount="1" colPageCount="1"/>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8">
        <item x="3"/>
        <item x="2"/>
        <item x="1"/>
        <item x="0"/>
        <item x="4"/>
        <item x="5"/>
        <item x="6"/>
        <item t="default"/>
      </items>
    </pivotField>
    <pivotField showAll="0"/>
    <pivotField showAll="0" defaultSubtotal="0"/>
    <pivotField dataField="1" showAll="0"/>
    <pivotField showAll="0"/>
    <pivotField showAll="0"/>
    <pivotField showAll="0"/>
    <pivotField showAll="0"/>
    <pivotField showAll="0" defaultSubtotal="0"/>
    <pivotField axis="axisRow" dataField="1" showAll="0">
      <items count="113">
        <item x="24"/>
        <item x="108"/>
        <item x="65"/>
        <item x="8"/>
        <item x="79"/>
        <item x="7"/>
        <item x="106"/>
        <item x="0"/>
        <item x="10"/>
        <item x="41"/>
        <item x="32"/>
        <item x="59"/>
        <item x="42"/>
        <item m="1" x="111"/>
        <item x="68"/>
        <item x="64"/>
        <item x="78"/>
        <item x="91"/>
        <item x="14"/>
        <item x="80"/>
        <item x="92"/>
        <item x="77"/>
        <item x="100"/>
        <item x="62"/>
        <item x="95"/>
        <item x="67"/>
        <item x="45"/>
        <item x="60"/>
        <item x="23"/>
        <item x="6"/>
        <item x="66"/>
        <item x="33"/>
        <item x="49"/>
        <item x="84"/>
        <item x="3"/>
        <item x="25"/>
        <item x="16"/>
        <item x="12"/>
        <item x="97"/>
        <item x="53"/>
        <item x="51"/>
        <item x="30"/>
        <item x="55"/>
        <item x="71"/>
        <item x="1"/>
        <item x="52"/>
        <item x="61"/>
        <item x="50"/>
        <item x="22"/>
        <item x="38"/>
        <item x="96"/>
        <item x="63"/>
        <item x="17"/>
        <item x="75"/>
        <item x="86"/>
        <item x="57"/>
        <item x="89"/>
        <item x="39"/>
        <item x="46"/>
        <item x="9"/>
        <item x="101"/>
        <item x="29"/>
        <item x="102"/>
        <item x="26"/>
        <item x="76"/>
        <item x="104"/>
        <item x="18"/>
        <item x="109"/>
        <item x="5"/>
        <item x="40"/>
        <item x="87"/>
        <item x="27"/>
        <item x="103"/>
        <item x="35"/>
        <item x="93"/>
        <item x="20"/>
        <item x="70"/>
        <item x="107"/>
        <item x="13"/>
        <item x="94"/>
        <item x="44"/>
        <item x="34"/>
        <item x="85"/>
        <item x="110"/>
        <item x="72"/>
        <item x="47"/>
        <item x="98"/>
        <item x="31"/>
        <item x="69"/>
        <item x="21"/>
        <item x="11"/>
        <item x="54"/>
        <item x="28"/>
        <item x="43"/>
        <item x="37"/>
        <item x="15"/>
        <item x="90"/>
        <item x="4"/>
        <item x="58"/>
        <item x="19"/>
        <item x="83"/>
        <item x="88"/>
        <item x="99"/>
        <item x="105"/>
        <item x="48"/>
        <item x="56"/>
        <item x="36"/>
        <item x="73"/>
        <item x="74"/>
        <item x="2"/>
        <item x="82"/>
        <item x="81"/>
        <item t="default"/>
      </items>
    </pivotField>
    <pivotField showAll="0"/>
    <pivotField showAll="0"/>
    <pivotField showAll="0"/>
    <pivotField showAll="0"/>
    <pivotField showAll="0"/>
    <pivotField showAll="0"/>
  </pivotFields>
  <rowFields count="1">
    <field x="28"/>
  </rowFields>
  <rowItems count="34">
    <i>
      <x v="1"/>
    </i>
    <i>
      <x v="2"/>
    </i>
    <i>
      <x v="6"/>
    </i>
    <i>
      <x v="9"/>
    </i>
    <i>
      <x v="17"/>
    </i>
    <i>
      <x v="20"/>
    </i>
    <i>
      <x v="22"/>
    </i>
    <i>
      <x v="24"/>
    </i>
    <i>
      <x v="28"/>
    </i>
    <i>
      <x v="29"/>
    </i>
    <i>
      <x v="34"/>
    </i>
    <i>
      <x v="37"/>
    </i>
    <i>
      <x v="38"/>
    </i>
    <i>
      <x v="48"/>
    </i>
    <i>
      <x v="49"/>
    </i>
    <i>
      <x v="50"/>
    </i>
    <i>
      <x v="60"/>
    </i>
    <i>
      <x v="62"/>
    </i>
    <i>
      <x v="65"/>
    </i>
    <i>
      <x v="67"/>
    </i>
    <i>
      <x v="71"/>
    </i>
    <i>
      <x v="72"/>
    </i>
    <i>
      <x v="74"/>
    </i>
    <i>
      <x v="75"/>
    </i>
    <i>
      <x v="77"/>
    </i>
    <i>
      <x v="79"/>
    </i>
    <i>
      <x v="81"/>
    </i>
    <i>
      <x v="83"/>
    </i>
    <i>
      <x v="86"/>
    </i>
    <i>
      <x v="102"/>
    </i>
    <i>
      <x v="103"/>
    </i>
    <i>
      <x v="107"/>
    </i>
    <i>
      <x v="109"/>
    </i>
    <i t="grand">
      <x/>
    </i>
  </rowItems>
  <colFields count="1">
    <field x="-2"/>
  </colFields>
  <colItems count="2">
    <i>
      <x/>
    </i>
    <i i="1">
      <x v="1"/>
    </i>
  </colItems>
  <pageFields count="1">
    <pageField fld="19" item="5" hier="-1"/>
  </pageFields>
  <dataFields count="2">
    <dataField name="Cuenta de FR" fld="28" subtotal="count" baseField="0" baseItem="0"/>
    <dataField name="Suma de Días Perdidos x Lesión" fld="22" baseField="2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Q868" dT="2021-08-02T15:07:41.71" personId="{5CBE052E-4729-4137-B1A2-9175D81EEA40}" id="{941708D7-BA3D-4D5C-8936-FA5BBE172EF1}">
    <text>Trabajador tiene DM desde el 02/07, en su diagnóstico refiere tener una hernia, trabajador no tenia conocimiento, al igual que el área de salud ocupacional.</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6.bin"/><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1" Type="http://schemas.openxmlformats.org/officeDocument/2006/relationships/customProperty" Target="../customProperty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customProperty" Target="../customProperty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7.bin"/><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8.bin"/><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19.bin"/><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20.bin"/><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21.bin"/><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customProperty" Target="../customProperty22.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23.bin"/><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24.bin"/><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javascript:f_VerIaacse('R-PGL-2011-006014','0','N','IAACSE');" TargetMode="External"/><Relationship Id="rId1" Type="http://schemas.openxmlformats.org/officeDocument/2006/relationships/hyperlink" Target="javascript:f_VerIaacse('R-PFA-2011-003536','0','N','IAACSE');" TargetMode="External"/><Relationship Id="rId5" Type="http://schemas.openxmlformats.org/officeDocument/2006/relationships/drawing" Target="../drawings/drawing13.xml"/><Relationship Id="rId4" Type="http://schemas.openxmlformats.org/officeDocument/2006/relationships/customProperty" Target="../customProperty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customProperty" Target="../customProperty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customProperty" Target="../customProperty27.bin"/></Relationships>
</file>

<file path=xl/worksheets/_rels/sheet29.xml.rels><?xml version="1.0" encoding="UTF-8" standalone="yes"?>
<Relationships xmlns="http://schemas.openxmlformats.org/package/2006/relationships"><Relationship Id="rId1" Type="http://schemas.openxmlformats.org/officeDocument/2006/relationships/customProperty" Target="../customProperty28.bin"/></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customProperty" Target="../customProperty29.bin"/><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2" Type="http://schemas.openxmlformats.org/officeDocument/2006/relationships/customProperty" Target="../customProperty30.bin"/><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customProperty" Target="../customProperty31.bin"/></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customProperty" Target="../customProperty32.bin"/><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2" Type="http://schemas.openxmlformats.org/officeDocument/2006/relationships/customProperty" Target="../customProperty33.bin"/><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customProperty" Target="../customProperty34.bin"/></Relationships>
</file>

<file path=xl/worksheets/_rels/sheet36.xml.rels><?xml version="1.0" encoding="UTF-8" standalone="yes"?>
<Relationships xmlns="http://schemas.openxmlformats.org/package/2006/relationships"><Relationship Id="rId2" Type="http://schemas.openxmlformats.org/officeDocument/2006/relationships/customProperty" Target="../customProperty35.bin"/><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2" Type="http://schemas.openxmlformats.org/officeDocument/2006/relationships/customProperty" Target="../customProperty36.bin"/><Relationship Id="rId1" Type="http://schemas.openxmlformats.org/officeDocument/2006/relationships/printerSettings" Target="../printerSettings/printerSettings25.bin"/></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customProperty" Target="../customProperty37.bin"/><Relationship Id="rId1" Type="http://schemas.openxmlformats.org/officeDocument/2006/relationships/pivotTable" Target="../pivotTables/pivotTable1.xml"/></Relationships>
</file>

<file path=xl/worksheets/_rels/sheet39.xml.rels><?xml version="1.0" encoding="UTF-8" standalone="yes"?>
<Relationships xmlns="http://schemas.openxmlformats.org/package/2006/relationships"><Relationship Id="rId3" Type="http://schemas.openxmlformats.org/officeDocument/2006/relationships/customProperty" Target="../customProperty38.bin"/><Relationship Id="rId2" Type="http://schemas.openxmlformats.org/officeDocument/2006/relationships/printerSettings" Target="../printerSettings/printerSettings26.bin"/><Relationship Id="rId1" Type="http://schemas.openxmlformats.org/officeDocument/2006/relationships/pivotTable" Target="../pivotTables/pivotTable2.xml"/></Relationships>
</file>

<file path=xl/worksheets/_rels/sheet40.xml.rels><?xml version="1.0" encoding="UTF-8" standalone="yes"?>
<Relationships xmlns="http://schemas.openxmlformats.org/package/2006/relationships"><Relationship Id="rId2" Type="http://schemas.openxmlformats.org/officeDocument/2006/relationships/customProperty" Target="../customProperty39.bin"/><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1" Type="http://schemas.openxmlformats.org/officeDocument/2006/relationships/customProperty" Target="../customProperty40.bin"/></Relationships>
</file>

<file path=xl/worksheets/_rels/sheet42.xml.rels><?xml version="1.0" encoding="UTF-8" standalone="yes"?>
<Relationships xmlns="http://schemas.openxmlformats.org/package/2006/relationships"><Relationship Id="rId2" Type="http://schemas.openxmlformats.org/officeDocument/2006/relationships/customProperty" Target="../customProperty41.bin"/><Relationship Id="rId1" Type="http://schemas.openxmlformats.org/officeDocument/2006/relationships/printerSettings" Target="../printerSettings/printerSettings28.bin"/></Relationships>
</file>

<file path=xl/worksheets/_rels/sheet43.xml.rels><?xml version="1.0" encoding="UTF-8" standalone="yes"?>
<Relationships xmlns="http://schemas.openxmlformats.org/package/2006/relationships"><Relationship Id="rId1" Type="http://schemas.openxmlformats.org/officeDocument/2006/relationships/customProperty" Target="../customProperty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outlinePr summaryBelow="0" summaryRight="0"/>
  </sheetPr>
  <dimension ref="A1:S193"/>
  <sheetViews>
    <sheetView zoomScale="85" workbookViewId="0">
      <pane ySplit="1" topLeftCell="A2" activePane="bottomLeft" state="frozen"/>
      <selection pane="bottomLeft" activeCell="B40" sqref="B40:B41"/>
    </sheetView>
  </sheetViews>
  <sheetFormatPr baseColWidth="10" defaultColWidth="11.44140625" defaultRowHeight="9.6" customHeight="1" outlineLevelRow="1"/>
  <cols>
    <col min="1" max="1" width="4.5546875" style="11" bestFit="1" customWidth="1"/>
    <col min="2" max="2" width="41.5546875" style="217" customWidth="1"/>
    <col min="3" max="3" width="11.44140625" style="149"/>
    <col min="4" max="4" width="25" style="11" customWidth="1"/>
    <col min="5" max="5" width="38.5546875" style="218" customWidth="1"/>
    <col min="6" max="6" width="4.44140625" style="209" bestFit="1" customWidth="1"/>
    <col min="7" max="18" width="6.44140625" customWidth="1"/>
  </cols>
  <sheetData>
    <row r="1" spans="1:18" ht="15" customHeight="1">
      <c r="A1" s="212" t="s">
        <v>114</v>
      </c>
      <c r="B1" s="216" t="s">
        <v>58</v>
      </c>
      <c r="C1" s="214" t="s">
        <v>118</v>
      </c>
      <c r="D1" s="212" t="s">
        <v>59</v>
      </c>
      <c r="E1" s="213" t="s">
        <v>120</v>
      </c>
      <c r="F1" s="215" t="s">
        <v>130</v>
      </c>
      <c r="G1" s="211" t="s">
        <v>102</v>
      </c>
      <c r="H1" s="211" t="s">
        <v>103</v>
      </c>
      <c r="I1" s="211" t="s">
        <v>104</v>
      </c>
      <c r="J1" s="211" t="s">
        <v>105</v>
      </c>
      <c r="K1" s="211" t="s">
        <v>106</v>
      </c>
      <c r="L1" s="211" t="s">
        <v>107</v>
      </c>
      <c r="M1" s="211" t="s">
        <v>108</v>
      </c>
      <c r="N1" s="211" t="s">
        <v>109</v>
      </c>
      <c r="O1" s="211" t="s">
        <v>110</v>
      </c>
      <c r="P1" s="211" t="s">
        <v>111</v>
      </c>
      <c r="Q1" s="211" t="s">
        <v>112</v>
      </c>
      <c r="R1" s="211" t="s">
        <v>113</v>
      </c>
    </row>
    <row r="2" spans="1:18" ht="24.75" customHeight="1">
      <c r="A2" s="3156">
        <v>1</v>
      </c>
      <c r="B2" s="3151" t="s">
        <v>61</v>
      </c>
      <c r="C2" s="3172">
        <v>1</v>
      </c>
      <c r="D2" s="3176" t="s">
        <v>115</v>
      </c>
      <c r="E2" s="3176" t="s">
        <v>121</v>
      </c>
      <c r="F2" s="210" t="s">
        <v>116</v>
      </c>
      <c r="G2" s="207"/>
      <c r="H2" s="137"/>
      <c r="I2" s="137"/>
      <c r="J2" s="137"/>
      <c r="K2" s="137"/>
      <c r="L2" s="137"/>
      <c r="M2" s="137"/>
      <c r="N2" s="137"/>
      <c r="O2" s="137"/>
      <c r="P2" s="137"/>
      <c r="Q2" s="206"/>
      <c r="R2" s="137"/>
    </row>
    <row r="3" spans="1:18" ht="24.75" customHeight="1">
      <c r="A3" s="3157"/>
      <c r="B3" s="3152"/>
      <c r="C3" s="3172"/>
      <c r="D3" s="3176"/>
      <c r="E3" s="3176"/>
      <c r="F3" s="210" t="s">
        <v>117</v>
      </c>
      <c r="G3" s="208"/>
      <c r="H3" s="137"/>
      <c r="I3" s="137"/>
      <c r="J3" s="137"/>
      <c r="K3" s="137"/>
      <c r="L3" s="137"/>
      <c r="M3" s="137"/>
      <c r="N3" s="137"/>
      <c r="O3" s="137"/>
      <c r="P3" s="137"/>
      <c r="Q3" s="206"/>
      <c r="R3" s="137"/>
    </row>
    <row r="4" spans="1:18" ht="65.25" customHeight="1">
      <c r="A4" s="3156">
        <v>2</v>
      </c>
      <c r="B4" s="3151" t="s">
        <v>286</v>
      </c>
      <c r="C4" s="3165">
        <v>1</v>
      </c>
      <c r="D4" s="3156" t="s">
        <v>119</v>
      </c>
      <c r="E4" s="3177" t="s">
        <v>282</v>
      </c>
      <c r="F4" s="221" t="s">
        <v>116</v>
      </c>
      <c r="G4" s="138"/>
      <c r="H4" s="138"/>
      <c r="I4" s="138"/>
      <c r="J4" s="207"/>
      <c r="K4" s="138"/>
      <c r="L4" s="138"/>
      <c r="M4" s="138"/>
      <c r="N4" s="138"/>
      <c r="O4" s="138"/>
      <c r="P4" s="138"/>
      <c r="Q4" s="220"/>
      <c r="R4" s="138"/>
    </row>
    <row r="5" spans="1:18" ht="65.25" customHeight="1" collapsed="1">
      <c r="A5" s="3180"/>
      <c r="B5" s="3152"/>
      <c r="C5" s="3166"/>
      <c r="D5" s="3180"/>
      <c r="E5" s="3178"/>
      <c r="F5" s="221" t="s">
        <v>117</v>
      </c>
      <c r="G5" s="138"/>
      <c r="H5" s="138"/>
      <c r="I5" s="138"/>
      <c r="J5" s="208"/>
      <c r="K5" s="208"/>
      <c r="L5" s="208"/>
      <c r="M5" s="138"/>
      <c r="N5" s="138"/>
      <c r="O5" s="138"/>
      <c r="P5" s="138"/>
      <c r="Q5" s="220"/>
      <c r="R5" s="138"/>
    </row>
    <row r="6" spans="1:18" ht="11.25" hidden="1" customHeight="1" outlineLevel="1">
      <c r="A6" s="3180"/>
      <c r="B6" s="3159" t="s">
        <v>238</v>
      </c>
      <c r="C6" s="3165">
        <v>1</v>
      </c>
      <c r="D6" s="3180"/>
      <c r="E6" s="3178"/>
      <c r="F6" s="221" t="s">
        <v>116</v>
      </c>
      <c r="G6" s="138"/>
      <c r="H6" s="138"/>
      <c r="I6" s="207"/>
      <c r="J6" s="138"/>
      <c r="K6" s="138"/>
      <c r="L6" s="138"/>
      <c r="M6" s="138"/>
      <c r="N6" s="138"/>
      <c r="O6" s="138"/>
      <c r="P6" s="138"/>
      <c r="Q6" s="220"/>
      <c r="R6" s="138"/>
    </row>
    <row r="7" spans="1:18" ht="11.25" hidden="1" customHeight="1" outlineLevel="1">
      <c r="A7" s="3180"/>
      <c r="B7" s="3160"/>
      <c r="C7" s="3166"/>
      <c r="D7" s="3180"/>
      <c r="E7" s="3178"/>
      <c r="F7" s="221" t="s">
        <v>117</v>
      </c>
      <c r="G7" s="138"/>
      <c r="H7" s="138"/>
      <c r="I7" s="208"/>
      <c r="J7" s="138"/>
      <c r="K7" s="138"/>
      <c r="L7" s="138"/>
      <c r="M7" s="138"/>
      <c r="N7" s="138"/>
      <c r="O7" s="138"/>
      <c r="P7" s="138"/>
      <c r="Q7" s="220"/>
      <c r="R7" s="138"/>
    </row>
    <row r="8" spans="1:18" ht="11.25" hidden="1" customHeight="1" outlineLevel="1">
      <c r="A8" s="3180"/>
      <c r="B8" s="3159" t="s">
        <v>239</v>
      </c>
      <c r="C8" s="3165">
        <v>1</v>
      </c>
      <c r="D8" s="3180"/>
      <c r="E8" s="3178"/>
      <c r="F8" s="221" t="s">
        <v>116</v>
      </c>
      <c r="G8" s="138"/>
      <c r="H8" s="138"/>
      <c r="I8" s="207"/>
      <c r="J8" s="138"/>
      <c r="K8" s="138"/>
      <c r="L8" s="138"/>
      <c r="M8" s="138"/>
      <c r="N8" s="138"/>
      <c r="O8" s="138"/>
      <c r="P8" s="138"/>
      <c r="Q8" s="220"/>
      <c r="R8" s="138"/>
    </row>
    <row r="9" spans="1:18" ht="11.25" hidden="1" customHeight="1" outlineLevel="1">
      <c r="A9" s="3180"/>
      <c r="B9" s="3160"/>
      <c r="C9" s="3166"/>
      <c r="D9" s="3180"/>
      <c r="E9" s="3178"/>
      <c r="F9" s="221" t="s">
        <v>117</v>
      </c>
      <c r="G9" s="138"/>
      <c r="H9" s="138"/>
      <c r="I9" s="138"/>
      <c r="J9" s="138"/>
      <c r="K9" s="138"/>
      <c r="L9" s="138"/>
      <c r="M9" s="138"/>
      <c r="N9" s="138"/>
      <c r="O9" s="138"/>
      <c r="P9" s="138"/>
      <c r="Q9" s="220"/>
      <c r="R9" s="138"/>
    </row>
    <row r="10" spans="1:18" ht="9.6" hidden="1" customHeight="1" outlineLevel="1">
      <c r="A10" s="3180"/>
      <c r="B10" s="3159" t="s">
        <v>240</v>
      </c>
      <c r="C10" s="3161"/>
      <c r="D10" s="3180"/>
      <c r="E10" s="3178"/>
      <c r="F10" s="210" t="s">
        <v>116</v>
      </c>
      <c r="G10" s="137"/>
      <c r="H10" s="137"/>
      <c r="I10" s="137"/>
      <c r="J10" s="207"/>
      <c r="K10" s="137"/>
      <c r="L10" s="137"/>
      <c r="M10" s="137"/>
      <c r="N10" s="137"/>
      <c r="O10" s="137"/>
      <c r="P10" s="137"/>
      <c r="Q10" s="206"/>
      <c r="R10" s="137"/>
    </row>
    <row r="11" spans="1:18" ht="9.6" hidden="1" customHeight="1" outlineLevel="1">
      <c r="A11" s="3180"/>
      <c r="B11" s="3160"/>
      <c r="C11" s="3162"/>
      <c r="D11" s="3180"/>
      <c r="E11" s="3178"/>
      <c r="F11" s="210" t="s">
        <v>117</v>
      </c>
      <c r="G11" s="137"/>
      <c r="H11" s="137"/>
      <c r="I11" s="137"/>
      <c r="J11" s="137"/>
      <c r="K11" s="137"/>
      <c r="L11" s="137"/>
      <c r="M11" s="137"/>
      <c r="N11" s="137"/>
      <c r="O11" s="137"/>
      <c r="P11" s="137"/>
      <c r="Q11" s="206"/>
      <c r="R11" s="137"/>
    </row>
    <row r="12" spans="1:18" ht="9.6" hidden="1" customHeight="1" outlineLevel="1">
      <c r="A12" s="3180"/>
      <c r="B12" s="3159" t="s">
        <v>241</v>
      </c>
      <c r="C12" s="3161"/>
      <c r="D12" s="3180"/>
      <c r="E12" s="3178"/>
      <c r="F12" s="210" t="s">
        <v>116</v>
      </c>
      <c r="G12" s="137"/>
      <c r="H12" s="137"/>
      <c r="I12" s="137"/>
      <c r="J12" s="207"/>
      <c r="K12" s="137"/>
      <c r="L12" s="137"/>
      <c r="M12" s="137"/>
      <c r="N12" s="137"/>
      <c r="O12" s="137"/>
      <c r="P12" s="137"/>
      <c r="Q12" s="206"/>
      <c r="R12" s="137"/>
    </row>
    <row r="13" spans="1:18" ht="9.6" hidden="1" customHeight="1" outlineLevel="1">
      <c r="A13" s="3180"/>
      <c r="B13" s="3160"/>
      <c r="C13" s="3162"/>
      <c r="D13" s="3180"/>
      <c r="E13" s="3178"/>
      <c r="F13" s="210" t="s">
        <v>117</v>
      </c>
      <c r="G13" s="137"/>
      <c r="H13" s="137"/>
      <c r="I13" s="137"/>
      <c r="J13" s="137"/>
      <c r="K13" s="137"/>
      <c r="L13" s="137"/>
      <c r="M13" s="137"/>
      <c r="N13" s="137"/>
      <c r="O13" s="137"/>
      <c r="P13" s="137"/>
      <c r="Q13" s="206"/>
      <c r="R13" s="137"/>
    </row>
    <row r="14" spans="1:18" ht="9.6" hidden="1" customHeight="1" outlineLevel="1">
      <c r="A14" s="3180"/>
      <c r="B14" s="3159" t="s">
        <v>242</v>
      </c>
      <c r="C14" s="3161"/>
      <c r="D14" s="3180"/>
      <c r="E14" s="3178"/>
      <c r="F14" s="210" t="s">
        <v>116</v>
      </c>
      <c r="G14" s="137"/>
      <c r="H14" s="137"/>
      <c r="I14" s="137"/>
      <c r="J14" s="207"/>
      <c r="K14" s="137"/>
      <c r="L14" s="137"/>
      <c r="M14" s="137"/>
      <c r="N14" s="137"/>
      <c r="O14" s="137"/>
      <c r="P14" s="137"/>
      <c r="Q14" s="206"/>
      <c r="R14" s="137"/>
    </row>
    <row r="15" spans="1:18" ht="9.6" hidden="1" customHeight="1" outlineLevel="1">
      <c r="A15" s="3157"/>
      <c r="B15" s="3160"/>
      <c r="C15" s="3162"/>
      <c r="D15" s="3157"/>
      <c r="E15" s="3179"/>
      <c r="F15" s="210" t="s">
        <v>117</v>
      </c>
      <c r="G15" s="137"/>
      <c r="H15" s="137"/>
      <c r="I15" s="137"/>
      <c r="J15" s="137"/>
      <c r="K15" s="137"/>
      <c r="L15" s="137"/>
      <c r="M15" s="137"/>
      <c r="N15" s="137"/>
      <c r="O15" s="137"/>
      <c r="P15" s="137"/>
      <c r="Q15" s="206"/>
      <c r="R15" s="137"/>
    </row>
    <row r="16" spans="1:18" ht="12" customHeight="1">
      <c r="A16" s="3163">
        <v>3</v>
      </c>
      <c r="B16" s="3151" t="s">
        <v>122</v>
      </c>
      <c r="C16" s="3165">
        <v>0.28000000000000003</v>
      </c>
      <c r="D16" s="3174" t="s">
        <v>131</v>
      </c>
      <c r="E16" s="3156" t="s">
        <v>267</v>
      </c>
      <c r="F16" s="210" t="s">
        <v>116</v>
      </c>
      <c r="G16" s="138"/>
      <c r="H16" s="138"/>
      <c r="I16" s="207"/>
      <c r="J16" s="207"/>
      <c r="K16" s="207"/>
      <c r="L16" s="138"/>
      <c r="M16" s="138"/>
      <c r="N16" s="138"/>
      <c r="O16" s="138"/>
      <c r="P16" s="138"/>
      <c r="Q16" s="220"/>
      <c r="R16" s="138"/>
    </row>
    <row r="17" spans="1:18" ht="12" customHeight="1">
      <c r="A17" s="3163"/>
      <c r="B17" s="3152"/>
      <c r="C17" s="3166"/>
      <c r="D17" s="3175"/>
      <c r="E17" s="3157"/>
      <c r="F17" s="210" t="s">
        <v>117</v>
      </c>
      <c r="G17" s="138"/>
      <c r="H17" s="138"/>
      <c r="I17" s="138"/>
      <c r="J17" s="138"/>
      <c r="K17" s="138"/>
      <c r="L17" s="138"/>
      <c r="M17" s="138"/>
      <c r="N17" s="138"/>
      <c r="O17" s="138"/>
      <c r="P17" s="138"/>
      <c r="Q17" s="220"/>
      <c r="R17" s="138"/>
    </row>
    <row r="18" spans="1:18" ht="12" customHeight="1" outlineLevel="1">
      <c r="A18" s="3163"/>
      <c r="B18" s="3159" t="s">
        <v>235</v>
      </c>
      <c r="C18" s="3172">
        <v>1</v>
      </c>
      <c r="D18" s="3156" t="s">
        <v>131</v>
      </c>
      <c r="E18" s="3176" t="s">
        <v>236</v>
      </c>
      <c r="F18" s="210" t="s">
        <v>116</v>
      </c>
      <c r="G18" s="138"/>
      <c r="H18" s="138"/>
      <c r="I18" s="207"/>
      <c r="J18" s="138"/>
      <c r="K18" s="138"/>
      <c r="L18" s="138"/>
      <c r="M18" s="138"/>
      <c r="N18" s="138"/>
      <c r="O18" s="138"/>
      <c r="P18" s="138"/>
      <c r="Q18" s="220"/>
      <c r="R18" s="138"/>
    </row>
    <row r="19" spans="1:18" ht="12" customHeight="1" outlineLevel="1">
      <c r="A19" s="3163"/>
      <c r="B19" s="3160"/>
      <c r="C19" s="3172"/>
      <c r="D19" s="3157"/>
      <c r="E19" s="3176"/>
      <c r="F19" s="210" t="s">
        <v>117</v>
      </c>
      <c r="G19" s="138"/>
      <c r="H19" s="138"/>
      <c r="I19" s="208"/>
      <c r="J19" s="138"/>
      <c r="K19" s="138"/>
      <c r="L19" s="138"/>
      <c r="M19" s="138"/>
      <c r="N19" s="138"/>
      <c r="O19" s="138"/>
      <c r="P19" s="138"/>
      <c r="Q19" s="220"/>
      <c r="R19" s="138"/>
    </row>
    <row r="20" spans="1:18" ht="15.75" customHeight="1" outlineLevel="1">
      <c r="A20" s="3163"/>
      <c r="B20" s="3159" t="s">
        <v>231</v>
      </c>
      <c r="C20" s="3172">
        <v>1</v>
      </c>
      <c r="D20" s="3156" t="s">
        <v>133</v>
      </c>
      <c r="E20" s="3176" t="s">
        <v>233</v>
      </c>
      <c r="F20" s="210" t="s">
        <v>116</v>
      </c>
      <c r="G20" s="138"/>
      <c r="H20" s="138"/>
      <c r="I20" s="207"/>
      <c r="J20" s="138"/>
      <c r="K20" s="138"/>
      <c r="L20" s="138"/>
      <c r="M20" s="138"/>
      <c r="N20" s="138"/>
      <c r="O20" s="138"/>
      <c r="P20" s="138"/>
      <c r="Q20" s="220"/>
      <c r="R20" s="138"/>
    </row>
    <row r="21" spans="1:18" ht="15.75" customHeight="1" outlineLevel="1">
      <c r="A21" s="3163"/>
      <c r="B21" s="3160"/>
      <c r="C21" s="3172"/>
      <c r="D21" s="3157"/>
      <c r="E21" s="3176"/>
      <c r="F21" s="210" t="s">
        <v>117</v>
      </c>
      <c r="G21" s="138"/>
      <c r="H21" s="138"/>
      <c r="I21" s="208"/>
      <c r="J21" s="138"/>
      <c r="K21" s="138"/>
      <c r="L21" s="138"/>
      <c r="M21" s="138"/>
      <c r="N21" s="138"/>
      <c r="O21" s="138"/>
      <c r="P21" s="138"/>
      <c r="Q21" s="220"/>
      <c r="R21" s="138"/>
    </row>
    <row r="22" spans="1:18" ht="12" customHeight="1" outlineLevel="1">
      <c r="A22" s="3163"/>
      <c r="B22" s="3159" t="s">
        <v>232</v>
      </c>
      <c r="C22" s="3161"/>
      <c r="D22" s="3156" t="s">
        <v>133</v>
      </c>
      <c r="E22" s="3176" t="s">
        <v>283</v>
      </c>
      <c r="F22" s="210" t="s">
        <v>116</v>
      </c>
      <c r="G22" s="138"/>
      <c r="H22" s="138"/>
      <c r="I22" s="207"/>
      <c r="J22" s="138"/>
      <c r="K22" s="138"/>
      <c r="L22" s="138"/>
      <c r="M22" s="138"/>
      <c r="N22" s="138"/>
      <c r="O22" s="138"/>
      <c r="P22" s="138"/>
      <c r="Q22" s="220"/>
      <c r="R22" s="138"/>
    </row>
    <row r="23" spans="1:18" ht="12" customHeight="1" outlineLevel="1">
      <c r="A23" s="3163"/>
      <c r="B23" s="3160"/>
      <c r="C23" s="3162"/>
      <c r="D23" s="3157"/>
      <c r="E23" s="3176"/>
      <c r="F23" s="210" t="s">
        <v>117</v>
      </c>
      <c r="G23" s="138"/>
      <c r="H23" s="138"/>
      <c r="I23" s="138"/>
      <c r="J23" s="138"/>
      <c r="K23" s="138"/>
      <c r="L23" s="138"/>
      <c r="M23" s="138"/>
      <c r="N23" s="138"/>
      <c r="O23" s="138"/>
      <c r="P23" s="138"/>
      <c r="Q23" s="220"/>
      <c r="R23" s="138"/>
    </row>
    <row r="24" spans="1:18" ht="9.6" customHeight="1" outlineLevel="1">
      <c r="A24" s="3163"/>
      <c r="B24" s="3159" t="s">
        <v>123</v>
      </c>
      <c r="C24" s="3161"/>
      <c r="D24" s="3156" t="s">
        <v>133</v>
      </c>
      <c r="E24" s="3176" t="s">
        <v>289</v>
      </c>
      <c r="F24" s="210" t="s">
        <v>116</v>
      </c>
      <c r="G24" s="137"/>
      <c r="H24" s="137"/>
      <c r="I24" s="207"/>
      <c r="J24" s="137"/>
      <c r="K24" s="137"/>
      <c r="L24" s="137"/>
      <c r="M24" s="137"/>
      <c r="N24" s="137"/>
      <c r="O24" s="137"/>
      <c r="P24" s="137"/>
      <c r="Q24" s="206"/>
      <c r="R24" s="137"/>
    </row>
    <row r="25" spans="1:18" ht="9.6" customHeight="1" outlineLevel="1">
      <c r="A25" s="3163"/>
      <c r="B25" s="3160"/>
      <c r="C25" s="3162"/>
      <c r="D25" s="3157"/>
      <c r="E25" s="3176"/>
      <c r="F25" s="210" t="s">
        <v>117</v>
      </c>
      <c r="G25" s="137"/>
      <c r="H25" s="137"/>
      <c r="I25" s="137"/>
      <c r="J25" s="137"/>
      <c r="K25" s="137"/>
      <c r="L25" s="137"/>
      <c r="M25" s="137"/>
      <c r="N25" s="137"/>
      <c r="O25" s="137"/>
      <c r="P25" s="137"/>
      <c r="Q25" s="206"/>
      <c r="R25" s="137"/>
    </row>
    <row r="26" spans="1:18" ht="9.6" customHeight="1" outlineLevel="1">
      <c r="A26" s="3163"/>
      <c r="B26" s="3159" t="s">
        <v>285</v>
      </c>
      <c r="C26" s="3161"/>
      <c r="D26" s="3156" t="s">
        <v>133</v>
      </c>
      <c r="E26" s="3176" t="s">
        <v>290</v>
      </c>
      <c r="F26" s="210" t="s">
        <v>116</v>
      </c>
      <c r="G26" s="137"/>
      <c r="H26" s="137"/>
      <c r="I26" s="137"/>
      <c r="J26" s="137"/>
      <c r="K26" s="137"/>
      <c r="L26" s="207"/>
      <c r="M26" s="137"/>
      <c r="N26" s="137"/>
      <c r="O26" s="137"/>
      <c r="P26" s="137"/>
      <c r="Q26" s="206"/>
      <c r="R26" s="137"/>
    </row>
    <row r="27" spans="1:18" ht="18.75" customHeight="1" outlineLevel="1">
      <c r="A27" s="3163"/>
      <c r="B27" s="3160"/>
      <c r="C27" s="3162"/>
      <c r="D27" s="3157"/>
      <c r="E27" s="3176"/>
      <c r="F27" s="210" t="s">
        <v>117</v>
      </c>
      <c r="G27" s="137"/>
      <c r="H27" s="137"/>
      <c r="I27" s="137"/>
      <c r="J27" s="137"/>
      <c r="K27" s="137"/>
      <c r="L27" s="137"/>
      <c r="M27" s="137"/>
      <c r="N27" s="137"/>
      <c r="O27" s="137"/>
      <c r="P27" s="137"/>
      <c r="Q27" s="206"/>
      <c r="R27" s="137"/>
    </row>
    <row r="28" spans="1:18" ht="9.6" customHeight="1" outlineLevel="1">
      <c r="A28" s="3163"/>
      <c r="B28" s="3159" t="s">
        <v>124</v>
      </c>
      <c r="C28" s="3161">
        <v>1</v>
      </c>
      <c r="D28" s="3156" t="s">
        <v>131</v>
      </c>
      <c r="E28" s="3176" t="s">
        <v>284</v>
      </c>
      <c r="F28" s="210" t="s">
        <v>116</v>
      </c>
      <c r="G28" s="137"/>
      <c r="H28" s="137"/>
      <c r="I28" s="207"/>
      <c r="J28" s="207"/>
      <c r="K28" s="137"/>
      <c r="L28" s="137"/>
      <c r="M28" s="137"/>
      <c r="N28" s="137"/>
      <c r="O28" s="137"/>
      <c r="P28" s="137"/>
      <c r="Q28" s="206"/>
      <c r="R28" s="137"/>
    </row>
    <row r="29" spans="1:18" ht="9.6" customHeight="1" outlineLevel="1">
      <c r="A29" s="3163"/>
      <c r="B29" s="3160"/>
      <c r="C29" s="3162"/>
      <c r="D29" s="3157"/>
      <c r="E29" s="3176"/>
      <c r="F29" s="210" t="s">
        <v>117</v>
      </c>
      <c r="G29" s="137"/>
      <c r="H29" s="137"/>
      <c r="I29" s="137"/>
      <c r="J29" s="137"/>
      <c r="K29" s="137"/>
      <c r="L29" s="208"/>
      <c r="M29" s="137"/>
      <c r="N29" s="137"/>
      <c r="O29" s="137"/>
      <c r="P29" s="137"/>
      <c r="Q29" s="206"/>
      <c r="R29" s="137"/>
    </row>
    <row r="30" spans="1:18" ht="9.6" customHeight="1" outlineLevel="1">
      <c r="A30" s="3163"/>
      <c r="B30" s="3159" t="s">
        <v>125</v>
      </c>
      <c r="C30" s="3173"/>
      <c r="D30" s="3156" t="s">
        <v>133</v>
      </c>
      <c r="E30" s="3176"/>
      <c r="F30" s="210" t="s">
        <v>116</v>
      </c>
      <c r="G30" s="137"/>
      <c r="H30" s="137"/>
      <c r="I30" s="137"/>
      <c r="J30" s="207"/>
      <c r="K30" s="207"/>
      <c r="L30" s="137"/>
      <c r="M30" s="137"/>
      <c r="N30" s="137"/>
      <c r="O30" s="137"/>
      <c r="P30" s="137"/>
      <c r="Q30" s="206"/>
      <c r="R30" s="137"/>
    </row>
    <row r="31" spans="1:18" ht="12.75" customHeight="1" outlineLevel="1">
      <c r="A31" s="3163"/>
      <c r="B31" s="3160"/>
      <c r="C31" s="3173"/>
      <c r="D31" s="3157"/>
      <c r="E31" s="3176"/>
      <c r="F31" s="210" t="s">
        <v>117</v>
      </c>
      <c r="G31" s="137"/>
      <c r="H31" s="137"/>
      <c r="I31" s="137"/>
      <c r="J31" s="137"/>
      <c r="K31" s="137"/>
      <c r="L31" s="137"/>
      <c r="M31" s="137"/>
      <c r="N31" s="137"/>
      <c r="O31" s="137"/>
      <c r="P31" s="137"/>
      <c r="Q31" s="206"/>
      <c r="R31" s="137"/>
    </row>
    <row r="32" spans="1:18" ht="9.6" customHeight="1" outlineLevel="1">
      <c r="A32" s="3163"/>
      <c r="B32" s="3159" t="s">
        <v>126</v>
      </c>
      <c r="C32" s="3173"/>
      <c r="D32" s="3156" t="s">
        <v>132</v>
      </c>
      <c r="E32" s="3176"/>
      <c r="F32" s="210" t="s">
        <v>116</v>
      </c>
      <c r="G32" s="137"/>
      <c r="H32" s="137"/>
      <c r="I32" s="137"/>
      <c r="J32" s="137"/>
      <c r="K32" s="207"/>
      <c r="L32" s="137"/>
      <c r="M32" s="137"/>
      <c r="N32" s="137"/>
      <c r="O32" s="137"/>
      <c r="P32" s="137"/>
      <c r="Q32" s="206"/>
      <c r="R32" s="137"/>
    </row>
    <row r="33" spans="1:18" ht="9.6" customHeight="1" outlineLevel="1">
      <c r="A33" s="3163"/>
      <c r="B33" s="3160"/>
      <c r="C33" s="3173"/>
      <c r="D33" s="3157"/>
      <c r="E33" s="3176"/>
      <c r="F33" s="210" t="s">
        <v>117</v>
      </c>
      <c r="G33" s="137"/>
      <c r="H33" s="137"/>
      <c r="I33" s="137"/>
      <c r="J33" s="137"/>
      <c r="K33" s="137"/>
      <c r="L33" s="137"/>
      <c r="M33" s="137"/>
      <c r="N33" s="137"/>
      <c r="O33" s="137"/>
      <c r="P33" s="137"/>
      <c r="Q33" s="206"/>
      <c r="R33" s="137"/>
    </row>
    <row r="34" spans="1:18" ht="9.6" customHeight="1" outlineLevel="1">
      <c r="A34" s="3163"/>
      <c r="B34" s="3159" t="s">
        <v>127</v>
      </c>
      <c r="C34" s="3173"/>
      <c r="D34" s="3156" t="s">
        <v>131</v>
      </c>
      <c r="E34" s="3176"/>
      <c r="F34" s="210" t="s">
        <v>116</v>
      </c>
      <c r="G34" s="137"/>
      <c r="H34" s="137"/>
      <c r="I34" s="137"/>
      <c r="J34" s="207"/>
      <c r="K34" s="207"/>
      <c r="L34" s="137"/>
      <c r="M34" s="137"/>
      <c r="N34" s="137"/>
      <c r="O34" s="137"/>
      <c r="P34" s="137"/>
      <c r="Q34" s="206"/>
      <c r="R34" s="137"/>
    </row>
    <row r="35" spans="1:18" ht="14.25" customHeight="1" outlineLevel="1">
      <c r="A35" s="3163"/>
      <c r="B35" s="3160"/>
      <c r="C35" s="3173"/>
      <c r="D35" s="3157"/>
      <c r="E35" s="3176"/>
      <c r="F35" s="210" t="s">
        <v>117</v>
      </c>
      <c r="G35" s="137"/>
      <c r="H35" s="137"/>
      <c r="I35" s="137"/>
      <c r="J35" s="137"/>
      <c r="K35" s="137"/>
      <c r="L35" s="137"/>
      <c r="M35" s="137"/>
      <c r="N35" s="137"/>
      <c r="O35" s="137"/>
      <c r="P35" s="137"/>
      <c r="Q35" s="206"/>
      <c r="R35" s="137"/>
    </row>
    <row r="36" spans="1:18" ht="9.6" customHeight="1" outlineLevel="1">
      <c r="A36" s="3163"/>
      <c r="B36" s="3159" t="s">
        <v>128</v>
      </c>
      <c r="C36" s="3173"/>
      <c r="D36" s="3156" t="s">
        <v>131</v>
      </c>
      <c r="E36" s="3176"/>
      <c r="F36" s="210" t="s">
        <v>116</v>
      </c>
      <c r="G36" s="137"/>
      <c r="H36" s="137"/>
      <c r="I36" s="137"/>
      <c r="J36" s="207"/>
      <c r="K36" s="207"/>
      <c r="L36" s="137"/>
      <c r="M36" s="137"/>
      <c r="N36" s="137"/>
      <c r="O36" s="137"/>
      <c r="P36" s="137"/>
      <c r="Q36" s="206"/>
      <c r="R36" s="137"/>
    </row>
    <row r="37" spans="1:18" ht="9.6" customHeight="1" outlineLevel="1">
      <c r="A37" s="3163"/>
      <c r="B37" s="3160"/>
      <c r="C37" s="3173"/>
      <c r="D37" s="3157"/>
      <c r="E37" s="3176"/>
      <c r="F37" s="210" t="s">
        <v>117</v>
      </c>
      <c r="G37" s="137"/>
      <c r="H37" s="137"/>
      <c r="I37" s="137"/>
      <c r="J37" s="137"/>
      <c r="K37" s="137"/>
      <c r="L37" s="137"/>
      <c r="M37" s="137"/>
      <c r="N37" s="137"/>
      <c r="O37" s="137"/>
      <c r="P37" s="137"/>
      <c r="Q37" s="206"/>
      <c r="R37" s="137"/>
    </row>
    <row r="38" spans="1:18" ht="9.6" customHeight="1" outlineLevel="1">
      <c r="A38" s="3163"/>
      <c r="B38" s="3159" t="s">
        <v>129</v>
      </c>
      <c r="C38" s="3173"/>
      <c r="D38" s="3156" t="s">
        <v>131</v>
      </c>
      <c r="E38" s="3176"/>
      <c r="F38" s="210" t="s">
        <v>116</v>
      </c>
      <c r="G38" s="137"/>
      <c r="H38" s="137"/>
      <c r="I38" s="137"/>
      <c r="J38" s="137"/>
      <c r="K38" s="207"/>
      <c r="L38" s="137"/>
      <c r="M38" s="137"/>
      <c r="N38" s="137"/>
      <c r="O38" s="137"/>
      <c r="P38" s="137"/>
      <c r="Q38" s="206"/>
      <c r="R38" s="137"/>
    </row>
    <row r="39" spans="1:18" ht="14.25" customHeight="1" outlineLevel="1">
      <c r="A39" s="3163"/>
      <c r="B39" s="3160"/>
      <c r="C39" s="3173"/>
      <c r="D39" s="3157"/>
      <c r="E39" s="3176"/>
      <c r="F39" s="210" t="s">
        <v>117</v>
      </c>
      <c r="G39" s="137"/>
      <c r="H39" s="137"/>
      <c r="I39" s="137"/>
      <c r="J39" s="137"/>
      <c r="K39" s="137"/>
      <c r="L39" s="137"/>
      <c r="M39" s="137"/>
      <c r="N39" s="137"/>
      <c r="O39" s="137"/>
      <c r="P39" s="137"/>
      <c r="Q39" s="206"/>
      <c r="R39" s="137"/>
    </row>
    <row r="40" spans="1:18" ht="35.25" customHeight="1">
      <c r="A40" s="3169">
        <v>4</v>
      </c>
      <c r="B40" s="3151" t="s">
        <v>140</v>
      </c>
      <c r="C40" s="3165">
        <v>0.16</v>
      </c>
      <c r="D40" s="3174" t="s">
        <v>134</v>
      </c>
      <c r="E40" s="3156" t="s">
        <v>291</v>
      </c>
      <c r="F40" s="210" t="s">
        <v>116</v>
      </c>
      <c r="G40" s="138"/>
      <c r="H40" s="138"/>
      <c r="I40" s="207"/>
      <c r="J40" s="207"/>
      <c r="K40" s="207"/>
      <c r="L40" s="207"/>
      <c r="M40" s="207"/>
      <c r="N40" s="207"/>
      <c r="O40" s="207"/>
      <c r="P40" s="138"/>
      <c r="Q40" s="220"/>
      <c r="R40" s="138"/>
    </row>
    <row r="41" spans="1:18" ht="24.75" customHeight="1">
      <c r="A41" s="3170"/>
      <c r="B41" s="3152"/>
      <c r="C41" s="3166"/>
      <c r="D41" s="3175"/>
      <c r="E41" s="3157"/>
      <c r="F41" s="210" t="s">
        <v>117</v>
      </c>
      <c r="G41" s="138"/>
      <c r="H41" s="138"/>
      <c r="I41" s="138"/>
      <c r="J41" s="138"/>
      <c r="K41" s="138"/>
      <c r="L41" s="138"/>
      <c r="M41" s="138"/>
      <c r="N41" s="138"/>
      <c r="O41" s="138"/>
      <c r="P41" s="138"/>
      <c r="Q41" s="220"/>
      <c r="R41" s="138"/>
    </row>
    <row r="42" spans="1:18" ht="10.5" customHeight="1" outlineLevel="1">
      <c r="A42" s="3170"/>
      <c r="B42" s="3159" t="s">
        <v>135</v>
      </c>
      <c r="C42" s="3172">
        <v>1</v>
      </c>
      <c r="D42" s="3156" t="s">
        <v>133</v>
      </c>
      <c r="E42" s="3156" t="s">
        <v>288</v>
      </c>
      <c r="F42" s="210" t="s">
        <v>116</v>
      </c>
      <c r="H42" s="137"/>
      <c r="I42" s="207"/>
      <c r="J42" s="137"/>
      <c r="K42" s="137"/>
      <c r="L42" s="137"/>
      <c r="M42" s="137"/>
      <c r="N42" s="137"/>
      <c r="O42" s="137"/>
      <c r="P42" s="137"/>
      <c r="Q42" s="206"/>
      <c r="R42" s="137"/>
    </row>
    <row r="43" spans="1:18" ht="15" customHeight="1" outlineLevel="1">
      <c r="A43" s="3170"/>
      <c r="B43" s="3160"/>
      <c r="C43" s="3172"/>
      <c r="D43" s="3157"/>
      <c r="E43" s="3157"/>
      <c r="F43" s="210" t="s">
        <v>117</v>
      </c>
      <c r="G43" s="137"/>
      <c r="H43" s="137"/>
      <c r="I43" s="208"/>
      <c r="J43" s="137"/>
      <c r="K43" s="137"/>
      <c r="L43" s="137"/>
      <c r="M43" s="137"/>
      <c r="N43" s="137"/>
      <c r="O43" s="137"/>
      <c r="P43" s="137"/>
      <c r="Q43" s="206"/>
      <c r="R43" s="137"/>
    </row>
    <row r="44" spans="1:18" ht="9.6" customHeight="1" outlineLevel="1">
      <c r="A44" s="3170"/>
      <c r="B44" s="3159" t="s">
        <v>136</v>
      </c>
      <c r="C44" s="3173"/>
      <c r="D44" s="3156" t="s">
        <v>134</v>
      </c>
      <c r="E44" s="3156"/>
      <c r="F44" s="210" t="s">
        <v>116</v>
      </c>
      <c r="G44" s="137"/>
      <c r="H44" s="137"/>
      <c r="I44" s="207"/>
      <c r="J44" s="207"/>
      <c r="K44" s="137"/>
      <c r="L44" s="137"/>
      <c r="M44" s="137"/>
      <c r="N44" s="137"/>
      <c r="O44" s="137"/>
      <c r="P44" s="137"/>
      <c r="Q44" s="206"/>
      <c r="R44" s="137"/>
    </row>
    <row r="45" spans="1:18" ht="9.6" customHeight="1" outlineLevel="1">
      <c r="A45" s="3170"/>
      <c r="B45" s="3160"/>
      <c r="C45" s="3173"/>
      <c r="D45" s="3157"/>
      <c r="E45" s="3157"/>
      <c r="F45" s="210" t="s">
        <v>117</v>
      </c>
      <c r="G45" s="137"/>
      <c r="H45" s="137"/>
      <c r="I45" s="137"/>
      <c r="J45" s="137"/>
      <c r="K45" s="137"/>
      <c r="L45" s="137"/>
      <c r="M45" s="137"/>
      <c r="N45" s="137"/>
      <c r="O45" s="137"/>
      <c r="P45" s="137"/>
      <c r="Q45" s="206"/>
      <c r="R45" s="137"/>
    </row>
    <row r="46" spans="1:18" ht="9.6" customHeight="1" outlineLevel="1">
      <c r="A46" s="3170"/>
      <c r="B46" s="3159" t="s">
        <v>125</v>
      </c>
      <c r="C46" s="3173"/>
      <c r="D46" s="3156" t="s">
        <v>137</v>
      </c>
      <c r="E46" s="3156"/>
      <c r="F46" s="210" t="s">
        <v>116</v>
      </c>
      <c r="G46" s="137"/>
      <c r="H46" s="137"/>
      <c r="I46" s="137"/>
      <c r="J46" s="137"/>
      <c r="K46" s="207"/>
      <c r="L46" s="137"/>
      <c r="M46" s="137"/>
      <c r="N46" s="137"/>
      <c r="O46" s="137"/>
      <c r="P46" s="137"/>
      <c r="Q46" s="206"/>
      <c r="R46" s="137"/>
    </row>
    <row r="47" spans="1:18" ht="12" customHeight="1" outlineLevel="1">
      <c r="A47" s="3170"/>
      <c r="B47" s="3160"/>
      <c r="C47" s="3173"/>
      <c r="D47" s="3157"/>
      <c r="E47" s="3157"/>
      <c r="F47" s="210" t="s">
        <v>117</v>
      </c>
      <c r="G47" s="137"/>
      <c r="H47" s="137"/>
      <c r="I47" s="137"/>
      <c r="J47" s="137"/>
      <c r="K47" s="137"/>
      <c r="L47" s="137"/>
      <c r="M47" s="137"/>
      <c r="N47" s="137"/>
      <c r="O47" s="137"/>
      <c r="P47" s="137"/>
      <c r="Q47" s="206"/>
      <c r="R47" s="137"/>
    </row>
    <row r="48" spans="1:18" ht="9.6" customHeight="1" outlineLevel="1">
      <c r="A48" s="3170"/>
      <c r="B48" s="3159" t="s">
        <v>139</v>
      </c>
      <c r="C48" s="3173"/>
      <c r="D48" s="3156" t="s">
        <v>138</v>
      </c>
      <c r="E48" s="3156"/>
      <c r="F48" s="210" t="s">
        <v>116</v>
      </c>
      <c r="G48" s="137"/>
      <c r="H48" s="137"/>
      <c r="I48" s="137"/>
      <c r="J48" s="137"/>
      <c r="K48" s="137"/>
      <c r="L48" s="207"/>
      <c r="M48" s="207"/>
      <c r="N48" s="207"/>
      <c r="O48" s="207"/>
      <c r="P48" s="137"/>
      <c r="Q48" s="206"/>
      <c r="R48" s="137"/>
    </row>
    <row r="49" spans="1:18" ht="9.6" customHeight="1" outlineLevel="1">
      <c r="A49" s="3170"/>
      <c r="B49" s="3160"/>
      <c r="C49" s="3173"/>
      <c r="D49" s="3157"/>
      <c r="E49" s="3157"/>
      <c r="F49" s="210" t="s">
        <v>117</v>
      </c>
      <c r="G49" s="137"/>
      <c r="H49" s="137"/>
      <c r="I49" s="137"/>
      <c r="J49" s="137"/>
      <c r="K49" s="137"/>
      <c r="L49" s="137"/>
      <c r="M49" s="137"/>
      <c r="N49" s="137"/>
      <c r="O49" s="137"/>
      <c r="P49" s="137"/>
      <c r="Q49" s="206"/>
      <c r="R49" s="137"/>
    </row>
    <row r="50" spans="1:18" ht="9.6" customHeight="1" outlineLevel="1">
      <c r="A50" s="3170"/>
      <c r="B50" s="3159" t="s">
        <v>143</v>
      </c>
      <c r="C50" s="3161">
        <v>0.3</v>
      </c>
      <c r="D50" s="3156" t="s">
        <v>145</v>
      </c>
      <c r="E50" s="3156" t="s">
        <v>287</v>
      </c>
      <c r="F50" s="210" t="s">
        <v>116</v>
      </c>
      <c r="G50" s="137"/>
      <c r="H50" s="137"/>
      <c r="I50" s="207"/>
      <c r="J50" s="207"/>
      <c r="K50" s="207"/>
      <c r="L50" s="207"/>
      <c r="M50" s="207"/>
      <c r="N50" s="137"/>
      <c r="O50" s="137"/>
      <c r="P50" s="137"/>
      <c r="Q50" s="206"/>
      <c r="R50" s="137"/>
    </row>
    <row r="51" spans="1:18" ht="27.75" customHeight="1" outlineLevel="1">
      <c r="A51" s="3170"/>
      <c r="B51" s="3160"/>
      <c r="C51" s="3162"/>
      <c r="D51" s="3157"/>
      <c r="E51" s="3157"/>
      <c r="F51" s="210" t="s">
        <v>117</v>
      </c>
      <c r="G51" s="137"/>
      <c r="H51" s="137"/>
      <c r="I51" s="137"/>
      <c r="J51" s="137"/>
      <c r="K51" s="208"/>
      <c r="L51" s="137"/>
      <c r="M51" s="137"/>
      <c r="N51" s="137"/>
      <c r="O51" s="137"/>
      <c r="P51" s="137"/>
      <c r="Q51" s="206"/>
      <c r="R51" s="137"/>
    </row>
    <row r="52" spans="1:18" ht="13.5" customHeight="1" outlineLevel="1">
      <c r="A52" s="3170"/>
      <c r="B52" s="3159" t="s">
        <v>144</v>
      </c>
      <c r="C52" s="3173"/>
      <c r="D52" s="3156" t="s">
        <v>145</v>
      </c>
      <c r="E52" s="3156"/>
      <c r="F52" s="210" t="s">
        <v>116</v>
      </c>
      <c r="G52" s="137"/>
      <c r="H52" s="137"/>
      <c r="I52" s="207"/>
      <c r="J52" s="207"/>
      <c r="K52" s="137"/>
      <c r="L52" s="137"/>
      <c r="M52" s="137"/>
      <c r="N52" s="137"/>
      <c r="O52" s="137"/>
      <c r="P52" s="137"/>
      <c r="Q52" s="206"/>
      <c r="R52" s="137"/>
    </row>
    <row r="53" spans="1:18" ht="9.6" customHeight="1" outlineLevel="1">
      <c r="A53" s="3170"/>
      <c r="B53" s="3160"/>
      <c r="C53" s="3173"/>
      <c r="D53" s="3157"/>
      <c r="E53" s="3157"/>
      <c r="F53" s="210" t="s">
        <v>117</v>
      </c>
      <c r="G53" s="137"/>
      <c r="H53" s="137"/>
      <c r="I53" s="137"/>
      <c r="J53" s="137"/>
      <c r="K53" s="137"/>
      <c r="L53" s="137"/>
      <c r="M53" s="137"/>
      <c r="N53" s="137"/>
      <c r="O53" s="137"/>
      <c r="P53" s="137"/>
      <c r="Q53" s="206"/>
      <c r="R53" s="137"/>
    </row>
    <row r="54" spans="1:18" ht="9.6" customHeight="1" outlineLevel="1">
      <c r="A54" s="3170"/>
      <c r="B54" s="3159" t="s">
        <v>146</v>
      </c>
      <c r="C54" s="3173"/>
      <c r="D54" s="3156" t="s">
        <v>145</v>
      </c>
      <c r="E54" s="3156"/>
      <c r="F54" s="210" t="s">
        <v>116</v>
      </c>
      <c r="G54" s="137"/>
      <c r="H54" s="137"/>
      <c r="I54" s="137"/>
      <c r="J54" s="137"/>
      <c r="K54" s="137"/>
      <c r="L54" s="207"/>
      <c r="M54" s="207"/>
      <c r="N54" s="137"/>
      <c r="O54" s="137"/>
      <c r="P54" s="137"/>
      <c r="Q54" s="206"/>
      <c r="R54" s="137"/>
    </row>
    <row r="55" spans="1:18" ht="9.6" customHeight="1" outlineLevel="1">
      <c r="A55" s="3170"/>
      <c r="B55" s="3160"/>
      <c r="C55" s="3173"/>
      <c r="D55" s="3157"/>
      <c r="E55" s="3157"/>
      <c r="F55" s="210" t="s">
        <v>117</v>
      </c>
      <c r="G55" s="137"/>
      <c r="H55" s="137"/>
      <c r="I55" s="137"/>
      <c r="J55" s="137"/>
      <c r="K55" s="137"/>
      <c r="L55" s="137"/>
      <c r="M55" s="137"/>
      <c r="N55" s="137"/>
      <c r="O55" s="137"/>
      <c r="P55" s="137"/>
      <c r="Q55" s="206"/>
      <c r="R55" s="137"/>
    </row>
    <row r="56" spans="1:18" ht="9.6" customHeight="1" outlineLevel="1">
      <c r="A56" s="3170"/>
      <c r="B56" s="3159" t="s">
        <v>147</v>
      </c>
      <c r="C56" s="3173"/>
      <c r="D56" s="3156" t="s">
        <v>145</v>
      </c>
      <c r="E56" s="3156"/>
      <c r="F56" s="210" t="s">
        <v>116</v>
      </c>
      <c r="G56" s="137"/>
      <c r="H56" s="137"/>
      <c r="I56" s="137"/>
      <c r="J56" s="137"/>
      <c r="K56" s="137"/>
      <c r="L56" s="207"/>
      <c r="M56" s="207"/>
      <c r="N56" s="137"/>
      <c r="O56" s="137"/>
      <c r="P56" s="137"/>
      <c r="Q56" s="206"/>
      <c r="R56" s="137"/>
    </row>
    <row r="57" spans="1:18" ht="9.6" customHeight="1" outlineLevel="1">
      <c r="A57" s="3171"/>
      <c r="B57" s="3160"/>
      <c r="C57" s="3173"/>
      <c r="D57" s="3157"/>
      <c r="E57" s="3157"/>
      <c r="F57" s="210" t="s">
        <v>117</v>
      </c>
      <c r="G57" s="137"/>
      <c r="H57" s="137"/>
      <c r="I57" s="137"/>
      <c r="J57" s="137"/>
      <c r="K57" s="137"/>
      <c r="L57" s="137"/>
      <c r="M57" s="137"/>
      <c r="N57" s="137"/>
      <c r="O57" s="137"/>
      <c r="P57" s="137"/>
      <c r="Q57" s="206"/>
      <c r="R57" s="137"/>
    </row>
    <row r="58" spans="1:18" ht="11.25" customHeight="1">
      <c r="A58" s="3163">
        <v>5</v>
      </c>
      <c r="B58" s="3181" t="s">
        <v>66</v>
      </c>
      <c r="C58" s="3165">
        <v>0</v>
      </c>
      <c r="D58" s="3156" t="s">
        <v>237</v>
      </c>
      <c r="E58" s="3156"/>
      <c r="F58" s="210" t="s">
        <v>116</v>
      </c>
      <c r="G58" s="138"/>
      <c r="H58" s="138"/>
      <c r="I58" s="138"/>
      <c r="J58" s="138"/>
      <c r="K58" s="207"/>
      <c r="L58" s="207"/>
      <c r="M58" s="138"/>
      <c r="N58" s="138"/>
      <c r="O58" s="138"/>
      <c r="P58" s="138"/>
      <c r="Q58" s="220"/>
      <c r="R58" s="138"/>
    </row>
    <row r="59" spans="1:18" ht="11.25" customHeight="1" collapsed="1">
      <c r="A59" s="3163"/>
      <c r="B59" s="3182"/>
      <c r="C59" s="3166"/>
      <c r="D59" s="3157"/>
      <c r="E59" s="3157"/>
      <c r="F59" s="210" t="s">
        <v>117</v>
      </c>
      <c r="G59" s="138"/>
      <c r="H59" s="138"/>
      <c r="I59" s="138"/>
      <c r="J59" s="138"/>
      <c r="K59" s="138"/>
      <c r="L59" s="138"/>
      <c r="M59" s="138"/>
      <c r="N59" s="138"/>
      <c r="O59" s="138"/>
      <c r="P59" s="138"/>
      <c r="Q59" s="220"/>
      <c r="R59" s="138"/>
    </row>
    <row r="60" spans="1:18" ht="9.6" hidden="1" customHeight="1" outlineLevel="1">
      <c r="A60" s="3163"/>
      <c r="B60" s="3159" t="s">
        <v>141</v>
      </c>
      <c r="C60" s="3173"/>
      <c r="D60" s="3156" t="s">
        <v>138</v>
      </c>
      <c r="E60" s="3156"/>
      <c r="F60" s="210" t="s">
        <v>116</v>
      </c>
      <c r="G60" s="137"/>
      <c r="H60" s="137"/>
      <c r="I60" s="137"/>
      <c r="J60" s="137"/>
      <c r="K60" s="207"/>
      <c r="L60" s="137"/>
      <c r="M60" s="137"/>
      <c r="N60" s="137"/>
      <c r="O60" s="137"/>
      <c r="P60" s="137"/>
      <c r="Q60" s="206"/>
      <c r="R60" s="137"/>
    </row>
    <row r="61" spans="1:18" ht="9.6" hidden="1" customHeight="1" outlineLevel="1">
      <c r="A61" s="3163"/>
      <c r="B61" s="3160"/>
      <c r="C61" s="3173"/>
      <c r="D61" s="3157"/>
      <c r="E61" s="3157"/>
      <c r="F61" s="210" t="s">
        <v>117</v>
      </c>
      <c r="G61" s="137"/>
      <c r="H61" s="137"/>
      <c r="I61" s="137"/>
      <c r="J61" s="137"/>
      <c r="K61" s="137"/>
      <c r="L61" s="137"/>
      <c r="M61" s="137"/>
      <c r="N61" s="137"/>
      <c r="O61" s="137"/>
      <c r="P61" s="137"/>
      <c r="Q61" s="206"/>
      <c r="R61" s="137"/>
    </row>
    <row r="62" spans="1:18" ht="9.6" hidden="1" customHeight="1" outlineLevel="1">
      <c r="A62" s="3163"/>
      <c r="B62" s="3159" t="s">
        <v>142</v>
      </c>
      <c r="C62" s="3173"/>
      <c r="D62" s="3156" t="s">
        <v>133</v>
      </c>
      <c r="E62" s="3156"/>
      <c r="F62" s="210" t="s">
        <v>116</v>
      </c>
      <c r="G62" s="137"/>
      <c r="H62" s="137"/>
      <c r="I62" s="137"/>
      <c r="J62" s="137"/>
      <c r="K62" s="207"/>
      <c r="L62" s="207"/>
      <c r="M62" s="137"/>
      <c r="N62" s="137"/>
      <c r="O62" s="137"/>
      <c r="P62" s="137"/>
      <c r="Q62" s="206"/>
      <c r="R62" s="137"/>
    </row>
    <row r="63" spans="1:18" ht="9.6" hidden="1" customHeight="1" outlineLevel="1">
      <c r="A63" s="3163"/>
      <c r="B63" s="3160"/>
      <c r="C63" s="3173"/>
      <c r="D63" s="3157"/>
      <c r="E63" s="3157"/>
      <c r="F63" s="210" t="s">
        <v>117</v>
      </c>
      <c r="G63" s="137"/>
      <c r="H63" s="137"/>
      <c r="I63" s="137"/>
      <c r="J63" s="137"/>
      <c r="K63" s="137"/>
      <c r="L63" s="137"/>
      <c r="M63" s="137"/>
      <c r="N63" s="137"/>
      <c r="O63" s="137"/>
      <c r="P63" s="137"/>
      <c r="Q63" s="206"/>
      <c r="R63" s="137"/>
    </row>
    <row r="64" spans="1:18" ht="9.6" customHeight="1">
      <c r="A64" s="3163">
        <v>6</v>
      </c>
      <c r="B64" s="3151" t="s">
        <v>65</v>
      </c>
      <c r="C64" s="3161">
        <v>0</v>
      </c>
      <c r="D64" s="3156" t="s">
        <v>148</v>
      </c>
      <c r="E64" s="3156"/>
      <c r="F64" s="210" t="s">
        <v>116</v>
      </c>
      <c r="G64" s="137"/>
      <c r="H64" s="137"/>
      <c r="I64" s="207"/>
      <c r="J64" s="207"/>
      <c r="K64" s="207"/>
      <c r="L64" s="207"/>
      <c r="M64" s="207"/>
      <c r="N64" s="137"/>
      <c r="O64" s="137"/>
      <c r="P64" s="137"/>
      <c r="Q64" s="206"/>
      <c r="R64" s="137"/>
    </row>
    <row r="65" spans="1:18" ht="9.6" customHeight="1">
      <c r="A65" s="3163"/>
      <c r="B65" s="3152"/>
      <c r="C65" s="3162"/>
      <c r="D65" s="3157"/>
      <c r="E65" s="3157"/>
      <c r="F65" s="210" t="s">
        <v>117</v>
      </c>
      <c r="G65" s="137"/>
      <c r="H65" s="137"/>
      <c r="I65" s="137"/>
      <c r="J65" s="137"/>
      <c r="K65" s="137"/>
      <c r="L65" s="137"/>
      <c r="M65" s="137"/>
      <c r="N65" s="137"/>
      <c r="O65" s="137"/>
      <c r="P65" s="137"/>
      <c r="Q65" s="206"/>
      <c r="R65" s="137"/>
    </row>
    <row r="66" spans="1:18" ht="9.6" customHeight="1">
      <c r="A66" s="3156">
        <v>7</v>
      </c>
      <c r="B66" s="3151" t="s">
        <v>64</v>
      </c>
      <c r="C66" s="3167">
        <v>0.05</v>
      </c>
      <c r="D66" s="3153" t="s">
        <v>149</v>
      </c>
      <c r="E66" s="3156" t="s">
        <v>150</v>
      </c>
      <c r="F66" s="210" t="s">
        <v>116</v>
      </c>
      <c r="G66" s="137"/>
      <c r="H66" s="137"/>
      <c r="I66" s="207"/>
      <c r="J66" s="207"/>
      <c r="K66" s="207"/>
      <c r="L66" s="207"/>
      <c r="M66" s="137"/>
      <c r="N66" s="137"/>
      <c r="O66" s="137"/>
      <c r="P66" s="137"/>
      <c r="Q66" s="206"/>
      <c r="R66" s="137"/>
    </row>
    <row r="67" spans="1:18" ht="26.25" customHeight="1">
      <c r="A67" s="3157"/>
      <c r="B67" s="3152"/>
      <c r="C67" s="3168"/>
      <c r="D67" s="3155"/>
      <c r="E67" s="3157"/>
      <c r="F67" s="210" t="s">
        <v>117</v>
      </c>
      <c r="G67" s="137"/>
      <c r="H67" s="137"/>
      <c r="I67" s="137"/>
      <c r="J67" s="137"/>
      <c r="K67" s="137"/>
      <c r="L67" s="137"/>
      <c r="M67" s="137"/>
      <c r="N67" s="137"/>
      <c r="O67" s="137"/>
      <c r="P67" s="137"/>
      <c r="Q67" s="206"/>
      <c r="R67" s="137"/>
    </row>
    <row r="68" spans="1:18" ht="12" customHeight="1">
      <c r="A68" s="3153">
        <v>8</v>
      </c>
      <c r="B68" s="3151" t="s">
        <v>63</v>
      </c>
      <c r="C68" s="3165">
        <v>0.4</v>
      </c>
      <c r="D68" s="3156" t="s">
        <v>151</v>
      </c>
      <c r="E68" s="3189"/>
      <c r="F68" s="210" t="s">
        <v>116</v>
      </c>
      <c r="G68" s="138"/>
      <c r="H68" s="138"/>
      <c r="I68" s="207"/>
      <c r="J68" s="207"/>
      <c r="K68" s="207"/>
      <c r="L68" s="138"/>
      <c r="M68" s="138"/>
      <c r="N68" s="138"/>
      <c r="O68" s="138"/>
      <c r="P68" s="138"/>
      <c r="Q68" s="220"/>
      <c r="R68" s="138"/>
    </row>
    <row r="69" spans="1:18" ht="12.75" customHeight="1" collapsed="1">
      <c r="A69" s="3154"/>
      <c r="B69" s="3152"/>
      <c r="C69" s="3166"/>
      <c r="D69" s="3157"/>
      <c r="E69" s="3190"/>
      <c r="F69" s="210" t="s">
        <v>117</v>
      </c>
      <c r="G69" s="138"/>
      <c r="H69" s="138"/>
      <c r="I69" s="138"/>
      <c r="J69" s="138"/>
      <c r="K69" s="138"/>
      <c r="L69" s="138"/>
      <c r="M69" s="138"/>
      <c r="N69" s="138"/>
      <c r="O69" s="138"/>
      <c r="P69" s="138"/>
      <c r="Q69" s="220"/>
      <c r="R69" s="138"/>
    </row>
    <row r="70" spans="1:18" ht="9.6" hidden="1" customHeight="1" outlineLevel="1">
      <c r="A70" s="3154"/>
      <c r="B70" s="3158" t="s">
        <v>9</v>
      </c>
      <c r="C70" s="3164">
        <v>0.3</v>
      </c>
      <c r="D70" s="3156" t="s">
        <v>152</v>
      </c>
      <c r="E70" s="3158"/>
      <c r="F70" s="210" t="s">
        <v>116</v>
      </c>
      <c r="G70" s="137"/>
      <c r="H70" s="137"/>
      <c r="I70" s="207"/>
      <c r="J70" s="207"/>
      <c r="K70" s="207"/>
      <c r="L70" s="137"/>
      <c r="M70" s="137"/>
      <c r="N70" s="137"/>
      <c r="O70" s="137"/>
      <c r="P70" s="137"/>
      <c r="Q70" s="206"/>
      <c r="R70" s="137"/>
    </row>
    <row r="71" spans="1:18" ht="9.6" hidden="1" customHeight="1" outlineLevel="1">
      <c r="A71" s="3154"/>
      <c r="B71" s="3158"/>
      <c r="C71" s="3164"/>
      <c r="D71" s="3157"/>
      <c r="E71" s="3158"/>
      <c r="F71" s="210" t="s">
        <v>117</v>
      </c>
      <c r="G71" s="137"/>
      <c r="H71" s="137"/>
      <c r="I71" s="137"/>
      <c r="J71" s="137"/>
      <c r="K71" s="137"/>
      <c r="L71" s="137"/>
      <c r="M71" s="137"/>
      <c r="N71" s="137"/>
      <c r="O71" s="137"/>
      <c r="P71" s="137"/>
      <c r="Q71" s="206"/>
      <c r="R71" s="137"/>
    </row>
    <row r="72" spans="1:18" ht="9.6" hidden="1" customHeight="1" outlineLevel="1">
      <c r="A72" s="3154"/>
      <c r="B72" s="3158" t="s">
        <v>10</v>
      </c>
      <c r="C72" s="3164">
        <v>0.46</v>
      </c>
      <c r="D72" s="3156" t="s">
        <v>154</v>
      </c>
      <c r="E72" s="3158"/>
      <c r="F72" s="210" t="s">
        <v>116</v>
      </c>
      <c r="G72" s="137"/>
      <c r="H72" s="137"/>
      <c r="I72" s="207"/>
      <c r="J72" s="207"/>
      <c r="K72" s="207"/>
      <c r="L72" s="137"/>
      <c r="M72" s="137"/>
      <c r="N72" s="137"/>
      <c r="O72" s="137"/>
      <c r="P72" s="137"/>
      <c r="Q72" s="206"/>
      <c r="R72" s="137"/>
    </row>
    <row r="73" spans="1:18" ht="9.6" hidden="1" customHeight="1" outlineLevel="1">
      <c r="A73" s="3154"/>
      <c r="B73" s="3158"/>
      <c r="C73" s="3164"/>
      <c r="D73" s="3157"/>
      <c r="E73" s="3158"/>
      <c r="F73" s="210" t="s">
        <v>117</v>
      </c>
      <c r="G73" s="137"/>
      <c r="H73" s="137"/>
      <c r="I73" s="137"/>
      <c r="J73" s="137"/>
      <c r="K73" s="137"/>
      <c r="L73" s="137"/>
      <c r="M73" s="137"/>
      <c r="N73" s="137"/>
      <c r="O73" s="137"/>
      <c r="P73" s="137"/>
      <c r="Q73" s="206"/>
      <c r="R73" s="137"/>
    </row>
    <row r="74" spans="1:18" ht="9.6" hidden="1" customHeight="1" outlineLevel="1">
      <c r="A74" s="3154"/>
      <c r="B74" s="3159" t="s">
        <v>11</v>
      </c>
      <c r="C74" s="3164">
        <v>0.43</v>
      </c>
      <c r="D74" s="3156" t="s">
        <v>153</v>
      </c>
      <c r="E74" s="3158"/>
      <c r="F74" s="210" t="s">
        <v>116</v>
      </c>
      <c r="G74" s="137"/>
      <c r="H74" s="137"/>
      <c r="I74" s="207"/>
      <c r="J74" s="207"/>
      <c r="K74" s="207"/>
      <c r="L74" s="137"/>
      <c r="M74" s="137"/>
      <c r="N74" s="137"/>
      <c r="O74" s="137"/>
      <c r="P74" s="137"/>
      <c r="Q74" s="206"/>
      <c r="R74" s="137"/>
    </row>
    <row r="75" spans="1:18" ht="9.6" hidden="1" customHeight="1" outlineLevel="1">
      <c r="A75" s="3155"/>
      <c r="B75" s="3160"/>
      <c r="C75" s="3164"/>
      <c r="D75" s="3157"/>
      <c r="E75" s="3158"/>
      <c r="F75" s="210" t="s">
        <v>117</v>
      </c>
      <c r="G75" s="137"/>
      <c r="H75" s="137"/>
      <c r="I75" s="137"/>
      <c r="J75" s="137"/>
      <c r="K75" s="137"/>
      <c r="L75" s="137"/>
      <c r="M75" s="137"/>
      <c r="N75" s="137"/>
      <c r="O75" s="137"/>
      <c r="P75" s="137"/>
      <c r="Q75" s="206"/>
      <c r="R75" s="137"/>
    </row>
    <row r="76" spans="1:18" ht="12.75" customHeight="1">
      <c r="A76" s="3153">
        <v>9</v>
      </c>
      <c r="B76" s="3151" t="s">
        <v>62</v>
      </c>
      <c r="C76" s="3165">
        <v>0.56000000000000005</v>
      </c>
      <c r="D76" s="3156" t="s">
        <v>155</v>
      </c>
      <c r="E76" s="3156"/>
      <c r="F76" s="210" t="s">
        <v>116</v>
      </c>
      <c r="G76" s="138"/>
      <c r="H76" s="207"/>
      <c r="I76" s="207"/>
      <c r="J76" s="207"/>
      <c r="K76" s="138"/>
      <c r="L76" s="138"/>
      <c r="M76" s="138"/>
      <c r="N76" s="138"/>
      <c r="O76" s="138"/>
      <c r="P76" s="138"/>
      <c r="Q76" s="220"/>
      <c r="R76" s="138"/>
    </row>
    <row r="77" spans="1:18" ht="12.75" customHeight="1" collapsed="1">
      <c r="A77" s="3154"/>
      <c r="B77" s="3152"/>
      <c r="C77" s="3166"/>
      <c r="D77" s="3157"/>
      <c r="E77" s="3157"/>
      <c r="F77" s="210" t="s">
        <v>117</v>
      </c>
      <c r="G77" s="138"/>
      <c r="H77" s="138"/>
      <c r="I77" s="138"/>
      <c r="J77" s="138"/>
      <c r="K77" s="138"/>
      <c r="L77" s="138"/>
      <c r="M77" s="138"/>
      <c r="N77" s="138"/>
      <c r="O77" s="138"/>
      <c r="P77" s="138"/>
      <c r="Q77" s="220"/>
      <c r="R77" s="138"/>
    </row>
    <row r="78" spans="1:18" ht="9.6" hidden="1" customHeight="1" outlineLevel="1">
      <c r="A78" s="3154"/>
      <c r="B78" s="3158" t="s">
        <v>9</v>
      </c>
      <c r="C78" s="3164"/>
      <c r="D78" s="3176" t="s">
        <v>156</v>
      </c>
      <c r="E78" s="3158"/>
      <c r="F78" s="210" t="s">
        <v>116</v>
      </c>
      <c r="G78" s="137"/>
      <c r="H78" s="207"/>
      <c r="I78" s="207"/>
      <c r="J78" s="207"/>
      <c r="K78" s="137"/>
      <c r="L78" s="137"/>
      <c r="M78" s="137"/>
      <c r="N78" s="137"/>
      <c r="O78" s="137"/>
      <c r="P78" s="137"/>
      <c r="Q78" s="206"/>
      <c r="R78" s="137"/>
    </row>
    <row r="79" spans="1:18" ht="9.6" hidden="1" customHeight="1" outlineLevel="1">
      <c r="A79" s="3154"/>
      <c r="B79" s="3158"/>
      <c r="C79" s="3164"/>
      <c r="D79" s="3176"/>
      <c r="E79" s="3158"/>
      <c r="F79" s="210" t="s">
        <v>117</v>
      </c>
      <c r="G79" s="137"/>
      <c r="H79" s="137"/>
      <c r="I79" s="137"/>
      <c r="J79" s="137"/>
      <c r="K79" s="137"/>
      <c r="L79" s="137"/>
      <c r="M79" s="137"/>
      <c r="N79" s="137"/>
      <c r="O79" s="137"/>
      <c r="P79" s="137"/>
      <c r="Q79" s="206"/>
      <c r="R79" s="137"/>
    </row>
    <row r="80" spans="1:18" ht="9.6" hidden="1" customHeight="1" outlineLevel="1">
      <c r="A80" s="3154"/>
      <c r="B80" s="3158" t="s">
        <v>10</v>
      </c>
      <c r="C80" s="3164"/>
      <c r="D80" s="3176" t="s">
        <v>157</v>
      </c>
      <c r="E80" s="3158"/>
      <c r="F80" s="210" t="s">
        <v>116</v>
      </c>
      <c r="G80" s="137"/>
      <c r="H80" s="207"/>
      <c r="I80" s="207"/>
      <c r="J80" s="207"/>
      <c r="K80" s="137"/>
      <c r="L80" s="137"/>
      <c r="M80" s="137"/>
      <c r="N80" s="137"/>
      <c r="O80" s="137"/>
      <c r="P80" s="137"/>
      <c r="Q80" s="206"/>
      <c r="R80" s="137"/>
    </row>
    <row r="81" spans="1:18" ht="9.6" hidden="1" customHeight="1" outlineLevel="1">
      <c r="A81" s="3154"/>
      <c r="B81" s="3158"/>
      <c r="C81" s="3164"/>
      <c r="D81" s="3176"/>
      <c r="E81" s="3158"/>
      <c r="F81" s="210" t="s">
        <v>117</v>
      </c>
      <c r="G81" s="137"/>
      <c r="H81" s="137"/>
      <c r="I81" s="137"/>
      <c r="J81" s="137"/>
      <c r="K81" s="137"/>
      <c r="L81" s="137"/>
      <c r="M81" s="137"/>
      <c r="N81" s="137"/>
      <c r="O81" s="137"/>
      <c r="P81" s="137"/>
      <c r="Q81" s="206"/>
      <c r="R81" s="137"/>
    </row>
    <row r="82" spans="1:18" ht="9.6" hidden="1" customHeight="1" outlineLevel="1">
      <c r="A82" s="3154"/>
      <c r="B82" s="3159" t="s">
        <v>11</v>
      </c>
      <c r="C82" s="3164"/>
      <c r="D82" s="3176" t="s">
        <v>158</v>
      </c>
      <c r="E82" s="3158"/>
      <c r="F82" s="210" t="s">
        <v>116</v>
      </c>
      <c r="G82" s="137"/>
      <c r="H82" s="207"/>
      <c r="I82" s="207"/>
      <c r="J82" s="207"/>
      <c r="K82" s="137"/>
      <c r="L82" s="137"/>
      <c r="M82" s="137"/>
      <c r="N82" s="137"/>
      <c r="O82" s="137"/>
      <c r="P82" s="137"/>
      <c r="Q82" s="206"/>
      <c r="R82" s="137"/>
    </row>
    <row r="83" spans="1:18" ht="9.6" hidden="1" customHeight="1" outlineLevel="1">
      <c r="A83" s="3155"/>
      <c r="B83" s="3160"/>
      <c r="C83" s="3164"/>
      <c r="D83" s="3176"/>
      <c r="E83" s="3158"/>
      <c r="F83" s="210" t="s">
        <v>117</v>
      </c>
      <c r="G83" s="137"/>
      <c r="H83" s="137"/>
      <c r="I83" s="137"/>
      <c r="J83" s="137"/>
      <c r="K83" s="137"/>
      <c r="L83" s="137"/>
      <c r="M83" s="137"/>
      <c r="N83" s="137"/>
      <c r="O83" s="137"/>
      <c r="P83" s="137"/>
      <c r="Q83" s="206"/>
      <c r="R83" s="137"/>
    </row>
    <row r="84" spans="1:18" ht="12.75" customHeight="1">
      <c r="A84" s="3153">
        <v>10</v>
      </c>
      <c r="B84" s="3151" t="s">
        <v>161</v>
      </c>
      <c r="C84" s="3165">
        <v>0.12</v>
      </c>
      <c r="D84" s="3156" t="s">
        <v>151</v>
      </c>
      <c r="E84" s="3156"/>
      <c r="F84" s="210" t="s">
        <v>116</v>
      </c>
      <c r="G84" s="207"/>
      <c r="H84" s="207"/>
      <c r="I84" s="207"/>
      <c r="J84" s="207"/>
      <c r="K84" s="207"/>
      <c r="L84" s="207"/>
      <c r="M84" s="138"/>
      <c r="N84" s="138"/>
      <c r="O84" s="138"/>
      <c r="P84" s="138"/>
      <c r="Q84" s="220"/>
      <c r="R84" s="138"/>
    </row>
    <row r="85" spans="1:18" ht="12.75" customHeight="1" collapsed="1">
      <c r="A85" s="3154"/>
      <c r="B85" s="3152"/>
      <c r="C85" s="3166"/>
      <c r="D85" s="3157"/>
      <c r="E85" s="3157"/>
      <c r="F85" s="210" t="s">
        <v>117</v>
      </c>
      <c r="G85" s="138"/>
      <c r="H85" s="138"/>
      <c r="I85" s="138"/>
      <c r="J85" s="138"/>
      <c r="K85" s="138"/>
      <c r="L85" s="138"/>
      <c r="M85" s="138"/>
      <c r="N85" s="138"/>
      <c r="O85" s="138"/>
      <c r="P85" s="138"/>
      <c r="Q85" s="220"/>
      <c r="R85" s="138"/>
    </row>
    <row r="86" spans="1:18" ht="9.6" hidden="1" customHeight="1" outlineLevel="1">
      <c r="A86" s="3154"/>
      <c r="B86" s="3158" t="s">
        <v>9</v>
      </c>
      <c r="C86" s="3161"/>
      <c r="D86" s="3156" t="s">
        <v>152</v>
      </c>
      <c r="E86" s="3156"/>
      <c r="F86" s="210" t="s">
        <v>116</v>
      </c>
      <c r="G86" s="207"/>
      <c r="H86" s="207"/>
      <c r="I86" s="207"/>
      <c r="J86" s="207"/>
      <c r="K86" s="207"/>
      <c r="L86" s="207"/>
      <c r="M86" s="137"/>
      <c r="N86" s="137"/>
      <c r="O86" s="137"/>
      <c r="P86" s="137"/>
      <c r="Q86" s="206"/>
      <c r="R86" s="137"/>
    </row>
    <row r="87" spans="1:18" ht="9.6" hidden="1" customHeight="1" outlineLevel="1">
      <c r="A87" s="3154"/>
      <c r="B87" s="3158"/>
      <c r="C87" s="3162"/>
      <c r="D87" s="3157"/>
      <c r="E87" s="3157"/>
      <c r="F87" s="210" t="s">
        <v>117</v>
      </c>
      <c r="G87" s="137"/>
      <c r="H87" s="137"/>
      <c r="I87" s="137"/>
      <c r="J87" s="137"/>
      <c r="K87" s="137"/>
      <c r="L87" s="137"/>
      <c r="M87" s="137"/>
      <c r="N87" s="137"/>
      <c r="O87" s="137"/>
      <c r="P87" s="137"/>
      <c r="Q87" s="206"/>
      <c r="R87" s="137"/>
    </row>
    <row r="88" spans="1:18" ht="9.6" hidden="1" customHeight="1" outlineLevel="1">
      <c r="A88" s="3154"/>
      <c r="B88" s="3158" t="s">
        <v>11</v>
      </c>
      <c r="C88" s="3161"/>
      <c r="D88" s="3156" t="s">
        <v>154</v>
      </c>
      <c r="E88" s="3156"/>
      <c r="F88" s="210" t="s">
        <v>116</v>
      </c>
      <c r="G88" s="207"/>
      <c r="H88" s="207"/>
      <c r="I88" s="207"/>
      <c r="J88" s="207"/>
      <c r="K88" s="207"/>
      <c r="L88" s="137"/>
      <c r="M88" s="137"/>
      <c r="N88" s="137"/>
      <c r="O88" s="137"/>
      <c r="P88" s="137"/>
      <c r="Q88" s="206"/>
      <c r="R88" s="137"/>
    </row>
    <row r="89" spans="1:18" ht="9.6" hidden="1" customHeight="1" outlineLevel="1">
      <c r="A89" s="3154"/>
      <c r="B89" s="3158"/>
      <c r="C89" s="3162"/>
      <c r="D89" s="3157"/>
      <c r="E89" s="3157"/>
      <c r="F89" s="210" t="s">
        <v>117</v>
      </c>
      <c r="G89" s="137"/>
      <c r="H89" s="137"/>
      <c r="I89" s="137"/>
      <c r="J89" s="137"/>
      <c r="K89" s="137"/>
      <c r="L89" s="137"/>
      <c r="M89" s="137"/>
      <c r="N89" s="137"/>
      <c r="O89" s="137"/>
      <c r="P89" s="137"/>
      <c r="Q89" s="206"/>
      <c r="R89" s="137"/>
    </row>
    <row r="90" spans="1:18" ht="9.6" hidden="1" customHeight="1" outlineLevel="1">
      <c r="A90" s="3154"/>
      <c r="B90" s="3159" t="s">
        <v>159</v>
      </c>
      <c r="C90" s="3161"/>
      <c r="D90" s="3156" t="s">
        <v>160</v>
      </c>
      <c r="E90" s="3156"/>
      <c r="F90" s="210" t="s">
        <v>116</v>
      </c>
      <c r="G90" s="207"/>
      <c r="H90" s="207"/>
      <c r="I90" s="207"/>
      <c r="J90" s="207"/>
      <c r="K90" s="207"/>
      <c r="L90" s="137"/>
      <c r="M90" s="137"/>
      <c r="N90" s="137"/>
      <c r="O90" s="137"/>
      <c r="P90" s="137"/>
      <c r="Q90" s="206"/>
      <c r="R90" s="137"/>
    </row>
    <row r="91" spans="1:18" ht="9.6" hidden="1" customHeight="1" outlineLevel="1">
      <c r="A91" s="3155"/>
      <c r="B91" s="3160"/>
      <c r="C91" s="3162"/>
      <c r="D91" s="3157"/>
      <c r="E91" s="3157"/>
      <c r="F91" s="210" t="s">
        <v>117</v>
      </c>
      <c r="G91" s="137"/>
      <c r="H91" s="137"/>
      <c r="I91" s="137"/>
      <c r="J91" s="137"/>
      <c r="K91" s="137"/>
      <c r="L91" s="137"/>
      <c r="M91" s="137"/>
      <c r="N91" s="137"/>
      <c r="O91" s="137"/>
      <c r="P91" s="137"/>
      <c r="Q91" s="206"/>
      <c r="R91" s="137"/>
    </row>
    <row r="92" spans="1:18" ht="11.25" customHeight="1">
      <c r="A92" s="3149">
        <v>11</v>
      </c>
      <c r="B92" s="3151" t="s">
        <v>60</v>
      </c>
      <c r="C92" s="3165">
        <v>0.9</v>
      </c>
      <c r="D92" s="3156" t="s">
        <v>162</v>
      </c>
      <c r="E92" s="3156" t="s">
        <v>268</v>
      </c>
      <c r="F92" s="210" t="s">
        <v>116</v>
      </c>
      <c r="G92" s="207"/>
      <c r="H92" s="207"/>
      <c r="I92" s="207"/>
      <c r="J92" s="207"/>
      <c r="K92" s="138"/>
      <c r="L92" s="138"/>
      <c r="M92" s="138"/>
      <c r="N92" s="138"/>
      <c r="O92" s="138"/>
      <c r="P92" s="138"/>
      <c r="Q92" s="220"/>
      <c r="R92" s="138"/>
    </row>
    <row r="93" spans="1:18" ht="11.25" customHeight="1" collapsed="1">
      <c r="A93" s="3150"/>
      <c r="B93" s="3152"/>
      <c r="C93" s="3166"/>
      <c r="D93" s="3157"/>
      <c r="E93" s="3157"/>
      <c r="F93" s="210" t="s">
        <v>117</v>
      </c>
      <c r="G93" s="138"/>
      <c r="H93" s="138"/>
      <c r="I93" s="138"/>
      <c r="J93" s="138"/>
      <c r="K93" s="138"/>
      <c r="L93" s="138"/>
      <c r="M93" s="138"/>
      <c r="N93" s="138"/>
      <c r="O93" s="138"/>
      <c r="P93" s="138"/>
      <c r="Q93" s="220"/>
      <c r="R93" s="138"/>
    </row>
    <row r="94" spans="1:18" ht="9.6" hidden="1" customHeight="1" outlineLevel="1">
      <c r="A94" s="3150"/>
      <c r="B94" s="3146" t="s">
        <v>163</v>
      </c>
      <c r="C94" s="3145">
        <v>1</v>
      </c>
      <c r="D94" s="3143" t="s">
        <v>164</v>
      </c>
      <c r="E94" s="3144"/>
      <c r="F94" s="210" t="s">
        <v>116</v>
      </c>
      <c r="G94" s="207"/>
      <c r="H94" s="207"/>
      <c r="I94" s="138"/>
      <c r="J94" s="137"/>
      <c r="K94" s="137"/>
      <c r="L94" s="137"/>
      <c r="M94" s="137"/>
      <c r="N94" s="137"/>
      <c r="O94" s="137"/>
      <c r="P94" s="137"/>
      <c r="Q94" s="206"/>
      <c r="R94" s="137"/>
    </row>
    <row r="95" spans="1:18" ht="12" hidden="1" customHeight="1" outlineLevel="1">
      <c r="A95" s="3150"/>
      <c r="B95" s="3146"/>
      <c r="C95" s="3145"/>
      <c r="D95" s="3143"/>
      <c r="E95" s="3144"/>
      <c r="F95" s="210" t="s">
        <v>117</v>
      </c>
      <c r="G95" s="137"/>
      <c r="H95" s="208"/>
      <c r="I95" s="137"/>
      <c r="J95" s="137"/>
      <c r="K95" s="137"/>
      <c r="L95" s="137"/>
      <c r="M95" s="137"/>
      <c r="N95" s="137"/>
      <c r="O95" s="137"/>
      <c r="P95" s="137"/>
      <c r="Q95" s="206"/>
      <c r="R95" s="137"/>
    </row>
    <row r="96" spans="1:18" ht="9.6" hidden="1" customHeight="1" outlineLevel="1">
      <c r="A96" s="3150"/>
      <c r="B96" s="3146" t="s">
        <v>165</v>
      </c>
      <c r="C96" s="3145">
        <v>1</v>
      </c>
      <c r="D96" s="3143" t="s">
        <v>166</v>
      </c>
      <c r="E96" s="3144"/>
      <c r="F96" s="210" t="s">
        <v>116</v>
      </c>
      <c r="G96" s="207"/>
      <c r="H96" s="207"/>
      <c r="I96" s="138"/>
      <c r="J96" s="137"/>
      <c r="K96" s="137"/>
      <c r="L96" s="137"/>
      <c r="M96" s="137"/>
      <c r="N96" s="137"/>
      <c r="O96" s="137"/>
      <c r="P96" s="137"/>
      <c r="Q96" s="206"/>
      <c r="R96" s="137"/>
    </row>
    <row r="97" spans="1:18" ht="9.6" hidden="1" customHeight="1" outlineLevel="1">
      <c r="A97" s="3150"/>
      <c r="B97" s="3146"/>
      <c r="C97" s="3145"/>
      <c r="D97" s="3143"/>
      <c r="E97" s="3144"/>
      <c r="F97" s="210" t="s">
        <v>117</v>
      </c>
      <c r="G97" s="137"/>
      <c r="H97" s="208"/>
      <c r="I97" s="137"/>
      <c r="J97" s="137"/>
      <c r="K97" s="137"/>
      <c r="L97" s="137"/>
      <c r="M97" s="137"/>
      <c r="N97" s="137"/>
      <c r="O97" s="137"/>
      <c r="P97" s="137"/>
      <c r="Q97" s="206"/>
      <c r="R97" s="137"/>
    </row>
    <row r="98" spans="1:18" ht="9.6" hidden="1" customHeight="1" outlineLevel="1">
      <c r="A98" s="3150"/>
      <c r="B98" s="3146" t="s">
        <v>167</v>
      </c>
      <c r="C98" s="3145"/>
      <c r="D98" s="3143" t="s">
        <v>168</v>
      </c>
      <c r="E98" s="3144" t="s">
        <v>243</v>
      </c>
      <c r="F98" s="210" t="s">
        <v>116</v>
      </c>
      <c r="G98" s="137"/>
      <c r="H98" s="207"/>
      <c r="I98" s="137"/>
      <c r="J98" s="137"/>
      <c r="K98" s="137"/>
      <c r="L98" s="137"/>
      <c r="M98" s="137"/>
      <c r="N98" s="137"/>
      <c r="O98" s="137"/>
      <c r="P98" s="137"/>
      <c r="Q98" s="206"/>
      <c r="R98" s="137"/>
    </row>
    <row r="99" spans="1:18" ht="9.6" hidden="1" customHeight="1" outlineLevel="1">
      <c r="A99" s="3150"/>
      <c r="B99" s="3146"/>
      <c r="C99" s="3145"/>
      <c r="D99" s="3143"/>
      <c r="E99" s="3144"/>
      <c r="F99" s="210" t="s">
        <v>117</v>
      </c>
      <c r="G99" s="137"/>
      <c r="H99" s="137"/>
      <c r="I99" s="137"/>
      <c r="J99" s="137"/>
      <c r="K99" s="137"/>
      <c r="L99" s="137"/>
      <c r="M99" s="137"/>
      <c r="N99" s="137"/>
      <c r="O99" s="137"/>
      <c r="P99" s="137"/>
      <c r="Q99" s="206"/>
      <c r="R99" s="137"/>
    </row>
    <row r="100" spans="1:18" ht="9.6" hidden="1" customHeight="1" outlineLevel="1">
      <c r="A100" s="3150"/>
      <c r="B100" s="3146" t="s">
        <v>169</v>
      </c>
      <c r="C100" s="3145">
        <v>1</v>
      </c>
      <c r="D100" s="3143" t="s">
        <v>170</v>
      </c>
      <c r="E100" s="3144" t="s">
        <v>203</v>
      </c>
      <c r="F100" s="210" t="s">
        <v>116</v>
      </c>
      <c r="G100" s="137"/>
      <c r="H100" s="207"/>
      <c r="I100" s="137"/>
      <c r="J100" s="137"/>
      <c r="K100" s="137"/>
      <c r="L100" s="137"/>
      <c r="M100" s="137"/>
      <c r="N100" s="137"/>
      <c r="O100" s="137"/>
      <c r="P100" s="137"/>
      <c r="Q100" s="206"/>
      <c r="R100" s="137"/>
    </row>
    <row r="101" spans="1:18" ht="9.6" hidden="1" customHeight="1" outlineLevel="1">
      <c r="A101" s="3150"/>
      <c r="B101" s="3146"/>
      <c r="C101" s="3145"/>
      <c r="D101" s="3143"/>
      <c r="E101" s="3144"/>
      <c r="F101" s="210" t="s">
        <v>117</v>
      </c>
      <c r="G101" s="137"/>
      <c r="H101" s="137"/>
      <c r="I101" s="137"/>
      <c r="J101" s="137"/>
      <c r="K101" s="137"/>
      <c r="L101" s="137"/>
      <c r="M101" s="137"/>
      <c r="N101" s="137"/>
      <c r="O101" s="137"/>
      <c r="P101" s="137"/>
      <c r="Q101" s="206"/>
      <c r="R101" s="137"/>
    </row>
    <row r="102" spans="1:18" ht="9.6" hidden="1" customHeight="1" outlineLevel="1">
      <c r="A102" s="3150"/>
      <c r="B102" s="3146" t="s">
        <v>171</v>
      </c>
      <c r="C102" s="3145">
        <v>1</v>
      </c>
      <c r="D102" s="3143" t="s">
        <v>172</v>
      </c>
      <c r="E102" s="3144" t="s">
        <v>204</v>
      </c>
      <c r="F102" s="210" t="s">
        <v>116</v>
      </c>
      <c r="G102" s="138"/>
      <c r="H102" s="207"/>
      <c r="I102" s="138"/>
      <c r="J102" s="138"/>
      <c r="K102" s="137"/>
      <c r="L102" s="137"/>
      <c r="M102" s="137"/>
      <c r="N102" s="137"/>
      <c r="O102" s="137"/>
      <c r="P102" s="137"/>
      <c r="Q102" s="206"/>
      <c r="R102" s="137"/>
    </row>
    <row r="103" spans="1:18" ht="9.6" hidden="1" customHeight="1" outlineLevel="1">
      <c r="A103" s="3150"/>
      <c r="B103" s="3146"/>
      <c r="C103" s="3145"/>
      <c r="D103" s="3143"/>
      <c r="E103" s="3144"/>
      <c r="F103" s="210" t="s">
        <v>117</v>
      </c>
      <c r="G103" s="137"/>
      <c r="H103" s="208"/>
      <c r="I103" s="137"/>
      <c r="J103" s="137"/>
      <c r="K103" s="137"/>
      <c r="L103" s="137"/>
      <c r="M103" s="137"/>
      <c r="N103" s="137"/>
      <c r="O103" s="137"/>
      <c r="P103" s="137"/>
      <c r="Q103" s="206"/>
      <c r="R103" s="137"/>
    </row>
    <row r="104" spans="1:18" ht="9.6" hidden="1" customHeight="1" outlineLevel="1">
      <c r="A104" s="3150"/>
      <c r="B104" s="3146" t="s">
        <v>173</v>
      </c>
      <c r="C104" s="3145"/>
      <c r="D104" s="3143" t="s">
        <v>174</v>
      </c>
      <c r="E104" s="3144"/>
      <c r="F104" s="210" t="s">
        <v>116</v>
      </c>
      <c r="G104" s="207"/>
      <c r="H104" s="207"/>
      <c r="I104" s="207"/>
      <c r="J104" s="137"/>
      <c r="K104" s="137"/>
      <c r="L104" s="137"/>
      <c r="M104" s="137"/>
      <c r="N104" s="137"/>
      <c r="O104" s="137"/>
      <c r="P104" s="137"/>
      <c r="Q104" s="206"/>
      <c r="R104" s="137"/>
    </row>
    <row r="105" spans="1:18" ht="17.25" hidden="1" customHeight="1" outlineLevel="1">
      <c r="A105" s="3150"/>
      <c r="B105" s="3146"/>
      <c r="C105" s="3145"/>
      <c r="D105" s="3143"/>
      <c r="E105" s="3144"/>
      <c r="F105" s="210" t="s">
        <v>117</v>
      </c>
      <c r="G105" s="137"/>
      <c r="H105" s="137"/>
      <c r="I105" s="137"/>
      <c r="J105" s="137"/>
      <c r="K105" s="137"/>
      <c r="L105" s="137"/>
      <c r="M105" s="137"/>
      <c r="N105" s="137"/>
      <c r="O105" s="137"/>
      <c r="P105" s="137"/>
      <c r="Q105" s="206"/>
      <c r="R105" s="137"/>
    </row>
    <row r="106" spans="1:18" ht="9.6" hidden="1" customHeight="1" outlineLevel="1">
      <c r="A106" s="3150"/>
      <c r="B106" s="3146" t="s">
        <v>175</v>
      </c>
      <c r="C106" s="3145">
        <v>0.5</v>
      </c>
      <c r="D106" s="3143" t="s">
        <v>176</v>
      </c>
      <c r="E106" s="3144"/>
      <c r="F106" s="210" t="s">
        <v>116</v>
      </c>
      <c r="G106" s="137"/>
      <c r="H106" s="207"/>
      <c r="I106" s="207"/>
      <c r="J106" s="137"/>
      <c r="K106" s="137"/>
      <c r="L106" s="137"/>
      <c r="M106" s="137"/>
      <c r="N106" s="137"/>
      <c r="O106" s="137"/>
      <c r="P106" s="137"/>
      <c r="Q106" s="206"/>
      <c r="R106" s="137"/>
    </row>
    <row r="107" spans="1:18" ht="15.75" hidden="1" customHeight="1" outlineLevel="1">
      <c r="A107" s="3150"/>
      <c r="B107" s="3146"/>
      <c r="C107" s="3145"/>
      <c r="D107" s="3143"/>
      <c r="E107" s="3144"/>
      <c r="F107" s="210" t="s">
        <v>117</v>
      </c>
      <c r="G107" s="137"/>
      <c r="H107" s="208"/>
      <c r="I107" s="137"/>
      <c r="J107" s="137"/>
      <c r="K107" s="137"/>
      <c r="L107" s="137"/>
      <c r="M107" s="137"/>
      <c r="N107" s="137"/>
      <c r="O107" s="137"/>
      <c r="P107" s="137"/>
      <c r="Q107" s="206"/>
      <c r="R107" s="137"/>
    </row>
    <row r="108" spans="1:18" ht="15.75" hidden="1" customHeight="1" outlineLevel="1">
      <c r="A108" s="3150"/>
      <c r="B108" s="3146" t="s">
        <v>177</v>
      </c>
      <c r="C108" s="3145">
        <v>1</v>
      </c>
      <c r="D108" s="3143" t="s">
        <v>178</v>
      </c>
      <c r="E108" s="3144"/>
      <c r="F108" s="210" t="s">
        <v>116</v>
      </c>
      <c r="G108" s="207"/>
      <c r="H108" s="207"/>
      <c r="I108" s="137"/>
      <c r="J108" s="137"/>
      <c r="K108" s="137"/>
      <c r="L108" s="137"/>
      <c r="M108" s="137"/>
      <c r="N108" s="137"/>
      <c r="O108" s="137"/>
      <c r="P108" s="137"/>
      <c r="Q108" s="206"/>
      <c r="R108" s="137"/>
    </row>
    <row r="109" spans="1:18" ht="14.25" hidden="1" customHeight="1" outlineLevel="1">
      <c r="A109" s="3150"/>
      <c r="B109" s="3146"/>
      <c r="C109" s="3145"/>
      <c r="D109" s="3143"/>
      <c r="E109" s="3144"/>
      <c r="F109" s="210" t="s">
        <v>117</v>
      </c>
      <c r="G109" s="137"/>
      <c r="H109" s="208"/>
      <c r="I109" s="137"/>
      <c r="J109" s="137"/>
      <c r="K109" s="137"/>
      <c r="L109" s="137"/>
      <c r="M109" s="137"/>
      <c r="N109" s="137"/>
      <c r="O109" s="137"/>
      <c r="P109" s="137"/>
      <c r="Q109" s="206"/>
      <c r="R109" s="137"/>
    </row>
    <row r="110" spans="1:18" ht="9.6" hidden="1" customHeight="1" outlineLevel="1">
      <c r="A110" s="3150"/>
      <c r="B110" s="3146" t="s">
        <v>179</v>
      </c>
      <c r="C110" s="3145">
        <v>1</v>
      </c>
      <c r="D110" s="3143" t="s">
        <v>180</v>
      </c>
      <c r="E110" s="3144"/>
      <c r="F110" s="210" t="s">
        <v>116</v>
      </c>
      <c r="G110" s="137"/>
      <c r="H110" s="207"/>
      <c r="I110" s="137"/>
      <c r="J110" s="137"/>
      <c r="K110" s="137"/>
      <c r="L110" s="137"/>
      <c r="M110" s="137"/>
      <c r="N110" s="137"/>
      <c r="O110" s="137"/>
      <c r="P110" s="137"/>
      <c r="Q110" s="206"/>
      <c r="R110" s="137"/>
    </row>
    <row r="111" spans="1:18" ht="12.75" hidden="1" customHeight="1" outlineLevel="1">
      <c r="A111" s="3150"/>
      <c r="B111" s="3146"/>
      <c r="C111" s="3145"/>
      <c r="D111" s="3143"/>
      <c r="E111" s="3144"/>
      <c r="F111" s="210" t="s">
        <v>117</v>
      </c>
      <c r="G111" s="137"/>
      <c r="H111" s="208"/>
      <c r="I111" s="137"/>
      <c r="J111" s="137"/>
      <c r="K111" s="137"/>
      <c r="L111" s="137"/>
      <c r="M111" s="137"/>
      <c r="N111" s="137"/>
      <c r="O111" s="137"/>
      <c r="P111" s="137"/>
      <c r="Q111" s="206"/>
      <c r="R111" s="137"/>
    </row>
    <row r="112" spans="1:18" ht="9.6" hidden="1" customHeight="1" outlineLevel="1">
      <c r="A112" s="3150"/>
      <c r="B112" s="3146" t="s">
        <v>181</v>
      </c>
      <c r="C112" s="3145">
        <v>0.85</v>
      </c>
      <c r="D112" s="3143" t="s">
        <v>182</v>
      </c>
      <c r="E112" s="3144" t="s">
        <v>244</v>
      </c>
      <c r="F112" s="210" t="s">
        <v>116</v>
      </c>
      <c r="G112" s="207"/>
      <c r="H112" s="207"/>
      <c r="I112" s="207"/>
      <c r="J112" s="137"/>
      <c r="K112" s="137"/>
      <c r="L112" s="137"/>
      <c r="M112" s="137"/>
      <c r="N112" s="137"/>
      <c r="O112" s="137"/>
      <c r="P112" s="137"/>
      <c r="Q112" s="206"/>
      <c r="R112" s="137"/>
    </row>
    <row r="113" spans="1:18" ht="9.6" hidden="1" customHeight="1" outlineLevel="1">
      <c r="A113" s="3150"/>
      <c r="B113" s="3146"/>
      <c r="C113" s="3145"/>
      <c r="D113" s="3143"/>
      <c r="E113" s="3144"/>
      <c r="F113" s="210" t="s">
        <v>117</v>
      </c>
      <c r="G113" s="137"/>
      <c r="H113" s="137"/>
      <c r="I113" s="137"/>
      <c r="J113" s="137"/>
      <c r="K113" s="137"/>
      <c r="L113" s="137"/>
      <c r="M113" s="137"/>
      <c r="N113" s="137"/>
      <c r="O113" s="137"/>
      <c r="P113" s="137"/>
      <c r="Q113" s="206"/>
      <c r="R113" s="137"/>
    </row>
    <row r="114" spans="1:18" ht="9.6" hidden="1" customHeight="1" outlineLevel="1">
      <c r="A114" s="3150"/>
      <c r="B114" s="3146" t="s">
        <v>183</v>
      </c>
      <c r="C114" s="3145">
        <v>1</v>
      </c>
      <c r="D114" s="3143" t="s">
        <v>184</v>
      </c>
      <c r="E114" s="3144" t="s">
        <v>199</v>
      </c>
      <c r="F114" s="210" t="s">
        <v>116</v>
      </c>
      <c r="G114" s="138"/>
      <c r="H114" s="207"/>
      <c r="I114" s="138"/>
      <c r="J114" s="137"/>
      <c r="K114" s="137"/>
      <c r="L114" s="137"/>
      <c r="M114" s="137"/>
      <c r="N114" s="137"/>
      <c r="O114" s="137"/>
      <c r="P114" s="137"/>
      <c r="Q114" s="206"/>
      <c r="R114" s="137"/>
    </row>
    <row r="115" spans="1:18" ht="9.6" hidden="1" customHeight="1" outlineLevel="1">
      <c r="A115" s="3150"/>
      <c r="B115" s="3146"/>
      <c r="C115" s="3145"/>
      <c r="D115" s="3143"/>
      <c r="E115" s="3144"/>
      <c r="F115" s="210" t="s">
        <v>117</v>
      </c>
      <c r="G115" s="137"/>
      <c r="H115" s="208"/>
      <c r="I115" s="137"/>
      <c r="J115" s="137"/>
      <c r="K115" s="137"/>
      <c r="L115" s="137"/>
      <c r="M115" s="137"/>
      <c r="N115" s="137"/>
      <c r="O115" s="137"/>
      <c r="P115" s="137"/>
      <c r="Q115" s="206"/>
      <c r="R115" s="137"/>
    </row>
    <row r="116" spans="1:18" ht="9.6" hidden="1" customHeight="1" outlineLevel="1">
      <c r="A116" s="3150"/>
      <c r="B116" s="3146" t="s">
        <v>185</v>
      </c>
      <c r="C116" s="3145">
        <v>1</v>
      </c>
      <c r="D116" s="3143" t="s">
        <v>186</v>
      </c>
      <c r="E116" s="3144"/>
      <c r="F116" s="210" t="s">
        <v>116</v>
      </c>
      <c r="G116" s="137"/>
      <c r="H116" s="207"/>
      <c r="I116" s="137"/>
      <c r="J116" s="137"/>
      <c r="K116" s="137"/>
      <c r="L116" s="137"/>
      <c r="M116" s="137"/>
      <c r="N116" s="137"/>
      <c r="O116" s="137"/>
      <c r="P116" s="137"/>
      <c r="Q116" s="206"/>
      <c r="R116" s="137"/>
    </row>
    <row r="117" spans="1:18" ht="9.6" hidden="1" customHeight="1" outlineLevel="1">
      <c r="A117" s="3150"/>
      <c r="B117" s="3146"/>
      <c r="C117" s="3145"/>
      <c r="D117" s="3143"/>
      <c r="E117" s="3144"/>
      <c r="F117" s="210" t="s">
        <v>117</v>
      </c>
      <c r="G117" s="137"/>
      <c r="H117" s="208"/>
      <c r="I117" s="137"/>
      <c r="J117" s="137"/>
      <c r="K117" s="137"/>
      <c r="L117" s="137"/>
      <c r="M117" s="137"/>
      <c r="N117" s="137"/>
      <c r="O117" s="137"/>
      <c r="P117" s="137"/>
      <c r="Q117" s="206"/>
      <c r="R117" s="137"/>
    </row>
    <row r="118" spans="1:18" ht="9.6" hidden="1" customHeight="1" outlineLevel="1">
      <c r="A118" s="3150"/>
      <c r="B118" s="3146" t="s">
        <v>187</v>
      </c>
      <c r="C118" s="3145">
        <v>1</v>
      </c>
      <c r="D118" s="3143" t="s">
        <v>188</v>
      </c>
      <c r="E118" s="3147" t="s">
        <v>202</v>
      </c>
      <c r="F118" s="210" t="s">
        <v>116</v>
      </c>
      <c r="G118" s="137"/>
      <c r="H118" s="207"/>
      <c r="I118" s="137"/>
      <c r="J118" s="137"/>
      <c r="K118" s="137"/>
      <c r="L118" s="137"/>
      <c r="M118" s="137"/>
      <c r="N118" s="137"/>
      <c r="O118" s="137"/>
      <c r="P118" s="137"/>
      <c r="Q118" s="206"/>
      <c r="R118" s="137"/>
    </row>
    <row r="119" spans="1:18" ht="12.75" hidden="1" customHeight="1" outlineLevel="1">
      <c r="A119" s="3150"/>
      <c r="B119" s="3146"/>
      <c r="C119" s="3145"/>
      <c r="D119" s="3143"/>
      <c r="E119" s="3148"/>
      <c r="F119" s="210" t="s">
        <v>117</v>
      </c>
      <c r="G119" s="137"/>
      <c r="H119" s="208"/>
      <c r="I119" s="137"/>
      <c r="J119" s="137"/>
      <c r="K119" s="137"/>
      <c r="L119" s="137"/>
      <c r="M119" s="137"/>
      <c r="N119" s="137"/>
      <c r="O119" s="137"/>
      <c r="P119" s="137"/>
      <c r="Q119" s="206"/>
      <c r="R119" s="137"/>
    </row>
    <row r="120" spans="1:18" ht="9.6" hidden="1" customHeight="1" outlineLevel="1">
      <c r="A120" s="3150"/>
      <c r="B120" s="3146" t="s">
        <v>201</v>
      </c>
      <c r="C120" s="3145">
        <v>0.5</v>
      </c>
      <c r="D120" s="3143" t="s">
        <v>189</v>
      </c>
      <c r="E120" s="3144" t="s">
        <v>200</v>
      </c>
      <c r="F120" s="210" t="s">
        <v>116</v>
      </c>
      <c r="G120" s="137"/>
      <c r="H120" s="207"/>
      <c r="I120" s="207"/>
      <c r="J120" s="137"/>
      <c r="K120" s="137"/>
      <c r="L120" s="137"/>
      <c r="M120" s="137"/>
      <c r="N120" s="137"/>
      <c r="O120" s="137"/>
      <c r="P120" s="137"/>
      <c r="Q120" s="206"/>
      <c r="R120" s="137"/>
    </row>
    <row r="121" spans="1:18" ht="9.6" hidden="1" customHeight="1" outlineLevel="1">
      <c r="A121" s="3150"/>
      <c r="B121" s="3146"/>
      <c r="C121" s="3145"/>
      <c r="D121" s="3143"/>
      <c r="E121" s="3144"/>
      <c r="F121" s="210" t="s">
        <v>117</v>
      </c>
      <c r="G121" s="137"/>
      <c r="H121" s="208"/>
      <c r="I121" s="137"/>
      <c r="J121" s="137"/>
      <c r="K121" s="137"/>
      <c r="L121" s="137"/>
      <c r="M121" s="137"/>
      <c r="N121" s="137"/>
      <c r="O121" s="137"/>
      <c r="P121" s="137"/>
      <c r="Q121" s="206"/>
      <c r="R121" s="137"/>
    </row>
    <row r="122" spans="1:18" ht="9.6" hidden="1" customHeight="1" outlineLevel="1">
      <c r="A122" s="3150"/>
      <c r="B122" s="3146" t="s">
        <v>190</v>
      </c>
      <c r="C122" s="3145">
        <v>1</v>
      </c>
      <c r="D122" s="3143" t="s">
        <v>191</v>
      </c>
      <c r="E122" s="3144"/>
      <c r="F122" s="210" t="s">
        <v>116</v>
      </c>
      <c r="G122" s="137"/>
      <c r="H122" s="137"/>
      <c r="I122" s="207"/>
      <c r="J122" s="137"/>
      <c r="K122" s="137"/>
      <c r="L122" s="137"/>
      <c r="M122" s="137"/>
      <c r="N122" s="137"/>
      <c r="O122" s="137"/>
      <c r="P122" s="137"/>
      <c r="Q122" s="206"/>
      <c r="R122" s="137"/>
    </row>
    <row r="123" spans="1:18" ht="12" hidden="1" customHeight="1" outlineLevel="1">
      <c r="A123" s="3150"/>
      <c r="B123" s="3146"/>
      <c r="C123" s="3145"/>
      <c r="D123" s="3143"/>
      <c r="E123" s="3144"/>
      <c r="F123" s="210" t="s">
        <v>117</v>
      </c>
      <c r="G123" s="137"/>
      <c r="H123" s="137"/>
      <c r="I123" s="137"/>
      <c r="J123" s="208"/>
      <c r="K123" s="137"/>
      <c r="L123" s="137"/>
      <c r="M123" s="137"/>
      <c r="N123" s="137"/>
      <c r="O123" s="137"/>
      <c r="P123" s="137"/>
      <c r="Q123" s="206"/>
      <c r="R123" s="137"/>
    </row>
    <row r="124" spans="1:18" ht="9.6" hidden="1" customHeight="1" outlineLevel="1">
      <c r="A124" s="3150"/>
      <c r="B124" s="3146" t="s">
        <v>192</v>
      </c>
      <c r="C124" s="3145">
        <v>1</v>
      </c>
      <c r="D124" s="3143" t="s">
        <v>191</v>
      </c>
      <c r="E124" s="3144"/>
      <c r="F124" s="210" t="s">
        <v>116</v>
      </c>
      <c r="G124" s="137"/>
      <c r="H124" s="137"/>
      <c r="I124" s="207"/>
      <c r="J124" s="137"/>
      <c r="K124" s="137"/>
      <c r="L124" s="137"/>
      <c r="M124" s="137"/>
      <c r="N124" s="137"/>
      <c r="O124" s="137"/>
      <c r="P124" s="137"/>
      <c r="Q124" s="206"/>
      <c r="R124" s="137"/>
    </row>
    <row r="125" spans="1:18" ht="16.5" hidden="1" customHeight="1" outlineLevel="1">
      <c r="A125" s="3150"/>
      <c r="B125" s="3146"/>
      <c r="C125" s="3145"/>
      <c r="D125" s="3143"/>
      <c r="E125" s="3144"/>
      <c r="F125" s="210" t="s">
        <v>117</v>
      </c>
      <c r="G125" s="137"/>
      <c r="H125" s="137"/>
      <c r="I125" s="137"/>
      <c r="J125" s="208"/>
      <c r="K125" s="137"/>
      <c r="L125" s="137"/>
      <c r="M125" s="137"/>
      <c r="N125" s="137"/>
      <c r="O125" s="137"/>
      <c r="P125" s="137"/>
      <c r="Q125" s="206"/>
      <c r="R125" s="137"/>
    </row>
    <row r="126" spans="1:18" ht="9.6" hidden="1" customHeight="1" outlineLevel="1">
      <c r="A126" s="3150"/>
      <c r="B126" s="3146" t="s">
        <v>193</v>
      </c>
      <c r="C126" s="3145">
        <v>1</v>
      </c>
      <c r="D126" s="3143" t="s">
        <v>170</v>
      </c>
      <c r="E126" s="3144"/>
      <c r="F126" s="210" t="s">
        <v>116</v>
      </c>
      <c r="G126" s="137"/>
      <c r="H126" s="207"/>
      <c r="I126" s="137"/>
      <c r="J126" s="137"/>
      <c r="K126" s="137"/>
      <c r="L126" s="137"/>
      <c r="M126" s="137"/>
      <c r="N126" s="137"/>
      <c r="O126" s="137"/>
      <c r="P126" s="137"/>
      <c r="Q126" s="206"/>
      <c r="R126" s="137"/>
    </row>
    <row r="127" spans="1:18" ht="9.6" hidden="1" customHeight="1" outlineLevel="1">
      <c r="A127" s="3150"/>
      <c r="B127" s="3146"/>
      <c r="C127" s="3145"/>
      <c r="D127" s="3143"/>
      <c r="E127" s="3144"/>
      <c r="F127" s="210" t="s">
        <v>117</v>
      </c>
      <c r="G127" s="137"/>
      <c r="H127" s="208"/>
      <c r="I127" s="137"/>
      <c r="J127" s="137"/>
      <c r="K127" s="137"/>
      <c r="L127" s="137"/>
      <c r="M127" s="137"/>
      <c r="N127" s="137"/>
      <c r="O127" s="137"/>
      <c r="P127" s="137"/>
      <c r="Q127" s="206"/>
      <c r="R127" s="137"/>
    </row>
    <row r="128" spans="1:18" ht="9.6" hidden="1" customHeight="1" outlineLevel="1">
      <c r="A128" s="3150"/>
      <c r="B128" s="3146" t="s">
        <v>194</v>
      </c>
      <c r="C128" s="3145">
        <v>1</v>
      </c>
      <c r="D128" s="3143" t="s">
        <v>195</v>
      </c>
      <c r="E128" s="3144"/>
      <c r="F128" s="210" t="s">
        <v>116</v>
      </c>
      <c r="G128" s="137"/>
      <c r="H128" s="207"/>
      <c r="I128" s="137"/>
      <c r="J128" s="137"/>
      <c r="K128" s="137"/>
      <c r="L128" s="137"/>
      <c r="M128" s="137"/>
      <c r="N128" s="137"/>
      <c r="O128" s="137"/>
      <c r="P128" s="137"/>
      <c r="Q128" s="206"/>
      <c r="R128" s="137"/>
    </row>
    <row r="129" spans="1:19" ht="15" hidden="1" customHeight="1" outlineLevel="1">
      <c r="A129" s="3150"/>
      <c r="B129" s="3146"/>
      <c r="C129" s="3145"/>
      <c r="D129" s="3143"/>
      <c r="E129" s="3144"/>
      <c r="F129" s="210" t="s">
        <v>117</v>
      </c>
      <c r="G129" s="137"/>
      <c r="H129" s="208"/>
      <c r="I129" s="137"/>
      <c r="J129" s="137"/>
      <c r="K129" s="137"/>
      <c r="L129" s="137"/>
      <c r="M129" s="137"/>
      <c r="N129" s="137"/>
      <c r="O129" s="137"/>
      <c r="P129" s="137"/>
      <c r="Q129" s="206"/>
      <c r="R129" s="137"/>
    </row>
    <row r="130" spans="1:19" ht="9.6" hidden="1" customHeight="1" outlineLevel="1">
      <c r="A130" s="3150"/>
      <c r="B130" s="3146" t="s">
        <v>196</v>
      </c>
      <c r="C130" s="3145">
        <v>1</v>
      </c>
      <c r="D130" s="3143" t="s">
        <v>186</v>
      </c>
      <c r="E130" s="3144"/>
      <c r="F130" s="210" t="s">
        <v>116</v>
      </c>
      <c r="G130" s="137"/>
      <c r="H130" s="207"/>
      <c r="I130" s="137"/>
      <c r="J130" s="137"/>
      <c r="K130" s="137"/>
      <c r="L130" s="137"/>
      <c r="M130" s="137"/>
      <c r="N130" s="137"/>
      <c r="O130" s="137"/>
      <c r="P130" s="137"/>
      <c r="Q130" s="206"/>
      <c r="R130" s="137"/>
    </row>
    <row r="131" spans="1:19" ht="9.6" hidden="1" customHeight="1" outlineLevel="1">
      <c r="A131" s="3150"/>
      <c r="B131" s="3146"/>
      <c r="C131" s="3145"/>
      <c r="D131" s="3143"/>
      <c r="E131" s="3144"/>
      <c r="F131" s="210" t="s">
        <v>117</v>
      </c>
      <c r="G131" s="137"/>
      <c r="H131" s="208"/>
      <c r="I131" s="137"/>
      <c r="J131" s="137"/>
      <c r="K131" s="137"/>
      <c r="L131" s="137"/>
      <c r="M131" s="137"/>
      <c r="N131" s="137"/>
      <c r="O131" s="137"/>
      <c r="P131" s="137"/>
      <c r="Q131" s="206"/>
      <c r="R131" s="137"/>
    </row>
    <row r="132" spans="1:19" ht="9.6" hidden="1" customHeight="1" outlineLevel="1">
      <c r="A132" s="3150"/>
      <c r="B132" s="3146" t="s">
        <v>197</v>
      </c>
      <c r="C132" s="3145">
        <v>1</v>
      </c>
      <c r="D132" s="3143" t="s">
        <v>186</v>
      </c>
      <c r="E132" s="3144"/>
      <c r="F132" s="210" t="s">
        <v>116</v>
      </c>
      <c r="G132" s="137"/>
      <c r="H132" s="207"/>
      <c r="I132" s="137"/>
      <c r="J132" s="137"/>
      <c r="K132" s="137"/>
      <c r="L132" s="137"/>
      <c r="M132" s="137"/>
      <c r="N132" s="137"/>
      <c r="O132" s="137"/>
      <c r="P132" s="137"/>
      <c r="Q132" s="206"/>
      <c r="R132" s="137"/>
    </row>
    <row r="133" spans="1:19" ht="12.75" hidden="1" customHeight="1" outlineLevel="1">
      <c r="A133" s="3150"/>
      <c r="B133" s="3146"/>
      <c r="C133" s="3145"/>
      <c r="D133" s="3143"/>
      <c r="E133" s="3144"/>
      <c r="F133" s="210" t="s">
        <v>117</v>
      </c>
      <c r="G133" s="137"/>
      <c r="H133" s="208"/>
      <c r="I133" s="137"/>
      <c r="J133" s="137"/>
      <c r="K133" s="137"/>
      <c r="L133" s="137"/>
      <c r="M133" s="137"/>
      <c r="N133" s="137"/>
      <c r="O133" s="137"/>
      <c r="P133" s="137"/>
      <c r="Q133" s="206"/>
      <c r="R133" s="137"/>
    </row>
    <row r="134" spans="1:19" ht="9.6" hidden="1" customHeight="1" outlineLevel="1">
      <c r="A134" s="3150"/>
      <c r="B134" s="3146" t="s">
        <v>198</v>
      </c>
      <c r="C134" s="3145">
        <v>1</v>
      </c>
      <c r="D134" s="3143" t="s">
        <v>184</v>
      </c>
      <c r="E134" s="3144"/>
      <c r="F134" s="210" t="s">
        <v>116</v>
      </c>
      <c r="G134" s="137"/>
      <c r="H134" s="207"/>
      <c r="I134" s="137"/>
      <c r="J134" s="137"/>
      <c r="K134" s="137"/>
      <c r="L134" s="137"/>
      <c r="M134" s="137"/>
      <c r="N134" s="137"/>
      <c r="O134" s="137"/>
      <c r="P134" s="137"/>
      <c r="Q134" s="206"/>
      <c r="R134" s="137"/>
    </row>
    <row r="135" spans="1:19" ht="9.6" hidden="1" customHeight="1" outlineLevel="1">
      <c r="A135" s="3150"/>
      <c r="B135" s="3146"/>
      <c r="C135" s="3145"/>
      <c r="D135" s="3143"/>
      <c r="E135" s="3144"/>
      <c r="F135" s="210" t="s">
        <v>117</v>
      </c>
      <c r="G135" s="137"/>
      <c r="H135" s="208"/>
      <c r="I135" s="137"/>
      <c r="J135" s="137"/>
      <c r="K135" s="137"/>
      <c r="L135" s="137"/>
      <c r="M135" s="137"/>
      <c r="N135" s="137"/>
      <c r="O135" s="137"/>
      <c r="P135" s="137"/>
      <c r="Q135" s="206"/>
      <c r="R135" s="137"/>
    </row>
    <row r="136" spans="1:19" ht="9.6" customHeight="1">
      <c r="A136" s="3163">
        <v>12</v>
      </c>
      <c r="B136" s="3151" t="s">
        <v>205</v>
      </c>
      <c r="C136" s="3187">
        <v>0</v>
      </c>
      <c r="D136" s="3156" t="s">
        <v>206</v>
      </c>
      <c r="E136" s="3156" t="s">
        <v>269</v>
      </c>
      <c r="F136" s="210" t="s">
        <v>116</v>
      </c>
      <c r="G136" s="137"/>
      <c r="H136" s="137"/>
      <c r="I136" s="207"/>
      <c r="J136" s="207"/>
      <c r="K136" s="207"/>
      <c r="L136" s="207"/>
      <c r="M136" s="137"/>
      <c r="N136" s="137"/>
      <c r="O136" s="137"/>
      <c r="P136" s="137"/>
      <c r="Q136" s="206"/>
      <c r="R136" s="137"/>
    </row>
    <row r="137" spans="1:19" ht="9.6" customHeight="1">
      <c r="A137" s="3163"/>
      <c r="B137" s="3152"/>
      <c r="C137" s="3188"/>
      <c r="D137" s="3157"/>
      <c r="E137" s="3157"/>
      <c r="F137" s="210" t="s">
        <v>117</v>
      </c>
      <c r="G137" s="137"/>
      <c r="H137" s="137"/>
      <c r="I137" s="137"/>
      <c r="J137" s="137"/>
      <c r="K137" s="137"/>
      <c r="L137" s="137"/>
      <c r="M137" s="137"/>
      <c r="N137" s="137"/>
      <c r="O137" s="137"/>
      <c r="P137" s="137"/>
      <c r="Q137" s="206"/>
      <c r="R137" s="137"/>
    </row>
    <row r="138" spans="1:19" ht="27.75" customHeight="1">
      <c r="A138" s="3163">
        <v>13</v>
      </c>
      <c r="B138" s="3151" t="s">
        <v>207</v>
      </c>
      <c r="C138" s="3161">
        <v>0.1</v>
      </c>
      <c r="D138" s="3156" t="s">
        <v>133</v>
      </c>
      <c r="E138" s="3156" t="s">
        <v>270</v>
      </c>
      <c r="F138" s="210" t="s">
        <v>116</v>
      </c>
      <c r="G138" s="221"/>
      <c r="H138" s="138"/>
      <c r="I138" s="207"/>
      <c r="J138" s="207"/>
      <c r="K138" s="207"/>
      <c r="L138" s="207"/>
      <c r="M138" s="207"/>
      <c r="N138" s="138"/>
      <c r="O138" s="138"/>
      <c r="P138" s="138"/>
      <c r="Q138" s="138"/>
      <c r="R138" s="138"/>
      <c r="S138" s="10"/>
    </row>
    <row r="139" spans="1:19" ht="27.75" customHeight="1" collapsed="1">
      <c r="A139" s="3163"/>
      <c r="B139" s="3152"/>
      <c r="C139" s="3162"/>
      <c r="D139" s="3157"/>
      <c r="E139" s="3157"/>
      <c r="F139" s="210" t="s">
        <v>117</v>
      </c>
      <c r="G139" s="221"/>
      <c r="H139" s="138"/>
      <c r="I139" s="138"/>
      <c r="J139" s="138"/>
      <c r="K139" s="138"/>
      <c r="L139" s="138"/>
      <c r="M139" s="138"/>
      <c r="N139" s="138"/>
      <c r="O139" s="138"/>
      <c r="P139" s="138"/>
      <c r="Q139" s="220"/>
      <c r="R139" s="138"/>
      <c r="S139" s="10"/>
    </row>
    <row r="140" spans="1:19" ht="20.25" hidden="1" customHeight="1" outlineLevel="1">
      <c r="A140" s="3163"/>
      <c r="B140" s="3146" t="s">
        <v>208</v>
      </c>
      <c r="C140" s="3145"/>
      <c r="D140" s="3143" t="s">
        <v>133</v>
      </c>
      <c r="E140" s="3147" t="s">
        <v>245</v>
      </c>
      <c r="F140" s="210" t="s">
        <v>116</v>
      </c>
      <c r="G140" s="137"/>
      <c r="H140" s="137"/>
      <c r="I140" s="207"/>
      <c r="J140" s="137"/>
      <c r="K140" s="137"/>
      <c r="L140" s="137"/>
      <c r="M140" s="137"/>
      <c r="N140" s="137"/>
      <c r="O140" s="137"/>
      <c r="P140" s="137"/>
      <c r="Q140" s="206"/>
      <c r="R140" s="137"/>
    </row>
    <row r="141" spans="1:19" ht="20.25" hidden="1" customHeight="1" outlineLevel="1">
      <c r="A141" s="3163"/>
      <c r="B141" s="3146"/>
      <c r="C141" s="3145"/>
      <c r="D141" s="3143"/>
      <c r="E141" s="3148"/>
      <c r="F141" s="210" t="s">
        <v>117</v>
      </c>
      <c r="G141" s="137"/>
      <c r="H141" s="137"/>
      <c r="I141" s="208"/>
      <c r="J141" s="137"/>
      <c r="K141" s="137"/>
      <c r="L141" s="137"/>
      <c r="M141" s="137"/>
      <c r="N141" s="137"/>
      <c r="O141" s="137"/>
      <c r="P141" s="137"/>
      <c r="Q141" s="206"/>
      <c r="R141" s="137"/>
    </row>
    <row r="142" spans="1:19" ht="20.25" hidden="1" customHeight="1" outlineLevel="1">
      <c r="A142" s="3163"/>
      <c r="B142" s="3146" t="s">
        <v>246</v>
      </c>
      <c r="C142" s="3145"/>
      <c r="D142" s="3183" t="s">
        <v>247</v>
      </c>
      <c r="E142" s="3147">
        <v>40281</v>
      </c>
      <c r="F142" s="210" t="s">
        <v>116</v>
      </c>
      <c r="G142" s="137"/>
      <c r="H142" s="137"/>
      <c r="I142" s="137"/>
      <c r="J142" s="137"/>
      <c r="K142" s="137"/>
      <c r="L142" s="137"/>
      <c r="M142" s="137"/>
      <c r="N142" s="137"/>
      <c r="O142" s="137"/>
      <c r="P142" s="137"/>
      <c r="Q142" s="206"/>
      <c r="R142" s="137"/>
    </row>
    <row r="143" spans="1:19" ht="20.25" hidden="1" customHeight="1" outlineLevel="1">
      <c r="A143" s="3163"/>
      <c r="B143" s="3146"/>
      <c r="C143" s="3145"/>
      <c r="D143" s="3184"/>
      <c r="E143" s="3148"/>
      <c r="F143" s="210" t="s">
        <v>117</v>
      </c>
      <c r="G143" s="137"/>
      <c r="H143" s="137"/>
      <c r="I143" s="137"/>
      <c r="J143" s="137"/>
      <c r="K143" s="137"/>
      <c r="L143" s="137"/>
      <c r="M143" s="137"/>
      <c r="N143" s="137"/>
      <c r="O143" s="137"/>
      <c r="P143" s="137"/>
      <c r="Q143" s="206"/>
      <c r="R143" s="137"/>
    </row>
    <row r="144" spans="1:19" ht="9.6" hidden="1" customHeight="1" outlineLevel="1">
      <c r="A144" s="3163"/>
      <c r="B144" s="3146" t="s">
        <v>209</v>
      </c>
      <c r="C144" s="3145"/>
      <c r="D144" s="3143" t="s">
        <v>133</v>
      </c>
      <c r="E144" s="3144"/>
      <c r="F144" s="210" t="s">
        <v>116</v>
      </c>
      <c r="G144" s="137"/>
      <c r="H144" s="137"/>
      <c r="I144" s="137"/>
      <c r="J144" s="207"/>
      <c r="K144" s="137"/>
      <c r="L144" s="137"/>
      <c r="M144" s="137"/>
      <c r="N144" s="137"/>
      <c r="O144" s="137"/>
      <c r="P144" s="137"/>
      <c r="Q144" s="206"/>
      <c r="R144" s="137"/>
    </row>
    <row r="145" spans="1:19" ht="9.6" hidden="1" customHeight="1" outlineLevel="1">
      <c r="A145" s="3163"/>
      <c r="B145" s="3146"/>
      <c r="C145" s="3145"/>
      <c r="D145" s="3143"/>
      <c r="E145" s="3144"/>
      <c r="F145" s="210" t="s">
        <v>117</v>
      </c>
      <c r="G145" s="137"/>
      <c r="H145" s="137"/>
      <c r="I145" s="137"/>
      <c r="J145" s="137"/>
      <c r="K145" s="137"/>
      <c r="L145" s="137"/>
      <c r="M145" s="137"/>
      <c r="N145" s="137"/>
      <c r="O145" s="137"/>
      <c r="P145" s="137"/>
      <c r="Q145" s="206"/>
      <c r="R145" s="137"/>
    </row>
    <row r="146" spans="1:19" ht="9.6" hidden="1" customHeight="1" outlineLevel="1">
      <c r="A146" s="3163"/>
      <c r="B146" s="3146" t="s">
        <v>210</v>
      </c>
      <c r="C146" s="3145"/>
      <c r="D146" s="3143" t="s">
        <v>133</v>
      </c>
      <c r="E146" s="3144"/>
      <c r="F146" s="210" t="s">
        <v>116</v>
      </c>
      <c r="G146" s="137"/>
      <c r="H146" s="137"/>
      <c r="I146" s="137"/>
      <c r="J146" s="207"/>
      <c r="K146" s="137"/>
      <c r="L146" s="137"/>
      <c r="M146" s="137"/>
      <c r="N146" s="137"/>
      <c r="O146" s="137"/>
      <c r="P146" s="137"/>
      <c r="Q146" s="206"/>
      <c r="R146" s="137"/>
    </row>
    <row r="147" spans="1:19" ht="13.5" hidden="1" customHeight="1" outlineLevel="1">
      <c r="A147" s="3163"/>
      <c r="B147" s="3146"/>
      <c r="C147" s="3145"/>
      <c r="D147" s="3143"/>
      <c r="E147" s="3144"/>
      <c r="F147" s="210" t="s">
        <v>117</v>
      </c>
      <c r="G147" s="137"/>
      <c r="H147" s="137"/>
      <c r="I147" s="137"/>
      <c r="J147" s="137"/>
      <c r="K147" s="137"/>
      <c r="L147" s="137"/>
      <c r="M147" s="137"/>
      <c r="N147" s="137"/>
      <c r="O147" s="137"/>
      <c r="P147" s="137"/>
      <c r="Q147" s="206"/>
      <c r="R147" s="137"/>
    </row>
    <row r="148" spans="1:19" ht="9.6" hidden="1" customHeight="1" outlineLevel="1">
      <c r="A148" s="3163"/>
      <c r="B148" s="3146" t="s">
        <v>211</v>
      </c>
      <c r="C148" s="3145"/>
      <c r="D148" s="3143" t="s">
        <v>133</v>
      </c>
      <c r="E148" s="3144"/>
      <c r="F148" s="210" t="s">
        <v>116</v>
      </c>
      <c r="G148" s="137"/>
      <c r="H148" s="137"/>
      <c r="I148" s="137"/>
      <c r="J148" s="207"/>
      <c r="K148" s="207"/>
      <c r="L148" s="207"/>
      <c r="M148" s="207"/>
      <c r="N148" s="137"/>
      <c r="O148" s="137"/>
      <c r="P148" s="137"/>
      <c r="Q148" s="206"/>
      <c r="R148" s="137"/>
    </row>
    <row r="149" spans="1:19" ht="9.6" hidden="1" customHeight="1" outlineLevel="1">
      <c r="A149" s="3163"/>
      <c r="B149" s="3146"/>
      <c r="C149" s="3145"/>
      <c r="D149" s="3143"/>
      <c r="E149" s="3144"/>
      <c r="F149" s="210" t="s">
        <v>117</v>
      </c>
      <c r="G149" s="137"/>
      <c r="H149" s="137"/>
      <c r="I149" s="137"/>
      <c r="J149" s="137"/>
      <c r="K149" s="137"/>
      <c r="L149" s="137"/>
      <c r="M149" s="137"/>
      <c r="N149" s="137"/>
      <c r="O149" s="137"/>
      <c r="P149" s="137"/>
      <c r="Q149" s="206"/>
      <c r="R149" s="137"/>
    </row>
    <row r="150" spans="1:19" ht="11.25" customHeight="1">
      <c r="A150" s="3163">
        <v>14</v>
      </c>
      <c r="B150" s="3185" t="s">
        <v>273</v>
      </c>
      <c r="C150" s="3187">
        <v>0</v>
      </c>
      <c r="D150" s="3183" t="s">
        <v>133</v>
      </c>
      <c r="E150" s="3191"/>
      <c r="F150" s="210" t="s">
        <v>116</v>
      </c>
      <c r="G150" s="221"/>
      <c r="H150" s="138"/>
      <c r="I150" s="138"/>
      <c r="J150" s="207"/>
      <c r="K150" s="207"/>
      <c r="L150" s="207"/>
      <c r="M150" s="207"/>
      <c r="N150" s="207"/>
      <c r="O150" s="207"/>
      <c r="P150" s="207"/>
      <c r="Q150" s="207"/>
      <c r="R150" s="207"/>
      <c r="S150" s="10"/>
    </row>
    <row r="151" spans="1:19" ht="11.25" customHeight="1" collapsed="1">
      <c r="A151" s="3163"/>
      <c r="B151" s="3186"/>
      <c r="C151" s="3188"/>
      <c r="D151" s="3184"/>
      <c r="E151" s="3192"/>
      <c r="F151" s="210" t="s">
        <v>117</v>
      </c>
      <c r="G151" s="221"/>
      <c r="H151" s="138"/>
      <c r="I151" s="138"/>
      <c r="J151" s="138"/>
      <c r="K151" s="138"/>
      <c r="L151" s="138"/>
      <c r="M151" s="138"/>
      <c r="N151" s="138"/>
      <c r="O151" s="138"/>
      <c r="P151" s="138"/>
      <c r="Q151" s="220"/>
      <c r="R151" s="138"/>
      <c r="S151" s="10"/>
    </row>
    <row r="152" spans="1:19" ht="9.6" hidden="1" customHeight="1" outlineLevel="1">
      <c r="A152" s="3163"/>
      <c r="B152" s="3146" t="s">
        <v>212</v>
      </c>
      <c r="C152" s="3145"/>
      <c r="D152" s="3143" t="s">
        <v>133</v>
      </c>
      <c r="E152" s="3144"/>
      <c r="F152" s="210" t="s">
        <v>116</v>
      </c>
      <c r="G152" s="137"/>
      <c r="H152" s="137"/>
      <c r="I152" s="137"/>
      <c r="J152" s="207"/>
      <c r="K152" s="137"/>
      <c r="L152" s="137"/>
      <c r="M152" s="137"/>
      <c r="N152" s="137"/>
      <c r="O152" s="137"/>
      <c r="P152" s="137"/>
      <c r="Q152" s="206"/>
      <c r="R152" s="137"/>
    </row>
    <row r="153" spans="1:19" ht="9.6" hidden="1" customHeight="1" outlineLevel="1">
      <c r="A153" s="3163"/>
      <c r="B153" s="3146"/>
      <c r="C153" s="3145"/>
      <c r="D153" s="3143"/>
      <c r="E153" s="3144"/>
      <c r="F153" s="210" t="s">
        <v>117</v>
      </c>
      <c r="G153" s="137"/>
      <c r="H153" s="137"/>
      <c r="I153" s="137"/>
      <c r="J153" s="137"/>
      <c r="K153" s="137"/>
      <c r="L153" s="137"/>
      <c r="M153" s="137"/>
      <c r="N153" s="137"/>
      <c r="O153" s="137"/>
      <c r="P153" s="137"/>
      <c r="Q153" s="206"/>
      <c r="R153" s="137"/>
    </row>
    <row r="154" spans="1:19" ht="9.6" hidden="1" customHeight="1" outlineLevel="1">
      <c r="A154" s="3163"/>
      <c r="B154" s="3146" t="s">
        <v>213</v>
      </c>
      <c r="C154" s="3145"/>
      <c r="D154" s="3143" t="s">
        <v>133</v>
      </c>
      <c r="E154" s="3144"/>
      <c r="F154" s="210" t="s">
        <v>116</v>
      </c>
      <c r="G154" s="137"/>
      <c r="H154" s="137"/>
      <c r="I154" s="137"/>
      <c r="J154" s="207"/>
      <c r="K154" s="137"/>
      <c r="L154" s="137"/>
      <c r="M154" s="137"/>
      <c r="N154" s="137"/>
      <c r="O154" s="137"/>
      <c r="P154" s="137"/>
      <c r="Q154" s="206"/>
      <c r="R154" s="137"/>
    </row>
    <row r="155" spans="1:19" ht="9.6" hidden="1" customHeight="1" outlineLevel="1">
      <c r="A155" s="3163"/>
      <c r="B155" s="3146"/>
      <c r="C155" s="3145"/>
      <c r="D155" s="3143"/>
      <c r="E155" s="3144"/>
      <c r="F155" s="210" t="s">
        <v>117</v>
      </c>
      <c r="G155" s="137"/>
      <c r="H155" s="137"/>
      <c r="I155" s="137"/>
      <c r="J155" s="137"/>
      <c r="K155" s="137"/>
      <c r="L155" s="137"/>
      <c r="M155" s="137"/>
      <c r="N155" s="137"/>
      <c r="O155" s="137"/>
      <c r="P155" s="137"/>
      <c r="Q155" s="206"/>
      <c r="R155" s="137"/>
    </row>
    <row r="156" spans="1:19" ht="9.6" hidden="1" customHeight="1" outlineLevel="1">
      <c r="A156" s="3163"/>
      <c r="B156" s="3146" t="s">
        <v>214</v>
      </c>
      <c r="C156" s="3145"/>
      <c r="D156" s="3143" t="s">
        <v>133</v>
      </c>
      <c r="E156" s="3144"/>
      <c r="F156" s="210" t="s">
        <v>116</v>
      </c>
      <c r="G156" s="137"/>
      <c r="H156" s="137"/>
      <c r="I156" s="137"/>
      <c r="J156" s="207"/>
      <c r="K156" s="207"/>
      <c r="L156" s="137"/>
      <c r="M156" s="137"/>
      <c r="N156" s="137"/>
      <c r="O156" s="137"/>
      <c r="P156" s="137"/>
      <c r="Q156" s="206"/>
      <c r="R156" s="137"/>
    </row>
    <row r="157" spans="1:19" ht="9.6" hidden="1" customHeight="1" outlineLevel="1">
      <c r="A157" s="3163"/>
      <c r="B157" s="3146"/>
      <c r="C157" s="3145"/>
      <c r="D157" s="3143"/>
      <c r="E157" s="3144"/>
      <c r="F157" s="210" t="s">
        <v>117</v>
      </c>
      <c r="G157" s="137"/>
      <c r="H157" s="137"/>
      <c r="I157" s="137"/>
      <c r="J157" s="137"/>
      <c r="K157" s="137"/>
      <c r="L157" s="137"/>
      <c r="M157" s="137"/>
      <c r="N157" s="137"/>
      <c r="O157" s="137"/>
      <c r="P157" s="137"/>
      <c r="Q157" s="206"/>
      <c r="R157" s="137"/>
    </row>
    <row r="158" spans="1:19" ht="9.6" hidden="1" customHeight="1" outlineLevel="1">
      <c r="A158" s="3163"/>
      <c r="B158" s="3146" t="s">
        <v>215</v>
      </c>
      <c r="C158" s="3145"/>
      <c r="D158" s="3143" t="s">
        <v>133</v>
      </c>
      <c r="E158" s="3144"/>
      <c r="F158" s="210" t="s">
        <v>116</v>
      </c>
      <c r="G158" s="137"/>
      <c r="H158" s="137"/>
      <c r="I158" s="137"/>
      <c r="J158" s="207"/>
      <c r="K158" s="207"/>
      <c r="L158" s="207"/>
      <c r="M158" s="138"/>
      <c r="N158" s="137"/>
      <c r="O158" s="137"/>
      <c r="P158" s="137"/>
      <c r="Q158" s="206"/>
      <c r="R158" s="137"/>
    </row>
    <row r="159" spans="1:19" ht="9.6" hidden="1" customHeight="1" outlineLevel="1">
      <c r="A159" s="3163"/>
      <c r="B159" s="3146"/>
      <c r="C159" s="3145"/>
      <c r="D159" s="3143"/>
      <c r="E159" s="3144"/>
      <c r="F159" s="210" t="s">
        <v>117</v>
      </c>
      <c r="G159" s="137"/>
      <c r="H159" s="137"/>
      <c r="I159" s="137"/>
      <c r="J159" s="137"/>
      <c r="K159" s="137"/>
      <c r="L159" s="137"/>
      <c r="M159" s="137"/>
      <c r="N159" s="137"/>
      <c r="O159" s="137"/>
      <c r="P159" s="137"/>
      <c r="Q159" s="137"/>
      <c r="R159" s="137"/>
    </row>
    <row r="160" spans="1:19" ht="9.6" hidden="1" customHeight="1" outlineLevel="1">
      <c r="A160" s="3163"/>
      <c r="B160" s="3146" t="s">
        <v>216</v>
      </c>
      <c r="C160" s="3145"/>
      <c r="D160" s="3143" t="s">
        <v>133</v>
      </c>
      <c r="E160" s="3144"/>
      <c r="F160" s="210" t="s">
        <v>116</v>
      </c>
      <c r="G160" s="137"/>
      <c r="H160" s="137"/>
      <c r="I160" s="137"/>
      <c r="J160" s="137"/>
      <c r="K160" s="137"/>
      <c r="L160" s="137"/>
      <c r="M160" s="207"/>
      <c r="N160" s="207"/>
      <c r="O160" s="207"/>
      <c r="P160" s="207"/>
      <c r="Q160" s="207"/>
      <c r="R160" s="207"/>
    </row>
    <row r="161" spans="1:19" ht="9.6" hidden="1" customHeight="1" outlineLevel="1">
      <c r="A161" s="3163"/>
      <c r="B161" s="3146"/>
      <c r="C161" s="3145"/>
      <c r="D161" s="3143"/>
      <c r="E161" s="3144"/>
      <c r="F161" s="210" t="s">
        <v>117</v>
      </c>
      <c r="G161" s="137"/>
      <c r="H161" s="137"/>
      <c r="I161" s="137"/>
      <c r="J161" s="137"/>
      <c r="K161" s="137"/>
      <c r="L161" s="137"/>
      <c r="M161" s="137"/>
      <c r="N161" s="137"/>
      <c r="O161" s="137"/>
      <c r="P161" s="137"/>
      <c r="Q161" s="137"/>
      <c r="R161" s="137"/>
    </row>
    <row r="162" spans="1:19" ht="9.75" customHeight="1">
      <c r="A162" s="3153">
        <v>15</v>
      </c>
      <c r="B162" s="3185" t="s">
        <v>217</v>
      </c>
      <c r="C162" s="3161">
        <v>0</v>
      </c>
      <c r="D162" s="3183" t="s">
        <v>133</v>
      </c>
      <c r="E162" s="3156" t="s">
        <v>271</v>
      </c>
      <c r="F162" s="210" t="s">
        <v>116</v>
      </c>
      <c r="G162" s="221"/>
      <c r="H162" s="138"/>
      <c r="I162" s="138"/>
      <c r="J162" s="207"/>
      <c r="K162" s="207"/>
      <c r="L162" s="207"/>
      <c r="M162" s="207"/>
      <c r="N162" s="138"/>
      <c r="O162" s="138"/>
      <c r="P162" s="138"/>
      <c r="Q162" s="138"/>
      <c r="R162" s="138"/>
      <c r="S162" s="10"/>
    </row>
    <row r="163" spans="1:19" ht="9.75" customHeight="1" collapsed="1">
      <c r="A163" s="3154"/>
      <c r="B163" s="3186"/>
      <c r="C163" s="3162"/>
      <c r="D163" s="3184"/>
      <c r="E163" s="3157"/>
      <c r="F163" s="210" t="s">
        <v>117</v>
      </c>
      <c r="G163" s="221"/>
      <c r="H163" s="138"/>
      <c r="I163" s="138"/>
      <c r="J163" s="138"/>
      <c r="K163" s="138"/>
      <c r="L163" s="138"/>
      <c r="M163" s="138"/>
      <c r="N163" s="138"/>
      <c r="O163" s="138"/>
      <c r="P163" s="138"/>
      <c r="Q163" s="138"/>
      <c r="R163" s="138"/>
      <c r="S163" s="10"/>
    </row>
    <row r="164" spans="1:19" ht="9.6" hidden="1" customHeight="1" outlineLevel="1">
      <c r="A164" s="3154"/>
      <c r="B164" s="3146" t="s">
        <v>218</v>
      </c>
      <c r="C164" s="3145"/>
      <c r="D164" s="3143" t="s">
        <v>133</v>
      </c>
      <c r="E164" s="3144" t="s">
        <v>234</v>
      </c>
      <c r="F164" s="210" t="s">
        <v>116</v>
      </c>
      <c r="G164" s="137"/>
      <c r="H164" s="137"/>
      <c r="I164" s="137"/>
      <c r="J164" s="207"/>
      <c r="K164" s="207"/>
      <c r="L164" s="137"/>
      <c r="M164" s="137"/>
      <c r="N164" s="137"/>
      <c r="O164" s="137"/>
      <c r="P164" s="137"/>
      <c r="Q164" s="137"/>
      <c r="R164" s="137"/>
    </row>
    <row r="165" spans="1:19" ht="9.6" hidden="1" customHeight="1" outlineLevel="1">
      <c r="A165" s="3154"/>
      <c r="B165" s="3146"/>
      <c r="C165" s="3145"/>
      <c r="D165" s="3143"/>
      <c r="E165" s="3144"/>
      <c r="F165" s="210" t="s">
        <v>117</v>
      </c>
      <c r="G165" s="137"/>
      <c r="H165" s="137"/>
      <c r="I165" s="137"/>
      <c r="J165" s="137"/>
      <c r="K165" s="137"/>
      <c r="L165" s="137"/>
      <c r="M165" s="137"/>
      <c r="N165" s="137"/>
      <c r="O165" s="137"/>
      <c r="P165" s="137"/>
      <c r="Q165" s="137"/>
      <c r="R165" s="137"/>
    </row>
    <row r="166" spans="1:19" ht="9.6" hidden="1" customHeight="1" outlineLevel="1">
      <c r="A166" s="3154"/>
      <c r="B166" s="3146" t="s">
        <v>219</v>
      </c>
      <c r="C166" s="3145"/>
      <c r="D166" s="3143" t="s">
        <v>133</v>
      </c>
      <c r="E166" s="3144"/>
      <c r="F166" s="210" t="s">
        <v>116</v>
      </c>
      <c r="G166" s="137"/>
      <c r="H166" s="137"/>
      <c r="I166" s="137"/>
      <c r="J166" s="207"/>
      <c r="K166" s="207"/>
      <c r="L166" s="137"/>
      <c r="M166" s="137"/>
      <c r="N166" s="137"/>
      <c r="O166" s="137"/>
      <c r="P166" s="137"/>
      <c r="Q166" s="137"/>
      <c r="R166" s="137"/>
    </row>
    <row r="167" spans="1:19" ht="9.6" hidden="1" customHeight="1" outlineLevel="1">
      <c r="A167" s="3154"/>
      <c r="B167" s="3146"/>
      <c r="C167" s="3145"/>
      <c r="D167" s="3143"/>
      <c r="E167" s="3144"/>
      <c r="F167" s="210" t="s">
        <v>117</v>
      </c>
      <c r="G167" s="137"/>
      <c r="H167" s="137"/>
      <c r="I167" s="137"/>
      <c r="J167" s="137"/>
      <c r="K167" s="137"/>
      <c r="L167" s="137"/>
      <c r="M167" s="137"/>
      <c r="N167" s="137"/>
      <c r="O167" s="137"/>
      <c r="P167" s="137"/>
      <c r="Q167" s="137"/>
      <c r="R167" s="137"/>
    </row>
    <row r="168" spans="1:19" ht="9.6" hidden="1" customHeight="1" outlineLevel="1">
      <c r="A168" s="3154"/>
      <c r="B168" s="3146" t="s">
        <v>220</v>
      </c>
      <c r="C168" s="3145"/>
      <c r="D168" s="3143" t="s">
        <v>133</v>
      </c>
      <c r="E168" s="3144"/>
      <c r="F168" s="210" t="s">
        <v>116</v>
      </c>
      <c r="G168" s="137"/>
      <c r="H168" s="137"/>
      <c r="I168" s="137"/>
      <c r="J168" s="137"/>
      <c r="K168" s="207"/>
      <c r="L168" s="207"/>
      <c r="M168" s="207"/>
      <c r="N168" s="137"/>
      <c r="O168" s="137"/>
      <c r="P168" s="137"/>
      <c r="Q168" s="137"/>
      <c r="R168" s="137"/>
    </row>
    <row r="169" spans="1:19" ht="9.6" hidden="1" customHeight="1" outlineLevel="1">
      <c r="A169" s="3154"/>
      <c r="B169" s="3146"/>
      <c r="C169" s="3145"/>
      <c r="D169" s="3143"/>
      <c r="E169" s="3144"/>
      <c r="F169" s="210" t="s">
        <v>117</v>
      </c>
      <c r="G169" s="137"/>
      <c r="H169" s="137"/>
      <c r="I169" s="137"/>
      <c r="J169" s="137"/>
      <c r="K169" s="137"/>
      <c r="L169" s="137"/>
      <c r="M169" s="137"/>
      <c r="N169" s="137"/>
      <c r="O169" s="137"/>
      <c r="P169" s="137"/>
      <c r="Q169" s="137"/>
      <c r="R169" s="137"/>
    </row>
    <row r="170" spans="1:19" ht="9.6" hidden="1" customHeight="1" outlineLevel="1">
      <c r="A170" s="3154"/>
      <c r="B170" s="3146" t="s">
        <v>221</v>
      </c>
      <c r="C170" s="3145"/>
      <c r="D170" s="3143" t="s">
        <v>133</v>
      </c>
      <c r="E170" s="3144"/>
      <c r="F170" s="210" t="s">
        <v>116</v>
      </c>
      <c r="G170" s="137"/>
      <c r="H170" s="137"/>
      <c r="I170" s="137"/>
      <c r="J170" s="137"/>
      <c r="K170" s="207"/>
      <c r="L170" s="207"/>
      <c r="M170" s="207"/>
      <c r="N170" s="137"/>
      <c r="O170" s="137"/>
      <c r="P170" s="137"/>
      <c r="Q170" s="137"/>
      <c r="R170" s="137"/>
    </row>
    <row r="171" spans="1:19" ht="9.6" hidden="1" customHeight="1" outlineLevel="1">
      <c r="A171" s="3155"/>
      <c r="B171" s="3146"/>
      <c r="C171" s="3145"/>
      <c r="D171" s="3143"/>
      <c r="E171" s="3144"/>
      <c r="F171" s="210" t="s">
        <v>117</v>
      </c>
      <c r="G171" s="137"/>
      <c r="H171" s="137"/>
      <c r="I171" s="137"/>
      <c r="J171" s="137"/>
      <c r="K171" s="137"/>
      <c r="L171" s="137"/>
      <c r="M171" s="137"/>
      <c r="N171" s="137"/>
      <c r="O171" s="137"/>
      <c r="P171" s="137"/>
      <c r="Q171" s="137"/>
      <c r="R171" s="137"/>
    </row>
    <row r="172" spans="1:19" ht="10.5" customHeight="1">
      <c r="A172" s="3153">
        <v>16</v>
      </c>
      <c r="B172" s="3185" t="s">
        <v>222</v>
      </c>
      <c r="C172" s="3161">
        <v>0</v>
      </c>
      <c r="D172" s="3183" t="s">
        <v>133</v>
      </c>
      <c r="E172" s="3156"/>
      <c r="F172" s="210" t="s">
        <v>116</v>
      </c>
      <c r="G172" s="221"/>
      <c r="H172" s="138"/>
      <c r="I172" s="138"/>
      <c r="J172" s="207"/>
      <c r="K172" s="207"/>
      <c r="L172" s="207"/>
      <c r="M172" s="207"/>
      <c r="N172" s="207"/>
      <c r="O172" s="138"/>
      <c r="P172" s="138"/>
      <c r="Q172" s="138"/>
      <c r="R172" s="138"/>
      <c r="S172" s="10"/>
    </row>
    <row r="173" spans="1:19" ht="10.5" customHeight="1" collapsed="1">
      <c r="A173" s="3154"/>
      <c r="B173" s="3186"/>
      <c r="C173" s="3162"/>
      <c r="D173" s="3184"/>
      <c r="E173" s="3157"/>
      <c r="F173" s="210" t="s">
        <v>117</v>
      </c>
      <c r="G173" s="221"/>
      <c r="H173" s="138"/>
      <c r="I173" s="138"/>
      <c r="J173" s="138"/>
      <c r="K173" s="138"/>
      <c r="L173" s="138"/>
      <c r="M173" s="138"/>
      <c r="N173" s="138"/>
      <c r="O173" s="138"/>
      <c r="P173" s="138"/>
      <c r="Q173" s="138"/>
      <c r="R173" s="138"/>
      <c r="S173" s="10"/>
    </row>
    <row r="174" spans="1:19" ht="9.6" hidden="1" customHeight="1" outlineLevel="1">
      <c r="A174" s="3154"/>
      <c r="B174" s="3146" t="s">
        <v>223</v>
      </c>
      <c r="C174" s="3145"/>
      <c r="D174" s="3143" t="s">
        <v>133</v>
      </c>
      <c r="E174" s="3144"/>
      <c r="F174" s="210" t="s">
        <v>116</v>
      </c>
      <c r="G174" s="137"/>
      <c r="H174" s="137"/>
      <c r="I174" s="137"/>
      <c r="J174" s="137"/>
      <c r="K174" s="207"/>
      <c r="L174" s="207"/>
      <c r="M174" s="137"/>
      <c r="N174" s="137"/>
      <c r="O174" s="137"/>
      <c r="P174" s="137"/>
      <c r="Q174" s="137"/>
      <c r="R174" s="137"/>
    </row>
    <row r="175" spans="1:19" ht="9.6" hidden="1" customHeight="1" outlineLevel="1">
      <c r="A175" s="3154"/>
      <c r="B175" s="3146"/>
      <c r="C175" s="3145"/>
      <c r="D175" s="3143"/>
      <c r="E175" s="3144"/>
      <c r="F175" s="210" t="s">
        <v>117</v>
      </c>
      <c r="G175" s="137"/>
      <c r="H175" s="137"/>
      <c r="I175" s="137"/>
      <c r="J175" s="137"/>
      <c r="K175" s="137"/>
      <c r="L175" s="137"/>
      <c r="M175" s="137"/>
      <c r="N175" s="137"/>
      <c r="O175" s="137"/>
      <c r="P175" s="137"/>
      <c r="Q175" s="137"/>
      <c r="R175" s="137"/>
    </row>
    <row r="176" spans="1:19" ht="9.6" hidden="1" customHeight="1" outlineLevel="1">
      <c r="A176" s="3154"/>
      <c r="B176" s="3146" t="s">
        <v>224</v>
      </c>
      <c r="C176" s="3145"/>
      <c r="D176" s="3143" t="s">
        <v>133</v>
      </c>
      <c r="E176" s="3144"/>
      <c r="F176" s="210" t="s">
        <v>116</v>
      </c>
      <c r="G176" s="137"/>
      <c r="H176" s="137"/>
      <c r="I176" s="137"/>
      <c r="J176" s="137"/>
      <c r="K176" s="207"/>
      <c r="L176" s="207"/>
      <c r="M176" s="137"/>
      <c r="N176" s="137"/>
      <c r="O176" s="137"/>
      <c r="P176" s="137"/>
      <c r="Q176" s="137"/>
      <c r="R176" s="137"/>
    </row>
    <row r="177" spans="1:18" ht="9.6" hidden="1" customHeight="1" outlineLevel="1">
      <c r="A177" s="3154"/>
      <c r="B177" s="3146"/>
      <c r="C177" s="3145"/>
      <c r="D177" s="3143"/>
      <c r="E177" s="3144"/>
      <c r="F177" s="210" t="s">
        <v>117</v>
      </c>
      <c r="G177" s="137"/>
      <c r="H177" s="137"/>
      <c r="I177" s="137"/>
      <c r="J177" s="137"/>
      <c r="K177" s="137"/>
      <c r="L177" s="137"/>
      <c r="M177" s="137"/>
      <c r="N177" s="137"/>
      <c r="O177" s="137"/>
      <c r="P177" s="137"/>
      <c r="Q177" s="137"/>
      <c r="R177" s="137"/>
    </row>
    <row r="178" spans="1:18" ht="9.6" hidden="1" customHeight="1" outlineLevel="1">
      <c r="A178" s="3154"/>
      <c r="B178" s="3146" t="s">
        <v>225</v>
      </c>
      <c r="C178" s="3145"/>
      <c r="D178" s="3143" t="s">
        <v>133</v>
      </c>
      <c r="E178" s="3144"/>
      <c r="F178" s="210" t="s">
        <v>116</v>
      </c>
      <c r="G178" s="137"/>
      <c r="H178" s="137"/>
      <c r="I178" s="137"/>
      <c r="J178" s="137"/>
      <c r="K178" s="137"/>
      <c r="L178" s="207"/>
      <c r="M178" s="207"/>
      <c r="N178" s="207"/>
      <c r="O178" s="137"/>
      <c r="P178" s="137"/>
      <c r="Q178" s="137"/>
      <c r="R178" s="137"/>
    </row>
    <row r="179" spans="1:18" ht="9.6" hidden="1" customHeight="1" outlineLevel="1">
      <c r="A179" s="3154"/>
      <c r="B179" s="3146"/>
      <c r="C179" s="3145"/>
      <c r="D179" s="3143"/>
      <c r="E179" s="3144"/>
      <c r="F179" s="210" t="s">
        <v>117</v>
      </c>
      <c r="G179" s="137"/>
      <c r="H179" s="137"/>
      <c r="I179" s="137"/>
      <c r="J179" s="137"/>
      <c r="K179" s="137"/>
      <c r="L179" s="137"/>
      <c r="M179" s="137"/>
      <c r="N179" s="137"/>
      <c r="O179" s="137"/>
      <c r="P179" s="137"/>
      <c r="Q179" s="137"/>
      <c r="R179" s="137"/>
    </row>
    <row r="180" spans="1:18" ht="9.6" hidden="1" customHeight="1" outlineLevel="1">
      <c r="A180" s="3154"/>
      <c r="B180" s="3146" t="s">
        <v>226</v>
      </c>
      <c r="C180" s="3145"/>
      <c r="D180" s="3143" t="s">
        <v>133</v>
      </c>
      <c r="E180" s="3144"/>
      <c r="F180" s="210" t="s">
        <v>116</v>
      </c>
      <c r="G180" s="137"/>
      <c r="H180" s="137"/>
      <c r="I180" s="137"/>
      <c r="J180" s="137"/>
      <c r="K180" s="137"/>
      <c r="L180" s="207"/>
      <c r="M180" s="207"/>
      <c r="N180" s="207"/>
      <c r="O180" s="137"/>
      <c r="P180" s="137"/>
      <c r="Q180" s="137"/>
      <c r="R180" s="137"/>
    </row>
    <row r="181" spans="1:18" ht="9.6" hidden="1" customHeight="1" outlineLevel="1">
      <c r="A181" s="3155"/>
      <c r="B181" s="3146"/>
      <c r="C181" s="3145"/>
      <c r="D181" s="3143"/>
      <c r="E181" s="3144"/>
      <c r="F181" s="210" t="s">
        <v>117</v>
      </c>
      <c r="G181" s="137"/>
      <c r="H181" s="137"/>
      <c r="I181" s="137"/>
      <c r="J181" s="137"/>
      <c r="K181" s="137"/>
      <c r="L181" s="137"/>
      <c r="M181" s="137"/>
      <c r="N181" s="137"/>
      <c r="O181" s="137"/>
      <c r="P181" s="137"/>
      <c r="Q181" s="137"/>
      <c r="R181" s="137"/>
    </row>
    <row r="182" spans="1:18" ht="9.6" customHeight="1">
      <c r="A182" s="3163">
        <v>17</v>
      </c>
      <c r="B182" s="3151" t="s">
        <v>227</v>
      </c>
      <c r="C182" s="3187">
        <v>0</v>
      </c>
      <c r="D182" s="3143" t="s">
        <v>228</v>
      </c>
      <c r="E182" s="3156" t="s">
        <v>274</v>
      </c>
      <c r="F182" s="210" t="s">
        <v>116</v>
      </c>
      <c r="G182" s="137"/>
      <c r="H182" s="137"/>
      <c r="I182" s="137"/>
      <c r="J182" s="207"/>
      <c r="K182" s="207"/>
      <c r="L182" s="207"/>
      <c r="M182" s="207"/>
      <c r="N182" s="207"/>
      <c r="O182" s="207"/>
      <c r="P182" s="207"/>
      <c r="Q182" s="219"/>
      <c r="R182" s="207"/>
    </row>
    <row r="183" spans="1:18" ht="9.6" customHeight="1">
      <c r="A183" s="3163"/>
      <c r="B183" s="3152"/>
      <c r="C183" s="3188"/>
      <c r="D183" s="3143"/>
      <c r="E183" s="3157"/>
      <c r="F183" s="210" t="s">
        <v>117</v>
      </c>
      <c r="G183" s="137"/>
      <c r="H183" s="137"/>
      <c r="I183" s="137"/>
      <c r="J183" s="137"/>
      <c r="K183" s="137"/>
      <c r="L183" s="137"/>
      <c r="M183" s="137"/>
      <c r="N183" s="137"/>
      <c r="O183" s="137"/>
      <c r="P183" s="137"/>
      <c r="Q183" s="206"/>
      <c r="R183" s="137"/>
    </row>
    <row r="184" spans="1:18" ht="13.5" customHeight="1">
      <c r="A184" s="3163">
        <v>18</v>
      </c>
      <c r="B184" s="3151" t="s">
        <v>229</v>
      </c>
      <c r="C184" s="3187">
        <v>0</v>
      </c>
      <c r="D184" s="3143" t="s">
        <v>133</v>
      </c>
      <c r="E184" s="3156" t="s">
        <v>272</v>
      </c>
      <c r="F184" s="210" t="s">
        <v>116</v>
      </c>
      <c r="G184" s="137"/>
      <c r="H184" s="137"/>
      <c r="I184" s="137"/>
      <c r="J184" s="207"/>
      <c r="K184" s="207"/>
      <c r="L184" s="207"/>
      <c r="M184" s="207"/>
      <c r="N184" s="207"/>
      <c r="O184" s="207"/>
      <c r="P184" s="207"/>
      <c r="Q184" s="219"/>
      <c r="R184" s="207"/>
    </row>
    <row r="185" spans="1:18" ht="13.5" customHeight="1">
      <c r="A185" s="3163"/>
      <c r="B185" s="3152"/>
      <c r="C185" s="3188"/>
      <c r="D185" s="3143"/>
      <c r="E185" s="3157"/>
      <c r="F185" s="210" t="s">
        <v>117</v>
      </c>
      <c r="G185" s="137"/>
      <c r="H185" s="137"/>
      <c r="I185" s="137"/>
      <c r="J185" s="137"/>
      <c r="K185" s="137"/>
      <c r="L185" s="137"/>
      <c r="M185" s="137"/>
      <c r="N185" s="137"/>
      <c r="O185" s="137"/>
      <c r="P185" s="137"/>
      <c r="Q185" s="206"/>
      <c r="R185" s="137"/>
    </row>
    <row r="186" spans="1:18" ht="12.75" customHeight="1">
      <c r="A186" s="3163">
        <v>19</v>
      </c>
      <c r="B186" s="3151" t="s">
        <v>230</v>
      </c>
      <c r="C186" s="3165">
        <v>0</v>
      </c>
      <c r="D186" s="3143" t="s">
        <v>133</v>
      </c>
      <c r="E186" s="3156" t="s">
        <v>248</v>
      </c>
      <c r="F186" s="210" t="s">
        <v>116</v>
      </c>
      <c r="G186" s="138"/>
      <c r="H186" s="138"/>
      <c r="I186" s="138"/>
      <c r="J186" s="207"/>
      <c r="K186" s="138"/>
      <c r="L186" s="138"/>
      <c r="M186" s="138"/>
      <c r="N186" s="138"/>
      <c r="O186" s="138"/>
      <c r="P186" s="138"/>
      <c r="Q186" s="220"/>
      <c r="R186" s="138"/>
    </row>
    <row r="187" spans="1:18" ht="12.75" customHeight="1" collapsed="1">
      <c r="A187" s="3163"/>
      <c r="B187" s="3152"/>
      <c r="C187" s="3166"/>
      <c r="D187" s="3143"/>
      <c r="E187" s="3157"/>
      <c r="F187" s="210" t="s">
        <v>117</v>
      </c>
      <c r="G187" s="138"/>
      <c r="H187" s="138"/>
      <c r="I187" s="138"/>
      <c r="J187" s="138"/>
      <c r="K187" s="138"/>
      <c r="L187" s="138"/>
      <c r="M187" s="138"/>
      <c r="N187" s="138"/>
      <c r="O187" s="138"/>
      <c r="P187" s="138"/>
      <c r="Q187" s="220"/>
      <c r="R187" s="138"/>
    </row>
    <row r="188" spans="1:18" ht="9.6" hidden="1" customHeight="1" outlineLevel="1">
      <c r="A188" s="3163"/>
      <c r="B188" s="3158" t="s">
        <v>9</v>
      </c>
      <c r="C188" s="3161"/>
      <c r="D188" s="3143" t="s">
        <v>133</v>
      </c>
      <c r="E188" s="3176"/>
      <c r="F188" s="210" t="s">
        <v>116</v>
      </c>
      <c r="G188" s="138"/>
      <c r="H188" s="138"/>
      <c r="I188" s="138"/>
      <c r="J188" s="207"/>
      <c r="K188" s="138"/>
      <c r="L188" s="138"/>
      <c r="M188" s="138"/>
      <c r="N188" s="137"/>
      <c r="O188" s="137"/>
      <c r="P188" s="137"/>
      <c r="Q188" s="206"/>
      <c r="R188" s="137"/>
    </row>
    <row r="189" spans="1:18" ht="9.6" hidden="1" customHeight="1" outlineLevel="1">
      <c r="A189" s="3163"/>
      <c r="B189" s="3158"/>
      <c r="C189" s="3162"/>
      <c r="D189" s="3143"/>
      <c r="E189" s="3176"/>
      <c r="F189" s="210" t="s">
        <v>117</v>
      </c>
      <c r="G189" s="138"/>
      <c r="H189" s="138"/>
      <c r="I189" s="138"/>
      <c r="J189" s="138"/>
      <c r="K189" s="138"/>
      <c r="L189" s="138"/>
      <c r="M189" s="138"/>
      <c r="N189" s="137"/>
      <c r="O189" s="137"/>
      <c r="P189" s="137"/>
      <c r="Q189" s="206"/>
      <c r="R189" s="137"/>
    </row>
    <row r="190" spans="1:18" ht="9.6" hidden="1" customHeight="1" outlineLevel="1">
      <c r="A190" s="3163"/>
      <c r="B190" s="3158" t="s">
        <v>10</v>
      </c>
      <c r="C190" s="3161"/>
      <c r="D190" s="3143" t="s">
        <v>133</v>
      </c>
      <c r="E190" s="3176"/>
      <c r="F190" s="210" t="s">
        <v>116</v>
      </c>
      <c r="G190" s="138"/>
      <c r="H190" s="138"/>
      <c r="I190" s="138"/>
      <c r="J190" s="207"/>
      <c r="K190" s="138"/>
      <c r="L190" s="138"/>
      <c r="M190" s="138"/>
      <c r="N190" s="137"/>
      <c r="O190" s="137"/>
      <c r="P190" s="137"/>
      <c r="Q190" s="206"/>
      <c r="R190" s="137"/>
    </row>
    <row r="191" spans="1:18" ht="9.6" hidden="1" customHeight="1" outlineLevel="1">
      <c r="A191" s="3163"/>
      <c r="B191" s="3158"/>
      <c r="C191" s="3162"/>
      <c r="D191" s="3143"/>
      <c r="E191" s="3176"/>
      <c r="F191" s="210" t="s">
        <v>117</v>
      </c>
      <c r="G191" s="138"/>
      <c r="H191" s="138"/>
      <c r="I191" s="138"/>
      <c r="J191" s="138"/>
      <c r="K191" s="138"/>
      <c r="L191" s="138"/>
      <c r="M191" s="138"/>
      <c r="N191" s="137"/>
      <c r="O191" s="137"/>
      <c r="P191" s="137"/>
      <c r="Q191" s="206"/>
      <c r="R191" s="137"/>
    </row>
    <row r="192" spans="1:18" ht="9.6" hidden="1" customHeight="1" outlineLevel="1">
      <c r="A192" s="3163"/>
      <c r="B192" s="3158" t="s">
        <v>11</v>
      </c>
      <c r="C192" s="3161"/>
      <c r="D192" s="3143" t="s">
        <v>133</v>
      </c>
      <c r="E192" s="3176"/>
      <c r="F192" s="210" t="s">
        <v>116</v>
      </c>
      <c r="G192" s="138"/>
      <c r="H192" s="138"/>
      <c r="I192" s="138"/>
      <c r="J192" s="207"/>
      <c r="K192" s="138"/>
      <c r="L192" s="138"/>
      <c r="M192" s="138"/>
      <c r="N192" s="137"/>
      <c r="O192" s="137"/>
      <c r="P192" s="137"/>
      <c r="Q192" s="206"/>
      <c r="R192" s="137"/>
    </row>
    <row r="193" spans="1:18" ht="9.6" hidden="1" customHeight="1" outlineLevel="1">
      <c r="A193" s="3163"/>
      <c r="B193" s="3158"/>
      <c r="C193" s="3162"/>
      <c r="D193" s="3143"/>
      <c r="E193" s="3176"/>
      <c r="F193" s="210" t="s">
        <v>117</v>
      </c>
      <c r="G193" s="137"/>
      <c r="H193" s="137"/>
      <c r="I193" s="137"/>
      <c r="J193" s="137"/>
      <c r="K193" s="137"/>
      <c r="L193" s="137"/>
      <c r="M193" s="137"/>
      <c r="N193" s="137"/>
      <c r="O193" s="137"/>
      <c r="P193" s="137"/>
      <c r="Q193" s="206"/>
      <c r="R193" s="137"/>
    </row>
  </sheetData>
  <mergeCells count="393">
    <mergeCell ref="E164:E165"/>
    <mergeCell ref="E166:E167"/>
    <mergeCell ref="C166:C167"/>
    <mergeCell ref="D164:D165"/>
    <mergeCell ref="C164:C165"/>
    <mergeCell ref="D162:D163"/>
    <mergeCell ref="E72:E73"/>
    <mergeCell ref="E98:E99"/>
    <mergeCell ref="E86:E87"/>
    <mergeCell ref="C86:C87"/>
    <mergeCell ref="D84:D85"/>
    <mergeCell ref="E84:E85"/>
    <mergeCell ref="C84:C85"/>
    <mergeCell ref="C100:C101"/>
    <mergeCell ref="E100:E101"/>
    <mergeCell ref="D110:D111"/>
    <mergeCell ref="D104:D105"/>
    <mergeCell ref="D100:D101"/>
    <mergeCell ref="D106:D107"/>
    <mergeCell ref="D102:D103"/>
    <mergeCell ref="D166:D167"/>
    <mergeCell ref="E160:E161"/>
    <mergeCell ref="E158:E159"/>
    <mergeCell ref="E148:E149"/>
    <mergeCell ref="B136:B137"/>
    <mergeCell ref="D136:D137"/>
    <mergeCell ref="B80:B81"/>
    <mergeCell ref="E78:E79"/>
    <mergeCell ref="E68:E69"/>
    <mergeCell ref="E56:E57"/>
    <mergeCell ref="E162:E163"/>
    <mergeCell ref="C162:C163"/>
    <mergeCell ref="C148:C149"/>
    <mergeCell ref="E152:E153"/>
    <mergeCell ref="E150:E151"/>
    <mergeCell ref="D160:D161"/>
    <mergeCell ref="D150:D151"/>
    <mergeCell ref="D154:D155"/>
    <mergeCell ref="E144:E145"/>
    <mergeCell ref="C144:C145"/>
    <mergeCell ref="E146:E147"/>
    <mergeCell ref="E156:E157"/>
    <mergeCell ref="C156:C157"/>
    <mergeCell ref="D156:D157"/>
    <mergeCell ref="D152:D153"/>
    <mergeCell ref="C152:C153"/>
    <mergeCell ref="E154:E155"/>
    <mergeCell ref="C140:C141"/>
    <mergeCell ref="E48:E49"/>
    <mergeCell ref="D50:D51"/>
    <mergeCell ref="E50:E51"/>
    <mergeCell ref="E52:E53"/>
    <mergeCell ref="D48:D49"/>
    <mergeCell ref="C50:C51"/>
    <mergeCell ref="D64:D65"/>
    <mergeCell ref="C58:C59"/>
    <mergeCell ref="E136:E137"/>
    <mergeCell ref="C136:C137"/>
    <mergeCell ref="E62:E63"/>
    <mergeCell ref="E64:E65"/>
    <mergeCell ref="E60:E61"/>
    <mergeCell ref="D78:D79"/>
    <mergeCell ref="D74:D75"/>
    <mergeCell ref="C78:C79"/>
    <mergeCell ref="E74:E75"/>
    <mergeCell ref="E102:E103"/>
    <mergeCell ref="C102:C103"/>
    <mergeCell ref="E104:E105"/>
    <mergeCell ref="D118:D119"/>
    <mergeCell ref="D126:D127"/>
    <mergeCell ref="E126:E127"/>
    <mergeCell ref="C126:C127"/>
    <mergeCell ref="E138:E139"/>
    <mergeCell ref="C138:C139"/>
    <mergeCell ref="C150:C151"/>
    <mergeCell ref="C146:C147"/>
    <mergeCell ref="E66:E67"/>
    <mergeCell ref="D82:D83"/>
    <mergeCell ref="E82:E83"/>
    <mergeCell ref="D72:D73"/>
    <mergeCell ref="C72:C73"/>
    <mergeCell ref="E70:E71"/>
    <mergeCell ref="C92:C93"/>
    <mergeCell ref="E88:E89"/>
    <mergeCell ref="E90:E91"/>
    <mergeCell ref="C88:C89"/>
    <mergeCell ref="E94:E95"/>
    <mergeCell ref="D92:D93"/>
    <mergeCell ref="E92:E93"/>
    <mergeCell ref="D94:D95"/>
    <mergeCell ref="D76:D77"/>
    <mergeCell ref="E76:E77"/>
    <mergeCell ref="C76:C77"/>
    <mergeCell ref="C80:C81"/>
    <mergeCell ref="D80:D81"/>
    <mergeCell ref="E80:E81"/>
    <mergeCell ref="E32:E33"/>
    <mergeCell ref="E34:E35"/>
    <mergeCell ref="E30:E31"/>
    <mergeCell ref="D36:D37"/>
    <mergeCell ref="D30:D31"/>
    <mergeCell ref="D32:D33"/>
    <mergeCell ref="D34:D35"/>
    <mergeCell ref="E40:E41"/>
    <mergeCell ref="D46:D47"/>
    <mergeCell ref="E36:E37"/>
    <mergeCell ref="E38:E39"/>
    <mergeCell ref="E42:E43"/>
    <mergeCell ref="E44:E45"/>
    <mergeCell ref="E46:E47"/>
    <mergeCell ref="D38:D39"/>
    <mergeCell ref="E192:E193"/>
    <mergeCell ref="E176:E177"/>
    <mergeCell ref="E174:E175"/>
    <mergeCell ref="E140:E141"/>
    <mergeCell ref="E142:E143"/>
    <mergeCell ref="E58:E59"/>
    <mergeCell ref="E54:E55"/>
    <mergeCell ref="C192:C193"/>
    <mergeCell ref="E178:E179"/>
    <mergeCell ref="E188:E189"/>
    <mergeCell ref="E186:E187"/>
    <mergeCell ref="D186:D187"/>
    <mergeCell ref="E180:E181"/>
    <mergeCell ref="E182:E183"/>
    <mergeCell ref="D180:D181"/>
    <mergeCell ref="E190:E191"/>
    <mergeCell ref="E184:E185"/>
    <mergeCell ref="C180:C181"/>
    <mergeCell ref="E170:E171"/>
    <mergeCell ref="C174:C175"/>
    <mergeCell ref="D168:D169"/>
    <mergeCell ref="E172:E173"/>
    <mergeCell ref="E168:E169"/>
    <mergeCell ref="D184:D185"/>
    <mergeCell ref="B172:B173"/>
    <mergeCell ref="D172:D173"/>
    <mergeCell ref="B168:B169"/>
    <mergeCell ref="C168:C169"/>
    <mergeCell ref="D170:D171"/>
    <mergeCell ref="C172:C173"/>
    <mergeCell ref="B170:B171"/>
    <mergeCell ref="A172:A181"/>
    <mergeCell ref="B180:B181"/>
    <mergeCell ref="C178:C179"/>
    <mergeCell ref="D178:D179"/>
    <mergeCell ref="C176:C177"/>
    <mergeCell ref="B174:B175"/>
    <mergeCell ref="B178:B179"/>
    <mergeCell ref="D174:D175"/>
    <mergeCell ref="B176:B177"/>
    <mergeCell ref="D176:D177"/>
    <mergeCell ref="A162:A171"/>
    <mergeCell ref="B164:B165"/>
    <mergeCell ref="B166:B167"/>
    <mergeCell ref="C170:C171"/>
    <mergeCell ref="C184:C185"/>
    <mergeCell ref="D190:D191"/>
    <mergeCell ref="C188:C189"/>
    <mergeCell ref="C186:C187"/>
    <mergeCell ref="A182:A183"/>
    <mergeCell ref="B182:B183"/>
    <mergeCell ref="D182:D183"/>
    <mergeCell ref="C182:C183"/>
    <mergeCell ref="A186:A193"/>
    <mergeCell ref="B188:B189"/>
    <mergeCell ref="D188:D189"/>
    <mergeCell ref="A184:A185"/>
    <mergeCell ref="B184:B185"/>
    <mergeCell ref="B192:B193"/>
    <mergeCell ref="B190:B191"/>
    <mergeCell ref="D192:D193"/>
    <mergeCell ref="C190:C191"/>
    <mergeCell ref="B186:B187"/>
    <mergeCell ref="A150:A161"/>
    <mergeCell ref="B162:B163"/>
    <mergeCell ref="B150:B151"/>
    <mergeCell ref="B156:B157"/>
    <mergeCell ref="C160:C161"/>
    <mergeCell ref="B154:B155"/>
    <mergeCell ref="B158:B159"/>
    <mergeCell ref="D158:D159"/>
    <mergeCell ref="B160:B161"/>
    <mergeCell ref="C158:C159"/>
    <mergeCell ref="C154:C155"/>
    <mergeCell ref="B152:B153"/>
    <mergeCell ref="A138:A149"/>
    <mergeCell ref="B144:B145"/>
    <mergeCell ref="D144:D145"/>
    <mergeCell ref="B146:B147"/>
    <mergeCell ref="D146:D147"/>
    <mergeCell ref="B142:B143"/>
    <mergeCell ref="D142:D143"/>
    <mergeCell ref="B148:B149"/>
    <mergeCell ref="B138:B139"/>
    <mergeCell ref="D138:D139"/>
    <mergeCell ref="D148:D149"/>
    <mergeCell ref="C142:C143"/>
    <mergeCell ref="B140:B141"/>
    <mergeCell ref="D140:D141"/>
    <mergeCell ref="B62:B63"/>
    <mergeCell ref="C56:C57"/>
    <mergeCell ref="D66:D67"/>
    <mergeCell ref="B46:B47"/>
    <mergeCell ref="C46:C47"/>
    <mergeCell ref="C48:C49"/>
    <mergeCell ref="C70:C71"/>
    <mergeCell ref="D68:D69"/>
    <mergeCell ref="D70:D71"/>
    <mergeCell ref="B32:B33"/>
    <mergeCell ref="D16:D17"/>
    <mergeCell ref="D20:D21"/>
    <mergeCell ref="D22:D23"/>
    <mergeCell ref="D18:D19"/>
    <mergeCell ref="B20:B21"/>
    <mergeCell ref="C28:C29"/>
    <mergeCell ref="D24:D25"/>
    <mergeCell ref="D26:D27"/>
    <mergeCell ref="D28:D29"/>
    <mergeCell ref="C20:C21"/>
    <mergeCell ref="A136:A137"/>
    <mergeCell ref="C22:C23"/>
    <mergeCell ref="B34:B35"/>
    <mergeCell ref="B36:B37"/>
    <mergeCell ref="B24:B25"/>
    <mergeCell ref="B58:B59"/>
    <mergeCell ref="B48:B49"/>
    <mergeCell ref="B52:B53"/>
    <mergeCell ref="B30:B31"/>
    <mergeCell ref="B38:B39"/>
    <mergeCell ref="C30:C31"/>
    <mergeCell ref="C34:C35"/>
    <mergeCell ref="C32:C33"/>
    <mergeCell ref="C44:C45"/>
    <mergeCell ref="C36:C37"/>
    <mergeCell ref="C38:C39"/>
    <mergeCell ref="A16:A39"/>
    <mergeCell ref="B18:B19"/>
    <mergeCell ref="B22:B23"/>
    <mergeCell ref="B16:B17"/>
    <mergeCell ref="B26:B27"/>
    <mergeCell ref="B28:B29"/>
    <mergeCell ref="C64:C65"/>
    <mergeCell ref="A66:A67"/>
    <mergeCell ref="A2:A3"/>
    <mergeCell ref="D4:D15"/>
    <mergeCell ref="A4:A15"/>
    <mergeCell ref="B10:B11"/>
    <mergeCell ref="B12:B13"/>
    <mergeCell ref="B14:B15"/>
    <mergeCell ref="B4:B5"/>
    <mergeCell ref="B8:B9"/>
    <mergeCell ref="C8:C9"/>
    <mergeCell ref="B2:B3"/>
    <mergeCell ref="B6:B7"/>
    <mergeCell ref="C6:C7"/>
    <mergeCell ref="E2:E3"/>
    <mergeCell ref="E4:E15"/>
    <mergeCell ref="C2:C3"/>
    <mergeCell ref="C10:C11"/>
    <mergeCell ref="C12:C13"/>
    <mergeCell ref="C14:C15"/>
    <mergeCell ref="C4:C5"/>
    <mergeCell ref="D2:D3"/>
    <mergeCell ref="E28:E29"/>
    <mergeCell ref="E22:E23"/>
    <mergeCell ref="C18:C19"/>
    <mergeCell ref="C16:C17"/>
    <mergeCell ref="C26:C27"/>
    <mergeCell ref="C24:C25"/>
    <mergeCell ref="E24:E25"/>
    <mergeCell ref="E26:E27"/>
    <mergeCell ref="E16:E17"/>
    <mergeCell ref="E20:E21"/>
    <mergeCell ref="E18:E19"/>
    <mergeCell ref="A58:A63"/>
    <mergeCell ref="A40:A57"/>
    <mergeCell ref="B56:B57"/>
    <mergeCell ref="D56:D57"/>
    <mergeCell ref="C40:C41"/>
    <mergeCell ref="C42:C43"/>
    <mergeCell ref="D42:D43"/>
    <mergeCell ref="D54:D55"/>
    <mergeCell ref="B54:B55"/>
    <mergeCell ref="C54:C55"/>
    <mergeCell ref="B50:B51"/>
    <mergeCell ref="D58:D59"/>
    <mergeCell ref="B44:B45"/>
    <mergeCell ref="B42:B43"/>
    <mergeCell ref="B40:B41"/>
    <mergeCell ref="D40:D41"/>
    <mergeCell ref="D44:D45"/>
    <mergeCell ref="C52:C53"/>
    <mergeCell ref="B60:B61"/>
    <mergeCell ref="D52:D53"/>
    <mergeCell ref="C60:C61"/>
    <mergeCell ref="C62:C63"/>
    <mergeCell ref="D62:D63"/>
    <mergeCell ref="D60:D61"/>
    <mergeCell ref="A64:A65"/>
    <mergeCell ref="C74:C75"/>
    <mergeCell ref="B72:B73"/>
    <mergeCell ref="C68:C69"/>
    <mergeCell ref="A68:A75"/>
    <mergeCell ref="B78:B79"/>
    <mergeCell ref="A76:A83"/>
    <mergeCell ref="C66:C67"/>
    <mergeCell ref="B66:B67"/>
    <mergeCell ref="B64:B65"/>
    <mergeCell ref="B82:B83"/>
    <mergeCell ref="B68:B69"/>
    <mergeCell ref="C82:C83"/>
    <mergeCell ref="B74:B75"/>
    <mergeCell ref="B76:B77"/>
    <mergeCell ref="B70:B71"/>
    <mergeCell ref="A84:A91"/>
    <mergeCell ref="D86:D87"/>
    <mergeCell ref="D88:D89"/>
    <mergeCell ref="D90:D91"/>
    <mergeCell ref="B86:B87"/>
    <mergeCell ref="B90:B91"/>
    <mergeCell ref="B88:B89"/>
    <mergeCell ref="B84:B85"/>
    <mergeCell ref="C90:C91"/>
    <mergeCell ref="B112:B113"/>
    <mergeCell ref="B116:B117"/>
    <mergeCell ref="B108:B109"/>
    <mergeCell ref="D96:D97"/>
    <mergeCell ref="C98:C99"/>
    <mergeCell ref="E96:E97"/>
    <mergeCell ref="D98:D99"/>
    <mergeCell ref="E106:E107"/>
    <mergeCell ref="D108:D109"/>
    <mergeCell ref="E108:E109"/>
    <mergeCell ref="E116:E117"/>
    <mergeCell ref="E114:E115"/>
    <mergeCell ref="C108:C109"/>
    <mergeCell ref="C112:C113"/>
    <mergeCell ref="D114:D115"/>
    <mergeCell ref="C116:C117"/>
    <mergeCell ref="C114:C115"/>
    <mergeCell ref="A92:A135"/>
    <mergeCell ref="B110:B111"/>
    <mergeCell ref="B120:B121"/>
    <mergeCell ref="B118:B119"/>
    <mergeCell ref="C118:C119"/>
    <mergeCell ref="C104:C105"/>
    <mergeCell ref="B106:B107"/>
    <mergeCell ref="C122:C123"/>
    <mergeCell ref="C106:C107"/>
    <mergeCell ref="B114:B115"/>
    <mergeCell ref="B126:B127"/>
    <mergeCell ref="B130:B131"/>
    <mergeCell ref="B92:B93"/>
    <mergeCell ref="C96:C97"/>
    <mergeCell ref="B102:B103"/>
    <mergeCell ref="B100:B101"/>
    <mergeCell ref="B98:B99"/>
    <mergeCell ref="B96:B97"/>
    <mergeCell ref="B104:B105"/>
    <mergeCell ref="B124:B125"/>
    <mergeCell ref="B122:B123"/>
    <mergeCell ref="B134:B135"/>
    <mergeCell ref="B94:B95"/>
    <mergeCell ref="C94:C95"/>
    <mergeCell ref="C120:C121"/>
    <mergeCell ref="D124:D125"/>
    <mergeCell ref="E124:E125"/>
    <mergeCell ref="C124:C125"/>
    <mergeCell ref="D120:D121"/>
    <mergeCell ref="E120:E121"/>
    <mergeCell ref="D122:D123"/>
    <mergeCell ref="E122:E123"/>
    <mergeCell ref="E110:E111"/>
    <mergeCell ref="C110:C111"/>
    <mergeCell ref="E118:E119"/>
    <mergeCell ref="D116:D117"/>
    <mergeCell ref="D112:D113"/>
    <mergeCell ref="E112:E113"/>
    <mergeCell ref="D134:D135"/>
    <mergeCell ref="E134:E135"/>
    <mergeCell ref="C134:C135"/>
    <mergeCell ref="D130:D131"/>
    <mergeCell ref="E130:E131"/>
    <mergeCell ref="C130:C131"/>
    <mergeCell ref="B128:B129"/>
    <mergeCell ref="D128:D129"/>
    <mergeCell ref="E128:E129"/>
    <mergeCell ref="C128:C129"/>
    <mergeCell ref="B132:B133"/>
    <mergeCell ref="D132:D133"/>
    <mergeCell ref="E132:E133"/>
    <mergeCell ref="C132:C133"/>
  </mergeCells>
  <phoneticPr fontId="44" type="noConversion"/>
  <pageMargins left="0.75" right="0.75" top="1" bottom="1" header="0" footer="0"/>
  <pageSetup paperSize="9" orientation="portrait" r:id="rId1"/>
  <headerFooter alignWithMargins="0"/>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1:Z74"/>
  <sheetViews>
    <sheetView topLeftCell="A18" zoomScale="70" zoomScaleNormal="70" workbookViewId="0">
      <selection activeCell="I55" sqref="I55"/>
    </sheetView>
  </sheetViews>
  <sheetFormatPr baseColWidth="10" defaultColWidth="11.44140625" defaultRowHeight="13.2"/>
  <cols>
    <col min="1" max="1" width="1.5546875" customWidth="1"/>
    <col min="2" max="2" width="4.44140625" style="8" customWidth="1"/>
    <col min="3" max="3" width="29.44140625" customWidth="1"/>
    <col min="4" max="4" width="7.44140625" style="11" customWidth="1"/>
    <col min="5" max="5" width="10.5546875" style="8" bestFit="1" customWidth="1"/>
    <col min="6" max="6" width="10.5546875" style="8" customWidth="1"/>
    <col min="7" max="7" width="10.5546875" style="8" bestFit="1" customWidth="1"/>
    <col min="8" max="8" width="11.44140625" style="8"/>
    <col min="9" max="9" width="7.44140625" style="12" customWidth="1"/>
    <col min="10" max="10" width="10.5546875" style="13" hidden="1" customWidth="1"/>
    <col min="11" max="11" width="8.5546875" style="8" customWidth="1"/>
    <col min="12" max="13" width="9.5546875" style="8" hidden="1" customWidth="1"/>
    <col min="14" max="15" width="9.44140625" style="8" hidden="1" customWidth="1"/>
    <col min="16" max="16" width="1.44140625" style="9" customWidth="1"/>
    <col min="17" max="17" width="9.44140625" style="8" bestFit="1" customWidth="1"/>
    <col min="18" max="18" width="9.44140625" style="8" customWidth="1"/>
    <col min="19" max="19" width="1.44140625" style="9" customWidth="1"/>
    <col min="20" max="20" width="34.44140625" style="127" customWidth="1"/>
    <col min="21" max="22" width="6.44140625" bestFit="1" customWidth="1"/>
    <col min="23" max="26" width="8" bestFit="1" customWidth="1"/>
  </cols>
  <sheetData>
    <row r="1" spans="2:26" ht="22.8">
      <c r="B1" s="1" t="s">
        <v>54</v>
      </c>
      <c r="C1" s="2"/>
      <c r="D1" s="3"/>
      <c r="E1" s="4"/>
      <c r="F1" s="4"/>
      <c r="G1" s="5"/>
      <c r="H1" s="4"/>
      <c r="I1" s="6"/>
      <c r="J1" s="7"/>
      <c r="Z1" s="10"/>
    </row>
    <row r="2" spans="2:26" ht="3" customHeight="1" thickBot="1"/>
    <row r="3" spans="2:26" ht="35.25" customHeight="1" thickBot="1">
      <c r="B3" s="14" t="s">
        <v>6</v>
      </c>
      <c r="C3" s="15" t="s">
        <v>7</v>
      </c>
      <c r="D3" s="16" t="s">
        <v>8</v>
      </c>
      <c r="E3" s="17" t="s">
        <v>9</v>
      </c>
      <c r="F3" s="18" t="s">
        <v>10</v>
      </c>
      <c r="G3" s="18" t="s">
        <v>11</v>
      </c>
      <c r="H3" s="19" t="s">
        <v>12</v>
      </c>
      <c r="I3" s="20" t="s">
        <v>13</v>
      </c>
      <c r="J3" s="21"/>
      <c r="K3" s="22" t="s">
        <v>57</v>
      </c>
      <c r="L3" s="15" t="s">
        <v>9</v>
      </c>
      <c r="M3" s="15" t="s">
        <v>10</v>
      </c>
      <c r="N3" s="15" t="s">
        <v>11</v>
      </c>
      <c r="O3" s="18" t="s">
        <v>12</v>
      </c>
      <c r="Q3" s="23" t="s">
        <v>14</v>
      </c>
      <c r="R3" s="24">
        <v>2009</v>
      </c>
      <c r="T3" s="128" t="s">
        <v>15</v>
      </c>
      <c r="U3" s="8"/>
      <c r="V3" s="8"/>
    </row>
    <row r="4" spans="2:26" ht="17.25" customHeight="1">
      <c r="B4" s="25" t="s">
        <v>16</v>
      </c>
      <c r="C4" t="s">
        <v>17</v>
      </c>
      <c r="D4" s="26">
        <v>0.04</v>
      </c>
      <c r="E4" s="141">
        <v>0.59</v>
      </c>
      <c r="F4" s="142">
        <v>0.53</v>
      </c>
      <c r="G4" s="142">
        <v>0.56999999999999995</v>
      </c>
      <c r="H4" s="27">
        <v>0.56000000000000005</v>
      </c>
      <c r="I4" s="28">
        <v>0.9</v>
      </c>
      <c r="J4" s="29">
        <f>+I4*D4</f>
        <v>3.6000000000000004E-2</v>
      </c>
      <c r="K4" s="30">
        <v>0.91</v>
      </c>
      <c r="L4" s="31">
        <f>+E4*$D$4</f>
        <v>2.3599999999999999E-2</v>
      </c>
      <c r="M4" s="31">
        <f>+F4*$D$4</f>
        <v>2.12E-2</v>
      </c>
      <c r="N4" s="31">
        <f>+G4*$D$4</f>
        <v>2.2799999999999997E-2</v>
      </c>
      <c r="O4" s="31">
        <f>+H4*$D$4</f>
        <v>2.2400000000000003E-2</v>
      </c>
      <c r="Q4" s="32">
        <v>0.9</v>
      </c>
      <c r="R4" s="132">
        <v>0.9</v>
      </c>
      <c r="U4" s="33"/>
      <c r="V4" s="34"/>
    </row>
    <row r="5" spans="2:26" ht="24" customHeight="1">
      <c r="B5" s="3193" t="s">
        <v>18</v>
      </c>
      <c r="C5" s="35" t="s">
        <v>19</v>
      </c>
      <c r="D5" s="36">
        <v>0.04</v>
      </c>
      <c r="E5" s="143">
        <v>0.5</v>
      </c>
      <c r="F5" s="144">
        <v>0.8</v>
      </c>
      <c r="G5" s="9">
        <v>1</v>
      </c>
      <c r="H5" s="38">
        <v>0.75</v>
      </c>
      <c r="I5" s="39">
        <v>1</v>
      </c>
      <c r="J5" s="40">
        <f t="shared" ref="J5:J31" si="0">+I5*D5</f>
        <v>0.04</v>
      </c>
      <c r="K5" s="41">
        <v>0.97540000000000004</v>
      </c>
      <c r="L5" s="42">
        <f>+E5*D5</f>
        <v>0.02</v>
      </c>
      <c r="M5" s="42">
        <f>+F5*D5</f>
        <v>3.2000000000000001E-2</v>
      </c>
      <c r="N5" s="42">
        <f>+G5*D5</f>
        <v>0.04</v>
      </c>
      <c r="O5" s="42">
        <f>+H5*D5</f>
        <v>0.03</v>
      </c>
      <c r="Q5" s="43">
        <v>0.75290000000000001</v>
      </c>
      <c r="R5" s="82">
        <v>0.98219999999999996</v>
      </c>
      <c r="U5" s="33"/>
      <c r="V5" s="34"/>
    </row>
    <row r="6" spans="2:26" ht="17.25" customHeight="1">
      <c r="B6" s="3194"/>
      <c r="C6" s="44" t="s">
        <v>20</v>
      </c>
      <c r="D6" s="45">
        <v>0</v>
      </c>
      <c r="E6" s="46">
        <v>0.36</v>
      </c>
      <c r="F6" s="46">
        <v>0.25</v>
      </c>
      <c r="G6" s="46">
        <v>0.67</v>
      </c>
      <c r="H6" s="47">
        <v>0.34610000000000002</v>
      </c>
      <c r="I6" s="48">
        <v>0.45</v>
      </c>
      <c r="J6" s="49">
        <f t="shared" si="0"/>
        <v>0</v>
      </c>
      <c r="K6" s="50">
        <v>0.35489999999999999</v>
      </c>
      <c r="L6" s="51">
        <f>+E6*D6</f>
        <v>0</v>
      </c>
      <c r="M6" s="51">
        <f>+F6*D6</f>
        <v>0</v>
      </c>
      <c r="N6" s="51">
        <f>+G6*D6</f>
        <v>0</v>
      </c>
      <c r="O6" s="51">
        <f>+H6*D6</f>
        <v>0</v>
      </c>
      <c r="Q6" s="52">
        <v>0.4</v>
      </c>
      <c r="R6" s="50">
        <v>0.35799999999999998</v>
      </c>
      <c r="U6" s="53"/>
      <c r="V6" s="53"/>
    </row>
    <row r="7" spans="2:26">
      <c r="B7" s="3193" t="s">
        <v>21</v>
      </c>
      <c r="C7" t="s">
        <v>22</v>
      </c>
      <c r="D7" s="36">
        <v>0</v>
      </c>
      <c r="E7" s="9">
        <v>1</v>
      </c>
      <c r="F7" s="9">
        <v>1</v>
      </c>
      <c r="G7" s="9">
        <v>1</v>
      </c>
      <c r="H7" s="54">
        <v>1</v>
      </c>
      <c r="I7" s="55">
        <v>0.95</v>
      </c>
      <c r="J7" s="40">
        <f t="shared" si="0"/>
        <v>0</v>
      </c>
      <c r="K7" s="41">
        <v>1</v>
      </c>
      <c r="L7" s="56">
        <f>+E7*D7</f>
        <v>0</v>
      </c>
      <c r="M7" s="56">
        <f>+F7*D7</f>
        <v>0</v>
      </c>
      <c r="N7" s="56">
        <f>+G7*D7</f>
        <v>0</v>
      </c>
      <c r="O7" s="56">
        <f>+H7*D7</f>
        <v>0</v>
      </c>
      <c r="Q7" s="57"/>
      <c r="R7" s="41"/>
      <c r="U7" s="53"/>
      <c r="V7" s="53"/>
    </row>
    <row r="8" spans="2:26">
      <c r="B8" s="3195"/>
      <c r="C8" s="58" t="s">
        <v>23</v>
      </c>
      <c r="D8" s="26">
        <v>0</v>
      </c>
      <c r="E8" s="139">
        <v>0</v>
      </c>
      <c r="F8" s="9">
        <v>1</v>
      </c>
      <c r="G8" s="9">
        <v>1</v>
      </c>
      <c r="H8" s="38">
        <v>0.66</v>
      </c>
      <c r="I8" s="55">
        <v>1</v>
      </c>
      <c r="J8" s="40">
        <f t="shared" si="0"/>
        <v>0</v>
      </c>
      <c r="K8" s="41">
        <v>1</v>
      </c>
      <c r="L8" s="56">
        <f>+E8*D8</f>
        <v>0</v>
      </c>
      <c r="M8" s="56">
        <f>+F8*D8</f>
        <v>0</v>
      </c>
      <c r="N8" s="56">
        <f>+G8*D8</f>
        <v>0</v>
      </c>
      <c r="O8" s="56">
        <f>+H8*D8</f>
        <v>0</v>
      </c>
      <c r="Q8" s="57"/>
      <c r="R8" s="41"/>
      <c r="U8" s="53"/>
      <c r="V8" s="53"/>
    </row>
    <row r="9" spans="2:26">
      <c r="B9" s="3194"/>
      <c r="C9" s="58" t="s">
        <v>24</v>
      </c>
      <c r="D9" s="45">
        <v>0.04</v>
      </c>
      <c r="E9" s="59">
        <v>1</v>
      </c>
      <c r="F9" s="59">
        <v>1</v>
      </c>
      <c r="G9" s="59">
        <v>1</v>
      </c>
      <c r="H9" s="47">
        <v>1</v>
      </c>
      <c r="I9" s="48">
        <v>0.95</v>
      </c>
      <c r="J9" s="49">
        <f t="shared" si="0"/>
        <v>3.7999999999999999E-2</v>
      </c>
      <c r="K9" s="50">
        <v>1</v>
      </c>
      <c r="L9" s="51">
        <f>+$D$9*E9</f>
        <v>0.04</v>
      </c>
      <c r="M9" s="51">
        <f>+$D$9*F9</f>
        <v>0.04</v>
      </c>
      <c r="N9" s="51">
        <f>+$D$9*G9</f>
        <v>0.04</v>
      </c>
      <c r="O9" s="51">
        <f>+$D$9*H9</f>
        <v>0.04</v>
      </c>
      <c r="Q9" s="57">
        <v>0.97</v>
      </c>
      <c r="R9" s="41">
        <v>0.97</v>
      </c>
      <c r="U9" s="33"/>
      <c r="V9" s="34"/>
    </row>
    <row r="10" spans="2:26" ht="16.5" customHeight="1">
      <c r="B10" s="3196" t="s">
        <v>25</v>
      </c>
      <c r="C10" s="35" t="s">
        <v>26</v>
      </c>
      <c r="D10" s="61"/>
      <c r="E10" s="62">
        <v>0</v>
      </c>
      <c r="F10" s="145">
        <v>1</v>
      </c>
      <c r="G10" s="63">
        <v>0</v>
      </c>
      <c r="H10" s="64">
        <v>1</v>
      </c>
      <c r="I10" s="172">
        <v>6</v>
      </c>
      <c r="J10" s="65"/>
      <c r="K10" s="66">
        <v>7</v>
      </c>
      <c r="L10" s="67"/>
      <c r="M10" s="67"/>
      <c r="N10" s="67"/>
      <c r="O10" s="67"/>
      <c r="Q10" s="68">
        <v>6</v>
      </c>
      <c r="R10" s="133">
        <v>36</v>
      </c>
      <c r="T10" s="129"/>
      <c r="U10" s="53"/>
      <c r="V10" s="53"/>
    </row>
    <row r="11" spans="2:26" ht="17.25" customHeight="1">
      <c r="B11" s="3197"/>
      <c r="C11" t="s">
        <v>27</v>
      </c>
      <c r="D11" s="61"/>
      <c r="E11" s="69">
        <v>0</v>
      </c>
      <c r="F11" s="63">
        <v>0</v>
      </c>
      <c r="G11" s="63">
        <v>0</v>
      </c>
      <c r="H11" s="64">
        <v>0</v>
      </c>
      <c r="I11" s="172">
        <v>0</v>
      </c>
      <c r="J11" s="65"/>
      <c r="K11" s="66">
        <v>0</v>
      </c>
      <c r="L11" s="67"/>
      <c r="M11" s="67"/>
      <c r="N11" s="67"/>
      <c r="O11" s="67"/>
      <c r="Q11" s="70">
        <v>0</v>
      </c>
      <c r="R11" s="66">
        <v>9</v>
      </c>
      <c r="U11" s="53"/>
      <c r="V11" s="53"/>
    </row>
    <row r="12" spans="2:26" ht="17.25" customHeight="1">
      <c r="B12" s="3197"/>
      <c r="C12" t="s">
        <v>28</v>
      </c>
      <c r="D12" s="61"/>
      <c r="E12" s="62">
        <v>0</v>
      </c>
      <c r="F12" s="71">
        <v>0</v>
      </c>
      <c r="G12" s="71">
        <v>0</v>
      </c>
      <c r="H12" s="64">
        <v>0</v>
      </c>
      <c r="I12" s="172">
        <v>7</v>
      </c>
      <c r="J12" s="65"/>
      <c r="K12" s="66">
        <v>8</v>
      </c>
      <c r="L12" s="67"/>
      <c r="M12" s="67"/>
      <c r="N12" s="67"/>
      <c r="O12" s="67"/>
      <c r="Q12" s="70">
        <v>11</v>
      </c>
      <c r="R12" s="66">
        <v>94</v>
      </c>
      <c r="U12" s="53"/>
      <c r="V12" s="53"/>
    </row>
    <row r="13" spans="2:26" ht="17.25" customHeight="1">
      <c r="B13" s="3197"/>
      <c r="C13" t="s">
        <v>29</v>
      </c>
      <c r="D13" s="61"/>
      <c r="E13" s="69">
        <v>0</v>
      </c>
      <c r="F13" s="130">
        <v>15</v>
      </c>
      <c r="G13" s="130">
        <v>0</v>
      </c>
      <c r="H13" s="64">
        <v>15</v>
      </c>
      <c r="I13" s="172">
        <v>77</v>
      </c>
      <c r="J13" s="65"/>
      <c r="K13" s="66">
        <v>6068</v>
      </c>
      <c r="L13" s="67"/>
      <c r="M13" s="67"/>
      <c r="N13" s="67"/>
      <c r="O13" s="67"/>
      <c r="Q13" s="70">
        <v>51</v>
      </c>
      <c r="R13" s="66">
        <v>8202</v>
      </c>
      <c r="U13" s="53"/>
      <c r="V13" s="53"/>
    </row>
    <row r="14" spans="2:26">
      <c r="B14" s="3197"/>
      <c r="C14" s="72" t="s">
        <v>30</v>
      </c>
      <c r="D14" s="73">
        <v>0.1</v>
      </c>
      <c r="E14" s="131">
        <v>6.85</v>
      </c>
      <c r="F14" s="131">
        <v>10.199999999999999</v>
      </c>
      <c r="G14" s="131">
        <v>0</v>
      </c>
      <c r="H14" s="74">
        <v>6.39</v>
      </c>
      <c r="I14" s="173">
        <v>4.75</v>
      </c>
      <c r="J14" s="65">
        <f>+D14</f>
        <v>0.1</v>
      </c>
      <c r="K14" s="75">
        <v>5.57</v>
      </c>
      <c r="L14" s="76">
        <f>5.06/E14*D14</f>
        <v>7.3868613138686132E-2</v>
      </c>
      <c r="M14" s="76">
        <f>4.97/F14*D14</f>
        <v>4.8725490196078435E-2</v>
      </c>
      <c r="N14" s="76">
        <v>0.1</v>
      </c>
      <c r="O14" s="76">
        <f>I14/H14*D14</f>
        <v>7.4334898278560255E-2</v>
      </c>
      <c r="Q14" s="77">
        <v>2.31</v>
      </c>
      <c r="R14" s="75">
        <v>3.05</v>
      </c>
      <c r="U14" s="53"/>
      <c r="V14" s="53"/>
    </row>
    <row r="15" spans="2:26" ht="17.25" customHeight="1">
      <c r="B15" s="3197"/>
      <c r="C15" s="72" t="s">
        <v>31</v>
      </c>
      <c r="D15" s="73">
        <v>0.1</v>
      </c>
      <c r="E15" s="131">
        <v>10303.790000000001</v>
      </c>
      <c r="F15" s="131">
        <v>163.21</v>
      </c>
      <c r="G15" s="131">
        <v>0</v>
      </c>
      <c r="H15" s="74">
        <v>4860.1499999999996</v>
      </c>
      <c r="I15" s="173">
        <v>60.98</v>
      </c>
      <c r="J15" s="65">
        <f>+D15</f>
        <v>0.1</v>
      </c>
      <c r="K15" s="75">
        <v>4828.05</v>
      </c>
      <c r="L15" s="76">
        <f>50.59/E15*D15</f>
        <v>4.9098438535723264E-4</v>
      </c>
      <c r="M15" s="76">
        <f>96.93/F15*D15</f>
        <v>5.938974327553459E-2</v>
      </c>
      <c r="N15" s="76">
        <v>0.1</v>
      </c>
      <c r="O15" s="76">
        <f>I15/H15*D15</f>
        <v>1.2546937851712397E-3</v>
      </c>
      <c r="Q15" s="77">
        <v>698.45</v>
      </c>
      <c r="R15" s="75">
        <v>694.94</v>
      </c>
      <c r="U15" s="53"/>
      <c r="V15" s="53"/>
    </row>
    <row r="16" spans="2:26" ht="17.25" customHeight="1">
      <c r="B16" s="3197"/>
      <c r="C16" s="58" t="s">
        <v>32</v>
      </c>
      <c r="D16" s="73">
        <v>0.1</v>
      </c>
      <c r="E16" s="131">
        <v>1.71</v>
      </c>
      <c r="F16" s="131">
        <v>5.0999999999999996</v>
      </c>
      <c r="G16" s="131">
        <v>0.73</v>
      </c>
      <c r="H16" s="74">
        <v>2.56</v>
      </c>
      <c r="I16" s="173">
        <v>2.06</v>
      </c>
      <c r="J16" s="65">
        <f>+D16</f>
        <v>0.1</v>
      </c>
      <c r="K16" s="75">
        <v>2.5499999999999998</v>
      </c>
      <c r="L16" s="76">
        <f>1.35/1.71*D16</f>
        <v>7.8947368421052655E-2</v>
      </c>
      <c r="M16" s="76">
        <f>2.98/F16*D16</f>
        <v>5.8431372549019617E-2</v>
      </c>
      <c r="N16" s="76">
        <v>0.1</v>
      </c>
      <c r="O16" s="76">
        <f>I16/H16*D16</f>
        <v>8.0468750000000006E-2</v>
      </c>
      <c r="Q16" s="77">
        <v>3.14</v>
      </c>
      <c r="R16" s="75">
        <v>2.36</v>
      </c>
      <c r="U16" s="53"/>
      <c r="V16" s="53"/>
    </row>
    <row r="17" spans="2:22" ht="17.25" customHeight="1">
      <c r="B17" s="3197"/>
      <c r="C17" s="58" t="s">
        <v>33</v>
      </c>
      <c r="D17" s="26">
        <v>0.08</v>
      </c>
      <c r="E17" s="78">
        <v>0.66</v>
      </c>
      <c r="F17" s="79">
        <v>0.82</v>
      </c>
      <c r="G17" s="79">
        <v>0.79</v>
      </c>
      <c r="H17" s="38">
        <v>0.69</v>
      </c>
      <c r="I17" s="55">
        <v>0.85</v>
      </c>
      <c r="J17" s="65">
        <f t="shared" si="0"/>
        <v>6.8000000000000005E-2</v>
      </c>
      <c r="K17" s="41">
        <v>0.74729999999999996</v>
      </c>
      <c r="L17" s="51">
        <f>+$D$17*E17</f>
        <v>5.2800000000000007E-2</v>
      </c>
      <c r="M17" s="56">
        <f>+$D$17*F17</f>
        <v>6.5599999999999992E-2</v>
      </c>
      <c r="N17" s="56">
        <f>+$D$17*G17</f>
        <v>6.3200000000000006E-2</v>
      </c>
      <c r="O17" s="56">
        <f>+$D$17*H17</f>
        <v>5.5199999999999999E-2</v>
      </c>
      <c r="Q17" s="57"/>
      <c r="R17" s="41">
        <v>0.74299999999999999</v>
      </c>
      <c r="U17" s="33"/>
      <c r="V17" s="34"/>
    </row>
    <row r="18" spans="2:22" ht="17.25" customHeight="1">
      <c r="B18" s="3197"/>
      <c r="C18" t="s">
        <v>34</v>
      </c>
      <c r="D18" s="26">
        <v>0.08</v>
      </c>
      <c r="E18" s="143">
        <v>0.69</v>
      </c>
      <c r="F18" s="144">
        <v>0.47</v>
      </c>
      <c r="G18" s="144">
        <v>0.38</v>
      </c>
      <c r="H18" s="38">
        <v>0.55559999999999998</v>
      </c>
      <c r="I18" s="55">
        <v>0.95</v>
      </c>
      <c r="J18" s="65">
        <f t="shared" si="0"/>
        <v>7.5999999999999998E-2</v>
      </c>
      <c r="K18" s="41">
        <v>0.91290000000000004</v>
      </c>
      <c r="L18" s="9">
        <f>+E18*D18</f>
        <v>5.5199999999999999E-2</v>
      </c>
      <c r="M18" s="9">
        <f t="shared" ref="M18:M28" si="1">+F18*D18</f>
        <v>3.7600000000000001E-2</v>
      </c>
      <c r="N18" s="9">
        <f t="shared" ref="N18:N28" si="2">+G18*D18</f>
        <v>3.04E-2</v>
      </c>
      <c r="O18" s="9">
        <f t="shared" ref="O18:O24" si="3">+H18*D18</f>
        <v>4.4448000000000001E-2</v>
      </c>
      <c r="Q18" s="57">
        <v>0.52</v>
      </c>
      <c r="R18" s="41">
        <v>0.93400000000000005</v>
      </c>
      <c r="U18" s="33"/>
      <c r="V18" s="34"/>
    </row>
    <row r="19" spans="2:22" ht="17.25" customHeight="1">
      <c r="B19" s="3197"/>
      <c r="C19" t="s">
        <v>35</v>
      </c>
      <c r="D19" s="26">
        <v>0</v>
      </c>
      <c r="E19" s="37">
        <v>0.57999999999999996</v>
      </c>
      <c r="F19" s="9">
        <v>0.62</v>
      </c>
      <c r="G19" s="9">
        <v>0.25</v>
      </c>
      <c r="H19" s="38">
        <v>0.44</v>
      </c>
      <c r="I19" s="55">
        <v>0.85</v>
      </c>
      <c r="J19" s="65">
        <f t="shared" si="0"/>
        <v>0</v>
      </c>
      <c r="K19" s="41">
        <v>0.78120000000000001</v>
      </c>
      <c r="L19" s="9">
        <f t="shared" ref="L19:L28" si="4">+E19*D19</f>
        <v>0</v>
      </c>
      <c r="M19" s="9">
        <f t="shared" si="1"/>
        <v>0</v>
      </c>
      <c r="N19" s="9">
        <f t="shared" si="2"/>
        <v>0</v>
      </c>
      <c r="O19" s="9">
        <f t="shared" si="3"/>
        <v>0</v>
      </c>
      <c r="Q19" s="57">
        <v>0.47</v>
      </c>
      <c r="R19" s="41">
        <v>0.56999999999999995</v>
      </c>
      <c r="U19" s="53"/>
      <c r="V19" s="53"/>
    </row>
    <row r="20" spans="2:22" ht="17.25" customHeight="1">
      <c r="B20" s="3197"/>
      <c r="C20" s="72" t="s">
        <v>36</v>
      </c>
      <c r="D20" s="26">
        <v>0</v>
      </c>
      <c r="E20" s="143">
        <v>0.14000000000000001</v>
      </c>
      <c r="F20" s="144">
        <v>0.17</v>
      </c>
      <c r="G20" s="144">
        <v>0.04</v>
      </c>
      <c r="H20" s="38">
        <v>0.13</v>
      </c>
      <c r="I20" s="55">
        <v>0.6</v>
      </c>
      <c r="J20" s="65">
        <f t="shared" si="0"/>
        <v>0</v>
      </c>
      <c r="K20" s="41">
        <v>0.7</v>
      </c>
      <c r="L20" s="9">
        <f t="shared" si="4"/>
        <v>0</v>
      </c>
      <c r="M20" s="9">
        <f t="shared" si="1"/>
        <v>0</v>
      </c>
      <c r="N20" s="9">
        <f>+G20*D20</f>
        <v>0</v>
      </c>
      <c r="O20" s="9">
        <f t="shared" si="3"/>
        <v>0</v>
      </c>
      <c r="Q20" s="57"/>
      <c r="R20" s="41">
        <v>0.64</v>
      </c>
      <c r="U20" s="53"/>
      <c r="V20" s="53"/>
    </row>
    <row r="21" spans="2:22" ht="17.25" customHeight="1">
      <c r="B21" s="3198"/>
      <c r="C21" s="44" t="s">
        <v>37</v>
      </c>
      <c r="D21" s="45">
        <v>0</v>
      </c>
      <c r="E21" s="80">
        <v>0.56000000000000005</v>
      </c>
      <c r="F21" s="46">
        <v>0.36</v>
      </c>
      <c r="G21" s="46">
        <v>0.19</v>
      </c>
      <c r="H21" s="38">
        <v>0.43</v>
      </c>
      <c r="I21" s="55">
        <v>0.55000000000000004</v>
      </c>
      <c r="J21" s="65">
        <f t="shared" si="0"/>
        <v>0</v>
      </c>
      <c r="K21" s="41">
        <v>0.71689999999999998</v>
      </c>
      <c r="L21" s="9">
        <f t="shared" si="4"/>
        <v>0</v>
      </c>
      <c r="M21" s="9">
        <f t="shared" si="1"/>
        <v>0</v>
      </c>
      <c r="N21" s="9">
        <f t="shared" si="2"/>
        <v>0</v>
      </c>
      <c r="O21" s="9">
        <f t="shared" si="3"/>
        <v>0</v>
      </c>
      <c r="Q21" s="52">
        <v>0.34</v>
      </c>
      <c r="R21" s="50"/>
      <c r="U21" s="53"/>
      <c r="V21" s="53"/>
    </row>
    <row r="22" spans="2:22" ht="21.75" customHeight="1">
      <c r="B22" s="3193" t="s">
        <v>38</v>
      </c>
      <c r="C22" s="35" t="s">
        <v>39</v>
      </c>
      <c r="D22" s="36">
        <v>0.04</v>
      </c>
      <c r="E22" s="79">
        <v>1</v>
      </c>
      <c r="F22" s="9">
        <v>1</v>
      </c>
      <c r="G22" s="9">
        <v>1</v>
      </c>
      <c r="H22" s="54">
        <v>1</v>
      </c>
      <c r="I22" s="39">
        <v>0.95</v>
      </c>
      <c r="J22" s="81">
        <f t="shared" si="0"/>
        <v>3.7999999999999999E-2</v>
      </c>
      <c r="K22" s="82">
        <v>1</v>
      </c>
      <c r="L22" s="83">
        <f>+E22*D22</f>
        <v>0.04</v>
      </c>
      <c r="M22" s="83">
        <f t="shared" si="1"/>
        <v>0.04</v>
      </c>
      <c r="N22" s="83">
        <f t="shared" si="2"/>
        <v>0.04</v>
      </c>
      <c r="O22" s="83">
        <f t="shared" si="3"/>
        <v>0.04</v>
      </c>
      <c r="Q22" s="43"/>
      <c r="R22" s="82">
        <v>0.95</v>
      </c>
      <c r="U22" s="53"/>
      <c r="V22" s="53"/>
    </row>
    <row r="23" spans="2:22" ht="17.25" customHeight="1">
      <c r="B23" s="3194"/>
      <c r="C23" s="44" t="s">
        <v>40</v>
      </c>
      <c r="D23" s="45">
        <v>0.08</v>
      </c>
      <c r="E23" s="79">
        <v>1</v>
      </c>
      <c r="F23" s="9">
        <v>0.94</v>
      </c>
      <c r="G23" s="9">
        <v>1</v>
      </c>
      <c r="H23" s="47">
        <v>0.99</v>
      </c>
      <c r="I23" s="48">
        <v>1</v>
      </c>
      <c r="J23" s="84">
        <f t="shared" si="0"/>
        <v>0.08</v>
      </c>
      <c r="K23" s="50">
        <v>0.99</v>
      </c>
      <c r="L23" s="46">
        <f t="shared" si="4"/>
        <v>0.08</v>
      </c>
      <c r="M23" s="46">
        <f t="shared" si="1"/>
        <v>7.5200000000000003E-2</v>
      </c>
      <c r="N23" s="46">
        <f t="shared" si="2"/>
        <v>0.08</v>
      </c>
      <c r="O23" s="46">
        <f t="shared" si="3"/>
        <v>7.9200000000000007E-2</v>
      </c>
      <c r="Q23" s="52"/>
      <c r="R23" s="50">
        <v>0.96799999999999997</v>
      </c>
      <c r="U23" s="53"/>
      <c r="V23" s="53"/>
    </row>
    <row r="24" spans="2:22" ht="17.25" customHeight="1">
      <c r="B24" s="25" t="s">
        <v>41</v>
      </c>
      <c r="C24" t="s">
        <v>42</v>
      </c>
      <c r="D24" s="85">
        <v>0.05</v>
      </c>
      <c r="E24" s="86">
        <v>0.66</v>
      </c>
      <c r="F24" s="83">
        <v>0.82</v>
      </c>
      <c r="G24" s="83">
        <v>0.79</v>
      </c>
      <c r="H24" s="38">
        <v>0.69</v>
      </c>
      <c r="I24" s="175">
        <v>0.8</v>
      </c>
      <c r="J24" s="176">
        <f t="shared" si="0"/>
        <v>4.0000000000000008E-2</v>
      </c>
      <c r="K24" s="177">
        <v>0.69</v>
      </c>
      <c r="L24" s="90">
        <f>+E24*D24</f>
        <v>3.3000000000000002E-2</v>
      </c>
      <c r="M24" s="90">
        <f>+F24*D24</f>
        <v>4.1000000000000002E-2</v>
      </c>
      <c r="N24" s="90">
        <f>+G24*D24</f>
        <v>3.9500000000000007E-2</v>
      </c>
      <c r="O24" s="90">
        <f t="shared" si="3"/>
        <v>3.4499999999999996E-2</v>
      </c>
      <c r="Q24" s="43"/>
      <c r="R24" s="41">
        <v>0.89</v>
      </c>
      <c r="U24" s="53"/>
      <c r="V24" s="53"/>
    </row>
    <row r="25" spans="2:22" ht="17.25" customHeight="1">
      <c r="B25" s="25"/>
      <c r="C25" s="58" t="s">
        <v>56</v>
      </c>
      <c r="D25" s="85">
        <v>0.02</v>
      </c>
      <c r="E25" s="140">
        <v>0.67</v>
      </c>
      <c r="F25" s="59">
        <v>0.83</v>
      </c>
      <c r="G25" s="59">
        <v>1</v>
      </c>
      <c r="H25" s="47">
        <v>0.83</v>
      </c>
      <c r="I25" s="48">
        <v>0.95</v>
      </c>
      <c r="J25" s="84">
        <f t="shared" si="0"/>
        <v>1.9E-2</v>
      </c>
      <c r="K25" s="50">
        <v>0.76</v>
      </c>
      <c r="L25" s="46">
        <f>+$H$25*$D$25</f>
        <v>1.66E-2</v>
      </c>
      <c r="M25" s="46">
        <f>+$H$25*$D$25</f>
        <v>1.66E-2</v>
      </c>
      <c r="N25" s="46">
        <f>+$H$25*$D$25</f>
        <v>1.66E-2</v>
      </c>
      <c r="O25" s="46">
        <f>+$H$25*$D$25</f>
        <v>1.66E-2</v>
      </c>
      <c r="Q25" s="52"/>
      <c r="R25" s="41">
        <v>0.75</v>
      </c>
      <c r="U25" s="33"/>
      <c r="V25" s="34"/>
    </row>
    <row r="26" spans="2:22" ht="17.25" customHeight="1">
      <c r="B26" s="3193" t="s">
        <v>43</v>
      </c>
      <c r="C26" s="35" t="s">
        <v>44</v>
      </c>
      <c r="D26" s="36">
        <v>0.05</v>
      </c>
      <c r="E26" s="79">
        <v>1</v>
      </c>
      <c r="F26" s="9">
        <v>1</v>
      </c>
      <c r="G26" s="9">
        <v>0.98</v>
      </c>
      <c r="H26" s="38">
        <v>0.99</v>
      </c>
      <c r="I26" s="55">
        <v>1</v>
      </c>
      <c r="J26" s="65">
        <f t="shared" si="0"/>
        <v>0.05</v>
      </c>
      <c r="K26" s="41">
        <v>1</v>
      </c>
      <c r="L26" s="9">
        <f t="shared" si="4"/>
        <v>0.05</v>
      </c>
      <c r="M26" s="9">
        <f t="shared" si="1"/>
        <v>0.05</v>
      </c>
      <c r="N26" s="9">
        <f t="shared" si="2"/>
        <v>4.9000000000000002E-2</v>
      </c>
      <c r="O26" s="9">
        <f>+H26*D26</f>
        <v>4.9500000000000002E-2</v>
      </c>
      <c r="Q26" s="57"/>
      <c r="R26" s="82">
        <v>0.97699999999999998</v>
      </c>
      <c r="U26" s="53"/>
      <c r="V26" s="53"/>
    </row>
    <row r="27" spans="2:22">
      <c r="B27" s="3194"/>
      <c r="C27" s="44" t="s">
        <v>45</v>
      </c>
      <c r="D27" s="45">
        <v>0</v>
      </c>
      <c r="E27" s="78">
        <v>0.66</v>
      </c>
      <c r="F27" s="79">
        <v>0.52</v>
      </c>
      <c r="G27" s="139">
        <f>5/45</f>
        <v>0.1111111111111111</v>
      </c>
      <c r="H27" s="38">
        <v>0.51670000000000005</v>
      </c>
      <c r="I27" s="55">
        <v>0.7</v>
      </c>
      <c r="J27" s="65">
        <f t="shared" si="0"/>
        <v>0</v>
      </c>
      <c r="K27" s="41">
        <v>0.6</v>
      </c>
      <c r="L27" s="9">
        <f t="shared" si="4"/>
        <v>0</v>
      </c>
      <c r="M27" s="9">
        <f t="shared" si="1"/>
        <v>0</v>
      </c>
      <c r="N27" s="9">
        <f t="shared" si="2"/>
        <v>0</v>
      </c>
      <c r="O27" s="9">
        <f>+H27*D27</f>
        <v>0</v>
      </c>
      <c r="Q27" s="92"/>
      <c r="R27" s="134"/>
      <c r="U27" s="53"/>
      <c r="V27" s="53"/>
    </row>
    <row r="28" spans="2:22" ht="17.25" customHeight="1">
      <c r="B28" s="93" t="s">
        <v>46</v>
      </c>
      <c r="C28" s="94" t="s">
        <v>47</v>
      </c>
      <c r="D28" s="95">
        <v>0.05</v>
      </c>
      <c r="E28" s="178">
        <v>0.88</v>
      </c>
      <c r="F28" s="83">
        <v>1</v>
      </c>
      <c r="G28" s="179">
        <v>0.84</v>
      </c>
      <c r="H28" s="87">
        <v>0.91</v>
      </c>
      <c r="I28" s="170">
        <v>1</v>
      </c>
      <c r="J28" s="88">
        <f t="shared" si="0"/>
        <v>0.05</v>
      </c>
      <c r="K28" s="89">
        <v>0.99</v>
      </c>
      <c r="L28" s="90">
        <f t="shared" si="4"/>
        <v>4.4000000000000004E-2</v>
      </c>
      <c r="M28" s="90">
        <f t="shared" si="1"/>
        <v>0.05</v>
      </c>
      <c r="N28" s="90">
        <f t="shared" si="2"/>
        <v>4.2000000000000003E-2</v>
      </c>
      <c r="O28" s="90">
        <f>+H28*D28</f>
        <v>4.5500000000000006E-2</v>
      </c>
      <c r="Q28" s="96"/>
      <c r="R28" s="89">
        <v>0.98</v>
      </c>
      <c r="U28" s="53"/>
      <c r="V28" s="53"/>
    </row>
    <row r="29" spans="2:22" ht="17.25" customHeight="1">
      <c r="B29" s="93" t="s">
        <v>48</v>
      </c>
      <c r="C29" s="97" t="s">
        <v>49</v>
      </c>
      <c r="D29" s="98">
        <v>0.03</v>
      </c>
      <c r="E29" s="67"/>
      <c r="F29" s="67"/>
      <c r="G29" s="67"/>
      <c r="H29" s="54">
        <v>0.96</v>
      </c>
      <c r="I29" s="39">
        <v>0.95</v>
      </c>
      <c r="J29" s="81">
        <f t="shared" si="0"/>
        <v>2.8499999999999998E-2</v>
      </c>
      <c r="K29" s="82">
        <v>0.96</v>
      </c>
      <c r="L29" s="83">
        <f>+$H$29*$D$29</f>
        <v>2.8799999999999999E-2</v>
      </c>
      <c r="M29" s="83">
        <f>+$H$29*$D$29</f>
        <v>2.8799999999999999E-2</v>
      </c>
      <c r="N29" s="83">
        <f>+$H$29*$D$29</f>
        <v>2.8799999999999999E-2</v>
      </c>
      <c r="O29" s="83">
        <f>+$H$29*$D$29</f>
        <v>2.8799999999999999E-2</v>
      </c>
      <c r="Q29" s="43">
        <v>0.92</v>
      </c>
      <c r="R29" s="82">
        <v>0.92</v>
      </c>
      <c r="U29" s="53"/>
      <c r="V29" s="53"/>
    </row>
    <row r="30" spans="2:22" ht="17.25" customHeight="1">
      <c r="B30" s="99"/>
      <c r="C30" s="100" t="s">
        <v>50</v>
      </c>
      <c r="D30" s="101">
        <v>0.02</v>
      </c>
      <c r="E30" s="91"/>
      <c r="F30" s="91"/>
      <c r="G30" s="91"/>
      <c r="H30" s="47">
        <v>0.97</v>
      </c>
      <c r="I30" s="48">
        <v>0.95</v>
      </c>
      <c r="J30" s="84">
        <f t="shared" si="0"/>
        <v>1.9E-2</v>
      </c>
      <c r="K30" s="50">
        <v>0.97</v>
      </c>
      <c r="L30" s="46">
        <f>+O30</f>
        <v>1.9400000000000001E-2</v>
      </c>
      <c r="M30" s="46">
        <f>+O30</f>
        <v>1.9400000000000001E-2</v>
      </c>
      <c r="N30" s="46">
        <f>+O30</f>
        <v>1.9400000000000001E-2</v>
      </c>
      <c r="O30" s="46">
        <f>+H30*D30</f>
        <v>1.9400000000000001E-2</v>
      </c>
      <c r="Q30" s="52">
        <v>0.98</v>
      </c>
      <c r="R30" s="50">
        <v>0.98</v>
      </c>
      <c r="U30" s="53"/>
      <c r="V30" s="53"/>
    </row>
    <row r="31" spans="2:22" ht="13.8" thickBot="1">
      <c r="B31" s="180" t="s">
        <v>51</v>
      </c>
      <c r="C31" s="181" t="s">
        <v>52</v>
      </c>
      <c r="D31" s="182">
        <v>0.08</v>
      </c>
      <c r="E31" s="183"/>
      <c r="F31" s="183"/>
      <c r="G31" s="183"/>
      <c r="H31" s="184">
        <v>0.79</v>
      </c>
      <c r="I31" s="174">
        <v>0.9</v>
      </c>
      <c r="J31" s="106">
        <f t="shared" si="0"/>
        <v>7.2000000000000008E-2</v>
      </c>
      <c r="K31" s="107">
        <v>0.79</v>
      </c>
      <c r="L31" s="108">
        <f>+O31</f>
        <v>6.3200000000000006E-2</v>
      </c>
      <c r="M31" s="108">
        <f>+O31</f>
        <v>6.3200000000000006E-2</v>
      </c>
      <c r="N31" s="108">
        <f>+O31</f>
        <v>6.3200000000000006E-2</v>
      </c>
      <c r="O31" s="108">
        <f>+H31*D31</f>
        <v>6.3200000000000006E-2</v>
      </c>
      <c r="Q31" s="109">
        <v>0.8</v>
      </c>
      <c r="R31" s="107">
        <v>0.8</v>
      </c>
      <c r="U31" s="33"/>
      <c r="V31" s="53"/>
    </row>
    <row r="32" spans="2:22" s="110" customFormat="1" ht="20.25" customHeight="1" thickBot="1">
      <c r="B32" s="111"/>
      <c r="C32" s="112" t="s">
        <v>53</v>
      </c>
      <c r="D32" s="113">
        <f>SUM(D4:D31)</f>
        <v>1.0000000000000002</v>
      </c>
      <c r="E32" s="114">
        <f>+L32</f>
        <v>0.71990696594509618</v>
      </c>
      <c r="F32" s="115">
        <f>+M32</f>
        <v>0.74714660602063276</v>
      </c>
      <c r="G32" s="115">
        <f>+N32</f>
        <v>0.87490000000000012</v>
      </c>
      <c r="H32" s="116">
        <f>+O32</f>
        <v>0.7288063420637314</v>
      </c>
      <c r="I32" s="174">
        <f>+J32</f>
        <v>0.95450000000000013</v>
      </c>
      <c r="J32" s="106">
        <f>SUM(J4:J31)</f>
        <v>0.95450000000000013</v>
      </c>
      <c r="K32" s="117">
        <v>0.83395402110657324</v>
      </c>
      <c r="L32" s="115">
        <f>SUM(L4:L31)</f>
        <v>0.71990696594509618</v>
      </c>
      <c r="M32" s="115">
        <f>SUM(M4:M31)</f>
        <v>0.74714660602063276</v>
      </c>
      <c r="N32" s="115">
        <f>SUM(N4:N31)</f>
        <v>0.87490000000000012</v>
      </c>
      <c r="O32" s="115">
        <f>SUM(O4:O31)+0.004</f>
        <v>0.7288063420637314</v>
      </c>
      <c r="P32" s="118"/>
      <c r="Q32" s="116"/>
      <c r="R32" s="117">
        <v>0.71799999999999997</v>
      </c>
      <c r="S32" s="118"/>
      <c r="T32" s="128"/>
      <c r="U32" s="119"/>
      <c r="V32" s="119"/>
    </row>
    <row r="33" spans="2:18" ht="12" customHeight="1">
      <c r="C33" s="120"/>
      <c r="E33" s="121"/>
      <c r="F33" s="121"/>
      <c r="G33" s="121"/>
      <c r="H33" s="121"/>
      <c r="I33" s="122"/>
      <c r="K33" s="121"/>
      <c r="L33" s="121"/>
      <c r="M33" s="121"/>
      <c r="N33" s="121"/>
      <c r="O33" s="121"/>
      <c r="Q33" s="121"/>
      <c r="R33" s="121"/>
    </row>
    <row r="34" spans="2:18">
      <c r="B34" s="123"/>
      <c r="C34" s="120"/>
      <c r="E34" s="124"/>
      <c r="F34" s="124"/>
      <c r="G34" s="124"/>
      <c r="H34" s="124"/>
      <c r="I34" s="122"/>
    </row>
    <row r="35" spans="2:18">
      <c r="I35" s="8"/>
    </row>
    <row r="51" spans="25:25" ht="18.600000000000001">
      <c r="Y51" s="125"/>
    </row>
    <row r="74" spans="25:25" ht="21">
      <c r="Y74" s="126"/>
    </row>
  </sheetData>
  <mergeCells count="5">
    <mergeCell ref="B26:B27"/>
    <mergeCell ref="B5:B6"/>
    <mergeCell ref="B7:B9"/>
    <mergeCell ref="B10:B21"/>
    <mergeCell ref="B22:B23"/>
  </mergeCells>
  <phoneticPr fontId="44" type="noConversion"/>
  <pageMargins left="0.75" right="0.75" top="1" bottom="1" header="0" footer="0"/>
  <pageSetup orientation="portrait" horizontalDpi="300" verticalDpi="300" r:id="rId1"/>
  <headerFooter alignWithMargins="0"/>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B1:Z75"/>
  <sheetViews>
    <sheetView zoomScale="85" workbookViewId="0">
      <selection activeCell="F37" sqref="F37"/>
    </sheetView>
  </sheetViews>
  <sheetFormatPr baseColWidth="10" defaultColWidth="11.44140625" defaultRowHeight="13.2"/>
  <cols>
    <col min="1" max="1" width="1.5546875" customWidth="1"/>
    <col min="2" max="2" width="4.44140625" style="8" customWidth="1"/>
    <col min="3" max="3" width="29.44140625" customWidth="1"/>
    <col min="4" max="4" width="7.44140625" style="11" customWidth="1"/>
    <col min="5" max="5" width="10.5546875" style="8" bestFit="1" customWidth="1"/>
    <col min="6" max="6" width="10.5546875" style="8" customWidth="1"/>
    <col min="7" max="7" width="10.5546875" style="8" bestFit="1" customWidth="1"/>
    <col min="8" max="8" width="11.44140625" style="8"/>
    <col min="9" max="9" width="7.44140625" style="12" customWidth="1"/>
    <col min="10" max="10" width="10.5546875" style="13" hidden="1" customWidth="1"/>
    <col min="11" max="11" width="8.5546875" style="8" customWidth="1"/>
    <col min="12" max="13" width="9.5546875" style="8" hidden="1" customWidth="1"/>
    <col min="14" max="15" width="9.44140625" style="8" hidden="1" customWidth="1"/>
    <col min="16" max="16" width="1.44140625" style="9" customWidth="1"/>
    <col min="17" max="17" width="9.44140625" style="8" bestFit="1" customWidth="1"/>
    <col min="18" max="18" width="9.44140625" style="8" customWidth="1"/>
    <col min="19" max="19" width="1.44140625" style="9" customWidth="1"/>
    <col min="20" max="20" width="41.5546875" style="127" bestFit="1" customWidth="1"/>
    <col min="21" max="22" width="6.44140625" bestFit="1" customWidth="1"/>
    <col min="23" max="26" width="8" bestFit="1" customWidth="1"/>
  </cols>
  <sheetData>
    <row r="1" spans="2:26" ht="22.8">
      <c r="B1" s="1" t="s">
        <v>96</v>
      </c>
      <c r="C1" s="2"/>
      <c r="D1" s="3"/>
      <c r="E1" s="4"/>
      <c r="F1" s="4"/>
      <c r="G1" s="5"/>
      <c r="H1" s="4"/>
      <c r="I1" s="6"/>
      <c r="J1" s="7"/>
      <c r="Z1" s="10"/>
    </row>
    <row r="2" spans="2:26" ht="3" customHeight="1" thickBot="1"/>
    <row r="3" spans="2:26" ht="35.25" customHeight="1" thickBot="1">
      <c r="B3" s="14" t="s">
        <v>6</v>
      </c>
      <c r="C3" s="15" t="s">
        <v>7</v>
      </c>
      <c r="D3" s="16" t="s">
        <v>8</v>
      </c>
      <c r="E3" s="17" t="s">
        <v>9</v>
      </c>
      <c r="F3" s="18" t="s">
        <v>10</v>
      </c>
      <c r="G3" s="18" t="s">
        <v>11</v>
      </c>
      <c r="H3" s="19" t="s">
        <v>12</v>
      </c>
      <c r="I3" s="171" t="s">
        <v>13</v>
      </c>
      <c r="J3" s="21"/>
      <c r="K3" s="22" t="s">
        <v>57</v>
      </c>
      <c r="L3" s="15" t="s">
        <v>9</v>
      </c>
      <c r="M3" s="15" t="s">
        <v>10</v>
      </c>
      <c r="N3" s="15" t="s">
        <v>11</v>
      </c>
      <c r="O3" s="18" t="s">
        <v>12</v>
      </c>
      <c r="Q3" s="23" t="s">
        <v>14</v>
      </c>
      <c r="R3" s="24">
        <v>2009</v>
      </c>
      <c r="T3" s="128" t="s">
        <v>15</v>
      </c>
      <c r="U3" s="8"/>
      <c r="V3" s="8"/>
    </row>
    <row r="4" spans="2:26" ht="17.25" customHeight="1">
      <c r="B4" s="199" t="s">
        <v>16</v>
      </c>
      <c r="C4" s="200" t="s">
        <v>17</v>
      </c>
      <c r="D4" s="201">
        <v>0.04</v>
      </c>
      <c r="E4" s="155">
        <v>0.69</v>
      </c>
      <c r="F4" s="156">
        <v>0.55000000000000004</v>
      </c>
      <c r="G4" s="156">
        <v>0.76</v>
      </c>
      <c r="H4" s="27">
        <v>0.64690000000000003</v>
      </c>
      <c r="I4" s="28">
        <v>0.9</v>
      </c>
      <c r="J4" s="29">
        <f>+I4*D4</f>
        <v>3.6000000000000004E-2</v>
      </c>
      <c r="K4" s="30">
        <v>0.91</v>
      </c>
      <c r="L4" s="31">
        <f>+E4*$D$4</f>
        <v>2.76E-2</v>
      </c>
      <c r="M4" s="31">
        <f>+F4*$D$4</f>
        <v>2.2000000000000002E-2</v>
      </c>
      <c r="N4" s="31">
        <f>+G4*$D$4</f>
        <v>3.04E-2</v>
      </c>
      <c r="O4" s="31">
        <f>+H4*$D$4</f>
        <v>2.5876000000000003E-2</v>
      </c>
      <c r="Q4" s="32"/>
      <c r="R4" s="190">
        <v>0.9</v>
      </c>
      <c r="U4" s="33"/>
      <c r="V4" s="34"/>
    </row>
    <row r="5" spans="2:26" ht="24" customHeight="1">
      <c r="B5" s="3193" t="s">
        <v>18</v>
      </c>
      <c r="C5" s="35" t="s">
        <v>19</v>
      </c>
      <c r="D5" s="36">
        <v>0.04</v>
      </c>
      <c r="E5" s="157">
        <v>0.83</v>
      </c>
      <c r="F5" s="158">
        <v>0.8</v>
      </c>
      <c r="G5" s="158">
        <v>0.9</v>
      </c>
      <c r="H5" s="38">
        <v>0.84379999999999999</v>
      </c>
      <c r="I5" s="39">
        <v>1</v>
      </c>
      <c r="J5" s="40">
        <f t="shared" ref="J5:J32" si="0">+I5*D5</f>
        <v>0.04</v>
      </c>
      <c r="K5" s="41">
        <v>0.97540000000000004</v>
      </c>
      <c r="L5" s="42">
        <f>+E5*D5</f>
        <v>3.32E-2</v>
      </c>
      <c r="M5" s="42">
        <f>+F5*D5</f>
        <v>3.2000000000000001E-2</v>
      </c>
      <c r="N5" s="42">
        <f>+G5*D5</f>
        <v>3.6000000000000004E-2</v>
      </c>
      <c r="O5" s="42">
        <f>+H5*D5</f>
        <v>3.3751999999999997E-2</v>
      </c>
      <c r="Q5" s="43"/>
      <c r="R5" s="191">
        <v>0.98219999999999996</v>
      </c>
      <c r="U5" s="33"/>
      <c r="V5" s="34"/>
    </row>
    <row r="6" spans="2:26" ht="17.25" customHeight="1">
      <c r="B6" s="3194"/>
      <c r="C6" s="44" t="s">
        <v>20</v>
      </c>
      <c r="D6" s="45">
        <v>0</v>
      </c>
      <c r="E6" s="159">
        <v>0.2581</v>
      </c>
      <c r="F6" s="159">
        <v>0.3</v>
      </c>
      <c r="G6" s="159">
        <v>0.64710000000000001</v>
      </c>
      <c r="H6" s="47">
        <v>0.36759999999999998</v>
      </c>
      <c r="I6" s="48">
        <v>0.45</v>
      </c>
      <c r="J6" s="49">
        <f t="shared" si="0"/>
        <v>0</v>
      </c>
      <c r="K6" s="50">
        <v>0.35489999999999999</v>
      </c>
      <c r="L6" s="51">
        <f>+E6*D6</f>
        <v>0</v>
      </c>
      <c r="M6" s="51">
        <f>+F6*D6</f>
        <v>0</v>
      </c>
      <c r="N6" s="51">
        <f>+G6*D6</f>
        <v>0</v>
      </c>
      <c r="O6" s="51">
        <f>+H6*D6</f>
        <v>0</v>
      </c>
      <c r="Q6" s="52"/>
      <c r="R6" s="192">
        <v>0.35799999999999998</v>
      </c>
      <c r="U6" s="53"/>
      <c r="V6" s="53"/>
    </row>
    <row r="7" spans="2:26">
      <c r="B7" s="3193" t="s">
        <v>21</v>
      </c>
      <c r="C7" t="s">
        <v>22</v>
      </c>
      <c r="D7" s="36">
        <v>0</v>
      </c>
      <c r="E7" s="158"/>
      <c r="F7" s="158"/>
      <c r="G7" s="158"/>
      <c r="H7" s="54"/>
      <c r="I7" s="55">
        <v>0.95</v>
      </c>
      <c r="J7" s="40">
        <f t="shared" si="0"/>
        <v>0</v>
      </c>
      <c r="K7" s="41">
        <v>1</v>
      </c>
      <c r="L7" s="56">
        <f>+E7*D7</f>
        <v>0</v>
      </c>
      <c r="M7" s="56">
        <f>+F7*D7</f>
        <v>0</v>
      </c>
      <c r="N7" s="56">
        <f>+G7*D7</f>
        <v>0</v>
      </c>
      <c r="O7" s="56">
        <f>+H7*D7</f>
        <v>0</v>
      </c>
      <c r="Q7" s="57"/>
      <c r="R7" s="177"/>
      <c r="U7" s="53"/>
      <c r="V7" s="53"/>
    </row>
    <row r="8" spans="2:26">
      <c r="B8" s="3195"/>
      <c r="C8" s="58" t="s">
        <v>23</v>
      </c>
      <c r="D8" s="26">
        <v>0</v>
      </c>
      <c r="E8" s="160"/>
      <c r="F8" s="158"/>
      <c r="G8" s="158"/>
      <c r="H8" s="38"/>
      <c r="I8" s="55">
        <v>1</v>
      </c>
      <c r="J8" s="40">
        <f t="shared" si="0"/>
        <v>0</v>
      </c>
      <c r="K8" s="41">
        <v>1</v>
      </c>
      <c r="L8" s="56">
        <f>+E8*D8</f>
        <v>0</v>
      </c>
      <c r="M8" s="56">
        <f>+F8*D8</f>
        <v>0</v>
      </c>
      <c r="N8" s="56">
        <f>+G8*D8</f>
        <v>0</v>
      </c>
      <c r="O8" s="56">
        <f>+H8*D8</f>
        <v>0</v>
      </c>
      <c r="Q8" s="57"/>
      <c r="R8" s="177"/>
      <c r="U8" s="53"/>
      <c r="V8" s="53"/>
    </row>
    <row r="9" spans="2:26">
      <c r="B9" s="3194"/>
      <c r="C9" s="189" t="s">
        <v>24</v>
      </c>
      <c r="D9" s="45">
        <v>0.04</v>
      </c>
      <c r="E9" s="161">
        <v>1</v>
      </c>
      <c r="F9" s="161">
        <v>1</v>
      </c>
      <c r="G9" s="161">
        <v>1</v>
      </c>
      <c r="H9" s="47">
        <v>1</v>
      </c>
      <c r="I9" s="48">
        <v>0.95</v>
      </c>
      <c r="J9" s="49">
        <f t="shared" si="0"/>
        <v>3.7999999999999999E-2</v>
      </c>
      <c r="K9" s="50">
        <v>1</v>
      </c>
      <c r="L9" s="60">
        <f>+$D$9*E9</f>
        <v>0.04</v>
      </c>
      <c r="M9" s="51">
        <f>+$D$9*F9</f>
        <v>0.04</v>
      </c>
      <c r="N9" s="51">
        <f>+$D$9*G9</f>
        <v>0.04</v>
      </c>
      <c r="O9" s="51">
        <f>+$D$9*H9</f>
        <v>0.04</v>
      </c>
      <c r="Q9" s="52"/>
      <c r="R9" s="192">
        <v>0.97</v>
      </c>
      <c r="U9" s="33"/>
      <c r="V9" s="34"/>
    </row>
    <row r="10" spans="2:26">
      <c r="B10" s="3199" t="s">
        <v>25</v>
      </c>
      <c r="C10" s="58" t="s">
        <v>99</v>
      </c>
      <c r="D10" s="61"/>
      <c r="E10" s="162">
        <v>292</v>
      </c>
      <c r="F10" s="162">
        <v>33</v>
      </c>
      <c r="G10" s="162">
        <v>476</v>
      </c>
      <c r="H10" s="64">
        <v>33</v>
      </c>
      <c r="I10" s="55"/>
      <c r="J10" s="40"/>
      <c r="K10" s="41"/>
      <c r="L10" s="56"/>
      <c r="M10" s="56"/>
      <c r="N10" s="56"/>
      <c r="O10" s="56"/>
      <c r="Q10" s="57"/>
      <c r="R10" s="177"/>
      <c r="U10" s="33"/>
      <c r="V10" s="34"/>
    </row>
    <row r="11" spans="2:26" ht="16.5" customHeight="1">
      <c r="B11" s="3199"/>
      <c r="C11" t="s">
        <v>26</v>
      </c>
      <c r="D11" s="61"/>
      <c r="E11" s="152">
        <v>0</v>
      </c>
      <c r="F11" s="153">
        <v>1</v>
      </c>
      <c r="G11" s="153">
        <v>0</v>
      </c>
      <c r="H11" s="64">
        <v>1</v>
      </c>
      <c r="I11" s="172">
        <v>6</v>
      </c>
      <c r="J11" s="65"/>
      <c r="K11" s="66">
        <v>7</v>
      </c>
      <c r="L11" s="67"/>
      <c r="M11" s="67"/>
      <c r="N11" s="67"/>
      <c r="O11" s="67"/>
      <c r="Q11" s="70">
        <v>9</v>
      </c>
      <c r="R11" s="193">
        <v>36</v>
      </c>
      <c r="T11" s="129"/>
      <c r="U11" s="53"/>
      <c r="V11" s="53"/>
    </row>
    <row r="12" spans="2:26" ht="17.25" customHeight="1">
      <c r="B12" s="3199"/>
      <c r="C12" t="s">
        <v>27</v>
      </c>
      <c r="D12" s="61"/>
      <c r="E12" s="152">
        <v>0</v>
      </c>
      <c r="F12" s="153">
        <v>0</v>
      </c>
      <c r="G12" s="153">
        <v>0</v>
      </c>
      <c r="H12" s="64">
        <v>0</v>
      </c>
      <c r="I12" s="172">
        <v>0</v>
      </c>
      <c r="J12" s="65"/>
      <c r="K12" s="66">
        <v>0</v>
      </c>
      <c r="L12" s="67"/>
      <c r="M12" s="67"/>
      <c r="N12" s="67"/>
      <c r="O12" s="67"/>
      <c r="Q12" s="70">
        <v>1</v>
      </c>
      <c r="R12" s="193">
        <v>9</v>
      </c>
      <c r="U12" s="53"/>
      <c r="V12" s="53"/>
    </row>
    <row r="13" spans="2:26" ht="17.25" customHeight="1">
      <c r="B13" s="3199"/>
      <c r="C13" t="s">
        <v>28</v>
      </c>
      <c r="D13" s="61"/>
      <c r="E13" s="152">
        <v>1</v>
      </c>
      <c r="F13" s="153">
        <v>0</v>
      </c>
      <c r="G13" s="153">
        <v>0</v>
      </c>
      <c r="H13" s="64">
        <v>1</v>
      </c>
      <c r="I13" s="172">
        <v>9</v>
      </c>
      <c r="J13" s="65"/>
      <c r="K13" s="66">
        <v>8</v>
      </c>
      <c r="L13" s="67"/>
      <c r="M13" s="67"/>
      <c r="N13" s="67"/>
      <c r="O13" s="67"/>
      <c r="Q13" s="70">
        <v>16</v>
      </c>
      <c r="R13" s="193">
        <v>94</v>
      </c>
      <c r="U13" s="53"/>
      <c r="V13" s="53"/>
    </row>
    <row r="14" spans="2:26" ht="17.25" customHeight="1">
      <c r="B14" s="3199"/>
      <c r="C14" t="s">
        <v>29</v>
      </c>
      <c r="D14" s="61"/>
      <c r="E14" s="152">
        <v>0</v>
      </c>
      <c r="F14" s="162">
        <v>54</v>
      </c>
      <c r="G14" s="162">
        <v>0</v>
      </c>
      <c r="H14" s="64">
        <v>15</v>
      </c>
      <c r="I14" s="172">
        <v>150</v>
      </c>
      <c r="J14" s="65"/>
      <c r="K14" s="66">
        <v>6068</v>
      </c>
      <c r="L14" s="67"/>
      <c r="M14" s="67"/>
      <c r="N14" s="67"/>
      <c r="O14" s="67"/>
      <c r="Q14" s="70">
        <v>121</v>
      </c>
      <c r="R14" s="193">
        <v>8202</v>
      </c>
      <c r="U14" s="53"/>
      <c r="V14" s="53"/>
    </row>
    <row r="15" spans="2:26">
      <c r="B15" s="3199"/>
      <c r="C15" s="72" t="s">
        <v>30</v>
      </c>
      <c r="D15" s="73">
        <v>0.1</v>
      </c>
      <c r="E15" s="154">
        <v>6.85</v>
      </c>
      <c r="F15" s="154">
        <v>7.65</v>
      </c>
      <c r="G15" s="154">
        <v>0</v>
      </c>
      <c r="H15" s="74">
        <v>5.67</v>
      </c>
      <c r="I15" s="173">
        <v>4.7699999999999996</v>
      </c>
      <c r="J15" s="65">
        <f>+D15</f>
        <v>0.1</v>
      </c>
      <c r="K15" s="75">
        <v>5.57</v>
      </c>
      <c r="L15" s="76">
        <f>5.09/E15*D15</f>
        <v>7.4306569343065704E-2</v>
      </c>
      <c r="M15" s="76">
        <f>5.13/F15*D15</f>
        <v>6.7058823529411768E-2</v>
      </c>
      <c r="N15" s="76">
        <f>3.61/3.61*D15</f>
        <v>0.1</v>
      </c>
      <c r="O15" s="76">
        <f>I15/H15*D15</f>
        <v>8.412698412698412E-2</v>
      </c>
      <c r="Q15" s="77">
        <v>3.21</v>
      </c>
      <c r="R15" s="194">
        <v>3.05</v>
      </c>
      <c r="T15" s="127" t="s">
        <v>100</v>
      </c>
      <c r="U15" s="53"/>
      <c r="V15" s="53"/>
    </row>
    <row r="16" spans="2:26" ht="17.25" customHeight="1">
      <c r="B16" s="3199"/>
      <c r="C16" s="72" t="s">
        <v>31</v>
      </c>
      <c r="D16" s="73">
        <v>0.1</v>
      </c>
      <c r="E16" s="154">
        <v>10303.790000000001</v>
      </c>
      <c r="F16" s="154">
        <v>163.21</v>
      </c>
      <c r="G16" s="154">
        <v>0</v>
      </c>
      <c r="H16" s="74">
        <v>4917.1000000000004</v>
      </c>
      <c r="I16" s="173">
        <v>119.3</v>
      </c>
      <c r="J16" s="65">
        <f>+D16</f>
        <v>0.1</v>
      </c>
      <c r="K16" s="75">
        <v>4828.05</v>
      </c>
      <c r="L16" s="76">
        <f>128.25/E16*D16</f>
        <v>1.244687634355902E-3</v>
      </c>
      <c r="M16" s="76">
        <f>128.25/F16*D16</f>
        <v>7.857974388824214E-2</v>
      </c>
      <c r="N16" s="76">
        <f>90.19/90.19*D16</f>
        <v>0.1</v>
      </c>
      <c r="O16" s="76">
        <f>I16/H16*D16</f>
        <v>2.4262268410241809E-3</v>
      </c>
      <c r="Q16" s="77">
        <v>717.5</v>
      </c>
      <c r="R16" s="194">
        <v>694.94</v>
      </c>
      <c r="U16" s="53"/>
      <c r="V16" s="53"/>
    </row>
    <row r="17" spans="2:22" ht="17.25" customHeight="1">
      <c r="B17" s="3199"/>
      <c r="C17" s="58" t="s">
        <v>32</v>
      </c>
      <c r="D17" s="73">
        <v>0.1</v>
      </c>
      <c r="E17" s="154">
        <v>1.71</v>
      </c>
      <c r="F17" s="154">
        <v>4.59</v>
      </c>
      <c r="G17" s="154">
        <v>0.73</v>
      </c>
      <c r="H17" s="74">
        <v>2.4300000000000002</v>
      </c>
      <c r="I17" s="173">
        <v>2.39</v>
      </c>
      <c r="J17" s="65">
        <f>+D17</f>
        <v>0.1</v>
      </c>
      <c r="K17" s="75">
        <v>2.5499999999999998</v>
      </c>
      <c r="L17" s="76">
        <f>2.37/2.37*D17</f>
        <v>0.1</v>
      </c>
      <c r="M17" s="76">
        <f>2.56/F17*D17</f>
        <v>5.5773420479302838E-2</v>
      </c>
      <c r="N17" s="76">
        <f>2.16/2.16*D17</f>
        <v>0.1</v>
      </c>
      <c r="O17" s="76">
        <f>I17/H17*D17</f>
        <v>9.8353909465020581E-2</v>
      </c>
      <c r="Q17" s="77">
        <v>2.34</v>
      </c>
      <c r="R17" s="194">
        <v>2.36</v>
      </c>
      <c r="U17" s="53"/>
      <c r="V17" s="53"/>
    </row>
    <row r="18" spans="2:22" ht="17.25" customHeight="1">
      <c r="B18" s="3199"/>
      <c r="C18" s="58" t="s">
        <v>33</v>
      </c>
      <c r="D18" s="26">
        <v>0.08</v>
      </c>
      <c r="E18" s="163">
        <v>0.66</v>
      </c>
      <c r="F18" s="160">
        <v>0.78800000000000003</v>
      </c>
      <c r="G18" s="160">
        <v>0.79</v>
      </c>
      <c r="H18" s="38">
        <v>0.74670000000000003</v>
      </c>
      <c r="I18" s="55">
        <v>0.85</v>
      </c>
      <c r="J18" s="65">
        <f t="shared" si="0"/>
        <v>6.8000000000000005E-2</v>
      </c>
      <c r="K18" s="41">
        <v>0.74729999999999996</v>
      </c>
      <c r="L18" s="51">
        <f>+$D$18*E18</f>
        <v>5.2800000000000007E-2</v>
      </c>
      <c r="M18" s="56">
        <f>+$D$18*F18</f>
        <v>6.3039999999999999E-2</v>
      </c>
      <c r="N18" s="56">
        <f>+$D$18*G18</f>
        <v>6.3200000000000006E-2</v>
      </c>
      <c r="O18" s="56">
        <f>+$D$18*H18</f>
        <v>5.9736000000000004E-2</v>
      </c>
      <c r="Q18" s="57"/>
      <c r="R18" s="177">
        <v>0.74299999999999999</v>
      </c>
      <c r="U18" s="33"/>
      <c r="V18" s="34"/>
    </row>
    <row r="19" spans="2:22" ht="17.25" customHeight="1">
      <c r="B19" s="3199"/>
      <c r="C19" t="s">
        <v>34</v>
      </c>
      <c r="D19" s="26">
        <v>0.08</v>
      </c>
      <c r="E19" s="157">
        <v>0.63</v>
      </c>
      <c r="F19" s="158">
        <v>0.56699999999999995</v>
      </c>
      <c r="G19" s="158">
        <v>0.56520000000000004</v>
      </c>
      <c r="H19" s="38">
        <v>0.59619999999999995</v>
      </c>
      <c r="I19" s="55">
        <v>0.95</v>
      </c>
      <c r="J19" s="65">
        <f t="shared" si="0"/>
        <v>7.5999999999999998E-2</v>
      </c>
      <c r="K19" s="41">
        <v>0.91290000000000004</v>
      </c>
      <c r="L19" s="9">
        <f>+E19*D19</f>
        <v>5.04E-2</v>
      </c>
      <c r="M19" s="9">
        <f t="shared" ref="M19:M29" si="1">+F19*D19</f>
        <v>4.5359999999999998E-2</v>
      </c>
      <c r="N19" s="9">
        <f t="shared" ref="N19:N29" si="2">+G19*D19</f>
        <v>4.5216000000000006E-2</v>
      </c>
      <c r="O19" s="9">
        <f t="shared" ref="O19:O25" si="3">+H19*D19</f>
        <v>4.7695999999999995E-2</v>
      </c>
      <c r="Q19" s="57"/>
      <c r="R19" s="177">
        <v>0.93400000000000005</v>
      </c>
      <c r="U19" s="33"/>
      <c r="V19" s="34"/>
    </row>
    <row r="20" spans="2:22" ht="17.25" customHeight="1">
      <c r="B20" s="3199"/>
      <c r="C20" t="s">
        <v>35</v>
      </c>
      <c r="D20" s="26">
        <v>0</v>
      </c>
      <c r="E20" s="157">
        <v>0.49</v>
      </c>
      <c r="F20" s="158">
        <v>0.57999999999999996</v>
      </c>
      <c r="G20" s="158">
        <v>0.39</v>
      </c>
      <c r="H20" s="38">
        <v>0.5</v>
      </c>
      <c r="I20" s="55">
        <v>0.85</v>
      </c>
      <c r="J20" s="65">
        <f t="shared" si="0"/>
        <v>0</v>
      </c>
      <c r="K20" s="41">
        <v>0.78120000000000001</v>
      </c>
      <c r="L20" s="9">
        <f t="shared" ref="L20:L29" si="4">+E20*D20</f>
        <v>0</v>
      </c>
      <c r="M20" s="9">
        <f t="shared" si="1"/>
        <v>0</v>
      </c>
      <c r="N20" s="9">
        <f t="shared" si="2"/>
        <v>0</v>
      </c>
      <c r="O20" s="9">
        <f t="shared" si="3"/>
        <v>0</v>
      </c>
      <c r="Q20" s="57"/>
      <c r="R20" s="177">
        <v>0.56999999999999995</v>
      </c>
      <c r="U20" s="53"/>
      <c r="V20" s="53"/>
    </row>
    <row r="21" spans="2:22" ht="17.25" customHeight="1">
      <c r="B21" s="3199"/>
      <c r="C21" s="72" t="s">
        <v>36</v>
      </c>
      <c r="D21" s="26">
        <v>0</v>
      </c>
      <c r="E21" s="157">
        <v>0.37</v>
      </c>
      <c r="F21" s="158">
        <v>0.35</v>
      </c>
      <c r="G21" s="158">
        <v>0.09</v>
      </c>
      <c r="H21" s="38">
        <v>0.3</v>
      </c>
      <c r="I21" s="55">
        <v>0.6</v>
      </c>
      <c r="J21" s="65">
        <f t="shared" si="0"/>
        <v>0</v>
      </c>
      <c r="K21" s="41">
        <v>0.7</v>
      </c>
      <c r="L21" s="9">
        <f t="shared" si="4"/>
        <v>0</v>
      </c>
      <c r="M21" s="9">
        <f t="shared" si="1"/>
        <v>0</v>
      </c>
      <c r="N21" s="9">
        <f>+G21*D21</f>
        <v>0</v>
      </c>
      <c r="O21" s="9">
        <f t="shared" si="3"/>
        <v>0</v>
      </c>
      <c r="Q21" s="57"/>
      <c r="R21" s="177">
        <v>0.64</v>
      </c>
      <c r="U21" s="53"/>
      <c r="V21" s="53"/>
    </row>
    <row r="22" spans="2:22" ht="17.25" customHeight="1">
      <c r="B22" s="3199"/>
      <c r="C22" s="44" t="s">
        <v>37</v>
      </c>
      <c r="D22" s="45">
        <v>0</v>
      </c>
      <c r="E22" s="164">
        <v>0.48</v>
      </c>
      <c r="F22" s="159">
        <v>0.3</v>
      </c>
      <c r="G22" s="159">
        <v>0.24</v>
      </c>
      <c r="H22" s="38">
        <v>0.37</v>
      </c>
      <c r="I22" s="55">
        <v>0.55000000000000004</v>
      </c>
      <c r="J22" s="65">
        <f t="shared" si="0"/>
        <v>0</v>
      </c>
      <c r="K22" s="41">
        <v>0.71689999999999998</v>
      </c>
      <c r="L22" s="9">
        <f t="shared" si="4"/>
        <v>0</v>
      </c>
      <c r="M22" s="9">
        <f t="shared" si="1"/>
        <v>0</v>
      </c>
      <c r="N22" s="9">
        <f t="shared" si="2"/>
        <v>0</v>
      </c>
      <c r="O22" s="9">
        <f t="shared" si="3"/>
        <v>0</v>
      </c>
      <c r="Q22" s="52"/>
      <c r="R22" s="192"/>
      <c r="U22" s="53"/>
      <c r="V22" s="53"/>
    </row>
    <row r="23" spans="2:22" ht="21.75" customHeight="1">
      <c r="B23" s="3193" t="s">
        <v>38</v>
      </c>
      <c r="C23" s="35" t="s">
        <v>39</v>
      </c>
      <c r="D23" s="36">
        <v>0.04</v>
      </c>
      <c r="E23" s="160">
        <v>1</v>
      </c>
      <c r="F23" s="158">
        <v>1</v>
      </c>
      <c r="G23" s="158">
        <v>1</v>
      </c>
      <c r="H23" s="54">
        <v>1</v>
      </c>
      <c r="I23" s="39">
        <v>0.95</v>
      </c>
      <c r="J23" s="81">
        <f t="shared" si="0"/>
        <v>3.7999999999999999E-2</v>
      </c>
      <c r="K23" s="82">
        <v>1</v>
      </c>
      <c r="L23" s="83">
        <f>+E23*D23</f>
        <v>0.04</v>
      </c>
      <c r="M23" s="83">
        <f t="shared" si="1"/>
        <v>0.04</v>
      </c>
      <c r="N23" s="83">
        <f t="shared" si="2"/>
        <v>0.04</v>
      </c>
      <c r="O23" s="83">
        <f t="shared" si="3"/>
        <v>0.04</v>
      </c>
      <c r="Q23" s="43"/>
      <c r="R23" s="191">
        <v>0.95</v>
      </c>
      <c r="U23" s="53"/>
      <c r="V23" s="53"/>
    </row>
    <row r="24" spans="2:22" ht="17.25" customHeight="1">
      <c r="B24" s="3194"/>
      <c r="C24" s="44" t="s">
        <v>40</v>
      </c>
      <c r="D24" s="45">
        <v>0.08</v>
      </c>
      <c r="E24" s="160">
        <v>1</v>
      </c>
      <c r="F24" s="158">
        <v>0.94</v>
      </c>
      <c r="G24" s="158">
        <v>1</v>
      </c>
      <c r="H24" s="47">
        <v>0.99</v>
      </c>
      <c r="I24" s="48">
        <v>1</v>
      </c>
      <c r="J24" s="84">
        <f t="shared" si="0"/>
        <v>0.08</v>
      </c>
      <c r="K24" s="50">
        <v>0.99</v>
      </c>
      <c r="L24" s="46">
        <f t="shared" si="4"/>
        <v>0.08</v>
      </c>
      <c r="M24" s="46">
        <f t="shared" si="1"/>
        <v>7.5200000000000003E-2</v>
      </c>
      <c r="N24" s="46">
        <f t="shared" si="2"/>
        <v>0.08</v>
      </c>
      <c r="O24" s="46">
        <f t="shared" si="3"/>
        <v>7.9200000000000007E-2</v>
      </c>
      <c r="Q24" s="52"/>
      <c r="R24" s="192">
        <v>0.96799999999999997</v>
      </c>
      <c r="U24" s="53"/>
      <c r="V24" s="53"/>
    </row>
    <row r="25" spans="2:22" ht="17.25" customHeight="1">
      <c r="B25" s="25" t="s">
        <v>41</v>
      </c>
      <c r="C25" t="s">
        <v>42</v>
      </c>
      <c r="D25" s="85">
        <v>0.05</v>
      </c>
      <c r="E25" s="165">
        <v>0.66</v>
      </c>
      <c r="F25" s="166">
        <v>0.82</v>
      </c>
      <c r="G25" s="166">
        <v>0.79</v>
      </c>
      <c r="H25" s="38">
        <v>0.69</v>
      </c>
      <c r="I25" s="170">
        <v>0.8</v>
      </c>
      <c r="J25" s="88">
        <f t="shared" si="0"/>
        <v>4.0000000000000008E-2</v>
      </c>
      <c r="K25" s="89">
        <v>0.69</v>
      </c>
      <c r="L25" s="90">
        <f>+E25*D25</f>
        <v>3.3000000000000002E-2</v>
      </c>
      <c r="M25" s="90">
        <f>+F25*D25</f>
        <v>4.1000000000000002E-2</v>
      </c>
      <c r="N25" s="90">
        <f>+G25*D25</f>
        <v>3.9500000000000007E-2</v>
      </c>
      <c r="O25" s="90">
        <f t="shared" si="3"/>
        <v>3.4499999999999996E-2</v>
      </c>
      <c r="Q25" s="43"/>
      <c r="R25" s="177">
        <v>0.89</v>
      </c>
      <c r="U25" s="53"/>
      <c r="V25" s="53"/>
    </row>
    <row r="26" spans="2:22" ht="17.25" customHeight="1">
      <c r="B26" s="25"/>
      <c r="C26" s="58" t="s">
        <v>97</v>
      </c>
      <c r="D26" s="85">
        <v>0.02</v>
      </c>
      <c r="E26" s="167">
        <v>0.9</v>
      </c>
      <c r="F26" s="161">
        <v>0.77</v>
      </c>
      <c r="G26" s="161">
        <v>1</v>
      </c>
      <c r="H26" s="47">
        <v>0.92</v>
      </c>
      <c r="I26" s="48">
        <v>0.95</v>
      </c>
      <c r="J26" s="84">
        <f t="shared" si="0"/>
        <v>1.9E-2</v>
      </c>
      <c r="K26" s="50">
        <v>0.76</v>
      </c>
      <c r="L26" s="46">
        <f>+$H$26*$D$26</f>
        <v>1.84E-2</v>
      </c>
      <c r="M26" s="46">
        <f>+$H$26*$D$26</f>
        <v>1.84E-2</v>
      </c>
      <c r="N26" s="46">
        <f>+$H$26*$D$26</f>
        <v>1.84E-2</v>
      </c>
      <c r="O26" s="46">
        <f>+$H$26*$D$26</f>
        <v>1.84E-2</v>
      </c>
      <c r="Q26" s="52"/>
      <c r="R26" s="177">
        <v>0.75</v>
      </c>
      <c r="U26" s="33"/>
      <c r="V26" s="34"/>
    </row>
    <row r="27" spans="2:22" ht="17.25" customHeight="1">
      <c r="B27" s="3193" t="s">
        <v>43</v>
      </c>
      <c r="C27" s="35" t="s">
        <v>44</v>
      </c>
      <c r="D27" s="36">
        <v>0.05</v>
      </c>
      <c r="E27" s="160">
        <v>1</v>
      </c>
      <c r="F27" s="158">
        <v>1</v>
      </c>
      <c r="G27" s="158">
        <v>0.99</v>
      </c>
      <c r="H27" s="38">
        <v>0.99</v>
      </c>
      <c r="I27" s="55">
        <v>1</v>
      </c>
      <c r="J27" s="65">
        <f t="shared" si="0"/>
        <v>0.05</v>
      </c>
      <c r="K27" s="41">
        <v>1</v>
      </c>
      <c r="L27" s="9">
        <f t="shared" si="4"/>
        <v>0.05</v>
      </c>
      <c r="M27" s="9">
        <f t="shared" si="1"/>
        <v>0.05</v>
      </c>
      <c r="N27" s="9">
        <f t="shared" si="2"/>
        <v>4.9500000000000002E-2</v>
      </c>
      <c r="O27" s="9">
        <f>+H27*D27</f>
        <v>4.9500000000000002E-2</v>
      </c>
      <c r="Q27" s="57"/>
      <c r="R27" s="191">
        <v>0.97699999999999998</v>
      </c>
      <c r="U27" s="53"/>
      <c r="V27" s="53"/>
    </row>
    <row r="28" spans="2:22">
      <c r="B28" s="3194"/>
      <c r="C28" s="44" t="s">
        <v>45</v>
      </c>
      <c r="D28" s="45">
        <v>0</v>
      </c>
      <c r="E28" s="163">
        <v>0.19</v>
      </c>
      <c r="F28" s="160">
        <v>0.51</v>
      </c>
      <c r="G28" s="187"/>
      <c r="H28" s="38">
        <v>0.43</v>
      </c>
      <c r="I28" s="55">
        <v>0.7</v>
      </c>
      <c r="J28" s="65">
        <f t="shared" si="0"/>
        <v>0</v>
      </c>
      <c r="K28" s="41">
        <v>0.6</v>
      </c>
      <c r="L28" s="9">
        <f t="shared" si="4"/>
        <v>0</v>
      </c>
      <c r="M28" s="9">
        <f t="shared" si="1"/>
        <v>0</v>
      </c>
      <c r="N28" s="9">
        <f t="shared" si="2"/>
        <v>0</v>
      </c>
      <c r="O28" s="9">
        <f>+H28*D28</f>
        <v>0</v>
      </c>
      <c r="Q28" s="92"/>
      <c r="R28" s="195"/>
      <c r="U28" s="53"/>
      <c r="V28" s="53"/>
    </row>
    <row r="29" spans="2:22" ht="17.25" customHeight="1">
      <c r="B29" s="93" t="s">
        <v>46</v>
      </c>
      <c r="C29" s="94" t="s">
        <v>47</v>
      </c>
      <c r="D29" s="95">
        <v>0.05</v>
      </c>
      <c r="E29" s="168">
        <v>0.91</v>
      </c>
      <c r="F29" s="169">
        <v>0.99</v>
      </c>
      <c r="G29" s="169">
        <v>0.91</v>
      </c>
      <c r="H29" s="87">
        <v>0.93</v>
      </c>
      <c r="I29" s="170">
        <v>1</v>
      </c>
      <c r="J29" s="88">
        <f t="shared" si="0"/>
        <v>0.05</v>
      </c>
      <c r="K29" s="89">
        <v>0.99</v>
      </c>
      <c r="L29" s="90">
        <f t="shared" si="4"/>
        <v>4.5500000000000006E-2</v>
      </c>
      <c r="M29" s="90">
        <f t="shared" si="1"/>
        <v>4.9500000000000002E-2</v>
      </c>
      <c r="N29" s="90">
        <f t="shared" si="2"/>
        <v>4.5500000000000006E-2</v>
      </c>
      <c r="O29" s="90">
        <f>+H29*D29</f>
        <v>4.6500000000000007E-2</v>
      </c>
      <c r="Q29" s="96"/>
      <c r="R29" s="196">
        <v>0.98</v>
      </c>
      <c r="U29" s="53"/>
      <c r="V29" s="53"/>
    </row>
    <row r="30" spans="2:22" ht="17.25" customHeight="1">
      <c r="B30" s="93" t="s">
        <v>48</v>
      </c>
      <c r="C30" s="97" t="s">
        <v>49</v>
      </c>
      <c r="D30" s="95">
        <v>0.03</v>
      </c>
      <c r="E30" s="67"/>
      <c r="F30" s="67"/>
      <c r="G30" s="67"/>
      <c r="H30" s="54">
        <v>0.96</v>
      </c>
      <c r="I30" s="39">
        <v>0.95</v>
      </c>
      <c r="J30" s="81">
        <f t="shared" si="0"/>
        <v>2.8499999999999998E-2</v>
      </c>
      <c r="K30" s="82">
        <v>0.96</v>
      </c>
      <c r="L30" s="83">
        <f>+$H$30*$D$30</f>
        <v>2.8799999999999999E-2</v>
      </c>
      <c r="M30" s="83">
        <f>+$H$30*$D$30</f>
        <v>2.8799999999999999E-2</v>
      </c>
      <c r="N30" s="83">
        <f>+$H$30*$D$30</f>
        <v>2.8799999999999999E-2</v>
      </c>
      <c r="O30" s="83">
        <f>+$H$30*$D$30</f>
        <v>2.8799999999999999E-2</v>
      </c>
      <c r="Q30" s="43"/>
      <c r="R30" s="191">
        <v>0.92</v>
      </c>
      <c r="U30" s="53"/>
      <c r="V30" s="53"/>
    </row>
    <row r="31" spans="2:22" ht="17.25" customHeight="1">
      <c r="B31" s="99"/>
      <c r="C31" s="100" t="s">
        <v>50</v>
      </c>
      <c r="D31" s="45">
        <v>0.02</v>
      </c>
      <c r="E31" s="91"/>
      <c r="F31" s="91"/>
      <c r="G31" s="91"/>
      <c r="H31" s="47">
        <v>0.97</v>
      </c>
      <c r="I31" s="48">
        <v>0.95</v>
      </c>
      <c r="J31" s="84">
        <f t="shared" si="0"/>
        <v>1.9E-2</v>
      </c>
      <c r="K31" s="50">
        <v>0.97</v>
      </c>
      <c r="L31" s="46">
        <f>+O31</f>
        <v>1.9400000000000001E-2</v>
      </c>
      <c r="M31" s="46">
        <f>+O31</f>
        <v>1.9400000000000001E-2</v>
      </c>
      <c r="N31" s="46">
        <f>+O31</f>
        <v>1.9400000000000001E-2</v>
      </c>
      <c r="O31" s="46">
        <f>+H31*D31</f>
        <v>1.9400000000000001E-2</v>
      </c>
      <c r="Q31" s="52"/>
      <c r="R31" s="192">
        <v>0.98</v>
      </c>
      <c r="U31" s="53"/>
      <c r="V31" s="53"/>
    </row>
    <row r="32" spans="2:22" ht="13.8" thickBot="1">
      <c r="B32" s="102" t="s">
        <v>51</v>
      </c>
      <c r="C32" s="103" t="s">
        <v>52</v>
      </c>
      <c r="D32" s="185">
        <v>0.08</v>
      </c>
      <c r="E32" s="183"/>
      <c r="F32" s="183"/>
      <c r="G32" s="183"/>
      <c r="H32" s="104">
        <v>0.79</v>
      </c>
      <c r="I32" s="174">
        <v>0.9</v>
      </c>
      <c r="J32" s="106">
        <f t="shared" si="0"/>
        <v>7.2000000000000008E-2</v>
      </c>
      <c r="K32" s="107">
        <v>0.79</v>
      </c>
      <c r="L32" s="108">
        <f>+O32</f>
        <v>6.3200000000000006E-2</v>
      </c>
      <c r="M32" s="108">
        <f>+O32</f>
        <v>6.3200000000000006E-2</v>
      </c>
      <c r="N32" s="108">
        <f>+O32</f>
        <v>6.3200000000000006E-2</v>
      </c>
      <c r="O32" s="108">
        <f>+H32*D32</f>
        <v>6.3200000000000006E-2</v>
      </c>
      <c r="Q32" s="109"/>
      <c r="R32" s="197">
        <v>0.8</v>
      </c>
      <c r="U32" s="33"/>
      <c r="V32" s="53"/>
    </row>
    <row r="33" spans="2:22" s="110" customFormat="1" ht="20.25" customHeight="1" thickBot="1">
      <c r="B33" s="111"/>
      <c r="C33" s="112" t="s">
        <v>53</v>
      </c>
      <c r="D33" s="113">
        <f>SUM(D4:D32)</f>
        <v>1.0000000000000002</v>
      </c>
      <c r="E33" s="114">
        <f>+L33</f>
        <v>0.75785125697742162</v>
      </c>
      <c r="F33" s="115">
        <f>+M33</f>
        <v>0.78931198789695678</v>
      </c>
      <c r="G33" s="115">
        <f>+N33</f>
        <v>0.89911600000000003</v>
      </c>
      <c r="H33" s="116">
        <f>+O33</f>
        <v>0.7754671204330289</v>
      </c>
      <c r="I33" s="105">
        <f>+J33</f>
        <v>0.95450000000000013</v>
      </c>
      <c r="J33" s="106">
        <f>SUM(J4:J32)</f>
        <v>0.95450000000000013</v>
      </c>
      <c r="K33" s="117">
        <v>0.83395402110657324</v>
      </c>
      <c r="L33" s="115">
        <f>SUM(L4:L32)</f>
        <v>0.75785125697742162</v>
      </c>
      <c r="M33" s="115">
        <f>SUM(M4:M32)</f>
        <v>0.78931198789695678</v>
      </c>
      <c r="N33" s="115">
        <f>SUM(N4:N32)</f>
        <v>0.89911600000000003</v>
      </c>
      <c r="O33" s="115">
        <f>SUM(O4:O32)+0.004</f>
        <v>0.7754671204330289</v>
      </c>
      <c r="P33" s="118"/>
      <c r="Q33" s="116"/>
      <c r="R33" s="198">
        <v>0.71799999999999997</v>
      </c>
      <c r="S33" s="118"/>
      <c r="T33" s="128"/>
      <c r="U33" s="119"/>
      <c r="V33" s="119"/>
    </row>
    <row r="34" spans="2:22" ht="12" customHeight="1">
      <c r="C34" s="120"/>
      <c r="E34" s="121"/>
      <c r="F34" s="121"/>
      <c r="G34" s="121"/>
      <c r="H34" s="121"/>
      <c r="I34" s="122"/>
      <c r="K34" s="121"/>
      <c r="L34" s="121"/>
      <c r="M34" s="121"/>
      <c r="N34" s="121"/>
      <c r="O34" s="121"/>
      <c r="Q34" s="121"/>
      <c r="R34" s="121"/>
    </row>
    <row r="35" spans="2:22">
      <c r="B35" s="123"/>
      <c r="C35" s="120"/>
      <c r="D35" s="11" t="s">
        <v>101</v>
      </c>
      <c r="E35" s="204">
        <v>0.58229999999999993</v>
      </c>
      <c r="F35" s="204">
        <v>0.58789999999999998</v>
      </c>
      <c r="G35" s="204">
        <v>0.59911599999999998</v>
      </c>
      <c r="H35" s="205">
        <v>0.59055999999999997</v>
      </c>
      <c r="I35" s="203">
        <v>0.65450000000000008</v>
      </c>
    </row>
    <row r="36" spans="2:22">
      <c r="I36" s="8"/>
    </row>
    <row r="52" spans="25:25" ht="18.600000000000001">
      <c r="Y52" s="125"/>
    </row>
    <row r="75" spans="25:25" ht="21">
      <c r="Y75" s="126"/>
    </row>
  </sheetData>
  <mergeCells count="5">
    <mergeCell ref="B27:B28"/>
    <mergeCell ref="B5:B6"/>
    <mergeCell ref="B7:B9"/>
    <mergeCell ref="B10:B22"/>
    <mergeCell ref="B23:B24"/>
  </mergeCells>
  <phoneticPr fontId="44" type="noConversion"/>
  <pageMargins left="0.75" right="0.75" top="1" bottom="1" header="0" footer="0"/>
  <headerFooter alignWithMargins="0"/>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AA83"/>
  <sheetViews>
    <sheetView zoomScale="85" workbookViewId="0">
      <pane xSplit="4" ySplit="3" topLeftCell="E19" activePane="bottomRight" state="frozen"/>
      <selection activeCell="F37" sqref="F37"/>
      <selection pane="topRight" activeCell="F37" sqref="F37"/>
      <selection pane="bottomLeft" activeCell="F37" sqref="F37"/>
      <selection pane="bottomRight" activeCell="F37" sqref="F37"/>
    </sheetView>
  </sheetViews>
  <sheetFormatPr baseColWidth="10" defaultColWidth="11.44140625" defaultRowHeight="13.2"/>
  <cols>
    <col min="1" max="1" width="1.5546875" customWidth="1"/>
    <col min="2" max="2" width="4.44140625" style="8" customWidth="1"/>
    <col min="3" max="3" width="29.44140625" customWidth="1"/>
    <col min="4" max="4" width="7.44140625" style="11" customWidth="1"/>
    <col min="5" max="5" width="10.5546875" style="8" bestFit="1" customWidth="1"/>
    <col min="6" max="6" width="10.5546875" style="8" customWidth="1"/>
    <col min="7" max="7" width="10.5546875" style="8" bestFit="1" customWidth="1"/>
    <col min="8" max="8" width="11.44140625" style="8"/>
    <col min="9" max="9" width="7.44140625" style="12" customWidth="1"/>
    <col min="10" max="10" width="10.5546875" style="13" hidden="1" customWidth="1"/>
    <col min="11" max="11" width="8.5546875" style="8" customWidth="1"/>
    <col min="12" max="13" width="9.5546875" style="8" hidden="1" customWidth="1"/>
    <col min="14" max="15" width="9.44140625" style="8" hidden="1" customWidth="1"/>
    <col min="16" max="16" width="1.44140625" style="9" customWidth="1"/>
    <col min="17" max="17" width="10.44140625" style="8" bestFit="1" customWidth="1"/>
    <col min="18" max="19" width="9.44140625" style="8" customWidth="1"/>
    <col min="20" max="20" width="1.44140625" style="9" customWidth="1"/>
    <col min="21" max="21" width="41.5546875" style="127" bestFit="1" customWidth="1"/>
    <col min="22" max="23" width="6.44140625" bestFit="1" customWidth="1"/>
    <col min="24" max="27" width="8" bestFit="1" customWidth="1"/>
  </cols>
  <sheetData>
    <row r="1" spans="2:27" ht="22.8">
      <c r="B1" s="1" t="s">
        <v>249</v>
      </c>
      <c r="C1" s="2"/>
      <c r="D1" s="3"/>
      <c r="E1" s="4"/>
      <c r="F1" s="4"/>
      <c r="G1" s="5"/>
      <c r="H1" s="4"/>
      <c r="I1" s="6"/>
      <c r="J1" s="7"/>
      <c r="AA1" s="10"/>
    </row>
    <row r="2" spans="2:27" ht="3" customHeight="1" thickBot="1"/>
    <row r="3" spans="2:27" ht="35.25" customHeight="1" thickBot="1">
      <c r="B3" s="14" t="s">
        <v>6</v>
      </c>
      <c r="C3" s="15" t="s">
        <v>7</v>
      </c>
      <c r="D3" s="16" t="s">
        <v>8</v>
      </c>
      <c r="E3" s="17" t="s">
        <v>9</v>
      </c>
      <c r="F3" s="18" t="s">
        <v>10</v>
      </c>
      <c r="G3" s="18" t="s">
        <v>11</v>
      </c>
      <c r="H3" s="19" t="s">
        <v>12</v>
      </c>
      <c r="I3" s="171" t="s">
        <v>13</v>
      </c>
      <c r="J3" s="21"/>
      <c r="K3" s="22" t="s">
        <v>57</v>
      </c>
      <c r="L3" s="15" t="s">
        <v>9</v>
      </c>
      <c r="M3" s="15" t="s">
        <v>10</v>
      </c>
      <c r="N3" s="15" t="s">
        <v>11</v>
      </c>
      <c r="O3" s="18" t="s">
        <v>12</v>
      </c>
      <c r="Q3" s="23" t="s">
        <v>14</v>
      </c>
      <c r="R3" s="171" t="s">
        <v>13</v>
      </c>
      <c r="S3" s="24">
        <v>2009</v>
      </c>
      <c r="U3" s="128" t="s">
        <v>259</v>
      </c>
      <c r="V3" s="8"/>
      <c r="W3" s="8"/>
    </row>
    <row r="4" spans="2:27" ht="17.25" customHeight="1">
      <c r="B4" s="199" t="s">
        <v>16</v>
      </c>
      <c r="C4" s="200" t="s">
        <v>17</v>
      </c>
      <c r="D4" s="201">
        <v>0.04</v>
      </c>
      <c r="E4" s="155">
        <v>0.72</v>
      </c>
      <c r="F4" s="156">
        <v>0.53</v>
      </c>
      <c r="G4" s="156">
        <v>0.86</v>
      </c>
      <c r="H4" s="27">
        <v>0.7</v>
      </c>
      <c r="I4" s="28">
        <v>0.9</v>
      </c>
      <c r="J4" s="29">
        <f>+I4*D4</f>
        <v>3.6000000000000004E-2</v>
      </c>
      <c r="K4" s="30">
        <v>0.91</v>
      </c>
      <c r="L4" s="31">
        <f>+E4*$D$4</f>
        <v>2.8799999999999999E-2</v>
      </c>
      <c r="M4" s="31">
        <f>+F4*$D$4</f>
        <v>2.12E-2</v>
      </c>
      <c r="N4" s="31">
        <f>+G4*$D$4</f>
        <v>3.44E-2</v>
      </c>
      <c r="O4" s="31">
        <f>+H4*$D$4</f>
        <v>2.7999999999999997E-2</v>
      </c>
      <c r="Q4" s="32"/>
      <c r="R4" s="28">
        <v>0.9</v>
      </c>
      <c r="S4" s="190">
        <v>0.9</v>
      </c>
      <c r="V4" s="33"/>
      <c r="W4" s="34"/>
    </row>
    <row r="5" spans="2:27" ht="24" customHeight="1">
      <c r="B5" s="3193" t="s">
        <v>18</v>
      </c>
      <c r="C5" s="35" t="s">
        <v>19</v>
      </c>
      <c r="D5" s="36">
        <v>0.04</v>
      </c>
      <c r="E5" s="157">
        <v>0.83330000000000004</v>
      </c>
      <c r="F5" s="158">
        <v>0.94440000000000002</v>
      </c>
      <c r="G5" s="158">
        <v>0.9375</v>
      </c>
      <c r="H5" s="38">
        <v>0.90380000000000005</v>
      </c>
      <c r="I5" s="39">
        <v>0.95</v>
      </c>
      <c r="J5" s="40">
        <f t="shared" ref="J5:J40" si="0">+I5*D5</f>
        <v>3.7999999999999999E-2</v>
      </c>
      <c r="K5" s="41">
        <v>0.97540000000000004</v>
      </c>
      <c r="L5" s="42">
        <f>+E5*D5</f>
        <v>3.3332000000000001E-2</v>
      </c>
      <c r="M5" s="42">
        <f>+F5*D5</f>
        <v>3.7776000000000004E-2</v>
      </c>
      <c r="N5" s="42">
        <f>+G5*D5</f>
        <v>3.7499999999999999E-2</v>
      </c>
      <c r="O5" s="42">
        <f>+H5*D5</f>
        <v>3.6152000000000004E-2</v>
      </c>
      <c r="Q5" s="43">
        <v>0.78100000000000003</v>
      </c>
      <c r="R5" s="39">
        <v>0.95</v>
      </c>
      <c r="S5" s="191">
        <v>0.98219999999999996</v>
      </c>
      <c r="V5" s="33"/>
      <c r="W5" s="34"/>
    </row>
    <row r="6" spans="2:27" ht="17.25" customHeight="1">
      <c r="B6" s="3194"/>
      <c r="C6" s="44" t="s">
        <v>20</v>
      </c>
      <c r="D6" s="45">
        <v>0</v>
      </c>
      <c r="E6" s="159">
        <v>0.32550000000000001</v>
      </c>
      <c r="F6" s="159">
        <v>0.20599999999999999</v>
      </c>
      <c r="G6" s="159">
        <v>0.43240000000000001</v>
      </c>
      <c r="H6" s="47">
        <v>0.32450000000000001</v>
      </c>
      <c r="I6" s="48">
        <v>0.4</v>
      </c>
      <c r="J6" s="49">
        <f t="shared" si="0"/>
        <v>0</v>
      </c>
      <c r="K6" s="50">
        <v>0.35489999999999999</v>
      </c>
      <c r="L6" s="51">
        <f>+E6*D6</f>
        <v>0</v>
      </c>
      <c r="M6" s="51">
        <f>+F6*D6</f>
        <v>0</v>
      </c>
      <c r="N6" s="51">
        <f>+G6*D6</f>
        <v>0</v>
      </c>
      <c r="O6" s="51">
        <f>+H6*D6</f>
        <v>0</v>
      </c>
      <c r="Q6" s="52">
        <v>0.32400000000000001</v>
      </c>
      <c r="R6" s="48">
        <v>0.4</v>
      </c>
      <c r="S6" s="192">
        <v>0.35799999999999998</v>
      </c>
      <c r="V6" s="53"/>
      <c r="W6" s="53"/>
    </row>
    <row r="7" spans="2:27">
      <c r="B7" s="3193" t="s">
        <v>21</v>
      </c>
      <c r="C7" t="s">
        <v>22</v>
      </c>
      <c r="D7" s="36">
        <v>0</v>
      </c>
      <c r="E7" s="158">
        <v>1</v>
      </c>
      <c r="F7" s="158">
        <v>1</v>
      </c>
      <c r="G7" s="158">
        <v>1</v>
      </c>
      <c r="H7" s="54">
        <v>1</v>
      </c>
      <c r="I7" s="55">
        <v>0.95</v>
      </c>
      <c r="J7" s="40">
        <f t="shared" si="0"/>
        <v>0</v>
      </c>
      <c r="K7" s="41">
        <v>1</v>
      </c>
      <c r="L7" s="56">
        <f>+E7*D7</f>
        <v>0</v>
      </c>
      <c r="M7" s="56">
        <f>+F7*D7</f>
        <v>0</v>
      </c>
      <c r="N7" s="56">
        <f>+G7*D7</f>
        <v>0</v>
      </c>
      <c r="O7" s="56">
        <f>+H7*D7</f>
        <v>0</v>
      </c>
      <c r="Q7" s="57"/>
      <c r="R7" s="55">
        <v>0.95</v>
      </c>
      <c r="S7" s="177"/>
      <c r="V7" s="53"/>
      <c r="W7" s="53"/>
    </row>
    <row r="8" spans="2:27">
      <c r="B8" s="3195"/>
      <c r="C8" s="58" t="s">
        <v>23</v>
      </c>
      <c r="D8" s="26">
        <v>0</v>
      </c>
      <c r="E8" s="226"/>
      <c r="F8" s="226"/>
      <c r="G8" s="226"/>
      <c r="H8" s="227"/>
      <c r="I8" s="55">
        <v>1</v>
      </c>
      <c r="J8" s="40">
        <f t="shared" si="0"/>
        <v>0</v>
      </c>
      <c r="K8" s="41">
        <v>1</v>
      </c>
      <c r="L8" s="56">
        <f>+E8*D8</f>
        <v>0</v>
      </c>
      <c r="M8" s="56">
        <f>+F8*D8</f>
        <v>0</v>
      </c>
      <c r="N8" s="56">
        <f>+G8*D8</f>
        <v>0</v>
      </c>
      <c r="O8" s="56">
        <f>+H8*D8</f>
        <v>0</v>
      </c>
      <c r="Q8" s="57"/>
      <c r="R8" s="55">
        <v>1</v>
      </c>
      <c r="S8" s="177"/>
      <c r="V8" s="53"/>
      <c r="W8" s="53"/>
    </row>
    <row r="9" spans="2:27">
      <c r="B9" s="3194"/>
      <c r="C9" s="189" t="s">
        <v>24</v>
      </c>
      <c r="D9" s="45">
        <v>0.04</v>
      </c>
      <c r="E9" s="161">
        <v>1</v>
      </c>
      <c r="F9" s="161">
        <v>1</v>
      </c>
      <c r="G9" s="161">
        <v>1</v>
      </c>
      <c r="H9" s="47">
        <v>1</v>
      </c>
      <c r="I9" s="48">
        <v>0.95</v>
      </c>
      <c r="J9" s="49">
        <f t="shared" si="0"/>
        <v>3.7999999999999999E-2</v>
      </c>
      <c r="K9" s="50">
        <v>1</v>
      </c>
      <c r="L9" s="60">
        <f>+$D$9*E9</f>
        <v>0.04</v>
      </c>
      <c r="M9" s="51">
        <f>+$D$9*F9</f>
        <v>0.04</v>
      </c>
      <c r="N9" s="51">
        <f>+$D$9*G9</f>
        <v>0.04</v>
      </c>
      <c r="O9" s="51">
        <f>+$D$9*H9</f>
        <v>0.04</v>
      </c>
      <c r="Q9" s="52"/>
      <c r="R9" s="48">
        <v>0.95</v>
      </c>
      <c r="S9" s="192">
        <v>0.97</v>
      </c>
      <c r="V9" s="33"/>
      <c r="W9" s="34"/>
    </row>
    <row r="10" spans="2:27" ht="16.5" customHeight="1">
      <c r="B10" s="3199" t="s">
        <v>25</v>
      </c>
      <c r="C10" t="s">
        <v>253</v>
      </c>
      <c r="D10" s="61"/>
      <c r="E10" s="152">
        <v>1</v>
      </c>
      <c r="F10" s="153">
        <v>1</v>
      </c>
      <c r="G10" s="153">
        <v>0</v>
      </c>
      <c r="H10" s="64">
        <v>2</v>
      </c>
      <c r="I10" s="172">
        <v>6</v>
      </c>
      <c r="J10" s="65"/>
      <c r="K10" s="66">
        <v>7</v>
      </c>
      <c r="L10" s="67"/>
      <c r="M10" s="67"/>
      <c r="N10" s="67"/>
      <c r="O10" s="67"/>
      <c r="Q10" s="70">
        <v>13</v>
      </c>
      <c r="R10" s="172">
        <v>30</v>
      </c>
      <c r="S10" s="193">
        <v>36</v>
      </c>
      <c r="U10" s="129"/>
      <c r="V10" s="53"/>
      <c r="W10" s="53"/>
    </row>
    <row r="11" spans="2:27" ht="17.25" customHeight="1">
      <c r="B11" s="3199"/>
      <c r="C11" t="s">
        <v>254</v>
      </c>
      <c r="D11" s="61"/>
      <c r="E11" s="152">
        <v>0</v>
      </c>
      <c r="F11" s="153">
        <v>0</v>
      </c>
      <c r="G11" s="153">
        <v>0</v>
      </c>
      <c r="H11" s="64">
        <v>0</v>
      </c>
      <c r="I11" s="172">
        <v>0</v>
      </c>
      <c r="J11" s="65"/>
      <c r="K11" s="66">
        <v>0</v>
      </c>
      <c r="L11" s="67"/>
      <c r="M11" s="67"/>
      <c r="N11" s="67"/>
      <c r="O11" s="67"/>
      <c r="Q11" s="70">
        <v>1</v>
      </c>
      <c r="R11" s="172"/>
      <c r="S11" s="193">
        <v>9</v>
      </c>
      <c r="V11" s="53"/>
      <c r="W11" s="53"/>
    </row>
    <row r="12" spans="2:27" ht="17.25" customHeight="1">
      <c r="B12" s="3199"/>
      <c r="C12" t="s">
        <v>255</v>
      </c>
      <c r="D12" s="61"/>
      <c r="E12" s="152">
        <v>1</v>
      </c>
      <c r="F12" s="153">
        <v>0</v>
      </c>
      <c r="G12" s="153">
        <v>0</v>
      </c>
      <c r="H12" s="64">
        <v>1</v>
      </c>
      <c r="I12" s="172">
        <v>9</v>
      </c>
      <c r="J12" s="65"/>
      <c r="K12" s="66">
        <v>8</v>
      </c>
      <c r="L12" s="67"/>
      <c r="M12" s="67"/>
      <c r="N12" s="67"/>
      <c r="O12" s="67"/>
      <c r="Q12" s="70">
        <v>16</v>
      </c>
      <c r="R12" s="172">
        <v>97</v>
      </c>
      <c r="S12" s="193">
        <v>94</v>
      </c>
      <c r="V12" s="53"/>
      <c r="W12" s="53"/>
    </row>
    <row r="13" spans="2:27" ht="17.25" customHeight="1">
      <c r="B13" s="3199"/>
      <c r="C13" t="s">
        <v>256</v>
      </c>
      <c r="D13" s="61"/>
      <c r="E13" s="152">
        <v>30</v>
      </c>
      <c r="F13" s="162">
        <v>54</v>
      </c>
      <c r="G13" s="162">
        <v>0</v>
      </c>
      <c r="H13" s="64">
        <v>84</v>
      </c>
      <c r="I13" s="172">
        <v>150</v>
      </c>
      <c r="J13" s="65"/>
      <c r="K13" s="66">
        <v>6068</v>
      </c>
      <c r="L13" s="67"/>
      <c r="M13" s="67"/>
      <c r="N13" s="67"/>
      <c r="O13" s="67"/>
      <c r="Q13" s="70">
        <v>271</v>
      </c>
      <c r="R13" s="172">
        <v>925</v>
      </c>
      <c r="S13" s="193">
        <v>8202</v>
      </c>
      <c r="V13" s="53"/>
      <c r="W13" s="53"/>
    </row>
    <row r="14" spans="2:27" ht="17.25" customHeight="1">
      <c r="B14" s="3199"/>
      <c r="C14" s="58" t="s">
        <v>260</v>
      </c>
      <c r="D14" s="61"/>
      <c r="E14" s="237">
        <v>153040</v>
      </c>
      <c r="F14" s="223">
        <v>108528</v>
      </c>
      <c r="G14" s="237">
        <v>61658</v>
      </c>
      <c r="H14" s="224">
        <f>SUM(E14:G14)</f>
        <v>323226</v>
      </c>
      <c r="I14" s="172"/>
      <c r="J14" s="65"/>
      <c r="K14" s="66"/>
      <c r="L14" s="67"/>
      <c r="M14" s="67"/>
      <c r="N14" s="67"/>
      <c r="O14" s="67"/>
      <c r="Q14" s="225">
        <v>2971176</v>
      </c>
      <c r="R14" s="172"/>
      <c r="S14" s="193"/>
      <c r="V14" s="53"/>
      <c r="W14" s="53"/>
    </row>
    <row r="15" spans="2:27" ht="17.25" customHeight="1">
      <c r="B15" s="3199"/>
      <c r="C15" s="72" t="s">
        <v>261</v>
      </c>
      <c r="D15" s="61"/>
      <c r="E15" s="233">
        <f>+E10*1000000/E14</f>
        <v>6.5342394145321485</v>
      </c>
      <c r="F15" s="233">
        <f>+F10*1000000/F14</f>
        <v>9.2142120005897095</v>
      </c>
      <c r="G15" s="233">
        <f>+G10*1000000/G14</f>
        <v>0</v>
      </c>
      <c r="H15" s="234">
        <f>+H10*1000000/H14</f>
        <v>6.1876210453366998</v>
      </c>
      <c r="I15" s="173">
        <v>4.7699999999999996</v>
      </c>
      <c r="J15" s="65"/>
      <c r="K15" s="66"/>
      <c r="L15" s="67"/>
      <c r="M15" s="67"/>
      <c r="N15" s="67"/>
      <c r="O15" s="67"/>
      <c r="Q15" s="244">
        <f>+Q10*1000000/Q14</f>
        <v>4.3753719066120622</v>
      </c>
      <c r="R15" s="173">
        <v>2.5</v>
      </c>
      <c r="S15" s="193"/>
      <c r="V15" s="53"/>
      <c r="W15" s="53"/>
    </row>
    <row r="16" spans="2:27" ht="17.25" customHeight="1">
      <c r="B16" s="3199"/>
      <c r="C16" s="228" t="s">
        <v>262</v>
      </c>
      <c r="D16" s="61"/>
      <c r="E16" s="233">
        <f>+E13*1000000/E14</f>
        <v>196.02718243596445</v>
      </c>
      <c r="F16" s="233">
        <f>+F13*1000000/F14</f>
        <v>497.56744803184432</v>
      </c>
      <c r="G16" s="233">
        <f>+G13*1000000/G14</f>
        <v>0</v>
      </c>
      <c r="H16" s="234">
        <f>+H13*1000000/H14</f>
        <v>259.88008390414137</v>
      </c>
      <c r="I16" s="173">
        <v>119.3</v>
      </c>
      <c r="J16" s="65"/>
      <c r="K16" s="66"/>
      <c r="L16" s="67"/>
      <c r="M16" s="67"/>
      <c r="N16" s="67"/>
      <c r="O16" s="67"/>
      <c r="Q16" s="244">
        <f>+Q13*1000000/Q14</f>
        <v>91.209675899374517</v>
      </c>
      <c r="R16" s="173">
        <v>78.22</v>
      </c>
      <c r="S16" s="193"/>
      <c r="V16" s="53"/>
      <c r="W16" s="53"/>
    </row>
    <row r="17" spans="2:23" ht="17.25" customHeight="1">
      <c r="B17" s="3199"/>
      <c r="C17" s="229" t="s">
        <v>263</v>
      </c>
      <c r="D17" s="230"/>
      <c r="E17" s="235">
        <f>(+E10+E11+E12)*200000/E14</f>
        <v>2.6136957658128592</v>
      </c>
      <c r="F17" s="235">
        <f>(+F10+F11+F12)*200000/F14</f>
        <v>1.842842400117942</v>
      </c>
      <c r="G17" s="235">
        <f>(+G10+G11+G12)*200000/G14</f>
        <v>0</v>
      </c>
      <c r="H17" s="236">
        <f>(+H10+H11+H12)*200000/H14</f>
        <v>1.8562863136010099</v>
      </c>
      <c r="I17" s="238">
        <v>2.39</v>
      </c>
      <c r="J17" s="84"/>
      <c r="K17" s="231"/>
      <c r="L17" s="91"/>
      <c r="M17" s="91"/>
      <c r="N17" s="91"/>
      <c r="O17" s="91"/>
      <c r="P17" s="46"/>
      <c r="Q17" s="245">
        <f>+(Q10+Q11+Q12)*200000/Q14</f>
        <v>2.0194024184363362</v>
      </c>
      <c r="R17" s="238">
        <v>2.2000000000000002</v>
      </c>
      <c r="S17" s="232"/>
      <c r="V17" s="53"/>
      <c r="W17" s="53"/>
    </row>
    <row r="18" spans="2:23" ht="17.25" customHeight="1">
      <c r="B18" s="3199"/>
      <c r="C18" t="s">
        <v>252</v>
      </c>
      <c r="D18" s="61"/>
      <c r="E18" s="152">
        <v>5</v>
      </c>
      <c r="F18" s="153">
        <v>3</v>
      </c>
      <c r="G18" s="153">
        <v>0</v>
      </c>
      <c r="H18" s="64">
        <v>8</v>
      </c>
      <c r="I18" s="172"/>
      <c r="J18" s="65"/>
      <c r="K18" s="66"/>
      <c r="L18" s="67"/>
      <c r="M18" s="67"/>
      <c r="N18" s="67"/>
      <c r="O18" s="67"/>
      <c r="Q18" s="70">
        <v>39</v>
      </c>
      <c r="R18" s="172"/>
      <c r="S18" s="193"/>
      <c r="V18" s="53"/>
      <c r="W18" s="53"/>
    </row>
    <row r="19" spans="2:23" ht="17.25" customHeight="1">
      <c r="B19" s="3199"/>
      <c r="C19" t="s">
        <v>257</v>
      </c>
      <c r="D19" s="61"/>
      <c r="E19" s="152">
        <v>6049</v>
      </c>
      <c r="F19" s="153">
        <v>88</v>
      </c>
      <c r="G19" s="153">
        <v>0</v>
      </c>
      <c r="H19" s="64">
        <f>SUM(E19:G19)</f>
        <v>6137</v>
      </c>
      <c r="I19" s="172"/>
      <c r="J19" s="65"/>
      <c r="K19" s="66"/>
      <c r="L19" s="67"/>
      <c r="M19" s="67"/>
      <c r="N19" s="67"/>
      <c r="O19" s="67"/>
      <c r="Q19" s="225">
        <v>8389</v>
      </c>
      <c r="R19" s="172"/>
      <c r="S19" s="193"/>
      <c r="V19" s="53"/>
      <c r="W19" s="53"/>
    </row>
    <row r="20" spans="2:23" ht="17.25" customHeight="1">
      <c r="B20" s="3199"/>
      <c r="C20" t="s">
        <v>258</v>
      </c>
      <c r="D20" s="61"/>
      <c r="E20" s="153">
        <v>7</v>
      </c>
      <c r="F20" s="153">
        <v>7</v>
      </c>
      <c r="G20" s="153">
        <v>1</v>
      </c>
      <c r="H20" s="64">
        <f>SUM(E20:G20)</f>
        <v>15</v>
      </c>
      <c r="I20" s="172"/>
      <c r="J20" s="65"/>
      <c r="K20" s="66"/>
      <c r="L20" s="67"/>
      <c r="M20" s="67"/>
      <c r="N20" s="67"/>
      <c r="O20" s="67"/>
      <c r="Q20" s="70">
        <f>39+7+80</f>
        <v>126</v>
      </c>
      <c r="R20" s="172"/>
      <c r="S20" s="193"/>
      <c r="V20" s="53"/>
      <c r="W20" s="53"/>
    </row>
    <row r="21" spans="2:23">
      <c r="B21" s="3199"/>
      <c r="C21" s="58" t="s">
        <v>30</v>
      </c>
      <c r="D21" s="73">
        <v>0.1</v>
      </c>
      <c r="E21" s="154">
        <f>5*1000000/E24</f>
        <v>8.3368765058483181</v>
      </c>
      <c r="F21" s="154">
        <f>3*1000000/F24</f>
        <v>7.5528130452186915</v>
      </c>
      <c r="G21" s="154">
        <f>0*1000000/G24</f>
        <v>0</v>
      </c>
      <c r="H21" s="74">
        <f>+H18*1000000/H24</f>
        <v>6.2943357272790212</v>
      </c>
      <c r="I21" s="173">
        <v>4.7699999999999996</v>
      </c>
      <c r="J21" s="65">
        <f>+D21</f>
        <v>0.1</v>
      </c>
      <c r="K21" s="75">
        <v>5.57</v>
      </c>
      <c r="L21" s="76">
        <f>5.09/E21*D21</f>
        <v>6.1054041000000003E-2</v>
      </c>
      <c r="M21" s="76">
        <f>5.13/F21*D21</f>
        <v>6.7921713000000009E-2</v>
      </c>
      <c r="N21" s="76">
        <f>3.61/3.61*D21</f>
        <v>0.1</v>
      </c>
      <c r="O21" s="76">
        <f>I21/H21*D21</f>
        <v>7.5782421000000003E-2</v>
      </c>
      <c r="Q21" s="77">
        <v>3.3</v>
      </c>
      <c r="R21" s="173">
        <v>2.5</v>
      </c>
      <c r="S21" s="194">
        <v>3.05</v>
      </c>
      <c r="V21" s="53"/>
      <c r="W21" s="53"/>
    </row>
    <row r="22" spans="2:23" ht="17.25" customHeight="1">
      <c r="B22" s="3199"/>
      <c r="C22" s="58" t="s">
        <v>31</v>
      </c>
      <c r="D22" s="73">
        <v>0.1</v>
      </c>
      <c r="E22" s="154">
        <f>6049*1000000/E24</f>
        <v>10085.953196775296</v>
      </c>
      <c r="F22" s="154">
        <f>88*1000000/F24</f>
        <v>221.54918265974828</v>
      </c>
      <c r="G22" s="154">
        <f>0*1000000/G24</f>
        <v>0</v>
      </c>
      <c r="H22" s="74">
        <v>4828.5</v>
      </c>
      <c r="I22" s="173">
        <v>119.3</v>
      </c>
      <c r="J22" s="65">
        <f>+D22</f>
        <v>0.1</v>
      </c>
      <c r="K22" s="75">
        <v>4828.05</v>
      </c>
      <c r="L22" s="76">
        <f>17.17/E22*D22</f>
        <v>1.7023676062159039E-4</v>
      </c>
      <c r="M22" s="76">
        <f>128.25/F22*D22</f>
        <v>5.7887823579545465E-2</v>
      </c>
      <c r="N22" s="76">
        <f>90.19/90.19*D22</f>
        <v>0.1</v>
      </c>
      <c r="O22" s="76">
        <f>I22/H22*D22</f>
        <v>2.4707466086776432E-3</v>
      </c>
      <c r="Q22" s="77">
        <v>710.8</v>
      </c>
      <c r="R22" s="173">
        <v>78.22</v>
      </c>
      <c r="S22" s="194">
        <v>694.94</v>
      </c>
      <c r="V22" s="53"/>
      <c r="W22" s="53"/>
    </row>
    <row r="23" spans="2:23" ht="17.25" customHeight="1">
      <c r="B23" s="3199"/>
      <c r="C23" s="58" t="s">
        <v>251</v>
      </c>
      <c r="D23" s="73">
        <v>0.1</v>
      </c>
      <c r="E23" s="154">
        <f>E20*200000/E24</f>
        <v>2.3343254216375291</v>
      </c>
      <c r="F23" s="154">
        <f>F20*200000/F24</f>
        <v>3.5246460877687227</v>
      </c>
      <c r="G23" s="154">
        <f>G20*200000/G24</f>
        <v>0.72983111707950776</v>
      </c>
      <c r="H23" s="74">
        <v>2.36</v>
      </c>
      <c r="I23" s="173">
        <v>2.39</v>
      </c>
      <c r="J23" s="65">
        <f>+D23</f>
        <v>0.1</v>
      </c>
      <c r="K23" s="75">
        <v>2.5499999999999998</v>
      </c>
      <c r="L23" s="76">
        <f>2.37/2.37*D23</f>
        <v>0.1</v>
      </c>
      <c r="M23" s="76">
        <f>2.56/F23*D23</f>
        <v>7.263140571428571E-2</v>
      </c>
      <c r="N23" s="76">
        <f>2.16/2.16*D23</f>
        <v>0.1</v>
      </c>
      <c r="O23" s="76">
        <f>I23/H23*D23</f>
        <v>0.10127118644067799</v>
      </c>
      <c r="Q23" s="77">
        <v>2.1</v>
      </c>
      <c r="R23" s="173">
        <v>2.2000000000000002</v>
      </c>
      <c r="S23" s="194">
        <v>2.36</v>
      </c>
      <c r="V23" s="53"/>
      <c r="W23" s="53"/>
    </row>
    <row r="24" spans="2:23" ht="17.25" hidden="1" customHeight="1">
      <c r="B24" s="3199"/>
      <c r="C24" s="229" t="s">
        <v>250</v>
      </c>
      <c r="D24" s="230"/>
      <c r="E24" s="246">
        <v>599745</v>
      </c>
      <c r="F24" s="246">
        <v>397203</v>
      </c>
      <c r="G24" s="246">
        <v>274036</v>
      </c>
      <c r="H24" s="247">
        <f>SUM(E24:G24)</f>
        <v>1270984</v>
      </c>
      <c r="I24" s="248"/>
      <c r="J24" s="249"/>
      <c r="K24" s="250"/>
      <c r="L24" s="251"/>
      <c r="M24" s="251"/>
      <c r="N24" s="251"/>
      <c r="O24" s="251"/>
      <c r="P24" s="252"/>
      <c r="Q24" s="253">
        <v>11801705</v>
      </c>
      <c r="R24" s="248"/>
      <c r="S24" s="254"/>
      <c r="V24" s="53"/>
      <c r="W24" s="53"/>
    </row>
    <row r="25" spans="2:23" ht="17.25" hidden="1" customHeight="1">
      <c r="B25" s="3199"/>
      <c r="C25" s="58" t="s">
        <v>99</v>
      </c>
      <c r="D25" s="61"/>
      <c r="E25" s="152">
        <v>8</v>
      </c>
      <c r="F25" s="153">
        <v>64</v>
      </c>
      <c r="G25" s="153">
        <v>507</v>
      </c>
      <c r="H25" s="64">
        <v>8</v>
      </c>
      <c r="I25" s="173"/>
      <c r="J25" s="65"/>
      <c r="K25" s="75"/>
      <c r="L25" s="67"/>
      <c r="M25" s="67"/>
      <c r="N25" s="67"/>
      <c r="O25" s="67"/>
      <c r="Q25" s="222">
        <v>2</v>
      </c>
      <c r="R25" s="173"/>
      <c r="S25" s="194"/>
      <c r="V25" s="53"/>
      <c r="W25" s="53"/>
    </row>
    <row r="26" spans="2:23" ht="17.25" customHeight="1">
      <c r="B26" s="3199"/>
      <c r="C26" s="58" t="s">
        <v>33</v>
      </c>
      <c r="D26" s="26">
        <v>0.08</v>
      </c>
      <c r="E26" s="163">
        <v>0.8</v>
      </c>
      <c r="F26" s="160">
        <v>0.78800000000000003</v>
      </c>
      <c r="G26" s="160">
        <v>1</v>
      </c>
      <c r="H26" s="38">
        <v>0.8</v>
      </c>
      <c r="I26" s="55">
        <v>0.85</v>
      </c>
      <c r="J26" s="65">
        <f t="shared" si="0"/>
        <v>6.8000000000000005E-2</v>
      </c>
      <c r="K26" s="41">
        <v>0.74729999999999996</v>
      </c>
      <c r="L26" s="51">
        <f>+$D$26*E26</f>
        <v>6.4000000000000001E-2</v>
      </c>
      <c r="M26" s="56">
        <f>+$D$26*F26</f>
        <v>6.3039999999999999E-2</v>
      </c>
      <c r="N26" s="56">
        <f>+$D$26*G26</f>
        <v>0.08</v>
      </c>
      <c r="O26" s="56">
        <f>+$D$26*H26</f>
        <v>6.4000000000000001E-2</v>
      </c>
      <c r="Q26" s="57"/>
      <c r="R26" s="55"/>
      <c r="S26" s="177">
        <v>0.74299999999999999</v>
      </c>
      <c r="V26" s="33"/>
      <c r="W26" s="34"/>
    </row>
    <row r="27" spans="2:23" ht="17.25" customHeight="1">
      <c r="B27" s="3199"/>
      <c r="C27" t="s">
        <v>34</v>
      </c>
      <c r="D27" s="26">
        <v>0.08</v>
      </c>
      <c r="E27" s="157">
        <v>0.75</v>
      </c>
      <c r="F27" s="158">
        <v>0.77139999999999997</v>
      </c>
      <c r="G27" s="158">
        <v>1</v>
      </c>
      <c r="H27" s="38">
        <v>0.78259999999999996</v>
      </c>
      <c r="I27" s="55">
        <v>0.95</v>
      </c>
      <c r="J27" s="65">
        <f t="shared" si="0"/>
        <v>7.5999999999999998E-2</v>
      </c>
      <c r="K27" s="41">
        <v>0.91290000000000004</v>
      </c>
      <c r="L27" s="9">
        <f>+E27*D27</f>
        <v>0.06</v>
      </c>
      <c r="M27" s="9">
        <f t="shared" ref="M27:M37" si="1">+F27*D27</f>
        <v>6.1711999999999996E-2</v>
      </c>
      <c r="N27" s="9">
        <f t="shared" ref="N27:N37" si="2">+G27*D27</f>
        <v>0.08</v>
      </c>
      <c r="O27" s="9">
        <f t="shared" ref="O27:O33" si="3">+H27*D27</f>
        <v>6.2607999999999997E-2</v>
      </c>
      <c r="Q27" s="57">
        <v>0.72399999999999998</v>
      </c>
      <c r="R27" s="55">
        <v>0.95</v>
      </c>
      <c r="S27" s="177">
        <v>0.93400000000000005</v>
      </c>
      <c r="V27" s="33"/>
      <c r="W27" s="34"/>
    </row>
    <row r="28" spans="2:23" ht="17.25" customHeight="1">
      <c r="B28" s="3199"/>
      <c r="C28" t="s">
        <v>35</v>
      </c>
      <c r="D28" s="26">
        <v>0</v>
      </c>
      <c r="E28" s="157">
        <v>0.44700000000000001</v>
      </c>
      <c r="F28" s="158">
        <v>0.8</v>
      </c>
      <c r="G28" s="158">
        <v>0.46700000000000003</v>
      </c>
      <c r="H28" s="38">
        <v>0.59619999999999995</v>
      </c>
      <c r="I28" s="55">
        <v>0.5</v>
      </c>
      <c r="J28" s="65">
        <f t="shared" si="0"/>
        <v>0</v>
      </c>
      <c r="K28" s="41">
        <v>0.78120000000000001</v>
      </c>
      <c r="L28" s="9">
        <f t="shared" ref="L28:L37" si="4">+E28*D28</f>
        <v>0</v>
      </c>
      <c r="M28" s="9">
        <f t="shared" si="1"/>
        <v>0</v>
      </c>
      <c r="N28" s="9">
        <f t="shared" si="2"/>
        <v>0</v>
      </c>
      <c r="O28" s="9">
        <f t="shared" si="3"/>
        <v>0</v>
      </c>
      <c r="Q28" s="57"/>
      <c r="R28" s="55">
        <v>0.5</v>
      </c>
      <c r="S28" s="177">
        <v>0.56999999999999995</v>
      </c>
      <c r="V28" s="53"/>
      <c r="W28" s="53"/>
    </row>
    <row r="29" spans="2:23" ht="17.25" customHeight="1">
      <c r="B29" s="3199"/>
      <c r="C29" s="72" t="s">
        <v>36</v>
      </c>
      <c r="D29" s="26">
        <v>0</v>
      </c>
      <c r="E29" s="157">
        <v>0.45450000000000002</v>
      </c>
      <c r="F29" s="158">
        <v>0.45450000000000002</v>
      </c>
      <c r="G29" s="158">
        <v>0.22</v>
      </c>
      <c r="H29" s="38">
        <v>0.4047</v>
      </c>
      <c r="I29" s="55">
        <v>0.5</v>
      </c>
      <c r="J29" s="65">
        <f t="shared" si="0"/>
        <v>0</v>
      </c>
      <c r="K29" s="41">
        <v>0.7</v>
      </c>
      <c r="L29" s="9">
        <f t="shared" si="4"/>
        <v>0</v>
      </c>
      <c r="M29" s="9">
        <f t="shared" si="1"/>
        <v>0</v>
      </c>
      <c r="N29" s="9">
        <f>+G29*D29</f>
        <v>0</v>
      </c>
      <c r="O29" s="9">
        <f t="shared" si="3"/>
        <v>0</v>
      </c>
      <c r="Q29" s="57">
        <v>0.56999999999999995</v>
      </c>
      <c r="R29" s="55">
        <v>0.5</v>
      </c>
      <c r="S29" s="177">
        <v>0.64</v>
      </c>
      <c r="V29" s="53"/>
      <c r="W29" s="53"/>
    </row>
    <row r="30" spans="2:23" ht="17.25" customHeight="1">
      <c r="B30" s="3199"/>
      <c r="C30" s="44" t="s">
        <v>37</v>
      </c>
      <c r="D30" s="45">
        <v>0</v>
      </c>
      <c r="E30" s="164">
        <v>0.43</v>
      </c>
      <c r="F30" s="159">
        <v>0.51</v>
      </c>
      <c r="G30" s="159">
        <v>0.25</v>
      </c>
      <c r="H30" s="38">
        <v>0.4506</v>
      </c>
      <c r="I30" s="55">
        <v>0.55000000000000004</v>
      </c>
      <c r="J30" s="65">
        <f t="shared" si="0"/>
        <v>0</v>
      </c>
      <c r="K30" s="41">
        <v>0.71689999999999998</v>
      </c>
      <c r="L30" s="9">
        <f t="shared" si="4"/>
        <v>0</v>
      </c>
      <c r="M30" s="9">
        <f t="shared" si="1"/>
        <v>0</v>
      </c>
      <c r="N30" s="9">
        <f t="shared" si="2"/>
        <v>0</v>
      </c>
      <c r="O30" s="9">
        <f t="shared" si="3"/>
        <v>0</v>
      </c>
      <c r="Q30" s="52"/>
      <c r="R30" s="55"/>
      <c r="S30" s="192"/>
      <c r="V30" s="53"/>
      <c r="W30" s="53"/>
    </row>
    <row r="31" spans="2:23" ht="21.75" customHeight="1">
      <c r="B31" s="3193" t="s">
        <v>38</v>
      </c>
      <c r="C31" s="35" t="s">
        <v>39</v>
      </c>
      <c r="D31" s="36">
        <v>0.04</v>
      </c>
      <c r="E31" s="160">
        <v>1</v>
      </c>
      <c r="F31" s="158">
        <v>1</v>
      </c>
      <c r="G31" s="158">
        <v>1</v>
      </c>
      <c r="H31" s="54">
        <v>1</v>
      </c>
      <c r="I31" s="39">
        <v>0.95</v>
      </c>
      <c r="J31" s="81">
        <f t="shared" si="0"/>
        <v>3.7999999999999999E-2</v>
      </c>
      <c r="K31" s="82">
        <v>1</v>
      </c>
      <c r="L31" s="83">
        <f>+E31*D31</f>
        <v>0.04</v>
      </c>
      <c r="M31" s="83">
        <f t="shared" si="1"/>
        <v>0.04</v>
      </c>
      <c r="N31" s="83">
        <f t="shared" si="2"/>
        <v>0.04</v>
      </c>
      <c r="O31" s="83">
        <f t="shared" si="3"/>
        <v>0.04</v>
      </c>
      <c r="Q31" s="43">
        <v>0.88</v>
      </c>
      <c r="R31" s="39"/>
      <c r="S31" s="191">
        <v>0.95</v>
      </c>
      <c r="V31" s="53"/>
      <c r="W31" s="53"/>
    </row>
    <row r="32" spans="2:23" ht="17.25" customHeight="1">
      <c r="B32" s="3194"/>
      <c r="C32" s="44" t="s">
        <v>40</v>
      </c>
      <c r="D32" s="45">
        <v>0.08</v>
      </c>
      <c r="E32" s="160">
        <v>1</v>
      </c>
      <c r="F32" s="158">
        <v>1</v>
      </c>
      <c r="G32" s="158">
        <v>0.95</v>
      </c>
      <c r="H32" s="47">
        <v>0.98799999999999999</v>
      </c>
      <c r="I32" s="48">
        <v>0.9</v>
      </c>
      <c r="J32" s="84">
        <f t="shared" si="0"/>
        <v>7.2000000000000008E-2</v>
      </c>
      <c r="K32" s="50">
        <v>0.99</v>
      </c>
      <c r="L32" s="46">
        <f t="shared" si="4"/>
        <v>0.08</v>
      </c>
      <c r="M32" s="46">
        <f t="shared" si="1"/>
        <v>0.08</v>
      </c>
      <c r="N32" s="46">
        <f t="shared" si="2"/>
        <v>7.5999999999999998E-2</v>
      </c>
      <c r="O32" s="46">
        <f t="shared" si="3"/>
        <v>7.9039999999999999E-2</v>
      </c>
      <c r="Q32" s="52">
        <v>0.96699999999999997</v>
      </c>
      <c r="R32" s="48">
        <v>0.9</v>
      </c>
      <c r="S32" s="192">
        <v>0.96799999999999997</v>
      </c>
      <c r="V32" s="53"/>
      <c r="W32" s="53"/>
    </row>
    <row r="33" spans="2:23" ht="17.25" customHeight="1">
      <c r="B33" s="25" t="s">
        <v>41</v>
      </c>
      <c r="C33" t="s">
        <v>42</v>
      </c>
      <c r="D33" s="85">
        <v>0.05</v>
      </c>
      <c r="E33" s="165">
        <v>0.66</v>
      </c>
      <c r="F33" s="166">
        <v>0.82</v>
      </c>
      <c r="G33" s="166">
        <v>0.79</v>
      </c>
      <c r="H33" s="38">
        <v>0.69</v>
      </c>
      <c r="I33" s="170">
        <v>0.8</v>
      </c>
      <c r="J33" s="88">
        <f t="shared" si="0"/>
        <v>4.0000000000000008E-2</v>
      </c>
      <c r="K33" s="89">
        <v>0.69</v>
      </c>
      <c r="L33" s="90">
        <f>+E33*D33</f>
        <v>3.3000000000000002E-2</v>
      </c>
      <c r="M33" s="90">
        <f>+F33*D33</f>
        <v>4.1000000000000002E-2</v>
      </c>
      <c r="N33" s="90">
        <f>+G33*D33</f>
        <v>3.9500000000000007E-2</v>
      </c>
      <c r="O33" s="90">
        <f t="shared" si="3"/>
        <v>3.4499999999999996E-2</v>
      </c>
      <c r="Q33" s="43"/>
      <c r="R33" s="170"/>
      <c r="S33" s="177">
        <v>0.89</v>
      </c>
      <c r="V33" s="53"/>
      <c r="W33" s="53"/>
    </row>
    <row r="34" spans="2:23" ht="17.25" customHeight="1">
      <c r="B34" s="25"/>
      <c r="C34" s="58" t="s">
        <v>97</v>
      </c>
      <c r="D34" s="85">
        <v>0.02</v>
      </c>
      <c r="E34" s="167">
        <v>0.88</v>
      </c>
      <c r="F34" s="161">
        <v>0.64</v>
      </c>
      <c r="G34" s="161">
        <v>0.83</v>
      </c>
      <c r="H34" s="47">
        <v>0.78</v>
      </c>
      <c r="I34" s="48">
        <v>0.8</v>
      </c>
      <c r="J34" s="84">
        <f t="shared" si="0"/>
        <v>1.6E-2</v>
      </c>
      <c r="K34" s="50">
        <v>0.76</v>
      </c>
      <c r="L34" s="46">
        <f>+$H$34*$D$34</f>
        <v>1.5600000000000001E-2</v>
      </c>
      <c r="M34" s="46">
        <f>+$H$34*$D$34</f>
        <v>1.5600000000000001E-2</v>
      </c>
      <c r="N34" s="46">
        <f>+$H$34*$D$34</f>
        <v>1.5600000000000001E-2</v>
      </c>
      <c r="O34" s="46">
        <f>+$H$34*$D$34</f>
        <v>1.5600000000000001E-2</v>
      </c>
      <c r="Q34" s="52"/>
      <c r="R34" s="48">
        <v>0.8</v>
      </c>
      <c r="S34" s="177">
        <v>0.75</v>
      </c>
      <c r="V34" s="33"/>
      <c r="W34" s="34"/>
    </row>
    <row r="35" spans="2:23" ht="17.25" customHeight="1">
      <c r="B35" s="3193" t="s">
        <v>43</v>
      </c>
      <c r="C35" s="35" t="s">
        <v>44</v>
      </c>
      <c r="D35" s="36">
        <v>0.05</v>
      </c>
      <c r="E35" s="160">
        <v>0.98809999999999998</v>
      </c>
      <c r="F35" s="158">
        <v>1</v>
      </c>
      <c r="G35" s="158">
        <v>0.99509999999999998</v>
      </c>
      <c r="H35" s="38">
        <v>0.99360000000000004</v>
      </c>
      <c r="I35" s="55">
        <v>0.95</v>
      </c>
      <c r="J35" s="65">
        <f t="shared" si="0"/>
        <v>4.7500000000000001E-2</v>
      </c>
      <c r="K35" s="41">
        <v>1</v>
      </c>
      <c r="L35" s="9">
        <f t="shared" si="4"/>
        <v>4.9405000000000004E-2</v>
      </c>
      <c r="M35" s="9">
        <f t="shared" si="1"/>
        <v>0.05</v>
      </c>
      <c r="N35" s="9">
        <f t="shared" si="2"/>
        <v>4.9755000000000001E-2</v>
      </c>
      <c r="O35" s="9">
        <f>+H35*D35</f>
        <v>4.9680000000000002E-2</v>
      </c>
      <c r="Q35" s="57">
        <v>0.96399999999999997</v>
      </c>
      <c r="R35" s="55">
        <v>0.95</v>
      </c>
      <c r="S35" s="191">
        <v>0.97699999999999998</v>
      </c>
      <c r="V35" s="53"/>
      <c r="W35" s="53"/>
    </row>
    <row r="36" spans="2:23">
      <c r="B36" s="3194"/>
      <c r="C36" s="44" t="s">
        <v>45</v>
      </c>
      <c r="D36" s="45">
        <v>0</v>
      </c>
      <c r="E36" s="163">
        <v>0.27</v>
      </c>
      <c r="F36" s="160">
        <v>0.36359999999999998</v>
      </c>
      <c r="G36" s="160">
        <v>0.38</v>
      </c>
      <c r="H36" s="38">
        <v>0.3367</v>
      </c>
      <c r="I36" s="55">
        <v>0.7</v>
      </c>
      <c r="J36" s="65">
        <f t="shared" si="0"/>
        <v>0</v>
      </c>
      <c r="K36" s="41">
        <v>0.6</v>
      </c>
      <c r="L36" s="9">
        <f t="shared" si="4"/>
        <v>0</v>
      </c>
      <c r="M36" s="9">
        <f t="shared" si="1"/>
        <v>0</v>
      </c>
      <c r="N36" s="9">
        <f t="shared" si="2"/>
        <v>0</v>
      </c>
      <c r="O36" s="9">
        <f>+H36*D36</f>
        <v>0</v>
      </c>
      <c r="Q36" s="92"/>
      <c r="R36" s="55"/>
      <c r="S36" s="195"/>
      <c r="V36" s="53"/>
      <c r="W36" s="53"/>
    </row>
    <row r="37" spans="2:23" ht="17.25" customHeight="1">
      <c r="B37" s="93" t="s">
        <v>46</v>
      </c>
      <c r="C37" s="94" t="s">
        <v>47</v>
      </c>
      <c r="D37" s="95">
        <v>0.05</v>
      </c>
      <c r="E37" s="168">
        <v>0.94740000000000002</v>
      </c>
      <c r="F37" s="168">
        <v>0.98370000000000002</v>
      </c>
      <c r="G37" s="169">
        <v>0.90900000000000003</v>
      </c>
      <c r="H37" s="87">
        <v>0.93989999999999996</v>
      </c>
      <c r="I37" s="170">
        <v>1</v>
      </c>
      <c r="J37" s="88">
        <f t="shared" si="0"/>
        <v>0.05</v>
      </c>
      <c r="K37" s="89">
        <v>0.99</v>
      </c>
      <c r="L37" s="90">
        <f t="shared" si="4"/>
        <v>4.7370000000000002E-2</v>
      </c>
      <c r="M37" s="90">
        <f t="shared" si="1"/>
        <v>4.9185000000000006E-2</v>
      </c>
      <c r="N37" s="90">
        <f t="shared" si="2"/>
        <v>4.5450000000000004E-2</v>
      </c>
      <c r="O37" s="90">
        <f>+H37*D37</f>
        <v>4.6995000000000002E-2</v>
      </c>
      <c r="Q37" s="96"/>
      <c r="R37" s="170"/>
      <c r="S37" s="196">
        <v>0.98</v>
      </c>
      <c r="V37" s="53"/>
      <c r="W37" s="53"/>
    </row>
    <row r="38" spans="2:23" ht="17.25" customHeight="1">
      <c r="B38" s="93" t="s">
        <v>48</v>
      </c>
      <c r="C38" s="97" t="s">
        <v>49</v>
      </c>
      <c r="D38" s="95">
        <v>0.03</v>
      </c>
      <c r="E38" s="67"/>
      <c r="F38" s="67"/>
      <c r="G38" s="67"/>
      <c r="H38" s="54">
        <v>0.96</v>
      </c>
      <c r="I38" s="39">
        <v>0.95</v>
      </c>
      <c r="J38" s="81">
        <f t="shared" si="0"/>
        <v>2.8499999999999998E-2</v>
      </c>
      <c r="K38" s="82">
        <v>0.96</v>
      </c>
      <c r="L38" s="83">
        <f>+$H$38*$D$38</f>
        <v>2.8799999999999999E-2</v>
      </c>
      <c r="M38" s="83">
        <f>+$H$38*$D$38</f>
        <v>2.8799999999999999E-2</v>
      </c>
      <c r="N38" s="83">
        <f>+$H$38*$D$38</f>
        <v>2.8799999999999999E-2</v>
      </c>
      <c r="O38" s="83">
        <f>+$H$38*$D$38</f>
        <v>2.8799999999999999E-2</v>
      </c>
      <c r="Q38" s="43"/>
      <c r="R38" s="39"/>
      <c r="S38" s="191">
        <v>0.92</v>
      </c>
      <c r="V38" s="53"/>
      <c r="W38" s="53"/>
    </row>
    <row r="39" spans="2:23" ht="17.25" customHeight="1">
      <c r="B39" s="99"/>
      <c r="C39" s="100" t="s">
        <v>50</v>
      </c>
      <c r="D39" s="45">
        <v>0.02</v>
      </c>
      <c r="E39" s="91"/>
      <c r="F39" s="91"/>
      <c r="G39" s="91"/>
      <c r="H39" s="47">
        <v>0.97</v>
      </c>
      <c r="I39" s="48">
        <v>0.95</v>
      </c>
      <c r="J39" s="84">
        <f t="shared" si="0"/>
        <v>1.9E-2</v>
      </c>
      <c r="K39" s="50">
        <v>0.97</v>
      </c>
      <c r="L39" s="46">
        <f>+O39</f>
        <v>1.9400000000000001E-2</v>
      </c>
      <c r="M39" s="46">
        <f>+O39</f>
        <v>1.9400000000000001E-2</v>
      </c>
      <c r="N39" s="46">
        <f>+O39</f>
        <v>1.9400000000000001E-2</v>
      </c>
      <c r="O39" s="46">
        <f>+H39*D39</f>
        <v>1.9400000000000001E-2</v>
      </c>
      <c r="Q39" s="52"/>
      <c r="R39" s="48"/>
      <c r="S39" s="192">
        <v>0.98</v>
      </c>
      <c r="V39" s="53"/>
      <c r="W39" s="53"/>
    </row>
    <row r="40" spans="2:23" ht="13.8" thickBot="1">
      <c r="B40" s="102" t="s">
        <v>51</v>
      </c>
      <c r="C40" s="103" t="s">
        <v>52</v>
      </c>
      <c r="D40" s="185">
        <v>0.08</v>
      </c>
      <c r="E40" s="183"/>
      <c r="F40" s="183"/>
      <c r="G40" s="183"/>
      <c r="H40" s="104">
        <v>0.79</v>
      </c>
      <c r="I40" s="174">
        <v>0.9</v>
      </c>
      <c r="J40" s="106">
        <f t="shared" si="0"/>
        <v>7.2000000000000008E-2</v>
      </c>
      <c r="K40" s="107">
        <v>0.79</v>
      </c>
      <c r="L40" s="108">
        <f>+O40</f>
        <v>6.3200000000000006E-2</v>
      </c>
      <c r="M40" s="108">
        <f>+O40</f>
        <v>6.3200000000000006E-2</v>
      </c>
      <c r="N40" s="108">
        <f>+O40</f>
        <v>6.3200000000000006E-2</v>
      </c>
      <c r="O40" s="108">
        <f>+H40*D40</f>
        <v>6.3200000000000006E-2</v>
      </c>
      <c r="Q40" s="109"/>
      <c r="R40" s="174">
        <v>0.9</v>
      </c>
      <c r="S40" s="197">
        <v>0.8</v>
      </c>
      <c r="V40" s="33"/>
      <c r="W40" s="53"/>
    </row>
    <row r="41" spans="2:23" s="110" customFormat="1" ht="20.25" customHeight="1" thickBot="1">
      <c r="B41" s="111"/>
      <c r="C41" s="112" t="s">
        <v>53</v>
      </c>
      <c r="D41" s="113">
        <f>SUM(D4:D40)</f>
        <v>1.0000000000000002</v>
      </c>
      <c r="E41" s="114">
        <f>+L41</f>
        <v>0.76413127776062162</v>
      </c>
      <c r="F41" s="115">
        <f>+M41</f>
        <v>0.80935394229383129</v>
      </c>
      <c r="G41" s="115">
        <f>+N41</f>
        <v>0.94960500000000003</v>
      </c>
      <c r="H41" s="116">
        <f>+O41</f>
        <v>0.79149935404935556</v>
      </c>
      <c r="I41" s="105">
        <v>0.95</v>
      </c>
      <c r="J41" s="106">
        <f>SUM(J4:J40)</f>
        <v>0.93900000000000028</v>
      </c>
      <c r="K41" s="117">
        <v>0.83395402110657324</v>
      </c>
      <c r="L41" s="115">
        <f>SUM(L4:L40)</f>
        <v>0.76413127776062162</v>
      </c>
      <c r="M41" s="115">
        <f>SUM(M4:M40)</f>
        <v>0.80935394229383129</v>
      </c>
      <c r="N41" s="115">
        <f>SUM(N4:N40)</f>
        <v>0.94960500000000003</v>
      </c>
      <c r="O41" s="115">
        <f>SUM(O4:O40)+0.004</f>
        <v>0.79149935404935556</v>
      </c>
      <c r="P41" s="118"/>
      <c r="Q41" s="116"/>
      <c r="R41" s="105">
        <v>0.94550000000000001</v>
      </c>
      <c r="S41" s="198">
        <v>0.71799999999999997</v>
      </c>
      <c r="T41" s="118"/>
      <c r="U41" s="128"/>
      <c r="V41" s="119"/>
      <c r="W41" s="119"/>
    </row>
    <row r="42" spans="2:23" ht="12" customHeight="1">
      <c r="C42" s="120"/>
      <c r="E42" s="121"/>
      <c r="F42" s="121"/>
      <c r="G42" s="121"/>
      <c r="H42" s="121"/>
      <c r="I42" s="122"/>
      <c r="K42" s="121"/>
      <c r="L42" s="121"/>
      <c r="M42" s="121"/>
      <c r="N42" s="121"/>
      <c r="O42" s="121"/>
      <c r="Q42" s="121"/>
      <c r="R42" s="121"/>
      <c r="S42" s="121"/>
    </row>
    <row r="43" spans="2:23">
      <c r="B43" s="123"/>
      <c r="C43" s="120"/>
      <c r="D43" s="239"/>
      <c r="E43" s="240"/>
      <c r="F43" s="240"/>
      <c r="G43" s="240"/>
      <c r="H43" s="240"/>
      <c r="I43" s="241"/>
    </row>
    <row r="44" spans="2:23">
      <c r="D44" s="239"/>
      <c r="E44" s="148"/>
      <c r="F44" s="148"/>
      <c r="G44" s="148"/>
      <c r="H44" s="148"/>
      <c r="I44" s="148"/>
    </row>
    <row r="60" spans="26:26" ht="18.600000000000001">
      <c r="Z60" s="125"/>
    </row>
    <row r="83" spans="26:26" ht="21">
      <c r="Z83" s="126"/>
    </row>
  </sheetData>
  <mergeCells count="5">
    <mergeCell ref="B35:B36"/>
    <mergeCell ref="B5:B6"/>
    <mergeCell ref="B7:B9"/>
    <mergeCell ref="B31:B32"/>
    <mergeCell ref="B10:B30"/>
  </mergeCells>
  <phoneticPr fontId="44" type="noConversion"/>
  <pageMargins left="0.75" right="0.75" top="1" bottom="1" header="0" footer="0"/>
  <pageSetup paperSize="9" orientation="portrait" r:id="rId1"/>
  <headerFooter alignWithMargins="0"/>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U19"/>
  <sheetViews>
    <sheetView workbookViewId="0">
      <selection activeCell="J27" sqref="J27"/>
    </sheetView>
  </sheetViews>
  <sheetFormatPr baseColWidth="10" defaultColWidth="11.44140625" defaultRowHeight="13.2"/>
  <cols>
    <col min="1" max="1" width="9" style="8" customWidth="1"/>
    <col min="2" max="2" width="7.5546875" style="8" customWidth="1"/>
    <col min="3" max="3" width="8" customWidth="1"/>
    <col min="4" max="4" width="5.44140625" customWidth="1"/>
    <col min="5" max="5" width="6.5546875" customWidth="1"/>
    <col min="6" max="6" width="9" customWidth="1"/>
    <col min="7" max="7" width="1.44140625" customWidth="1"/>
    <col min="8" max="8" width="10" customWidth="1"/>
    <col min="9" max="9" width="1.44140625" customWidth="1"/>
    <col min="10" max="12" width="8.44140625" customWidth="1"/>
    <col min="13" max="13" width="1.5546875" customWidth="1"/>
    <col min="14" max="14" width="7.5546875" customWidth="1"/>
    <col min="15" max="15" width="8.44140625" customWidth="1"/>
    <col min="16" max="16" width="7.44140625" customWidth="1"/>
    <col min="17" max="17" width="1.5546875" customWidth="1"/>
    <col min="18" max="18" width="7.44140625" customWidth="1"/>
    <col min="19" max="19" width="8.44140625" customWidth="1"/>
    <col min="20" max="20" width="7.5546875" customWidth="1"/>
    <col min="21" max="21" width="7.44140625" style="8" customWidth="1"/>
  </cols>
  <sheetData>
    <row r="1" spans="1:21">
      <c r="A1" s="288"/>
      <c r="B1" s="289"/>
      <c r="C1" s="290"/>
      <c r="D1" s="290"/>
      <c r="E1" s="290"/>
      <c r="F1" s="290"/>
      <c r="G1" s="291"/>
      <c r="H1" s="290"/>
      <c r="I1" s="291"/>
      <c r="J1" s="3200" t="s">
        <v>326</v>
      </c>
      <c r="K1" s="3200"/>
      <c r="L1" s="3200"/>
      <c r="M1" s="291"/>
      <c r="N1" s="3200" t="s">
        <v>325</v>
      </c>
      <c r="O1" s="3200"/>
      <c r="P1" s="3200"/>
      <c r="Q1" s="291"/>
      <c r="R1" s="3200" t="s">
        <v>327</v>
      </c>
      <c r="S1" s="3200"/>
      <c r="T1" s="3200"/>
    </row>
    <row r="2" spans="1:21" ht="21.75" customHeight="1">
      <c r="A2" s="292" t="s">
        <v>328</v>
      </c>
      <c r="B2" s="287"/>
      <c r="C2" s="293" t="s">
        <v>329</v>
      </c>
      <c r="D2" s="293" t="s">
        <v>294</v>
      </c>
      <c r="E2" s="293" t="s">
        <v>330</v>
      </c>
      <c r="F2" s="293" t="s">
        <v>55</v>
      </c>
      <c r="G2" s="291"/>
      <c r="H2" s="293" t="s">
        <v>68</v>
      </c>
      <c r="I2" s="294"/>
      <c r="J2" s="295" t="s">
        <v>264</v>
      </c>
      <c r="K2" s="296" t="s">
        <v>265</v>
      </c>
      <c r="L2" s="296" t="s">
        <v>299</v>
      </c>
      <c r="M2" s="294"/>
      <c r="N2" s="293" t="s">
        <v>264</v>
      </c>
      <c r="O2" s="293" t="s">
        <v>265</v>
      </c>
      <c r="P2" s="293" t="s">
        <v>299</v>
      </c>
      <c r="Q2" s="294"/>
      <c r="R2" s="293" t="s">
        <v>264</v>
      </c>
      <c r="S2" s="293" t="s">
        <v>265</v>
      </c>
      <c r="T2" s="293" t="s">
        <v>299</v>
      </c>
      <c r="U2" s="352" t="s">
        <v>334</v>
      </c>
    </row>
    <row r="3" spans="1:21" s="242" customFormat="1">
      <c r="A3" s="3201" t="s">
        <v>11</v>
      </c>
      <c r="B3" s="297" t="s">
        <v>113</v>
      </c>
      <c r="C3" s="298">
        <v>0</v>
      </c>
      <c r="D3" s="298">
        <v>0</v>
      </c>
      <c r="E3" s="298">
        <v>0</v>
      </c>
      <c r="F3" s="299">
        <f>+C3+D3+E3</f>
        <v>0</v>
      </c>
      <c r="G3" s="294"/>
      <c r="H3" s="298">
        <v>0</v>
      </c>
      <c r="I3" s="300"/>
      <c r="J3" s="301"/>
      <c r="K3" s="302"/>
      <c r="L3" s="303"/>
      <c r="M3" s="300"/>
      <c r="N3" s="304"/>
      <c r="O3" s="305"/>
      <c r="P3" s="306"/>
      <c r="Q3" s="300"/>
      <c r="R3" s="304"/>
      <c r="S3" s="305"/>
      <c r="T3" s="306"/>
      <c r="U3" s="353"/>
    </row>
    <row r="4" spans="1:21" ht="14.4">
      <c r="A4" s="3201"/>
      <c r="B4" s="297" t="s">
        <v>331</v>
      </c>
      <c r="C4" s="307">
        <v>1</v>
      </c>
      <c r="D4" s="308">
        <v>0</v>
      </c>
      <c r="E4" s="308">
        <v>0</v>
      </c>
      <c r="F4" s="309">
        <f>+C4+D4+E4</f>
        <v>1</v>
      </c>
      <c r="G4" s="300"/>
      <c r="H4" s="310">
        <v>30</v>
      </c>
      <c r="I4" s="311"/>
      <c r="J4" s="314">
        <v>3.5334815039910672</v>
      </c>
      <c r="K4" s="313">
        <v>106.00444511973203</v>
      </c>
      <c r="L4" s="314">
        <v>0.70669630079821344</v>
      </c>
      <c r="M4" s="311"/>
      <c r="N4" s="344"/>
      <c r="O4" s="345"/>
      <c r="P4" s="346"/>
      <c r="Q4" s="311"/>
      <c r="R4" s="344"/>
      <c r="S4" s="345"/>
      <c r="T4" s="346"/>
      <c r="U4" s="354">
        <v>0.02</v>
      </c>
    </row>
    <row r="5" spans="1:21" ht="14.4">
      <c r="A5" s="3201"/>
      <c r="B5" s="315" t="s">
        <v>332</v>
      </c>
      <c r="C5" s="316">
        <v>1</v>
      </c>
      <c r="D5" s="316">
        <v>0</v>
      </c>
      <c r="E5" s="316">
        <v>2</v>
      </c>
      <c r="F5" s="316">
        <f t="shared" ref="F5:F18" si="0">+C5+D5+E5</f>
        <v>3</v>
      </c>
      <c r="G5" s="311"/>
      <c r="H5" s="316">
        <v>25</v>
      </c>
      <c r="I5" s="317"/>
      <c r="J5" s="318" t="s">
        <v>311</v>
      </c>
      <c r="K5" s="319" t="s">
        <v>310</v>
      </c>
      <c r="L5" s="320" t="s">
        <v>309</v>
      </c>
      <c r="M5" s="317"/>
      <c r="N5" s="321"/>
      <c r="O5" s="322"/>
      <c r="P5" s="323"/>
      <c r="Q5" s="324"/>
      <c r="R5" s="321"/>
      <c r="S5" s="322"/>
      <c r="T5" s="323"/>
      <c r="U5" s="355"/>
    </row>
    <row r="6" spans="1:21">
      <c r="A6" s="3202"/>
      <c r="B6" s="297">
        <v>2009</v>
      </c>
      <c r="C6" s="325">
        <v>0</v>
      </c>
      <c r="D6" s="325">
        <v>0</v>
      </c>
      <c r="E6" s="325">
        <v>1</v>
      </c>
      <c r="F6" s="316">
        <f t="shared" si="0"/>
        <v>1</v>
      </c>
      <c r="G6" s="317"/>
      <c r="H6" s="325">
        <v>0</v>
      </c>
      <c r="I6" s="317"/>
      <c r="J6" s="318">
        <v>0</v>
      </c>
      <c r="K6" s="319">
        <v>0</v>
      </c>
      <c r="L6" s="320">
        <v>0.72</v>
      </c>
      <c r="M6" s="317"/>
      <c r="N6" s="326"/>
      <c r="O6" s="327"/>
      <c r="P6" s="328"/>
      <c r="Q6" s="324"/>
      <c r="R6" s="326"/>
      <c r="S6" s="327"/>
      <c r="T6" s="328"/>
      <c r="U6" s="146"/>
    </row>
    <row r="7" spans="1:21">
      <c r="A7" s="3209" t="s">
        <v>10</v>
      </c>
      <c r="B7" s="315" t="str">
        <f>+B3</f>
        <v>Dic</v>
      </c>
      <c r="C7" s="299">
        <v>1</v>
      </c>
      <c r="D7" s="299">
        <v>0</v>
      </c>
      <c r="E7" s="299">
        <v>0</v>
      </c>
      <c r="F7" s="299">
        <f>+E7+D7+C7</f>
        <v>1</v>
      </c>
      <c r="G7" s="317"/>
      <c r="H7" s="299">
        <v>2</v>
      </c>
      <c r="I7" s="300"/>
      <c r="J7" s="329"/>
      <c r="K7" s="330"/>
      <c r="L7" s="331"/>
      <c r="M7" s="300"/>
      <c r="N7" s="332"/>
      <c r="O7" s="333"/>
      <c r="P7" s="334"/>
      <c r="Q7" s="300"/>
      <c r="R7" s="332"/>
      <c r="S7" s="333"/>
      <c r="T7" s="334"/>
      <c r="U7" s="353"/>
    </row>
    <row r="8" spans="1:21" ht="14.4">
      <c r="A8" s="3209"/>
      <c r="B8" s="315" t="s">
        <v>331</v>
      </c>
      <c r="C8" s="338">
        <v>4</v>
      </c>
      <c r="D8" s="309">
        <v>0</v>
      </c>
      <c r="E8" s="309">
        <v>1</v>
      </c>
      <c r="F8" s="339">
        <f t="shared" si="0"/>
        <v>5</v>
      </c>
      <c r="G8" s="300"/>
      <c r="H8" s="310">
        <v>60</v>
      </c>
      <c r="I8" s="311"/>
      <c r="J8" s="312">
        <v>8.77</v>
      </c>
      <c r="K8" s="335">
        <v>131.51</v>
      </c>
      <c r="L8" s="336">
        <v>2.19</v>
      </c>
      <c r="M8" s="337"/>
      <c r="N8" s="347"/>
      <c r="O8" s="346"/>
      <c r="P8" s="348"/>
      <c r="Q8" s="337"/>
      <c r="R8" s="346"/>
      <c r="S8" s="346"/>
      <c r="T8" s="348"/>
      <c r="U8" s="354">
        <v>0.17</v>
      </c>
    </row>
    <row r="9" spans="1:21" ht="14.4">
      <c r="A9" s="3209"/>
      <c r="B9" s="315" t="s">
        <v>332</v>
      </c>
      <c r="C9" s="316">
        <v>2</v>
      </c>
      <c r="D9" s="316">
        <v>0</v>
      </c>
      <c r="E9" s="316">
        <v>3</v>
      </c>
      <c r="F9" s="316">
        <f t="shared" si="0"/>
        <v>5</v>
      </c>
      <c r="G9" s="311"/>
      <c r="H9" s="316">
        <v>50</v>
      </c>
      <c r="I9" s="317"/>
      <c r="J9" s="318" t="s">
        <v>312</v>
      </c>
      <c r="K9" s="319" t="s">
        <v>313</v>
      </c>
      <c r="L9" s="320" t="s">
        <v>314</v>
      </c>
      <c r="M9" s="317"/>
      <c r="N9" s="321"/>
      <c r="O9" s="322"/>
      <c r="P9" s="323"/>
      <c r="Q9" s="324"/>
      <c r="R9" s="321"/>
      <c r="S9" s="322"/>
      <c r="T9" s="323"/>
      <c r="U9" s="355"/>
    </row>
    <row r="10" spans="1:21">
      <c r="A10" s="3209"/>
      <c r="B10" s="315">
        <v>2009</v>
      </c>
      <c r="C10" s="316">
        <v>3</v>
      </c>
      <c r="D10" s="316">
        <v>0</v>
      </c>
      <c r="E10" s="316">
        <v>7</v>
      </c>
      <c r="F10" s="316">
        <f t="shared" si="0"/>
        <v>10</v>
      </c>
      <c r="G10" s="317"/>
      <c r="H10" s="325">
        <v>49</v>
      </c>
      <c r="I10" s="317"/>
      <c r="J10" s="318">
        <v>7.69</v>
      </c>
      <c r="K10" s="319">
        <v>125.68</v>
      </c>
      <c r="L10" s="320">
        <v>5.13</v>
      </c>
      <c r="M10" s="317"/>
      <c r="N10" s="326"/>
      <c r="O10" s="327"/>
      <c r="P10" s="328"/>
      <c r="Q10" s="324"/>
      <c r="R10" s="326"/>
      <c r="S10" s="327"/>
      <c r="T10" s="328"/>
      <c r="U10" s="146"/>
    </row>
    <row r="11" spans="1:21">
      <c r="A11" s="3209" t="s">
        <v>9</v>
      </c>
      <c r="B11" s="315" t="str">
        <f>+B3</f>
        <v>Dic</v>
      </c>
      <c r="C11" s="299">
        <v>0</v>
      </c>
      <c r="D11" s="299">
        <v>0</v>
      </c>
      <c r="E11" s="299">
        <v>1</v>
      </c>
      <c r="F11" s="299">
        <f t="shared" si="0"/>
        <v>1</v>
      </c>
      <c r="G11" s="317"/>
      <c r="H11" s="299">
        <v>0</v>
      </c>
      <c r="I11" s="300"/>
      <c r="J11" s="329"/>
      <c r="K11" s="330"/>
      <c r="L11" s="331"/>
      <c r="M11" s="300"/>
      <c r="N11" s="332"/>
      <c r="O11" s="333"/>
      <c r="P11" s="334"/>
      <c r="Q11" s="300"/>
      <c r="R11" s="332"/>
      <c r="S11" s="333"/>
      <c r="T11" s="334"/>
      <c r="U11" s="353"/>
    </row>
    <row r="12" spans="1:21" ht="14.4">
      <c r="A12" s="3209"/>
      <c r="B12" s="315" t="s">
        <v>331</v>
      </c>
      <c r="C12" s="338">
        <v>4</v>
      </c>
      <c r="D12" s="309">
        <v>0</v>
      </c>
      <c r="E12" s="339">
        <v>4</v>
      </c>
      <c r="F12" s="338">
        <f t="shared" si="0"/>
        <v>8</v>
      </c>
      <c r="G12" s="300"/>
      <c r="H12" s="338">
        <v>129</v>
      </c>
      <c r="I12" s="311"/>
      <c r="J12" s="314">
        <v>6.29</v>
      </c>
      <c r="K12" s="340">
        <v>202.89</v>
      </c>
      <c r="L12" s="340">
        <v>2.52</v>
      </c>
      <c r="M12" s="311"/>
      <c r="N12" s="349"/>
      <c r="O12" s="350"/>
      <c r="P12" s="351"/>
      <c r="Q12" s="311"/>
      <c r="R12" s="349"/>
      <c r="S12" s="350"/>
      <c r="T12" s="351"/>
      <c r="U12" s="354">
        <v>0.08</v>
      </c>
    </row>
    <row r="13" spans="1:21" ht="14.4">
      <c r="A13" s="3209"/>
      <c r="B13" s="315" t="s">
        <v>332</v>
      </c>
      <c r="C13" s="316">
        <v>3</v>
      </c>
      <c r="D13" s="316">
        <v>0</v>
      </c>
      <c r="E13" s="316">
        <v>4</v>
      </c>
      <c r="F13" s="316">
        <f t="shared" si="0"/>
        <v>7</v>
      </c>
      <c r="G13" s="311"/>
      <c r="H13" s="316">
        <v>75</v>
      </c>
      <c r="I13" s="317"/>
      <c r="J13" s="318" t="s">
        <v>315</v>
      </c>
      <c r="K13" s="319" t="s">
        <v>316</v>
      </c>
      <c r="L13" s="320" t="s">
        <v>317</v>
      </c>
      <c r="M13" s="317"/>
      <c r="N13" s="321"/>
      <c r="O13" s="322"/>
      <c r="P13" s="323"/>
      <c r="Q13" s="324"/>
      <c r="R13" s="321"/>
      <c r="S13" s="322"/>
      <c r="T13" s="323"/>
      <c r="U13" s="355"/>
    </row>
    <row r="14" spans="1:21">
      <c r="A14" s="3209"/>
      <c r="B14" s="315">
        <v>2009</v>
      </c>
      <c r="C14" s="316">
        <v>4</v>
      </c>
      <c r="D14" s="316">
        <v>0</v>
      </c>
      <c r="E14" s="316">
        <v>1</v>
      </c>
      <c r="F14" s="316">
        <f t="shared" si="0"/>
        <v>5</v>
      </c>
      <c r="G14" s="317"/>
      <c r="H14" s="325">
        <v>6019</v>
      </c>
      <c r="I14" s="317"/>
      <c r="J14" s="318">
        <v>6.78</v>
      </c>
      <c r="K14" s="319">
        <v>10205.67</v>
      </c>
      <c r="L14" s="320">
        <v>1.7</v>
      </c>
      <c r="M14" s="317"/>
      <c r="N14" s="326"/>
      <c r="O14" s="327"/>
      <c r="P14" s="328"/>
      <c r="Q14" s="324"/>
      <c r="R14" s="326"/>
      <c r="S14" s="327"/>
      <c r="T14" s="328"/>
      <c r="U14" s="146"/>
    </row>
    <row r="15" spans="1:21">
      <c r="A15" s="3210" t="s">
        <v>333</v>
      </c>
      <c r="B15" s="315" t="str">
        <f>+B3</f>
        <v>Dic</v>
      </c>
      <c r="C15" s="299">
        <f>+C11+C7+C3</f>
        <v>1</v>
      </c>
      <c r="D15" s="299">
        <f>+D11+D7+D3</f>
        <v>0</v>
      </c>
      <c r="E15" s="299">
        <f>+E11+E7+E3</f>
        <v>1</v>
      </c>
      <c r="F15" s="299">
        <f>+F11+F7+F3</f>
        <v>2</v>
      </c>
      <c r="G15" s="317"/>
      <c r="H15" s="299">
        <f>+H11+H7+H3</f>
        <v>2</v>
      </c>
      <c r="I15" s="300"/>
      <c r="J15" s="329"/>
      <c r="K15" s="330"/>
      <c r="L15" s="331"/>
      <c r="M15" s="300"/>
      <c r="N15" s="332"/>
      <c r="O15" s="333"/>
      <c r="P15" s="334"/>
      <c r="Q15" s="300"/>
      <c r="R15" s="332"/>
      <c r="S15" s="333"/>
      <c r="T15" s="334"/>
      <c r="U15" s="353"/>
    </row>
    <row r="16" spans="1:21" ht="12.75" customHeight="1">
      <c r="A16" s="3210"/>
      <c r="B16" s="315" t="s">
        <v>331</v>
      </c>
      <c r="C16" s="338">
        <f t="shared" ref="C16:D18" si="1">+C12+C8+C4</f>
        <v>9</v>
      </c>
      <c r="D16" s="309">
        <f t="shared" si="1"/>
        <v>0</v>
      </c>
      <c r="E16" s="309">
        <f>+E4+E8+E12</f>
        <v>5</v>
      </c>
      <c r="F16" s="309">
        <f t="shared" si="0"/>
        <v>14</v>
      </c>
      <c r="G16" s="300"/>
      <c r="H16" s="338">
        <f>+H12+H8+H4</f>
        <v>219</v>
      </c>
      <c r="I16" s="311"/>
      <c r="J16" s="312">
        <v>6.55</v>
      </c>
      <c r="K16" s="340">
        <v>159.27000000000001</v>
      </c>
      <c r="L16" s="314">
        <v>2.04</v>
      </c>
      <c r="M16" s="311"/>
      <c r="N16" s="344"/>
      <c r="O16" s="350"/>
      <c r="P16" s="346"/>
      <c r="Q16" s="311"/>
      <c r="R16" s="344"/>
      <c r="S16" s="350"/>
      <c r="T16" s="346"/>
      <c r="U16" s="354">
        <v>0.09</v>
      </c>
    </row>
    <row r="17" spans="1:21" ht="13.5" customHeight="1">
      <c r="A17" s="3210"/>
      <c r="B17" s="315" t="s">
        <v>332</v>
      </c>
      <c r="C17" s="316">
        <f t="shared" si="1"/>
        <v>6</v>
      </c>
      <c r="D17" s="316">
        <f t="shared" si="1"/>
        <v>0</v>
      </c>
      <c r="E17" s="316">
        <f>+E5+E9+E13</f>
        <v>9</v>
      </c>
      <c r="F17" s="316">
        <f t="shared" si="0"/>
        <v>15</v>
      </c>
      <c r="G17" s="311"/>
      <c r="H17" s="316">
        <f>+H13+H9+H5</f>
        <v>150</v>
      </c>
      <c r="I17" s="317"/>
      <c r="J17" s="318" t="s">
        <v>306</v>
      </c>
      <c r="K17" s="319" t="s">
        <v>307</v>
      </c>
      <c r="L17" s="320" t="s">
        <v>308</v>
      </c>
      <c r="M17" s="317"/>
      <c r="N17" s="3203"/>
      <c r="O17" s="3204"/>
      <c r="P17" s="3205"/>
      <c r="Q17" s="324"/>
      <c r="R17" s="3203"/>
      <c r="S17" s="3204"/>
      <c r="T17" s="3205"/>
      <c r="U17" s="355"/>
    </row>
    <row r="18" spans="1:21" ht="13.5" customHeight="1">
      <c r="A18" s="3210"/>
      <c r="B18" s="315">
        <v>2009</v>
      </c>
      <c r="C18" s="316">
        <f t="shared" si="1"/>
        <v>7</v>
      </c>
      <c r="D18" s="316">
        <f t="shared" si="1"/>
        <v>0</v>
      </c>
      <c r="E18" s="316">
        <f>+E6+E10+E14</f>
        <v>9</v>
      </c>
      <c r="F18" s="316">
        <f t="shared" si="0"/>
        <v>16</v>
      </c>
      <c r="G18" s="317"/>
      <c r="H18" s="325">
        <f>+H14+H10+H6</f>
        <v>6068</v>
      </c>
      <c r="I18" s="317"/>
      <c r="J18" s="341">
        <v>5.57</v>
      </c>
      <c r="K18" s="342">
        <v>4828.1000000000004</v>
      </c>
      <c r="L18" s="343">
        <v>2.5499999999999998</v>
      </c>
      <c r="M18" s="317"/>
      <c r="N18" s="3206"/>
      <c r="O18" s="3207"/>
      <c r="P18" s="3208"/>
      <c r="Q18" s="324"/>
      <c r="R18" s="3206"/>
      <c r="S18" s="3207"/>
      <c r="T18" s="3208"/>
      <c r="U18" s="146"/>
    </row>
    <row r="19" spans="1:21">
      <c r="G19" s="317"/>
      <c r="I19" s="10"/>
    </row>
  </sheetData>
  <mergeCells count="9">
    <mergeCell ref="J1:L1"/>
    <mergeCell ref="N1:P1"/>
    <mergeCell ref="R1:T1"/>
    <mergeCell ref="A3:A6"/>
    <mergeCell ref="R17:T18"/>
    <mergeCell ref="A7:A10"/>
    <mergeCell ref="A11:A14"/>
    <mergeCell ref="A15:A18"/>
    <mergeCell ref="N17:P18"/>
  </mergeCells>
  <phoneticPr fontId="44" type="noConversion"/>
  <pageMargins left="0.75" right="0.75" top="1" bottom="1" header="0" footer="0"/>
  <pageSetup paperSize="9" orientation="portrait" r:id="rId1"/>
  <headerFooter alignWithMargins="0"/>
  <customProperties>
    <customPr name="_pios_id" r:id="rId2"/>
  </customPropertie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theme="4" tint="-0.249977111117893"/>
    <pageSetUpPr fitToPage="1"/>
  </sheetPr>
  <dimension ref="A1:XDP1048506"/>
  <sheetViews>
    <sheetView showGridLines="0" zoomScale="70" zoomScaleNormal="70" workbookViewId="0">
      <pane ySplit="1029" topLeftCell="A1137" activePane="bottomLeft" state="frozen"/>
      <selection pane="bottomLeft" activeCell="E1140" sqref="E1140"/>
    </sheetView>
  </sheetViews>
  <sheetFormatPr baseColWidth="10" defaultColWidth="10.77734375" defaultRowHeight="13.8"/>
  <cols>
    <col min="1" max="1" width="20.21875" style="1608" customWidth="1"/>
    <col min="2" max="2" width="30.77734375" style="1610" customWidth="1"/>
    <col min="3" max="3" width="34" style="1610" customWidth="1"/>
    <col min="4" max="4" width="28.21875" style="1112" hidden="1" customWidth="1"/>
    <col min="5" max="5" width="32" style="1627" customWidth="1"/>
    <col min="6" max="6" width="16" style="1610" customWidth="1"/>
    <col min="7" max="7" width="26" style="1632" customWidth="1"/>
    <col min="8" max="8" width="7" style="1610" customWidth="1"/>
    <col min="9" max="9" width="13.5546875" style="1610" customWidth="1"/>
    <col min="10" max="10" width="22.5546875" style="1610" customWidth="1"/>
    <col min="11" max="11" width="12.5546875" style="1633" customWidth="1"/>
    <col min="12" max="12" width="24.21875" style="1608" customWidth="1"/>
    <col min="13" max="13" width="72.21875" style="1634" customWidth="1"/>
    <col min="14" max="14" width="16" style="1610" customWidth="1"/>
    <col min="15" max="15" width="10.5546875" style="1610" customWidth="1"/>
    <col min="16" max="16" width="14.5546875" style="1610" customWidth="1"/>
    <col min="17" max="17" width="14.21875" style="1610" customWidth="1"/>
    <col min="18" max="18" width="12.5546875" style="1610" customWidth="1"/>
    <col min="19" max="19" width="13.21875" style="1610" customWidth="1"/>
    <col min="20" max="20" width="19.21875" style="1627" customWidth="1"/>
    <col min="21" max="21" width="30.5546875" style="1610" customWidth="1"/>
    <col min="22" max="22" width="28" style="1610" customWidth="1"/>
    <col min="23" max="23" width="20.5546875" style="1610" customWidth="1"/>
    <col min="24" max="24" width="25.21875" style="1610" customWidth="1"/>
    <col min="25" max="25" width="20.77734375" style="1608" customWidth="1"/>
    <col min="26" max="26" width="17.21875" style="1610" bestFit="1" customWidth="1"/>
    <col min="27" max="16384" width="10.77734375" style="1608"/>
  </cols>
  <sheetData>
    <row r="1" spans="1:26" s="1664" customFormat="1" ht="29.85" customHeight="1">
      <c r="A1" s="1657" t="s">
        <v>2935</v>
      </c>
      <c r="B1" s="1658" t="s">
        <v>2829</v>
      </c>
      <c r="C1" s="1659" t="s">
        <v>3326</v>
      </c>
      <c r="D1" s="1765" t="s">
        <v>2930</v>
      </c>
      <c r="E1" s="1765" t="s">
        <v>975</v>
      </c>
      <c r="F1" s="1657" t="s">
        <v>976</v>
      </c>
      <c r="G1" s="1660" t="s">
        <v>977</v>
      </c>
      <c r="H1" s="1659" t="s">
        <v>978</v>
      </c>
      <c r="I1" s="1657" t="s">
        <v>979</v>
      </c>
      <c r="J1" s="1660" t="s">
        <v>2933</v>
      </c>
      <c r="K1" s="1661" t="s">
        <v>2932</v>
      </c>
      <c r="L1" s="1662" t="s">
        <v>4440</v>
      </c>
      <c r="M1" s="1663" t="s">
        <v>980</v>
      </c>
      <c r="N1" s="1660" t="s">
        <v>981</v>
      </c>
      <c r="O1" s="1659" t="s">
        <v>910</v>
      </c>
      <c r="P1" s="1657" t="s">
        <v>982</v>
      </c>
      <c r="Q1" s="1660" t="s">
        <v>983</v>
      </c>
      <c r="R1" s="1659" t="s">
        <v>984</v>
      </c>
      <c r="S1" s="1660" t="s">
        <v>1921</v>
      </c>
      <c r="T1" s="1765" t="s">
        <v>2950</v>
      </c>
      <c r="U1" s="1657" t="s">
        <v>58</v>
      </c>
      <c r="V1" s="1657" t="s">
        <v>5873</v>
      </c>
      <c r="W1" s="1658" t="s">
        <v>5881</v>
      </c>
      <c r="X1" s="1659" t="s">
        <v>1054</v>
      </c>
      <c r="Y1" s="1658" t="s">
        <v>4004</v>
      </c>
      <c r="Z1" s="1658" t="s">
        <v>5944</v>
      </c>
    </row>
    <row r="2" spans="1:26" customFormat="1" hidden="1">
      <c r="A2" s="1611"/>
      <c r="B2" s="1611" t="s">
        <v>1006</v>
      </c>
      <c r="C2" s="1611" t="s">
        <v>1006</v>
      </c>
      <c r="D2" s="1611" t="s">
        <v>431</v>
      </c>
      <c r="E2" s="1619" t="s">
        <v>1077</v>
      </c>
      <c r="F2" s="1604">
        <v>46</v>
      </c>
      <c r="G2" s="1611" t="s">
        <v>1078</v>
      </c>
      <c r="H2" s="1618" t="s">
        <v>987</v>
      </c>
      <c r="I2" s="1618" t="s">
        <v>1079</v>
      </c>
      <c r="J2" s="1601"/>
      <c r="K2" s="1611" t="s">
        <v>1080</v>
      </c>
      <c r="L2" s="1611" t="s">
        <v>990</v>
      </c>
      <c r="M2" s="1617" t="s">
        <v>1081</v>
      </c>
      <c r="N2" s="1611" t="s">
        <v>915</v>
      </c>
      <c r="O2" s="1604">
        <v>2015</v>
      </c>
      <c r="P2" s="1611" t="s">
        <v>1031</v>
      </c>
      <c r="Q2" s="1618">
        <v>7</v>
      </c>
      <c r="R2" s="1618"/>
      <c r="S2" s="1618">
        <v>7</v>
      </c>
      <c r="T2" s="1611" t="s">
        <v>1301</v>
      </c>
      <c r="U2" s="1611" t="s">
        <v>870</v>
      </c>
      <c r="V2" s="1611"/>
      <c r="W2" s="1611" t="s">
        <v>916</v>
      </c>
      <c r="X2" s="1611"/>
      <c r="Y2" s="1611"/>
      <c r="Z2" s="1611"/>
    </row>
    <row r="3" spans="1:26" customFormat="1" ht="27.6" hidden="1">
      <c r="A3" s="1611"/>
      <c r="B3" s="1611" t="s">
        <v>1309</v>
      </c>
      <c r="C3" s="1611" t="s">
        <v>1082</v>
      </c>
      <c r="D3" s="1611" t="s">
        <v>1057</v>
      </c>
      <c r="E3" s="1619" t="s">
        <v>1083</v>
      </c>
      <c r="F3" s="1604">
        <v>29</v>
      </c>
      <c r="G3" s="1611" t="s">
        <v>993</v>
      </c>
      <c r="H3" s="1618" t="s">
        <v>987</v>
      </c>
      <c r="I3" s="1618" t="s">
        <v>995</v>
      </c>
      <c r="J3" s="1601"/>
      <c r="K3" s="1611" t="s">
        <v>1084</v>
      </c>
      <c r="L3" s="1611" t="s">
        <v>990</v>
      </c>
      <c r="M3" s="1617" t="s">
        <v>1085</v>
      </c>
      <c r="N3" s="1611" t="s">
        <v>912</v>
      </c>
      <c r="O3" s="1604">
        <v>2015</v>
      </c>
      <c r="P3" s="1611" t="s">
        <v>1086</v>
      </c>
      <c r="Q3" s="1618">
        <v>1</v>
      </c>
      <c r="R3" s="1618"/>
      <c r="S3" s="1618">
        <v>1</v>
      </c>
      <c r="T3" s="1611" t="s">
        <v>1087</v>
      </c>
      <c r="U3" s="1611" t="s">
        <v>928</v>
      </c>
      <c r="V3" s="1611"/>
      <c r="W3" s="1611" t="s">
        <v>851</v>
      </c>
      <c r="X3" s="1611" t="s">
        <v>1088</v>
      </c>
      <c r="Y3" s="1611"/>
      <c r="Z3" s="1611"/>
    </row>
    <row r="4" spans="1:26" customFormat="1" hidden="1">
      <c r="A4" s="1611"/>
      <c r="B4" s="1611" t="s">
        <v>6305</v>
      </c>
      <c r="C4" s="1611" t="s">
        <v>694</v>
      </c>
      <c r="D4" s="1611" t="s">
        <v>998</v>
      </c>
      <c r="E4" s="1619" t="s">
        <v>1089</v>
      </c>
      <c r="F4" s="1604">
        <v>42</v>
      </c>
      <c r="G4" s="1611" t="s">
        <v>1090</v>
      </c>
      <c r="H4" s="1618" t="s">
        <v>987</v>
      </c>
      <c r="I4" s="1618" t="s">
        <v>995</v>
      </c>
      <c r="J4" s="1601"/>
      <c r="K4" s="1611" t="s">
        <v>1091</v>
      </c>
      <c r="L4" s="1611" t="s">
        <v>990</v>
      </c>
      <c r="M4" s="1617" t="s">
        <v>1092</v>
      </c>
      <c r="N4" s="1611" t="s">
        <v>912</v>
      </c>
      <c r="O4" s="1604">
        <v>2015</v>
      </c>
      <c r="P4" s="1611" t="s">
        <v>1031</v>
      </c>
      <c r="Q4" s="1618">
        <v>84</v>
      </c>
      <c r="R4" s="1618"/>
      <c r="S4" s="1618">
        <v>84</v>
      </c>
      <c r="T4" s="1611" t="s">
        <v>1093</v>
      </c>
      <c r="U4" s="1611" t="s">
        <v>864</v>
      </c>
      <c r="V4" s="1611"/>
      <c r="W4" s="1611" t="s">
        <v>851</v>
      </c>
      <c r="X4" s="1611"/>
      <c r="Y4" s="1611"/>
      <c r="Z4" s="1611"/>
    </row>
    <row r="5" spans="1:26" customFormat="1" hidden="1">
      <c r="A5" s="1611"/>
      <c r="B5" s="1611" t="s">
        <v>591</v>
      </c>
      <c r="C5" s="1611" t="s">
        <v>3609</v>
      </c>
      <c r="D5" s="1611" t="s">
        <v>879</v>
      </c>
      <c r="E5" s="1619" t="s">
        <v>1094</v>
      </c>
      <c r="F5" s="1604">
        <v>50</v>
      </c>
      <c r="G5" s="1611" t="s">
        <v>986</v>
      </c>
      <c r="H5" s="1618" t="s">
        <v>987</v>
      </c>
      <c r="I5" s="1618" t="s">
        <v>1019</v>
      </c>
      <c r="J5" s="1601"/>
      <c r="K5" s="1611" t="s">
        <v>1095</v>
      </c>
      <c r="L5" s="1611" t="s">
        <v>990</v>
      </c>
      <c r="M5" s="1617" t="s">
        <v>1096</v>
      </c>
      <c r="N5" s="1611" t="s">
        <v>912</v>
      </c>
      <c r="O5" s="1604">
        <v>2015</v>
      </c>
      <c r="P5" s="1611" t="s">
        <v>1052</v>
      </c>
      <c r="Q5" s="1618">
        <v>51</v>
      </c>
      <c r="R5" s="1618"/>
      <c r="S5" s="1618">
        <v>51</v>
      </c>
      <c r="T5" s="1611" t="s">
        <v>1097</v>
      </c>
      <c r="U5" s="1611" t="s">
        <v>863</v>
      </c>
      <c r="V5" s="1611"/>
      <c r="W5" s="1611" t="s">
        <v>851</v>
      </c>
      <c r="X5" s="1611"/>
      <c r="Y5" s="1611"/>
      <c r="Z5" s="1611"/>
    </row>
    <row r="6" spans="1:26" customFormat="1" ht="27.6" hidden="1">
      <c r="A6" s="1611"/>
      <c r="B6" s="1611" t="s">
        <v>1076</v>
      </c>
      <c r="C6" s="1611" t="s">
        <v>1098</v>
      </c>
      <c r="D6" s="1611" t="s">
        <v>431</v>
      </c>
      <c r="E6" s="1619" t="s">
        <v>1099</v>
      </c>
      <c r="F6" s="1604">
        <v>55</v>
      </c>
      <c r="G6" s="1611" t="s">
        <v>993</v>
      </c>
      <c r="H6" s="1618" t="s">
        <v>987</v>
      </c>
      <c r="I6" s="1618" t="s">
        <v>995</v>
      </c>
      <c r="J6" s="1601"/>
      <c r="K6" s="1611" t="s">
        <v>1100</v>
      </c>
      <c r="L6" s="1611" t="s">
        <v>990</v>
      </c>
      <c r="M6" s="1617" t="s">
        <v>1101</v>
      </c>
      <c r="N6" s="1611" t="s">
        <v>913</v>
      </c>
      <c r="O6" s="1604">
        <v>2015</v>
      </c>
      <c r="P6" s="1611" t="s">
        <v>1102</v>
      </c>
      <c r="Q6" s="1618">
        <v>3</v>
      </c>
      <c r="R6" s="1618"/>
      <c r="S6" s="1618">
        <v>3</v>
      </c>
      <c r="T6" s="1611" t="s">
        <v>1103</v>
      </c>
      <c r="U6" s="1611" t="s">
        <v>1104</v>
      </c>
      <c r="V6" s="1611"/>
      <c r="W6" s="1611" t="s">
        <v>850</v>
      </c>
      <c r="X6" s="1611" t="s">
        <v>1105</v>
      </c>
      <c r="Y6" s="1611"/>
      <c r="Z6" s="1611"/>
    </row>
    <row r="7" spans="1:26" customFormat="1" hidden="1">
      <c r="A7" s="1611"/>
      <c r="B7" s="1611" t="s">
        <v>1076</v>
      </c>
      <c r="C7" s="1611" t="s">
        <v>93</v>
      </c>
      <c r="D7" s="1611" t="s">
        <v>431</v>
      </c>
      <c r="E7" s="1619" t="s">
        <v>1106</v>
      </c>
      <c r="F7" s="1604">
        <v>26</v>
      </c>
      <c r="G7" s="1611" t="s">
        <v>1107</v>
      </c>
      <c r="H7" s="1618" t="s">
        <v>987</v>
      </c>
      <c r="I7" s="1618" t="s">
        <v>1000</v>
      </c>
      <c r="J7" s="1601"/>
      <c r="K7" s="1611" t="s">
        <v>1108</v>
      </c>
      <c r="L7" s="1611" t="s">
        <v>1059</v>
      </c>
      <c r="M7" s="1617" t="s">
        <v>1109</v>
      </c>
      <c r="N7" s="1611" t="s">
        <v>915</v>
      </c>
      <c r="O7" s="1604">
        <v>2015</v>
      </c>
      <c r="P7" s="1611" t="s">
        <v>1110</v>
      </c>
      <c r="Q7" s="1618">
        <v>16</v>
      </c>
      <c r="R7" s="1618"/>
      <c r="S7" s="1618">
        <v>16</v>
      </c>
      <c r="T7" s="1611" t="s">
        <v>1111</v>
      </c>
      <c r="U7" s="1611" t="s">
        <v>914</v>
      </c>
      <c r="V7" s="1611"/>
      <c r="W7" s="1611" t="s">
        <v>850</v>
      </c>
      <c r="X7" s="1611"/>
      <c r="Y7" s="1611"/>
      <c r="Z7" s="1611"/>
    </row>
    <row r="8" spans="1:26" customFormat="1" hidden="1">
      <c r="A8" s="1611"/>
      <c r="B8" s="1611" t="s">
        <v>1076</v>
      </c>
      <c r="C8" s="1611" t="s">
        <v>588</v>
      </c>
      <c r="D8" s="1611" t="s">
        <v>879</v>
      </c>
      <c r="E8" s="1619" t="s">
        <v>1112</v>
      </c>
      <c r="F8" s="1604">
        <v>45</v>
      </c>
      <c r="G8" s="1611" t="s">
        <v>1113</v>
      </c>
      <c r="H8" s="1618" t="s">
        <v>987</v>
      </c>
      <c r="I8" s="1618" t="s">
        <v>995</v>
      </c>
      <c r="J8" s="1601"/>
      <c r="K8" s="1611" t="s">
        <v>1114</v>
      </c>
      <c r="L8" s="1611" t="s">
        <v>1059</v>
      </c>
      <c r="M8" s="1617" t="s">
        <v>1115</v>
      </c>
      <c r="N8" s="1611" t="s">
        <v>912</v>
      </c>
      <c r="O8" s="1604">
        <v>2015</v>
      </c>
      <c r="P8" s="1611" t="s">
        <v>1110</v>
      </c>
      <c r="Q8" s="1618">
        <v>139</v>
      </c>
      <c r="R8" s="1618">
        <v>100</v>
      </c>
      <c r="S8" s="1618">
        <v>239</v>
      </c>
      <c r="T8" s="1611" t="s">
        <v>1097</v>
      </c>
      <c r="U8" s="1611" t="s">
        <v>558</v>
      </c>
      <c r="V8" s="1611"/>
      <c r="W8" s="1611" t="s">
        <v>1116</v>
      </c>
      <c r="X8" s="1611"/>
      <c r="Y8" s="1611"/>
      <c r="Z8" s="1611"/>
    </row>
    <row r="9" spans="1:26" customFormat="1" ht="27.6" hidden="1">
      <c r="A9" s="1611"/>
      <c r="B9" s="1611" t="s">
        <v>591</v>
      </c>
      <c r="C9" s="1611" t="s">
        <v>3657</v>
      </c>
      <c r="D9" s="1611" t="s">
        <v>879</v>
      </c>
      <c r="E9" s="1619" t="s">
        <v>1117</v>
      </c>
      <c r="F9" s="1604">
        <v>32</v>
      </c>
      <c r="G9" s="1611" t="s">
        <v>1118</v>
      </c>
      <c r="H9" s="1618" t="s">
        <v>987</v>
      </c>
      <c r="I9" s="1618" t="s">
        <v>995</v>
      </c>
      <c r="J9" s="1601"/>
      <c r="K9" s="1611" t="s">
        <v>1119</v>
      </c>
      <c r="L9" s="1611" t="s">
        <v>1059</v>
      </c>
      <c r="M9" s="1617" t="s">
        <v>1120</v>
      </c>
      <c r="N9" s="1611" t="s">
        <v>912</v>
      </c>
      <c r="O9" s="1604">
        <v>2015</v>
      </c>
      <c r="P9" s="1611" t="s">
        <v>1110</v>
      </c>
      <c r="Q9" s="1618">
        <v>33</v>
      </c>
      <c r="R9" s="1618"/>
      <c r="S9" s="1618">
        <v>33</v>
      </c>
      <c r="T9" s="1611" t="s">
        <v>1097</v>
      </c>
      <c r="U9" s="1611" t="s">
        <v>558</v>
      </c>
      <c r="V9" s="1611"/>
      <c r="W9" s="1611" t="s">
        <v>851</v>
      </c>
      <c r="X9" s="1611"/>
      <c r="Y9" s="1611"/>
      <c r="Z9" s="1611"/>
    </row>
    <row r="10" spans="1:26" customFormat="1" ht="27.6" hidden="1">
      <c r="A10" s="1611"/>
      <c r="B10" s="1611" t="s">
        <v>591</v>
      </c>
      <c r="C10" s="1611" t="s">
        <v>3654</v>
      </c>
      <c r="D10" s="1611" t="s">
        <v>879</v>
      </c>
      <c r="E10" s="1619" t="s">
        <v>1121</v>
      </c>
      <c r="F10" s="1604">
        <v>41</v>
      </c>
      <c r="G10" s="1611" t="s">
        <v>1118</v>
      </c>
      <c r="H10" s="1618" t="s">
        <v>987</v>
      </c>
      <c r="I10" s="1618" t="s">
        <v>1019</v>
      </c>
      <c r="J10" s="1601"/>
      <c r="K10" s="1617" t="s">
        <v>1122</v>
      </c>
      <c r="L10" s="1611" t="s">
        <v>1059</v>
      </c>
      <c r="M10" s="1617" t="s">
        <v>1123</v>
      </c>
      <c r="N10" s="1611" t="s">
        <v>912</v>
      </c>
      <c r="O10" s="1604">
        <v>2015</v>
      </c>
      <c r="P10" s="1611" t="s">
        <v>1110</v>
      </c>
      <c r="Q10" s="1618">
        <v>15</v>
      </c>
      <c r="R10" s="1618"/>
      <c r="S10" s="1618">
        <v>15</v>
      </c>
      <c r="T10" s="1611" t="s">
        <v>1124</v>
      </c>
      <c r="U10" s="1611" t="s">
        <v>864</v>
      </c>
      <c r="V10" s="1611"/>
      <c r="W10" s="1611" t="s">
        <v>851</v>
      </c>
      <c r="X10" s="1611"/>
      <c r="Y10" s="1611"/>
      <c r="Z10" s="1611"/>
    </row>
    <row r="11" spans="1:26" customFormat="1" ht="41.4" hidden="1">
      <c r="A11" s="1611"/>
      <c r="B11" s="1611" t="s">
        <v>591</v>
      </c>
      <c r="C11" s="1611" t="s">
        <v>3609</v>
      </c>
      <c r="D11" s="1611" t="s">
        <v>879</v>
      </c>
      <c r="E11" s="1619" t="s">
        <v>1125</v>
      </c>
      <c r="F11" s="1604">
        <v>31</v>
      </c>
      <c r="G11" s="1611" t="s">
        <v>1118</v>
      </c>
      <c r="H11" s="1618" t="s">
        <v>987</v>
      </c>
      <c r="I11" s="1618" t="s">
        <v>1019</v>
      </c>
      <c r="J11" s="1601"/>
      <c r="K11" s="1611" t="s">
        <v>1126</v>
      </c>
      <c r="L11" s="1611" t="s">
        <v>1059</v>
      </c>
      <c r="M11" s="1617" t="s">
        <v>1127</v>
      </c>
      <c r="N11" s="1611" t="s">
        <v>912</v>
      </c>
      <c r="O11" s="1604">
        <v>2015</v>
      </c>
      <c r="P11" s="1611" t="s">
        <v>1110</v>
      </c>
      <c r="Q11" s="1618">
        <v>144</v>
      </c>
      <c r="R11" s="1618">
        <v>75</v>
      </c>
      <c r="S11" s="1618">
        <v>219</v>
      </c>
      <c r="T11" s="1611" t="s">
        <v>1097</v>
      </c>
      <c r="U11" s="1611" t="s">
        <v>558</v>
      </c>
      <c r="V11" s="1611"/>
      <c r="W11" s="1611" t="s">
        <v>1116</v>
      </c>
      <c r="X11" s="1611"/>
      <c r="Y11" s="1611"/>
      <c r="Z11" s="1611"/>
    </row>
    <row r="12" spans="1:26" customFormat="1" ht="27.6" hidden="1">
      <c r="A12" s="1611"/>
      <c r="B12" s="1611" t="s">
        <v>1076</v>
      </c>
      <c r="C12" s="1611" t="s">
        <v>1128</v>
      </c>
      <c r="D12" s="1611" t="s">
        <v>1057</v>
      </c>
      <c r="E12" s="1619" t="s">
        <v>1129</v>
      </c>
      <c r="F12" s="1604">
        <v>23</v>
      </c>
      <c r="G12" s="1611" t="s">
        <v>999</v>
      </c>
      <c r="H12" s="1618" t="s">
        <v>1130</v>
      </c>
      <c r="I12" s="1618" t="s">
        <v>995</v>
      </c>
      <c r="J12" s="1601"/>
      <c r="K12" s="1611" t="s">
        <v>1131</v>
      </c>
      <c r="L12" s="1611" t="s">
        <v>1059</v>
      </c>
      <c r="M12" s="1617" t="s">
        <v>1132</v>
      </c>
      <c r="N12" s="1611" t="s">
        <v>923</v>
      </c>
      <c r="O12" s="1604">
        <v>2015</v>
      </c>
      <c r="P12" s="1611" t="s">
        <v>1133</v>
      </c>
      <c r="Q12" s="1618">
        <v>1</v>
      </c>
      <c r="R12" s="1618"/>
      <c r="S12" s="1618">
        <v>1</v>
      </c>
      <c r="T12" s="1611" t="s">
        <v>1598</v>
      </c>
      <c r="U12" s="1611" t="s">
        <v>928</v>
      </c>
      <c r="V12" s="1611"/>
      <c r="W12" s="1611" t="s">
        <v>850</v>
      </c>
      <c r="X12" s="1611" t="s">
        <v>1134</v>
      </c>
      <c r="Y12" s="1611"/>
      <c r="Z12" s="1611"/>
    </row>
    <row r="13" spans="1:26" customFormat="1" hidden="1">
      <c r="A13" s="1611"/>
      <c r="B13" s="1611" t="s">
        <v>1076</v>
      </c>
      <c r="C13" s="1611" t="s">
        <v>1049</v>
      </c>
      <c r="D13" s="1611" t="s">
        <v>879</v>
      </c>
      <c r="E13" s="1619" t="s">
        <v>1135</v>
      </c>
      <c r="F13" s="1604"/>
      <c r="G13" s="1611" t="s">
        <v>1136</v>
      </c>
      <c r="H13" s="1618" t="s">
        <v>987</v>
      </c>
      <c r="I13" s="1618" t="s">
        <v>1000</v>
      </c>
      <c r="J13" s="1601"/>
      <c r="K13" s="1611" t="s">
        <v>926</v>
      </c>
      <c r="L13" s="1611" t="s">
        <v>1059</v>
      </c>
      <c r="M13" s="1617" t="s">
        <v>1137</v>
      </c>
      <c r="N13" s="1611" t="s">
        <v>915</v>
      </c>
      <c r="O13" s="1604">
        <v>2015</v>
      </c>
      <c r="P13" s="1611" t="s">
        <v>1110</v>
      </c>
      <c r="Q13" s="1618">
        <v>7</v>
      </c>
      <c r="R13" s="1618"/>
      <c r="S13" s="1618">
        <v>7</v>
      </c>
      <c r="T13" s="1611" t="s">
        <v>701</v>
      </c>
      <c r="U13" s="1611" t="s">
        <v>914</v>
      </c>
      <c r="V13" s="1611"/>
      <c r="W13" s="1611" t="s">
        <v>916</v>
      </c>
      <c r="X13" s="1611"/>
      <c r="Y13" s="1611"/>
      <c r="Z13" s="1611"/>
    </row>
    <row r="14" spans="1:26" customFormat="1" ht="27.6" hidden="1">
      <c r="A14" s="1611"/>
      <c r="B14" s="1611" t="s">
        <v>591</v>
      </c>
      <c r="C14" s="1611" t="s">
        <v>974</v>
      </c>
      <c r="D14" s="1611" t="s">
        <v>918</v>
      </c>
      <c r="E14" s="1619" t="s">
        <v>1138</v>
      </c>
      <c r="F14" s="1604">
        <v>36</v>
      </c>
      <c r="G14" s="1611" t="s">
        <v>999</v>
      </c>
      <c r="H14" s="1618" t="s">
        <v>987</v>
      </c>
      <c r="I14" s="1618" t="s">
        <v>995</v>
      </c>
      <c r="J14" s="1601" t="s">
        <v>1059</v>
      </c>
      <c r="K14" s="1611" t="s">
        <v>1139</v>
      </c>
      <c r="L14" s="1611" t="s">
        <v>990</v>
      </c>
      <c r="M14" s="1617" t="s">
        <v>1140</v>
      </c>
      <c r="N14" s="1611" t="s">
        <v>917</v>
      </c>
      <c r="O14" s="1604">
        <v>2015</v>
      </c>
      <c r="P14" s="1611" t="s">
        <v>1052</v>
      </c>
      <c r="Q14" s="1618">
        <v>21</v>
      </c>
      <c r="R14" s="1618"/>
      <c r="S14" s="1618">
        <v>21</v>
      </c>
      <c r="T14" s="1611" t="s">
        <v>1598</v>
      </c>
      <c r="U14" s="1611" t="s">
        <v>558</v>
      </c>
      <c r="V14" s="1611"/>
      <c r="W14" s="1611" t="s">
        <v>850</v>
      </c>
      <c r="X14" s="1611"/>
      <c r="Y14" s="1611"/>
      <c r="Z14" s="1611"/>
    </row>
    <row r="15" spans="1:26" customFormat="1" ht="27.6" hidden="1">
      <c r="A15" s="1611"/>
      <c r="B15" s="1611" t="s">
        <v>1076</v>
      </c>
      <c r="C15" s="1611" t="s">
        <v>1082</v>
      </c>
      <c r="D15" s="1611" t="s">
        <v>1057</v>
      </c>
      <c r="E15" s="1619" t="s">
        <v>1141</v>
      </c>
      <c r="F15" s="1604">
        <v>36</v>
      </c>
      <c r="G15" s="1611" t="s">
        <v>993</v>
      </c>
      <c r="H15" s="1618" t="s">
        <v>987</v>
      </c>
      <c r="I15" s="1618" t="s">
        <v>995</v>
      </c>
      <c r="J15" s="1601"/>
      <c r="K15" s="1611" t="s">
        <v>1142</v>
      </c>
      <c r="L15" s="1611" t="s">
        <v>1059</v>
      </c>
      <c r="M15" s="1617" t="s">
        <v>1143</v>
      </c>
      <c r="N15" s="1611" t="s">
        <v>1916</v>
      </c>
      <c r="O15" s="1604">
        <v>2015</v>
      </c>
      <c r="P15" s="1611" t="s">
        <v>1144</v>
      </c>
      <c r="Q15" s="1618">
        <v>35</v>
      </c>
      <c r="R15" s="1618"/>
      <c r="S15" s="1618">
        <v>35</v>
      </c>
      <c r="T15" s="1611" t="s">
        <v>1145</v>
      </c>
      <c r="U15" s="1611" t="s">
        <v>928</v>
      </c>
      <c r="V15" s="1611"/>
      <c r="W15" s="1611" t="s">
        <v>850</v>
      </c>
      <c r="X15" s="1611" t="s">
        <v>1146</v>
      </c>
      <c r="Y15" s="1611"/>
      <c r="Z15" s="1611"/>
    </row>
    <row r="16" spans="1:26" customFormat="1" ht="27.6" hidden="1">
      <c r="A16" s="1611"/>
      <c r="B16" s="1611" t="s">
        <v>1076</v>
      </c>
      <c r="C16" s="1611" t="s">
        <v>1147</v>
      </c>
      <c r="D16" s="1611" t="s">
        <v>879</v>
      </c>
      <c r="E16" s="1619" t="s">
        <v>1148</v>
      </c>
      <c r="F16" s="1604">
        <v>63</v>
      </c>
      <c r="G16" s="1611" t="s">
        <v>1149</v>
      </c>
      <c r="H16" s="1618" t="s">
        <v>987</v>
      </c>
      <c r="I16" s="1618" t="s">
        <v>995</v>
      </c>
      <c r="J16" s="1601"/>
      <c r="K16" s="1611" t="s">
        <v>1150</v>
      </c>
      <c r="L16" s="1611" t="s">
        <v>1059</v>
      </c>
      <c r="M16" s="1617" t="s">
        <v>1151</v>
      </c>
      <c r="N16" s="1611" t="s">
        <v>923</v>
      </c>
      <c r="O16" s="1604">
        <v>2015</v>
      </c>
      <c r="P16" s="1611" t="s">
        <v>1110</v>
      </c>
      <c r="Q16" s="1618">
        <v>16</v>
      </c>
      <c r="R16" s="1618"/>
      <c r="S16" s="1618">
        <v>16</v>
      </c>
      <c r="T16" s="1611" t="s">
        <v>1152</v>
      </c>
      <c r="U16" s="1611" t="s">
        <v>869</v>
      </c>
      <c r="V16" s="1611"/>
      <c r="W16" s="1611" t="s">
        <v>850</v>
      </c>
      <c r="X16" s="1611"/>
      <c r="Y16" s="1611"/>
      <c r="Z16" s="1611"/>
    </row>
    <row r="17" spans="1:26" customFormat="1" hidden="1">
      <c r="A17" s="1611"/>
      <c r="B17" s="1611" t="s">
        <v>1076</v>
      </c>
      <c r="C17" s="1611" t="s">
        <v>1049</v>
      </c>
      <c r="D17" s="1611" t="s">
        <v>1053</v>
      </c>
      <c r="E17" s="1619"/>
      <c r="F17" s="1604"/>
      <c r="G17" s="1611"/>
      <c r="H17" s="1618"/>
      <c r="I17" s="1618"/>
      <c r="J17" s="1601"/>
      <c r="K17" s="1611">
        <v>42356</v>
      </c>
      <c r="L17" s="1611" t="s">
        <v>990</v>
      </c>
      <c r="M17" s="1617" t="s">
        <v>1153</v>
      </c>
      <c r="N17" s="1611" t="s">
        <v>1916</v>
      </c>
      <c r="O17" s="1604">
        <v>2015</v>
      </c>
      <c r="P17" s="1611" t="s">
        <v>1154</v>
      </c>
      <c r="Q17" s="1618">
        <v>5</v>
      </c>
      <c r="R17" s="1618"/>
      <c r="S17" s="1618">
        <v>5</v>
      </c>
      <c r="T17" s="1611" t="s">
        <v>1155</v>
      </c>
      <c r="U17" s="1611" t="s">
        <v>864</v>
      </c>
      <c r="V17" s="1611"/>
      <c r="W17" s="1611" t="s">
        <v>916</v>
      </c>
      <c r="X17" s="1611"/>
      <c r="Y17" s="1611"/>
      <c r="Z17" s="1611"/>
    </row>
    <row r="18" spans="1:26" customFormat="1" ht="27.6" hidden="1">
      <c r="A18" s="1611"/>
      <c r="B18" s="1611" t="s">
        <v>1076</v>
      </c>
      <c r="C18" s="1611" t="s">
        <v>77</v>
      </c>
      <c r="D18" s="1611" t="s">
        <v>879</v>
      </c>
      <c r="E18" s="1619" t="s">
        <v>1156</v>
      </c>
      <c r="F18" s="1604">
        <v>29</v>
      </c>
      <c r="G18" s="1611" t="s">
        <v>1157</v>
      </c>
      <c r="H18" s="1618" t="s">
        <v>1130</v>
      </c>
      <c r="I18" s="1618" t="s">
        <v>1000</v>
      </c>
      <c r="J18" s="1601"/>
      <c r="K18" s="1611" t="s">
        <v>1158</v>
      </c>
      <c r="L18" s="1611" t="s">
        <v>990</v>
      </c>
      <c r="M18" s="1617" t="s">
        <v>1159</v>
      </c>
      <c r="N18" s="1611" t="s">
        <v>915</v>
      </c>
      <c r="O18" s="1604">
        <v>2015</v>
      </c>
      <c r="P18" s="1611" t="s">
        <v>1154</v>
      </c>
      <c r="Q18" s="1618">
        <v>11</v>
      </c>
      <c r="R18" s="1618"/>
      <c r="S18" s="1618">
        <v>11</v>
      </c>
      <c r="T18" s="1611" t="s">
        <v>1160</v>
      </c>
      <c r="U18" s="1611" t="s">
        <v>914</v>
      </c>
      <c r="V18" s="1611"/>
      <c r="W18" s="1611" t="s">
        <v>850</v>
      </c>
      <c r="X18" s="1611"/>
      <c r="Y18" s="1611"/>
      <c r="Z18" s="1611"/>
    </row>
    <row r="19" spans="1:26" customFormat="1" ht="27.6" hidden="1">
      <c r="A19" s="1611"/>
      <c r="B19" s="1611" t="s">
        <v>1076</v>
      </c>
      <c r="C19" s="1611" t="s">
        <v>430</v>
      </c>
      <c r="D19" s="1611" t="s">
        <v>879</v>
      </c>
      <c r="E19" s="1619" t="s">
        <v>1161</v>
      </c>
      <c r="F19" s="1604">
        <v>32</v>
      </c>
      <c r="G19" s="1611" t="s">
        <v>1162</v>
      </c>
      <c r="H19" s="1618" t="s">
        <v>987</v>
      </c>
      <c r="I19" s="1618" t="s">
        <v>1019</v>
      </c>
      <c r="J19" s="1601" t="s">
        <v>1163</v>
      </c>
      <c r="K19" s="1611" t="s">
        <v>1164</v>
      </c>
      <c r="L19" s="1611" t="s">
        <v>990</v>
      </c>
      <c r="M19" s="1617" t="s">
        <v>1165</v>
      </c>
      <c r="N19" s="1611" t="s">
        <v>915</v>
      </c>
      <c r="O19" s="1604">
        <v>2015</v>
      </c>
      <c r="P19" s="1611" t="s">
        <v>992</v>
      </c>
      <c r="Q19" s="1618">
        <v>20</v>
      </c>
      <c r="R19" s="1618"/>
      <c r="S19" s="1618">
        <v>20</v>
      </c>
      <c r="T19" s="1611" t="s">
        <v>1166</v>
      </c>
      <c r="U19" s="1611" t="s">
        <v>864</v>
      </c>
      <c r="V19" s="1611"/>
      <c r="W19" s="1611" t="s">
        <v>850</v>
      </c>
      <c r="X19" s="1611"/>
      <c r="Y19" s="1611"/>
      <c r="Z19" s="1611"/>
    </row>
    <row r="20" spans="1:26" customFormat="1" hidden="1">
      <c r="A20" s="1611"/>
      <c r="B20" s="1611" t="s">
        <v>1076</v>
      </c>
      <c r="C20" s="1611" t="s">
        <v>77</v>
      </c>
      <c r="D20" s="1611" t="s">
        <v>1167</v>
      </c>
      <c r="E20" s="1619" t="s">
        <v>1168</v>
      </c>
      <c r="F20" s="1604">
        <v>51</v>
      </c>
      <c r="G20" s="1611" t="s">
        <v>993</v>
      </c>
      <c r="H20" s="1618" t="s">
        <v>987</v>
      </c>
      <c r="I20" s="1618" t="s">
        <v>995</v>
      </c>
      <c r="J20" s="1601" t="s">
        <v>1169</v>
      </c>
      <c r="K20" s="1611" t="s">
        <v>1170</v>
      </c>
      <c r="L20" s="1611" t="s">
        <v>1059</v>
      </c>
      <c r="M20" s="1617" t="s">
        <v>1171</v>
      </c>
      <c r="N20" s="1611" t="s">
        <v>913</v>
      </c>
      <c r="O20" s="1604">
        <v>2015</v>
      </c>
      <c r="P20" s="1611" t="s">
        <v>992</v>
      </c>
      <c r="Q20" s="1618">
        <v>2</v>
      </c>
      <c r="R20" s="1618"/>
      <c r="S20" s="1618">
        <v>2</v>
      </c>
      <c r="T20" s="1611" t="s">
        <v>1103</v>
      </c>
      <c r="U20" s="1611" t="s">
        <v>870</v>
      </c>
      <c r="V20" s="1611"/>
      <c r="W20" s="1611" t="s">
        <v>850</v>
      </c>
      <c r="X20" s="1611" t="s">
        <v>1172</v>
      </c>
      <c r="Y20" s="1611"/>
      <c r="Z20" s="1611"/>
    </row>
    <row r="21" spans="1:26" customFormat="1" ht="27.6" hidden="1">
      <c r="A21" s="1611"/>
      <c r="B21" s="1611" t="s">
        <v>1076</v>
      </c>
      <c r="C21" s="1611" t="s">
        <v>1173</v>
      </c>
      <c r="D21" s="1611" t="s">
        <v>1174</v>
      </c>
      <c r="E21" s="1619" t="s">
        <v>1175</v>
      </c>
      <c r="F21" s="1604"/>
      <c r="G21" s="1611"/>
      <c r="H21" s="1618" t="s">
        <v>987</v>
      </c>
      <c r="I21" s="1618"/>
      <c r="J21" s="1601"/>
      <c r="K21" s="1611">
        <v>42276.697916666664</v>
      </c>
      <c r="L21" s="1611" t="s">
        <v>990</v>
      </c>
      <c r="M21" s="1617" t="s">
        <v>1176</v>
      </c>
      <c r="N21" s="1611" t="s">
        <v>912</v>
      </c>
      <c r="O21" s="1604">
        <v>2015</v>
      </c>
      <c r="P21" s="1611" t="s">
        <v>1086</v>
      </c>
      <c r="Q21" s="1618">
        <v>15</v>
      </c>
      <c r="R21" s="1618"/>
      <c r="S21" s="1618">
        <v>15</v>
      </c>
      <c r="T21" s="1611" t="s">
        <v>1097</v>
      </c>
      <c r="U21" s="1611" t="s">
        <v>864</v>
      </c>
      <c r="V21" s="1611"/>
      <c r="W21" s="1611" t="s">
        <v>851</v>
      </c>
      <c r="X21" s="1611"/>
      <c r="Y21" s="1611"/>
      <c r="Z21" s="1611"/>
    </row>
    <row r="22" spans="1:26" customFormat="1" ht="27.6" hidden="1">
      <c r="A22" s="1611"/>
      <c r="B22" s="1611" t="s">
        <v>591</v>
      </c>
      <c r="C22" s="1611" t="s">
        <v>453</v>
      </c>
      <c r="D22" s="1611" t="s">
        <v>431</v>
      </c>
      <c r="E22" s="1619" t="s">
        <v>1177</v>
      </c>
      <c r="F22" s="1604">
        <v>0</v>
      </c>
      <c r="G22" s="1611" t="s">
        <v>993</v>
      </c>
      <c r="H22" s="1618" t="s">
        <v>987</v>
      </c>
      <c r="I22" s="1618" t="s">
        <v>995</v>
      </c>
      <c r="J22" s="1601"/>
      <c r="K22" s="1611" t="s">
        <v>1178</v>
      </c>
      <c r="L22" s="1611" t="s">
        <v>990</v>
      </c>
      <c r="M22" s="1617" t="s">
        <v>1179</v>
      </c>
      <c r="N22" s="1611" t="s">
        <v>1916</v>
      </c>
      <c r="O22" s="1604">
        <v>2015</v>
      </c>
      <c r="P22" s="1611" t="s">
        <v>653</v>
      </c>
      <c r="Q22" s="1618">
        <v>4</v>
      </c>
      <c r="R22" s="1618"/>
      <c r="S22" s="1618">
        <v>4</v>
      </c>
      <c r="T22" s="1611" t="s">
        <v>1180</v>
      </c>
      <c r="U22" s="1611" t="s">
        <v>1104</v>
      </c>
      <c r="V22" s="1611"/>
      <c r="W22" s="1611" t="s">
        <v>850</v>
      </c>
      <c r="X22" s="1611" t="s">
        <v>1105</v>
      </c>
      <c r="Y22" s="1611"/>
      <c r="Z22" s="1611"/>
    </row>
    <row r="23" spans="1:26" customFormat="1" hidden="1">
      <c r="A23" s="1611"/>
      <c r="B23" s="1611" t="s">
        <v>1076</v>
      </c>
      <c r="C23" s="1611" t="s">
        <v>1057</v>
      </c>
      <c r="D23" s="1611" t="s">
        <v>1057</v>
      </c>
      <c r="E23" s="1619" t="s">
        <v>1181</v>
      </c>
      <c r="F23" s="1604"/>
      <c r="G23" s="1611" t="s">
        <v>993</v>
      </c>
      <c r="H23" s="1618" t="s">
        <v>987</v>
      </c>
      <c r="I23" s="1618" t="s">
        <v>995</v>
      </c>
      <c r="J23" s="1601"/>
      <c r="K23" s="1611">
        <v>42353</v>
      </c>
      <c r="L23" s="1611" t="s">
        <v>990</v>
      </c>
      <c r="M23" s="1617" t="s">
        <v>1182</v>
      </c>
      <c r="N23" s="1611" t="s">
        <v>912</v>
      </c>
      <c r="O23" s="1604">
        <v>2015</v>
      </c>
      <c r="P23" s="1611" t="s">
        <v>1154</v>
      </c>
      <c r="Q23" s="1618">
        <v>16</v>
      </c>
      <c r="R23" s="1618"/>
      <c r="S23" s="1618">
        <v>16</v>
      </c>
      <c r="T23" s="1611" t="s">
        <v>1183</v>
      </c>
      <c r="U23" s="1611" t="s">
        <v>928</v>
      </c>
      <c r="V23" s="1611"/>
      <c r="W23" s="1611" t="s">
        <v>882</v>
      </c>
      <c r="X23" s="1611" t="s">
        <v>1184</v>
      </c>
      <c r="Y23" s="1611"/>
      <c r="Z23" s="1611"/>
    </row>
    <row r="24" spans="1:26" customFormat="1" ht="27.6" hidden="1">
      <c r="A24" s="1611"/>
      <c r="B24" s="1611" t="s">
        <v>1076</v>
      </c>
      <c r="C24" s="1611" t="s">
        <v>1039</v>
      </c>
      <c r="D24" s="1611" t="s">
        <v>879</v>
      </c>
      <c r="E24" s="1619" t="s">
        <v>1185</v>
      </c>
      <c r="F24" s="1604">
        <v>36</v>
      </c>
      <c r="G24" s="1611" t="s">
        <v>1186</v>
      </c>
      <c r="H24" s="1618" t="s">
        <v>987</v>
      </c>
      <c r="I24" s="1618" t="s">
        <v>1019</v>
      </c>
      <c r="J24" s="1601"/>
      <c r="K24" s="1611" t="s">
        <v>1187</v>
      </c>
      <c r="L24" s="1611" t="s">
        <v>990</v>
      </c>
      <c r="M24" s="1617" t="s">
        <v>1188</v>
      </c>
      <c r="N24" s="1611" t="s">
        <v>912</v>
      </c>
      <c r="O24" s="1604">
        <v>2015</v>
      </c>
      <c r="P24" s="1611" t="s">
        <v>1154</v>
      </c>
      <c r="Q24" s="1618">
        <v>60</v>
      </c>
      <c r="R24" s="1618"/>
      <c r="S24" s="1618">
        <v>60</v>
      </c>
      <c r="T24" s="1611" t="s">
        <v>1189</v>
      </c>
      <c r="U24" s="1611" t="s">
        <v>934</v>
      </c>
      <c r="V24" s="1611"/>
      <c r="W24" s="1611" t="s">
        <v>883</v>
      </c>
      <c r="X24" s="1611"/>
      <c r="Y24" s="1611"/>
      <c r="Z24" s="1611"/>
    </row>
    <row r="25" spans="1:26" customFormat="1" ht="27.6" hidden="1">
      <c r="A25" s="1611"/>
      <c r="B25" s="1611" t="s">
        <v>1076</v>
      </c>
      <c r="C25" s="1611" t="s">
        <v>1006</v>
      </c>
      <c r="D25" s="1611" t="s">
        <v>879</v>
      </c>
      <c r="E25" s="1619" t="s">
        <v>1190</v>
      </c>
      <c r="F25" s="1604">
        <v>41</v>
      </c>
      <c r="G25" s="1611" t="s">
        <v>1191</v>
      </c>
      <c r="H25" s="1618" t="s">
        <v>987</v>
      </c>
      <c r="I25" s="1618" t="s">
        <v>995</v>
      </c>
      <c r="J25" s="1601" t="s">
        <v>1192</v>
      </c>
      <c r="K25" s="1611" t="s">
        <v>1193</v>
      </c>
      <c r="L25" s="1611" t="s">
        <v>990</v>
      </c>
      <c r="M25" s="1617" t="s">
        <v>1194</v>
      </c>
      <c r="N25" s="1611" t="s">
        <v>1916</v>
      </c>
      <c r="O25" s="1604">
        <v>2015</v>
      </c>
      <c r="P25" s="1611" t="s">
        <v>992</v>
      </c>
      <c r="Q25" s="1618">
        <v>30</v>
      </c>
      <c r="R25" s="1618"/>
      <c r="S25" s="1618">
        <v>30</v>
      </c>
      <c r="T25" s="1611" t="s">
        <v>226</v>
      </c>
      <c r="U25" s="1611" t="s">
        <v>1905</v>
      </c>
      <c r="V25" s="1611"/>
      <c r="W25" s="1611" t="s">
        <v>880</v>
      </c>
      <c r="X25" s="1611"/>
      <c r="Y25" s="1611"/>
      <c r="Z25" s="1611"/>
    </row>
    <row r="26" spans="1:26" customFormat="1" hidden="1">
      <c r="A26" s="1611"/>
      <c r="B26" s="1611" t="s">
        <v>1076</v>
      </c>
      <c r="C26" s="1611" t="s">
        <v>93</v>
      </c>
      <c r="D26" s="1611" t="s">
        <v>431</v>
      </c>
      <c r="E26" s="1619" t="s">
        <v>1195</v>
      </c>
      <c r="F26" s="1604">
        <v>42</v>
      </c>
      <c r="G26" s="1611" t="s">
        <v>993</v>
      </c>
      <c r="H26" s="1618" t="s">
        <v>987</v>
      </c>
      <c r="I26" s="1618" t="s">
        <v>1196</v>
      </c>
      <c r="J26" s="1601" t="s">
        <v>1197</v>
      </c>
      <c r="K26" s="1611" t="s">
        <v>1198</v>
      </c>
      <c r="L26" s="1611" t="s">
        <v>990</v>
      </c>
      <c r="M26" s="1617" t="s">
        <v>1199</v>
      </c>
      <c r="N26" s="1611" t="s">
        <v>913</v>
      </c>
      <c r="O26" s="1604">
        <v>2015</v>
      </c>
      <c r="P26" s="1611" t="s">
        <v>992</v>
      </c>
      <c r="Q26" s="1618">
        <v>261</v>
      </c>
      <c r="R26" s="1618"/>
      <c r="S26" s="1618">
        <v>261</v>
      </c>
      <c r="T26" s="1611" t="s">
        <v>1200</v>
      </c>
      <c r="U26" s="1611" t="s">
        <v>914</v>
      </c>
      <c r="V26" s="1611"/>
      <c r="W26" s="1611" t="s">
        <v>850</v>
      </c>
      <c r="X26" s="1611" t="s">
        <v>1201</v>
      </c>
      <c r="Y26" s="1611"/>
      <c r="Z26" s="1611"/>
    </row>
    <row r="27" spans="1:26" customFormat="1" ht="27.6" hidden="1">
      <c r="A27" s="1611"/>
      <c r="B27" s="1611" t="s">
        <v>1076</v>
      </c>
      <c r="C27" s="1611" t="s">
        <v>77</v>
      </c>
      <c r="D27" s="1611" t="s">
        <v>998</v>
      </c>
      <c r="E27" s="1619" t="s">
        <v>1202</v>
      </c>
      <c r="F27" s="1604">
        <v>28</v>
      </c>
      <c r="G27" s="1611" t="s">
        <v>1203</v>
      </c>
      <c r="H27" s="1618" t="s">
        <v>987</v>
      </c>
      <c r="I27" s="1618" t="s">
        <v>995</v>
      </c>
      <c r="J27" s="1601"/>
      <c r="K27" s="1611" t="s">
        <v>1204</v>
      </c>
      <c r="L27" s="1611" t="s">
        <v>990</v>
      </c>
      <c r="M27" s="1617" t="s">
        <v>1205</v>
      </c>
      <c r="N27" s="1611" t="s">
        <v>912</v>
      </c>
      <c r="O27" s="1604">
        <v>2015</v>
      </c>
      <c r="P27" s="1611" t="s">
        <v>1206</v>
      </c>
      <c r="Q27" s="1618">
        <v>110</v>
      </c>
      <c r="R27" s="1618"/>
      <c r="S27" s="1618">
        <v>110</v>
      </c>
      <c r="T27" s="1611" t="s">
        <v>1097</v>
      </c>
      <c r="U27" s="1611" t="s">
        <v>558</v>
      </c>
      <c r="V27" s="1611"/>
      <c r="W27" s="1611" t="s">
        <v>883</v>
      </c>
      <c r="X27" s="1611"/>
      <c r="Y27" s="1611"/>
      <c r="Z27" s="1611"/>
    </row>
    <row r="28" spans="1:26" customFormat="1" ht="27.6" hidden="1">
      <c r="A28" s="1611"/>
      <c r="B28" s="1611" t="s">
        <v>1076</v>
      </c>
      <c r="C28" s="1611" t="s">
        <v>91</v>
      </c>
      <c r="D28" s="1611" t="s">
        <v>1057</v>
      </c>
      <c r="E28" s="1619" t="s">
        <v>1207</v>
      </c>
      <c r="F28" s="1604">
        <v>34</v>
      </c>
      <c r="G28" s="1611" t="s">
        <v>993</v>
      </c>
      <c r="H28" s="1618" t="s">
        <v>987</v>
      </c>
      <c r="I28" s="1618" t="s">
        <v>995</v>
      </c>
      <c r="J28" s="1601"/>
      <c r="K28" s="1611" t="s">
        <v>1208</v>
      </c>
      <c r="L28" s="1611" t="s">
        <v>990</v>
      </c>
      <c r="M28" s="1617" t="s">
        <v>1209</v>
      </c>
      <c r="N28" s="1611" t="s">
        <v>911</v>
      </c>
      <c r="O28" s="1604">
        <v>2015</v>
      </c>
      <c r="P28" s="1611" t="s">
        <v>992</v>
      </c>
      <c r="Q28" s="1618">
        <v>2</v>
      </c>
      <c r="R28" s="1618"/>
      <c r="S28" s="1618">
        <v>2</v>
      </c>
      <c r="T28" s="1611" t="s">
        <v>1901</v>
      </c>
      <c r="U28" s="1611" t="s">
        <v>928</v>
      </c>
      <c r="V28" s="1611"/>
      <c r="W28" s="1611" t="s">
        <v>1583</v>
      </c>
      <c r="X28" s="1611" t="s">
        <v>1210</v>
      </c>
      <c r="Y28" s="1611"/>
      <c r="Z28" s="1611"/>
    </row>
    <row r="29" spans="1:26" customFormat="1" hidden="1">
      <c r="A29" s="1611"/>
      <c r="B29" s="1611" t="s">
        <v>1076</v>
      </c>
      <c r="C29" s="1611" t="s">
        <v>91</v>
      </c>
      <c r="D29" s="1611" t="s">
        <v>1057</v>
      </c>
      <c r="E29" s="1619" t="s">
        <v>1211</v>
      </c>
      <c r="F29" s="1604">
        <v>39</v>
      </c>
      <c r="G29" s="1611" t="s">
        <v>993</v>
      </c>
      <c r="H29" s="1618" t="s">
        <v>987</v>
      </c>
      <c r="I29" s="1618" t="s">
        <v>995</v>
      </c>
      <c r="J29" s="1601"/>
      <c r="K29" s="1611" t="s">
        <v>1208</v>
      </c>
      <c r="L29" s="1611" t="s">
        <v>990</v>
      </c>
      <c r="M29" s="1617" t="s">
        <v>1212</v>
      </c>
      <c r="N29" s="1611" t="s">
        <v>911</v>
      </c>
      <c r="O29" s="1604">
        <v>2015</v>
      </c>
      <c r="P29" s="1611" t="s">
        <v>992</v>
      </c>
      <c r="Q29" s="1618">
        <v>1</v>
      </c>
      <c r="R29" s="1618"/>
      <c r="S29" s="1618">
        <v>1</v>
      </c>
      <c r="T29" s="1611" t="s">
        <v>1901</v>
      </c>
      <c r="U29" s="1611" t="s">
        <v>928</v>
      </c>
      <c r="V29" s="1611"/>
      <c r="W29" s="1611" t="s">
        <v>1583</v>
      </c>
      <c r="X29" s="1611" t="s">
        <v>1210</v>
      </c>
      <c r="Y29" s="1611"/>
      <c r="Z29" s="1611"/>
    </row>
    <row r="30" spans="1:26" customFormat="1" hidden="1">
      <c r="A30" s="1611"/>
      <c r="B30" s="1611" t="s">
        <v>1076</v>
      </c>
      <c r="C30" s="1611" t="s">
        <v>77</v>
      </c>
      <c r="D30" s="1611" t="s">
        <v>879</v>
      </c>
      <c r="E30" s="1619" t="s">
        <v>1213</v>
      </c>
      <c r="F30" s="1604">
        <v>26</v>
      </c>
      <c r="G30" s="1611" t="s">
        <v>1214</v>
      </c>
      <c r="H30" s="1618" t="s">
        <v>987</v>
      </c>
      <c r="I30" s="1618" t="s">
        <v>1000</v>
      </c>
      <c r="J30" s="1601"/>
      <c r="K30" s="1611" t="s">
        <v>1215</v>
      </c>
      <c r="L30" s="1611" t="s">
        <v>1059</v>
      </c>
      <c r="M30" s="1617" t="s">
        <v>1216</v>
      </c>
      <c r="N30" s="1611" t="s">
        <v>912</v>
      </c>
      <c r="O30" s="1604">
        <v>2015</v>
      </c>
      <c r="P30" s="1611" t="s">
        <v>1217</v>
      </c>
      <c r="Q30" s="1618">
        <v>24</v>
      </c>
      <c r="R30" s="1618"/>
      <c r="S30" s="1618">
        <v>24</v>
      </c>
      <c r="T30" s="1611" t="s">
        <v>1218</v>
      </c>
      <c r="U30" s="1611" t="s">
        <v>869</v>
      </c>
      <c r="V30" s="1611"/>
      <c r="W30" s="1611" t="s">
        <v>883</v>
      </c>
      <c r="X30" s="1611"/>
      <c r="Y30" s="1611"/>
      <c r="Z30" s="1611"/>
    </row>
    <row r="31" spans="1:26" customFormat="1" ht="27.6" hidden="1">
      <c r="A31" s="1611"/>
      <c r="B31" s="1611" t="s">
        <v>1076</v>
      </c>
      <c r="C31" s="1611" t="s">
        <v>693</v>
      </c>
      <c r="D31" s="1611" t="s">
        <v>431</v>
      </c>
      <c r="E31" s="1619" t="s">
        <v>1219</v>
      </c>
      <c r="F31" s="1604">
        <v>47</v>
      </c>
      <c r="G31" s="1611" t="s">
        <v>999</v>
      </c>
      <c r="H31" s="1618" t="s">
        <v>987</v>
      </c>
      <c r="I31" s="1618" t="s">
        <v>1019</v>
      </c>
      <c r="J31" s="1601"/>
      <c r="K31" s="1611" t="s">
        <v>1220</v>
      </c>
      <c r="L31" s="1611" t="s">
        <v>990</v>
      </c>
      <c r="M31" s="1617" t="s">
        <v>1221</v>
      </c>
      <c r="N31" s="1611" t="s">
        <v>913</v>
      </c>
      <c r="O31" s="1604">
        <v>2015</v>
      </c>
      <c r="P31" s="1611" t="s">
        <v>1154</v>
      </c>
      <c r="Q31" s="1618">
        <v>8</v>
      </c>
      <c r="R31" s="1618"/>
      <c r="S31" s="1618">
        <v>8</v>
      </c>
      <c r="T31" s="1611" t="s">
        <v>1222</v>
      </c>
      <c r="U31" s="1611" t="s">
        <v>864</v>
      </c>
      <c r="V31" s="1611"/>
      <c r="W31" s="1611" t="s">
        <v>916</v>
      </c>
      <c r="X31" s="1611" t="s">
        <v>1105</v>
      </c>
      <c r="Y31" s="1611"/>
      <c r="Z31" s="1611"/>
    </row>
    <row r="32" spans="1:26" customFormat="1" ht="27.6" hidden="1">
      <c r="A32" s="1611"/>
      <c r="B32" s="1611"/>
      <c r="C32" s="1611" t="s">
        <v>1128</v>
      </c>
      <c r="D32" s="1611" t="s">
        <v>1223</v>
      </c>
      <c r="E32" s="1619" t="s">
        <v>1224</v>
      </c>
      <c r="F32" s="1604"/>
      <c r="G32" s="1611" t="s">
        <v>993</v>
      </c>
      <c r="H32" s="1618" t="s">
        <v>994</v>
      </c>
      <c r="I32" s="1618" t="s">
        <v>1079</v>
      </c>
      <c r="J32" s="1601"/>
      <c r="K32" s="1611" t="s">
        <v>1225</v>
      </c>
      <c r="L32" s="1611" t="s">
        <v>1059</v>
      </c>
      <c r="M32" s="1617" t="s">
        <v>1226</v>
      </c>
      <c r="N32" s="1611" t="s">
        <v>917</v>
      </c>
      <c r="O32" s="1604">
        <v>2015</v>
      </c>
      <c r="P32" s="1611" t="s">
        <v>1034</v>
      </c>
      <c r="Q32" s="1618">
        <v>2</v>
      </c>
      <c r="R32" s="1618"/>
      <c r="S32" s="1618">
        <v>2</v>
      </c>
      <c r="T32" s="1611" t="s">
        <v>1218</v>
      </c>
      <c r="U32" s="1611" t="s">
        <v>869</v>
      </c>
      <c r="V32" s="1611"/>
      <c r="W32" s="1611" t="s">
        <v>1227</v>
      </c>
      <c r="X32" s="1611" t="s">
        <v>1228</v>
      </c>
      <c r="Y32" s="1611"/>
      <c r="Z32" s="1611"/>
    </row>
    <row r="33" spans="1:26" customFormat="1" ht="27.6" hidden="1">
      <c r="A33" s="1611"/>
      <c r="B33" s="1611" t="s">
        <v>1076</v>
      </c>
      <c r="C33" s="1611" t="s">
        <v>77</v>
      </c>
      <c r="D33" s="1611" t="s">
        <v>879</v>
      </c>
      <c r="E33" s="1619" t="s">
        <v>1229</v>
      </c>
      <c r="F33" s="1604">
        <v>40</v>
      </c>
      <c r="G33" s="1611" t="s">
        <v>1230</v>
      </c>
      <c r="H33" s="1618" t="s">
        <v>987</v>
      </c>
      <c r="I33" s="1618" t="s">
        <v>1000</v>
      </c>
      <c r="J33" s="1601"/>
      <c r="K33" s="1611" t="s">
        <v>1231</v>
      </c>
      <c r="L33" s="1611" t="s">
        <v>1059</v>
      </c>
      <c r="M33" s="1617" t="s">
        <v>1232</v>
      </c>
      <c r="N33" s="1611" t="s">
        <v>912</v>
      </c>
      <c r="O33" s="1604">
        <v>2015</v>
      </c>
      <c r="P33" s="1611" t="s">
        <v>1217</v>
      </c>
      <c r="Q33" s="1618">
        <v>59</v>
      </c>
      <c r="R33" s="1618"/>
      <c r="S33" s="1618">
        <v>59</v>
      </c>
      <c r="T33" s="1611" t="s">
        <v>1097</v>
      </c>
      <c r="U33" s="1611" t="s">
        <v>863</v>
      </c>
      <c r="V33" s="1611"/>
      <c r="W33" s="1611" t="s">
        <v>849</v>
      </c>
      <c r="X33" s="1611"/>
      <c r="Y33" s="1611"/>
      <c r="Z33" s="1611"/>
    </row>
    <row r="34" spans="1:26" customFormat="1" ht="27.6" hidden="1">
      <c r="A34" s="1611"/>
      <c r="B34" s="1611" t="s">
        <v>1076</v>
      </c>
      <c r="C34" s="1611" t="s">
        <v>1049</v>
      </c>
      <c r="D34" s="1611" t="s">
        <v>1053</v>
      </c>
      <c r="E34" s="1619" t="s">
        <v>1233</v>
      </c>
      <c r="F34" s="1604">
        <v>19</v>
      </c>
      <c r="G34" s="1611" t="s">
        <v>993</v>
      </c>
      <c r="H34" s="1618" t="s">
        <v>987</v>
      </c>
      <c r="I34" s="1618" t="s">
        <v>995</v>
      </c>
      <c r="J34" s="1601"/>
      <c r="K34" s="1611" t="s">
        <v>1234</v>
      </c>
      <c r="L34" s="1611" t="s">
        <v>1059</v>
      </c>
      <c r="M34" s="1617" t="s">
        <v>1235</v>
      </c>
      <c r="N34" s="1611" t="s">
        <v>912</v>
      </c>
      <c r="O34" s="1604">
        <v>2015</v>
      </c>
      <c r="P34" s="1611" t="s">
        <v>1034</v>
      </c>
      <c r="Q34" s="1618">
        <v>7</v>
      </c>
      <c r="R34" s="1618"/>
      <c r="S34" s="1618">
        <v>7</v>
      </c>
      <c r="T34" s="1611" t="s">
        <v>1097</v>
      </c>
      <c r="U34" s="1611" t="s">
        <v>934</v>
      </c>
      <c r="V34" s="1611"/>
      <c r="W34" s="1611" t="s">
        <v>916</v>
      </c>
      <c r="X34" s="1611" t="s">
        <v>1228</v>
      </c>
      <c r="Y34" s="1611"/>
      <c r="Z34" s="1611"/>
    </row>
    <row r="35" spans="1:26" customFormat="1" ht="41.4" hidden="1">
      <c r="A35" s="1611"/>
      <c r="B35" s="1611" t="s">
        <v>1076</v>
      </c>
      <c r="C35" s="1611" t="s">
        <v>93</v>
      </c>
      <c r="D35" s="1611" t="s">
        <v>431</v>
      </c>
      <c r="E35" s="1619" t="s">
        <v>1236</v>
      </c>
      <c r="F35" s="1604">
        <v>29</v>
      </c>
      <c r="G35" s="1611" t="s">
        <v>1237</v>
      </c>
      <c r="H35" s="1618" t="s">
        <v>987</v>
      </c>
      <c r="I35" s="1618" t="s">
        <v>995</v>
      </c>
      <c r="J35" s="1601"/>
      <c r="K35" s="1611" t="s">
        <v>1238</v>
      </c>
      <c r="L35" s="1611" t="s">
        <v>1059</v>
      </c>
      <c r="M35" s="1617" t="s">
        <v>1239</v>
      </c>
      <c r="N35" s="1611" t="s">
        <v>912</v>
      </c>
      <c r="O35" s="1604">
        <v>2015</v>
      </c>
      <c r="P35" s="1611" t="s">
        <v>1240</v>
      </c>
      <c r="Q35" s="1618">
        <v>26</v>
      </c>
      <c r="R35" s="1618"/>
      <c r="S35" s="1618">
        <v>26</v>
      </c>
      <c r="T35" s="1611" t="s">
        <v>1241</v>
      </c>
      <c r="U35" s="1611" t="s">
        <v>864</v>
      </c>
      <c r="V35" s="1611"/>
      <c r="W35" s="1611" t="s">
        <v>882</v>
      </c>
      <c r="X35" s="1611"/>
      <c r="Y35" s="1611"/>
      <c r="Z35" s="1611"/>
    </row>
    <row r="36" spans="1:26" customFormat="1" ht="27.6" hidden="1">
      <c r="A36" s="1611"/>
      <c r="B36" s="1611" t="s">
        <v>1076</v>
      </c>
      <c r="C36" s="1611" t="s">
        <v>1147</v>
      </c>
      <c r="D36" s="1611" t="s">
        <v>879</v>
      </c>
      <c r="E36" s="1619" t="s">
        <v>1242</v>
      </c>
      <c r="F36" s="1604">
        <v>41</v>
      </c>
      <c r="G36" s="1611" t="s">
        <v>1243</v>
      </c>
      <c r="H36" s="1618" t="s">
        <v>987</v>
      </c>
      <c r="I36" s="1618" t="s">
        <v>1196</v>
      </c>
      <c r="J36" s="1601"/>
      <c r="K36" s="1611" t="s">
        <v>1244</v>
      </c>
      <c r="L36" s="1611" t="s">
        <v>1059</v>
      </c>
      <c r="M36" s="1617" t="s">
        <v>1245</v>
      </c>
      <c r="N36" s="1611" t="s">
        <v>912</v>
      </c>
      <c r="O36" s="1604">
        <v>2015</v>
      </c>
      <c r="P36" s="1611" t="s">
        <v>1240</v>
      </c>
      <c r="Q36" s="1618">
        <v>48</v>
      </c>
      <c r="R36" s="1618"/>
      <c r="S36" s="1618">
        <v>48</v>
      </c>
      <c r="T36" s="1611" t="s">
        <v>1246</v>
      </c>
      <c r="U36" s="1611" t="s">
        <v>821</v>
      </c>
      <c r="V36" s="1611"/>
      <c r="W36" s="1611" t="s">
        <v>851</v>
      </c>
      <c r="X36" s="1611"/>
      <c r="Y36" s="1611"/>
      <c r="Z36" s="1611"/>
    </row>
    <row r="37" spans="1:26" customFormat="1" ht="41.4" hidden="1">
      <c r="A37" s="1611"/>
      <c r="B37" s="1611" t="s">
        <v>1076</v>
      </c>
      <c r="C37" s="1611" t="s">
        <v>1039</v>
      </c>
      <c r="D37" s="1611" t="s">
        <v>879</v>
      </c>
      <c r="E37" s="1619" t="s">
        <v>1247</v>
      </c>
      <c r="F37" s="1604">
        <v>58</v>
      </c>
      <c r="G37" s="1611"/>
      <c r="H37" s="1618" t="s">
        <v>987</v>
      </c>
      <c r="I37" s="1618" t="s">
        <v>995</v>
      </c>
      <c r="J37" s="1601"/>
      <c r="K37" s="1611" t="s">
        <v>1248</v>
      </c>
      <c r="L37" s="1611" t="s">
        <v>1059</v>
      </c>
      <c r="M37" s="1617" t="s">
        <v>1249</v>
      </c>
      <c r="N37" s="1611" t="s">
        <v>912</v>
      </c>
      <c r="O37" s="1604">
        <v>2015</v>
      </c>
      <c r="P37" s="1611" t="s">
        <v>1034</v>
      </c>
      <c r="Q37" s="1618">
        <v>90</v>
      </c>
      <c r="R37" s="1618">
        <v>175</v>
      </c>
      <c r="S37" s="1618">
        <v>265</v>
      </c>
      <c r="T37" s="1611" t="s">
        <v>1097</v>
      </c>
      <c r="U37" s="1611" t="s">
        <v>558</v>
      </c>
      <c r="V37" s="1611"/>
      <c r="W37" s="1611" t="s">
        <v>1116</v>
      </c>
      <c r="X37" s="1611"/>
      <c r="Y37" s="1611"/>
      <c r="Z37" s="1611"/>
    </row>
    <row r="38" spans="1:26" customFormat="1" hidden="1">
      <c r="A38" s="1611"/>
      <c r="B38" s="1611" t="s">
        <v>1076</v>
      </c>
      <c r="C38" s="1611" t="s">
        <v>693</v>
      </c>
      <c r="D38" s="1611" t="s">
        <v>431</v>
      </c>
      <c r="E38" s="1619" t="s">
        <v>1250</v>
      </c>
      <c r="F38" s="1604">
        <v>27</v>
      </c>
      <c r="G38" s="1611" t="s">
        <v>999</v>
      </c>
      <c r="H38" s="1618" t="s">
        <v>987</v>
      </c>
      <c r="I38" s="1618" t="s">
        <v>1251</v>
      </c>
      <c r="J38" s="1601" t="s">
        <v>1059</v>
      </c>
      <c r="K38" s="1611" t="s">
        <v>1252</v>
      </c>
      <c r="L38" s="1611" t="s">
        <v>990</v>
      </c>
      <c r="M38" s="1617" t="s">
        <v>1253</v>
      </c>
      <c r="N38" s="1611" t="s">
        <v>915</v>
      </c>
      <c r="O38" s="1604">
        <v>2015</v>
      </c>
      <c r="P38" s="1611" t="s">
        <v>1052</v>
      </c>
      <c r="Q38" s="1618">
        <v>4</v>
      </c>
      <c r="R38" s="1618"/>
      <c r="S38" s="1618">
        <v>4</v>
      </c>
      <c r="T38" s="1611" t="s">
        <v>1200</v>
      </c>
      <c r="U38" s="1611" t="s">
        <v>914</v>
      </c>
      <c r="V38" s="1611"/>
      <c r="W38" s="1611" t="s">
        <v>916</v>
      </c>
      <c r="X38" s="1611" t="s">
        <v>1105</v>
      </c>
      <c r="Y38" s="1611"/>
      <c r="Z38" s="1611"/>
    </row>
    <row r="39" spans="1:26" customFormat="1" ht="27.6" hidden="1">
      <c r="A39" s="1611"/>
      <c r="B39" s="1611" t="s">
        <v>591</v>
      </c>
      <c r="C39" s="1611" t="s">
        <v>453</v>
      </c>
      <c r="D39" s="1611" t="s">
        <v>431</v>
      </c>
      <c r="E39" s="1619" t="s">
        <v>1254</v>
      </c>
      <c r="F39" s="1604">
        <v>41</v>
      </c>
      <c r="G39" s="1611" t="s">
        <v>993</v>
      </c>
      <c r="H39" s="1618" t="s">
        <v>987</v>
      </c>
      <c r="I39" s="1618" t="s">
        <v>1019</v>
      </c>
      <c r="J39" s="1601"/>
      <c r="K39" s="1611" t="s">
        <v>1255</v>
      </c>
      <c r="L39" s="1611" t="s">
        <v>1059</v>
      </c>
      <c r="M39" s="1617" t="s">
        <v>1256</v>
      </c>
      <c r="N39" s="1611" t="s">
        <v>912</v>
      </c>
      <c r="O39" s="1604">
        <v>2015</v>
      </c>
      <c r="P39" s="1611" t="s">
        <v>1240</v>
      </c>
      <c r="Q39" s="1618">
        <v>16</v>
      </c>
      <c r="R39" s="1618"/>
      <c r="S39" s="1618">
        <v>16</v>
      </c>
      <c r="T39" s="1611" t="s">
        <v>1180</v>
      </c>
      <c r="U39" s="1611" t="s">
        <v>1104</v>
      </c>
      <c r="V39" s="1611"/>
      <c r="W39" s="1611" t="s">
        <v>850</v>
      </c>
      <c r="X39" s="1611" t="s">
        <v>1257</v>
      </c>
      <c r="Y39" s="1611"/>
      <c r="Z39" s="1611"/>
    </row>
    <row r="40" spans="1:26" customFormat="1" ht="27.6" hidden="1">
      <c r="A40" s="1611"/>
      <c r="B40" s="1611" t="s">
        <v>591</v>
      </c>
      <c r="C40" s="1611" t="s">
        <v>3609</v>
      </c>
      <c r="D40" s="1611" t="s">
        <v>879</v>
      </c>
      <c r="E40" s="1619" t="s">
        <v>1258</v>
      </c>
      <c r="F40" s="1604">
        <v>34</v>
      </c>
      <c r="G40" s="1611" t="s">
        <v>1118</v>
      </c>
      <c r="H40" s="1618" t="s">
        <v>987</v>
      </c>
      <c r="I40" s="1618" t="s">
        <v>1196</v>
      </c>
      <c r="J40" s="1601"/>
      <c r="K40" s="1611" t="s">
        <v>1259</v>
      </c>
      <c r="L40" s="1611" t="s">
        <v>1059</v>
      </c>
      <c r="M40" s="1617" t="s">
        <v>1260</v>
      </c>
      <c r="N40" s="1611" t="s">
        <v>912</v>
      </c>
      <c r="O40" s="1604">
        <v>2015</v>
      </c>
      <c r="P40" s="1611" t="s">
        <v>1240</v>
      </c>
      <c r="Q40" s="1618">
        <v>95</v>
      </c>
      <c r="R40" s="1618"/>
      <c r="S40" s="1618">
        <v>95</v>
      </c>
      <c r="T40" s="1611" t="s">
        <v>1097</v>
      </c>
      <c r="U40" s="1611" t="s">
        <v>864</v>
      </c>
      <c r="V40" s="1611"/>
      <c r="W40" s="1611" t="s">
        <v>850</v>
      </c>
      <c r="X40" s="1611"/>
      <c r="Y40" s="1611"/>
      <c r="Z40" s="1611"/>
    </row>
    <row r="41" spans="1:26" customFormat="1" ht="27.6" hidden="1">
      <c r="A41" s="1611"/>
      <c r="B41" s="1611" t="s">
        <v>1076</v>
      </c>
      <c r="C41" s="1611" t="s">
        <v>1147</v>
      </c>
      <c r="D41" s="1611" t="s">
        <v>879</v>
      </c>
      <c r="E41" s="1619" t="s">
        <v>1261</v>
      </c>
      <c r="F41" s="1604">
        <v>49</v>
      </c>
      <c r="G41" s="1611" t="s">
        <v>1262</v>
      </c>
      <c r="H41" s="1618" t="s">
        <v>987</v>
      </c>
      <c r="I41" s="1618" t="s">
        <v>1000</v>
      </c>
      <c r="J41" s="1601"/>
      <c r="K41" s="1611" t="s">
        <v>1263</v>
      </c>
      <c r="L41" s="1611" t="s">
        <v>1059</v>
      </c>
      <c r="M41" s="1617" t="s">
        <v>1264</v>
      </c>
      <c r="N41" s="1611" t="s">
        <v>917</v>
      </c>
      <c r="O41" s="1604">
        <v>2015</v>
      </c>
      <c r="P41" s="1611" t="s">
        <v>1133</v>
      </c>
      <c r="Q41" s="1618">
        <v>20</v>
      </c>
      <c r="R41" s="1618"/>
      <c r="S41" s="1618">
        <v>20</v>
      </c>
      <c r="T41" s="1611" t="s">
        <v>1265</v>
      </c>
      <c r="U41" s="1611" t="s">
        <v>864</v>
      </c>
      <c r="V41" s="1611"/>
      <c r="W41" s="1611" t="s">
        <v>882</v>
      </c>
      <c r="X41" s="1611"/>
      <c r="Y41" s="1611"/>
      <c r="Z41" s="1611"/>
    </row>
    <row r="42" spans="1:26" customFormat="1" ht="27.6" hidden="1">
      <c r="A42" s="1611"/>
      <c r="B42" s="1611" t="s">
        <v>1076</v>
      </c>
      <c r="C42" s="1611" t="s">
        <v>694</v>
      </c>
      <c r="D42" s="1611" t="s">
        <v>879</v>
      </c>
      <c r="E42" s="1619" t="s">
        <v>1266</v>
      </c>
      <c r="F42" s="1604">
        <v>46</v>
      </c>
      <c r="G42" s="1611" t="s">
        <v>1267</v>
      </c>
      <c r="H42" s="1618" t="s">
        <v>987</v>
      </c>
      <c r="I42" s="1618" t="s">
        <v>1000</v>
      </c>
      <c r="J42" s="1601"/>
      <c r="K42" s="1611" t="s">
        <v>1268</v>
      </c>
      <c r="L42" s="1611" t="s">
        <v>1059</v>
      </c>
      <c r="M42" s="1617" t="s">
        <v>1269</v>
      </c>
      <c r="N42" s="1611" t="s">
        <v>912</v>
      </c>
      <c r="O42" s="1604">
        <v>2015</v>
      </c>
      <c r="P42" s="1611" t="s">
        <v>1034</v>
      </c>
      <c r="Q42" s="1618">
        <v>117</v>
      </c>
      <c r="R42" s="1618"/>
      <c r="S42" s="1618">
        <v>117</v>
      </c>
      <c r="T42" s="1611" t="s">
        <v>1097</v>
      </c>
      <c r="U42" s="1611" t="s">
        <v>863</v>
      </c>
      <c r="V42" s="1611"/>
      <c r="W42" s="1611" t="s">
        <v>883</v>
      </c>
      <c r="X42" s="1611"/>
      <c r="Y42" s="1611"/>
      <c r="Z42" s="1611"/>
    </row>
    <row r="43" spans="1:26" customFormat="1" ht="27.6" hidden="1">
      <c r="A43" s="1611"/>
      <c r="B43" s="1611" t="s">
        <v>1076</v>
      </c>
      <c r="C43" s="1611" t="s">
        <v>1006</v>
      </c>
      <c r="D43" s="1611" t="s">
        <v>879</v>
      </c>
      <c r="E43" s="1619" t="s">
        <v>1270</v>
      </c>
      <c r="F43" s="1604">
        <v>22</v>
      </c>
      <c r="G43" s="1611" t="s">
        <v>1271</v>
      </c>
      <c r="H43" s="1618" t="s">
        <v>987</v>
      </c>
      <c r="I43" s="1618" t="s">
        <v>1000</v>
      </c>
      <c r="J43" s="1601"/>
      <c r="K43" s="1611" t="s">
        <v>1272</v>
      </c>
      <c r="L43" s="1611" t="s">
        <v>990</v>
      </c>
      <c r="M43" s="1617" t="s">
        <v>1273</v>
      </c>
      <c r="N43" s="1611" t="s">
        <v>912</v>
      </c>
      <c r="O43" s="1604">
        <v>2015</v>
      </c>
      <c r="P43" s="1611" t="s">
        <v>1061</v>
      </c>
      <c r="Q43" s="1618">
        <v>5</v>
      </c>
      <c r="R43" s="1618"/>
      <c r="S43" s="1618">
        <v>5</v>
      </c>
      <c r="T43" s="1611" t="s">
        <v>1222</v>
      </c>
      <c r="U43" s="1611" t="s">
        <v>864</v>
      </c>
      <c r="V43" s="1611"/>
      <c r="W43" s="1611" t="s">
        <v>916</v>
      </c>
      <c r="X43" s="1611"/>
      <c r="Y43" s="1611"/>
      <c r="Z43" s="1611"/>
    </row>
    <row r="44" spans="1:26" customFormat="1" ht="27.6" hidden="1">
      <c r="A44" s="1611"/>
      <c r="B44" s="1611" t="s">
        <v>1076</v>
      </c>
      <c r="C44" s="1611" t="s">
        <v>91</v>
      </c>
      <c r="D44" s="1611" t="s">
        <v>998</v>
      </c>
      <c r="E44" s="1619" t="s">
        <v>1274</v>
      </c>
      <c r="F44" s="1604">
        <v>25</v>
      </c>
      <c r="G44" s="1611" t="s">
        <v>1275</v>
      </c>
      <c r="H44" s="1618" t="s">
        <v>987</v>
      </c>
      <c r="I44" s="1618" t="s">
        <v>995</v>
      </c>
      <c r="J44" s="1601"/>
      <c r="K44" s="1611" t="s">
        <v>1276</v>
      </c>
      <c r="L44" s="1611" t="s">
        <v>990</v>
      </c>
      <c r="M44" s="1617" t="s">
        <v>1277</v>
      </c>
      <c r="N44" s="1611" t="s">
        <v>912</v>
      </c>
      <c r="O44" s="1604">
        <v>2015</v>
      </c>
      <c r="P44" s="1611" t="s">
        <v>1102</v>
      </c>
      <c r="Q44" s="1618">
        <v>109</v>
      </c>
      <c r="R44" s="1618"/>
      <c r="S44" s="1618">
        <v>109</v>
      </c>
      <c r="T44" s="1611" t="s">
        <v>1278</v>
      </c>
      <c r="U44" s="1611" t="s">
        <v>558</v>
      </c>
      <c r="V44" s="1611"/>
      <c r="W44" s="1611" t="s">
        <v>883</v>
      </c>
      <c r="X44" s="1611"/>
      <c r="Y44" s="1611"/>
      <c r="Z44" s="1611"/>
    </row>
    <row r="45" spans="1:26" customFormat="1" ht="27.6" hidden="1">
      <c r="A45" s="1611"/>
      <c r="B45" s="1611" t="s">
        <v>1076</v>
      </c>
      <c r="C45" s="1611" t="s">
        <v>588</v>
      </c>
      <c r="D45" s="1611" t="s">
        <v>879</v>
      </c>
      <c r="E45" s="1619" t="s">
        <v>1279</v>
      </c>
      <c r="F45" s="1604">
        <v>21</v>
      </c>
      <c r="G45" s="1611" t="s">
        <v>1280</v>
      </c>
      <c r="H45" s="1618" t="s">
        <v>987</v>
      </c>
      <c r="I45" s="1618" t="s">
        <v>1000</v>
      </c>
      <c r="J45" s="1601"/>
      <c r="K45" s="1611" t="s">
        <v>1281</v>
      </c>
      <c r="L45" s="1611" t="s">
        <v>990</v>
      </c>
      <c r="M45" s="1617" t="s">
        <v>1282</v>
      </c>
      <c r="N45" s="1611" t="s">
        <v>912</v>
      </c>
      <c r="O45" s="1604">
        <v>2015</v>
      </c>
      <c r="P45" s="1611" t="s">
        <v>1102</v>
      </c>
      <c r="Q45" s="1618">
        <v>62</v>
      </c>
      <c r="R45" s="1618"/>
      <c r="S45" s="1618">
        <v>62</v>
      </c>
      <c r="T45" s="1611" t="s">
        <v>1283</v>
      </c>
      <c r="U45" s="1611" t="s">
        <v>870</v>
      </c>
      <c r="V45" s="1611"/>
      <c r="W45" s="1611" t="s">
        <v>883</v>
      </c>
      <c r="X45" s="1611"/>
      <c r="Y45" s="1611"/>
      <c r="Z45" s="1611"/>
    </row>
    <row r="46" spans="1:26" customFormat="1" ht="27.6" hidden="1">
      <c r="A46" s="1611"/>
      <c r="B46" s="1611" t="s">
        <v>1076</v>
      </c>
      <c r="C46" s="1611" t="s">
        <v>588</v>
      </c>
      <c r="D46" s="1611" t="s">
        <v>879</v>
      </c>
      <c r="E46" s="1619" t="s">
        <v>1284</v>
      </c>
      <c r="F46" s="1604">
        <v>28</v>
      </c>
      <c r="G46" s="1611" t="s">
        <v>1285</v>
      </c>
      <c r="H46" s="1618" t="s">
        <v>987</v>
      </c>
      <c r="I46" s="1618" t="s">
        <v>1019</v>
      </c>
      <c r="J46" s="1601"/>
      <c r="K46" s="1611" t="s">
        <v>1286</v>
      </c>
      <c r="L46" s="1611" t="s">
        <v>990</v>
      </c>
      <c r="M46" s="1617" t="s">
        <v>1287</v>
      </c>
      <c r="N46" s="1611" t="s">
        <v>912</v>
      </c>
      <c r="O46" s="1604">
        <v>2015</v>
      </c>
      <c r="P46" s="1611" t="s">
        <v>653</v>
      </c>
      <c r="Q46" s="1618">
        <v>2</v>
      </c>
      <c r="R46" s="1618"/>
      <c r="S46" s="1618">
        <v>2</v>
      </c>
      <c r="T46" s="1611" t="s">
        <v>1283</v>
      </c>
      <c r="U46" s="1611" t="s">
        <v>864</v>
      </c>
      <c r="V46" s="1611"/>
      <c r="W46" s="1611" t="s">
        <v>849</v>
      </c>
      <c r="X46" s="1611"/>
      <c r="Y46" s="1611"/>
      <c r="Z46" s="1611"/>
    </row>
    <row r="47" spans="1:26" customFormat="1" ht="27.6" hidden="1">
      <c r="A47" s="1611"/>
      <c r="B47" s="1611" t="s">
        <v>1076</v>
      </c>
      <c r="C47" s="1611" t="s">
        <v>694</v>
      </c>
      <c r="D47" s="1611" t="s">
        <v>879</v>
      </c>
      <c r="E47" s="1619" t="s">
        <v>1288</v>
      </c>
      <c r="F47" s="1604">
        <v>23</v>
      </c>
      <c r="G47" s="1611" t="s">
        <v>1289</v>
      </c>
      <c r="H47" s="1618" t="s">
        <v>987</v>
      </c>
      <c r="I47" s="1618" t="s">
        <v>1019</v>
      </c>
      <c r="J47" s="1601"/>
      <c r="K47" s="1611" t="s">
        <v>1290</v>
      </c>
      <c r="L47" s="1611" t="s">
        <v>990</v>
      </c>
      <c r="M47" s="1617" t="s">
        <v>1291</v>
      </c>
      <c r="N47" s="1611" t="s">
        <v>915</v>
      </c>
      <c r="O47" s="1604">
        <v>2015</v>
      </c>
      <c r="P47" s="1611" t="s">
        <v>1086</v>
      </c>
      <c r="Q47" s="1618">
        <v>5</v>
      </c>
      <c r="R47" s="1618"/>
      <c r="S47" s="1618">
        <v>5</v>
      </c>
      <c r="T47" s="1611" t="s">
        <v>701</v>
      </c>
      <c r="U47" s="1611" t="s">
        <v>864</v>
      </c>
      <c r="V47" s="1611"/>
      <c r="W47" s="1611" t="s">
        <v>850</v>
      </c>
      <c r="X47" s="1611"/>
      <c r="Y47" s="1611"/>
      <c r="Z47" s="1611"/>
    </row>
    <row r="48" spans="1:26" customFormat="1" ht="27.6" hidden="1">
      <c r="A48" s="1611"/>
      <c r="B48" s="1611"/>
      <c r="C48" s="1611" t="s">
        <v>1006</v>
      </c>
      <c r="D48" s="1611" t="s">
        <v>431</v>
      </c>
      <c r="E48" s="1619" t="s">
        <v>1292</v>
      </c>
      <c r="F48" s="1604"/>
      <c r="G48" s="1611" t="s">
        <v>993</v>
      </c>
      <c r="H48" s="1618" t="s">
        <v>987</v>
      </c>
      <c r="I48" s="1618" t="s">
        <v>1000</v>
      </c>
      <c r="J48" s="1601"/>
      <c r="K48" s="1611" t="s">
        <v>1293</v>
      </c>
      <c r="L48" s="1611" t="s">
        <v>1294</v>
      </c>
      <c r="M48" s="1617" t="s">
        <v>1295</v>
      </c>
      <c r="N48" s="1611" t="s">
        <v>913</v>
      </c>
      <c r="O48" s="1604">
        <v>2014</v>
      </c>
      <c r="P48" s="1611" t="s">
        <v>1296</v>
      </c>
      <c r="Q48" s="1618">
        <v>21</v>
      </c>
      <c r="R48" s="1618"/>
      <c r="S48" s="1618">
        <v>21</v>
      </c>
      <c r="T48" s="1611" t="s">
        <v>1297</v>
      </c>
      <c r="U48" s="1611" t="s">
        <v>1104</v>
      </c>
      <c r="V48" s="1611"/>
      <c r="W48" s="1611" t="s">
        <v>850</v>
      </c>
      <c r="X48" s="1611" t="s">
        <v>1298</v>
      </c>
      <c r="Y48" s="1611"/>
      <c r="Z48" s="1611"/>
    </row>
    <row r="49" spans="1:26" customFormat="1" ht="27.6" hidden="1">
      <c r="A49" s="1611"/>
      <c r="B49" s="1611"/>
      <c r="C49" s="1611" t="s">
        <v>93</v>
      </c>
      <c r="D49" s="1611" t="s">
        <v>431</v>
      </c>
      <c r="E49" s="1619" t="s">
        <v>1299</v>
      </c>
      <c r="F49" s="1604"/>
      <c r="G49" s="1611" t="s">
        <v>993</v>
      </c>
      <c r="H49" s="1618" t="s">
        <v>987</v>
      </c>
      <c r="I49" s="1618"/>
      <c r="J49" s="1601"/>
      <c r="K49" s="1611">
        <v>41844</v>
      </c>
      <c r="L49" s="1611" t="s">
        <v>1294</v>
      </c>
      <c r="M49" s="1617" t="s">
        <v>1300</v>
      </c>
      <c r="N49" s="1611" t="s">
        <v>912</v>
      </c>
      <c r="O49" s="1604">
        <v>2014</v>
      </c>
      <c r="P49" s="1611" t="s">
        <v>1296</v>
      </c>
      <c r="Q49" s="1618">
        <v>349</v>
      </c>
      <c r="R49" s="1618">
        <v>75</v>
      </c>
      <c r="S49" s="1618">
        <v>424</v>
      </c>
      <c r="T49" s="1611" t="s">
        <v>1301</v>
      </c>
      <c r="U49" s="1611" t="s">
        <v>870</v>
      </c>
      <c r="V49" s="1611"/>
      <c r="W49" s="1611" t="s">
        <v>1116</v>
      </c>
      <c r="X49" s="1611" t="s">
        <v>1302</v>
      </c>
      <c r="Y49" s="1611"/>
      <c r="Z49" s="1611"/>
    </row>
    <row r="50" spans="1:26" customFormat="1" ht="27.6" hidden="1">
      <c r="A50" s="1611"/>
      <c r="B50" s="1611" t="s">
        <v>1076</v>
      </c>
      <c r="C50" s="1611" t="s">
        <v>1128</v>
      </c>
      <c r="D50" s="1611" t="s">
        <v>1057</v>
      </c>
      <c r="E50" s="1619" t="s">
        <v>1303</v>
      </c>
      <c r="F50" s="1604"/>
      <c r="G50" s="1611" t="s">
        <v>993</v>
      </c>
      <c r="H50" s="1618" t="s">
        <v>987</v>
      </c>
      <c r="I50" s="1618" t="s">
        <v>1019</v>
      </c>
      <c r="J50" s="1601"/>
      <c r="K50" s="1611" t="s">
        <v>1304</v>
      </c>
      <c r="L50" s="1611" t="s">
        <v>1305</v>
      </c>
      <c r="M50" s="1617" t="s">
        <v>1306</v>
      </c>
      <c r="N50" s="1611" t="s">
        <v>1916</v>
      </c>
      <c r="O50" s="1604">
        <v>2014</v>
      </c>
      <c r="P50" s="1611" t="s">
        <v>653</v>
      </c>
      <c r="Q50" s="1618">
        <v>208</v>
      </c>
      <c r="R50" s="1618"/>
      <c r="S50" s="1618">
        <v>208</v>
      </c>
      <c r="T50" s="1611" t="s">
        <v>1307</v>
      </c>
      <c r="U50" s="1611" t="s">
        <v>872</v>
      </c>
      <c r="V50" s="1611"/>
      <c r="W50" s="1611" t="s">
        <v>883</v>
      </c>
      <c r="X50" s="1611" t="s">
        <v>1308</v>
      </c>
      <c r="Y50" s="1611"/>
      <c r="Z50" s="1611"/>
    </row>
    <row r="51" spans="1:26" customFormat="1" ht="55.2" hidden="1">
      <c r="A51" s="1611"/>
      <c r="B51" s="1611"/>
      <c r="C51" s="1611" t="s">
        <v>1309</v>
      </c>
      <c r="D51" s="1611" t="s">
        <v>879</v>
      </c>
      <c r="E51" s="1619" t="s">
        <v>1310</v>
      </c>
      <c r="F51" s="1604">
        <v>46</v>
      </c>
      <c r="G51" s="1611" t="s">
        <v>1311</v>
      </c>
      <c r="H51" s="1618" t="s">
        <v>987</v>
      </c>
      <c r="I51" s="1618" t="s">
        <v>1312</v>
      </c>
      <c r="J51" s="1601" t="s">
        <v>1313</v>
      </c>
      <c r="K51" s="1611" t="s">
        <v>1314</v>
      </c>
      <c r="L51" s="1611" t="s">
        <v>1305</v>
      </c>
      <c r="M51" s="1617" t="s">
        <v>1315</v>
      </c>
      <c r="N51" s="1611" t="s">
        <v>913</v>
      </c>
      <c r="O51" s="1604">
        <v>2014</v>
      </c>
      <c r="P51" s="1611" t="s">
        <v>1102</v>
      </c>
      <c r="Q51" s="1618">
        <v>178</v>
      </c>
      <c r="R51" s="1618"/>
      <c r="S51" s="1618">
        <v>178</v>
      </c>
      <c r="T51" s="1611" t="s">
        <v>1316</v>
      </c>
      <c r="U51" s="1611" t="s">
        <v>821</v>
      </c>
      <c r="V51" s="1611"/>
      <c r="W51" s="1611" t="s">
        <v>850</v>
      </c>
      <c r="X51" s="1611"/>
      <c r="Y51" s="1611"/>
      <c r="Z51" s="1611"/>
    </row>
    <row r="52" spans="1:26" customFormat="1" ht="138" hidden="1">
      <c r="A52" s="1611"/>
      <c r="B52" s="1611" t="s">
        <v>591</v>
      </c>
      <c r="C52" s="1611" t="s">
        <v>453</v>
      </c>
      <c r="D52" s="1611" t="s">
        <v>431</v>
      </c>
      <c r="E52" s="1619" t="s">
        <v>1317</v>
      </c>
      <c r="F52" s="1604"/>
      <c r="G52" s="1611" t="s">
        <v>993</v>
      </c>
      <c r="H52" s="1618" t="s">
        <v>987</v>
      </c>
      <c r="I52" s="1618" t="s">
        <v>1019</v>
      </c>
      <c r="J52" s="1601"/>
      <c r="K52" s="1611" t="s">
        <v>1318</v>
      </c>
      <c r="L52" s="1611" t="s">
        <v>1294</v>
      </c>
      <c r="M52" s="1617" t="s">
        <v>1319</v>
      </c>
      <c r="N52" s="1611" t="s">
        <v>912</v>
      </c>
      <c r="O52" s="1604">
        <v>2014</v>
      </c>
      <c r="P52" s="1611" t="s">
        <v>1154</v>
      </c>
      <c r="Q52" s="1618">
        <v>263</v>
      </c>
      <c r="R52" s="1618">
        <v>135</v>
      </c>
      <c r="S52" s="1618">
        <v>398</v>
      </c>
      <c r="T52" s="1611" t="s">
        <v>1180</v>
      </c>
      <c r="U52" s="1611" t="s">
        <v>1104</v>
      </c>
      <c r="V52" s="1611"/>
      <c r="W52" s="1611" t="s">
        <v>1116</v>
      </c>
      <c r="X52" s="1611"/>
      <c r="Y52" s="1611"/>
      <c r="Z52" s="1611"/>
    </row>
    <row r="53" spans="1:26" customFormat="1" ht="207" hidden="1">
      <c r="A53" s="1611"/>
      <c r="B53" s="1611" t="s">
        <v>591</v>
      </c>
      <c r="C53" s="1611" t="s">
        <v>3657</v>
      </c>
      <c r="D53" s="1611" t="s">
        <v>879</v>
      </c>
      <c r="E53" s="1619" t="s">
        <v>1320</v>
      </c>
      <c r="F53" s="1604">
        <v>19</v>
      </c>
      <c r="G53" s="1611" t="s">
        <v>1321</v>
      </c>
      <c r="H53" s="1618" t="s">
        <v>987</v>
      </c>
      <c r="I53" s="1618" t="s">
        <v>1019</v>
      </c>
      <c r="J53" s="1601" t="s">
        <v>1322</v>
      </c>
      <c r="K53" s="1611" t="s">
        <v>1323</v>
      </c>
      <c r="L53" s="1611" t="s">
        <v>1294</v>
      </c>
      <c r="M53" s="1617" t="s">
        <v>1324</v>
      </c>
      <c r="N53" s="1611" t="s">
        <v>912</v>
      </c>
      <c r="O53" s="1604">
        <v>2014</v>
      </c>
      <c r="P53" s="1611" t="s">
        <v>1325</v>
      </c>
      <c r="Q53" s="1618">
        <v>9</v>
      </c>
      <c r="R53" s="1618"/>
      <c r="S53" s="1618">
        <v>9</v>
      </c>
      <c r="T53" s="1611" t="s">
        <v>1097</v>
      </c>
      <c r="U53" s="1611" t="s">
        <v>863</v>
      </c>
      <c r="V53" s="1611"/>
      <c r="W53" s="1611" t="s">
        <v>849</v>
      </c>
      <c r="X53" s="1611"/>
      <c r="Y53" s="1611"/>
      <c r="Z53" s="1611"/>
    </row>
    <row r="54" spans="1:26" customFormat="1" hidden="1">
      <c r="A54" s="1611"/>
      <c r="B54" s="1611" t="s">
        <v>591</v>
      </c>
      <c r="C54" s="1611" t="s">
        <v>974</v>
      </c>
      <c r="D54" s="1611" t="s">
        <v>879</v>
      </c>
      <c r="E54" s="1619"/>
      <c r="F54" s="1604"/>
      <c r="G54" s="1611" t="s">
        <v>1321</v>
      </c>
      <c r="H54" s="1618"/>
      <c r="I54" s="1618"/>
      <c r="J54" s="1601"/>
      <c r="K54" s="1611" t="s">
        <v>1326</v>
      </c>
      <c r="L54" s="1611" t="s">
        <v>1294</v>
      </c>
      <c r="M54" s="1617" t="s">
        <v>1327</v>
      </c>
      <c r="N54" s="1611" t="s">
        <v>912</v>
      </c>
      <c r="O54" s="1604">
        <v>2014</v>
      </c>
      <c r="P54" s="1611" t="s">
        <v>1325</v>
      </c>
      <c r="Q54" s="1618">
        <v>6</v>
      </c>
      <c r="R54" s="1618"/>
      <c r="S54" s="1618">
        <v>6</v>
      </c>
      <c r="T54" s="1611" t="s">
        <v>1241</v>
      </c>
      <c r="U54" s="1611" t="s">
        <v>864</v>
      </c>
      <c r="V54" s="1611"/>
      <c r="W54" s="1611" t="s">
        <v>849</v>
      </c>
      <c r="X54" s="1611"/>
      <c r="Y54" s="1611"/>
      <c r="Z54" s="1611"/>
    </row>
    <row r="55" spans="1:26" customFormat="1" ht="41.4" hidden="1">
      <c r="A55" s="1611"/>
      <c r="B55" s="1611" t="s">
        <v>1076</v>
      </c>
      <c r="C55" s="1611" t="s">
        <v>1128</v>
      </c>
      <c r="D55" s="1611" t="s">
        <v>879</v>
      </c>
      <c r="E55" s="1619" t="s">
        <v>1328</v>
      </c>
      <c r="F55" s="1604">
        <v>39</v>
      </c>
      <c r="G55" s="1611" t="s">
        <v>1311</v>
      </c>
      <c r="H55" s="1618" t="s">
        <v>987</v>
      </c>
      <c r="I55" s="1618" t="s">
        <v>1329</v>
      </c>
      <c r="J55" s="1601" t="s">
        <v>1330</v>
      </c>
      <c r="K55" s="1611" t="s">
        <v>1331</v>
      </c>
      <c r="L55" s="1611" t="s">
        <v>1332</v>
      </c>
      <c r="M55" s="1617" t="s">
        <v>1333</v>
      </c>
      <c r="N55" s="1611" t="s">
        <v>912</v>
      </c>
      <c r="O55" s="1604">
        <v>2014</v>
      </c>
      <c r="P55" s="1611" t="s">
        <v>1325</v>
      </c>
      <c r="Q55" s="1618">
        <v>93</v>
      </c>
      <c r="R55" s="1618">
        <v>100</v>
      </c>
      <c r="S55" s="1618">
        <v>193</v>
      </c>
      <c r="T55" s="1611" t="s">
        <v>1097</v>
      </c>
      <c r="U55" s="1611" t="s">
        <v>558</v>
      </c>
      <c r="V55" s="1611"/>
      <c r="W55" s="1611" t="s">
        <v>1116</v>
      </c>
      <c r="X55" s="1611"/>
      <c r="Y55" s="1611"/>
      <c r="Z55" s="1611"/>
    </row>
    <row r="56" spans="1:26" customFormat="1" ht="151.80000000000001" hidden="1">
      <c r="A56" s="1611"/>
      <c r="B56" s="1611"/>
      <c r="C56" s="1611" t="s">
        <v>1006</v>
      </c>
      <c r="D56" s="1611" t="s">
        <v>879</v>
      </c>
      <c r="E56" s="1619" t="s">
        <v>1334</v>
      </c>
      <c r="F56" s="1604">
        <v>28</v>
      </c>
      <c r="G56" s="1611" t="s">
        <v>1311</v>
      </c>
      <c r="H56" s="1618" t="s">
        <v>987</v>
      </c>
      <c r="I56" s="1618" t="s">
        <v>1019</v>
      </c>
      <c r="J56" s="1601" t="s">
        <v>1335</v>
      </c>
      <c r="K56" s="1611">
        <v>41660.180555555555</v>
      </c>
      <c r="L56" s="1611" t="s">
        <v>1305</v>
      </c>
      <c r="M56" s="1617" t="s">
        <v>1336</v>
      </c>
      <c r="N56" s="1611" t="s">
        <v>923</v>
      </c>
      <c r="O56" s="1604">
        <v>2014</v>
      </c>
      <c r="P56" s="1611" t="s">
        <v>1325</v>
      </c>
      <c r="Q56" s="1618">
        <v>9</v>
      </c>
      <c r="R56" s="1618"/>
      <c r="S56" s="1618">
        <v>9</v>
      </c>
      <c r="T56" s="1611" t="s">
        <v>1337</v>
      </c>
      <c r="U56" s="1611" t="s">
        <v>864</v>
      </c>
      <c r="V56" s="1611"/>
      <c r="W56" s="1611" t="s">
        <v>850</v>
      </c>
      <c r="X56" s="1611"/>
      <c r="Y56" s="1611"/>
      <c r="Z56" s="1611"/>
    </row>
    <row r="57" spans="1:26" customFormat="1" ht="151.80000000000001" hidden="1">
      <c r="A57" s="1611"/>
      <c r="B57" s="1611" t="s">
        <v>591</v>
      </c>
      <c r="C57" s="1611" t="s">
        <v>1338</v>
      </c>
      <c r="D57" s="1611" t="s">
        <v>1338</v>
      </c>
      <c r="E57" s="1619" t="s">
        <v>1339</v>
      </c>
      <c r="F57" s="1604">
        <v>35</v>
      </c>
      <c r="G57" s="1611" t="s">
        <v>1321</v>
      </c>
      <c r="H57" s="1618" t="s">
        <v>994</v>
      </c>
      <c r="I57" s="1618" t="s">
        <v>995</v>
      </c>
      <c r="J57" s="1601" t="s">
        <v>1340</v>
      </c>
      <c r="K57" s="1611">
        <v>41660</v>
      </c>
      <c r="L57" s="1611" t="s">
        <v>1294</v>
      </c>
      <c r="M57" s="1617" t="s">
        <v>1341</v>
      </c>
      <c r="N57" s="1611" t="s">
        <v>912</v>
      </c>
      <c r="O57" s="1604">
        <v>2014</v>
      </c>
      <c r="P57" s="1611" t="s">
        <v>1325</v>
      </c>
      <c r="Q57" s="1618">
        <v>10</v>
      </c>
      <c r="R57" s="1618"/>
      <c r="S57" s="1618">
        <v>10</v>
      </c>
      <c r="T57" s="1611" t="s">
        <v>1246</v>
      </c>
      <c r="U57" s="1611" t="s">
        <v>821</v>
      </c>
      <c r="V57" s="1611"/>
      <c r="W57" s="1611" t="s">
        <v>851</v>
      </c>
      <c r="X57" s="1611"/>
      <c r="Y57" s="1611"/>
      <c r="Z57" s="1611"/>
    </row>
    <row r="58" spans="1:26" customFormat="1" ht="55.2" hidden="1">
      <c r="A58" s="1611"/>
      <c r="B58" s="1611"/>
      <c r="C58" s="1611" t="s">
        <v>430</v>
      </c>
      <c r="D58" s="1611" t="s">
        <v>879</v>
      </c>
      <c r="E58" s="1619" t="s">
        <v>1342</v>
      </c>
      <c r="F58" s="1604">
        <v>34</v>
      </c>
      <c r="G58" s="1611" t="s">
        <v>1311</v>
      </c>
      <c r="H58" s="1618" t="s">
        <v>987</v>
      </c>
      <c r="I58" s="1618" t="s">
        <v>995</v>
      </c>
      <c r="J58" s="1601" t="s">
        <v>1343</v>
      </c>
      <c r="K58" s="1611">
        <v>41661.409722222219</v>
      </c>
      <c r="L58" s="1611" t="s">
        <v>1305</v>
      </c>
      <c r="M58" s="1617" t="s">
        <v>1344</v>
      </c>
      <c r="N58" s="1611" t="s">
        <v>1916</v>
      </c>
      <c r="O58" s="1604">
        <v>2014</v>
      </c>
      <c r="P58" s="1611" t="s">
        <v>1325</v>
      </c>
      <c r="Q58" s="1618">
        <v>6</v>
      </c>
      <c r="R58" s="1618"/>
      <c r="S58" s="1618">
        <v>6</v>
      </c>
      <c r="T58" s="1611" t="s">
        <v>1155</v>
      </c>
      <c r="U58" s="1611" t="s">
        <v>865</v>
      </c>
      <c r="V58" s="1611"/>
      <c r="W58" s="1611" t="s">
        <v>916</v>
      </c>
      <c r="X58" s="1611"/>
      <c r="Y58" s="1611"/>
      <c r="Z58" s="1611"/>
    </row>
    <row r="59" spans="1:26" customFormat="1" ht="69" hidden="1">
      <c r="A59" s="1611"/>
      <c r="B59" s="1611"/>
      <c r="C59" s="1611" t="s">
        <v>77</v>
      </c>
      <c r="D59" s="1611" t="s">
        <v>879</v>
      </c>
      <c r="E59" s="1619" t="s">
        <v>1345</v>
      </c>
      <c r="F59" s="1604">
        <v>25</v>
      </c>
      <c r="G59" s="1611" t="s">
        <v>1311</v>
      </c>
      <c r="H59" s="1618" t="s">
        <v>987</v>
      </c>
      <c r="I59" s="1618" t="s">
        <v>1019</v>
      </c>
      <c r="J59" s="1601" t="s">
        <v>1347</v>
      </c>
      <c r="K59" s="1611" t="s">
        <v>1348</v>
      </c>
      <c r="L59" s="1611" t="s">
        <v>1294</v>
      </c>
      <c r="M59" s="1617" t="s">
        <v>1349</v>
      </c>
      <c r="N59" s="1611" t="s">
        <v>912</v>
      </c>
      <c r="O59" s="1604">
        <v>2014</v>
      </c>
      <c r="P59" s="1611" t="s">
        <v>1350</v>
      </c>
      <c r="Q59" s="1618">
        <v>16</v>
      </c>
      <c r="R59" s="1618"/>
      <c r="S59" s="1618">
        <v>16</v>
      </c>
      <c r="T59" s="1611" t="s">
        <v>1097</v>
      </c>
      <c r="U59" s="1611" t="s">
        <v>863</v>
      </c>
      <c r="V59" s="1611"/>
      <c r="W59" s="1611" t="s">
        <v>882</v>
      </c>
      <c r="X59" s="1611"/>
      <c r="Y59" s="1611"/>
      <c r="Z59" s="1611"/>
    </row>
    <row r="60" spans="1:26" customFormat="1" ht="82.8" hidden="1">
      <c r="A60" s="1611"/>
      <c r="B60" s="1611" t="s">
        <v>1076</v>
      </c>
      <c r="C60" s="1611" t="s">
        <v>693</v>
      </c>
      <c r="D60" s="1611" t="s">
        <v>879</v>
      </c>
      <c r="E60" s="1619" t="s">
        <v>1351</v>
      </c>
      <c r="F60" s="1604">
        <v>54</v>
      </c>
      <c r="G60" s="1611" t="s">
        <v>993</v>
      </c>
      <c r="H60" s="1618" t="s">
        <v>987</v>
      </c>
      <c r="I60" s="1618" t="s">
        <v>995</v>
      </c>
      <c r="J60" s="1601" t="s">
        <v>1352</v>
      </c>
      <c r="K60" s="1611">
        <v>41688.576388888891</v>
      </c>
      <c r="L60" s="1611" t="s">
        <v>1305</v>
      </c>
      <c r="M60" s="1617" t="s">
        <v>1353</v>
      </c>
      <c r="N60" s="1611" t="s">
        <v>913</v>
      </c>
      <c r="O60" s="1604">
        <v>2014</v>
      </c>
      <c r="P60" s="1611" t="s">
        <v>1350</v>
      </c>
      <c r="Q60" s="1618">
        <v>10</v>
      </c>
      <c r="R60" s="1618"/>
      <c r="S60" s="1618">
        <v>10</v>
      </c>
      <c r="T60" s="1611" t="s">
        <v>1246</v>
      </c>
      <c r="U60" s="1611" t="s">
        <v>866</v>
      </c>
      <c r="V60" s="1611"/>
      <c r="W60" s="1611" t="s">
        <v>851</v>
      </c>
      <c r="X60" s="1611" t="s">
        <v>1354</v>
      </c>
      <c r="Y60" s="1611"/>
      <c r="Z60" s="1611"/>
    </row>
    <row r="61" spans="1:26" customFormat="1" ht="96.6" hidden="1">
      <c r="A61" s="1611"/>
      <c r="B61" s="1611"/>
      <c r="C61" s="1611" t="s">
        <v>1128</v>
      </c>
      <c r="D61" s="1611" t="s">
        <v>604</v>
      </c>
      <c r="E61" s="1619" t="s">
        <v>1355</v>
      </c>
      <c r="F61" s="1604">
        <v>29</v>
      </c>
      <c r="G61" s="1611" t="s">
        <v>993</v>
      </c>
      <c r="H61" s="1618" t="s">
        <v>994</v>
      </c>
      <c r="I61" s="1618" t="s">
        <v>1356</v>
      </c>
      <c r="J61" s="1601" t="s">
        <v>1357</v>
      </c>
      <c r="K61" s="1611" t="s">
        <v>1358</v>
      </c>
      <c r="L61" s="1611" t="s">
        <v>1332</v>
      </c>
      <c r="M61" s="1617" t="s">
        <v>1359</v>
      </c>
      <c r="N61" s="1611" t="s">
        <v>912</v>
      </c>
      <c r="O61" s="1604">
        <v>2014</v>
      </c>
      <c r="P61" s="1611" t="s">
        <v>1350</v>
      </c>
      <c r="Q61" s="1618">
        <v>2</v>
      </c>
      <c r="R61" s="1618"/>
      <c r="S61" s="1618">
        <v>2</v>
      </c>
      <c r="T61" s="1611" t="s">
        <v>1360</v>
      </c>
      <c r="U61" s="1611" t="s">
        <v>867</v>
      </c>
      <c r="V61" s="1611"/>
      <c r="W61" s="1611" t="s">
        <v>851</v>
      </c>
      <c r="X61" s="1611" t="s">
        <v>1361</v>
      </c>
      <c r="Y61" s="1611"/>
      <c r="Z61" s="1611"/>
    </row>
    <row r="62" spans="1:26" customFormat="1" ht="82.8" hidden="1">
      <c r="A62" s="1611"/>
      <c r="B62" s="1611"/>
      <c r="C62" s="1611" t="s">
        <v>430</v>
      </c>
      <c r="D62" s="1611" t="s">
        <v>1223</v>
      </c>
      <c r="E62" s="1619" t="s">
        <v>1362</v>
      </c>
      <c r="F62" s="1604" t="s">
        <v>1363</v>
      </c>
      <c r="G62" s="1611" t="s">
        <v>993</v>
      </c>
      <c r="H62" s="1618" t="s">
        <v>987</v>
      </c>
      <c r="I62" s="1618" t="s">
        <v>1019</v>
      </c>
      <c r="J62" s="1601" t="s">
        <v>1364</v>
      </c>
      <c r="K62" s="1611">
        <v>41694.822916666664</v>
      </c>
      <c r="L62" s="1611" t="s">
        <v>1305</v>
      </c>
      <c r="M62" s="1617" t="s">
        <v>1365</v>
      </c>
      <c r="N62" s="1611" t="s">
        <v>912</v>
      </c>
      <c r="O62" s="1604">
        <v>2014</v>
      </c>
      <c r="P62" s="1611" t="s">
        <v>1350</v>
      </c>
      <c r="Q62" s="1618">
        <v>3</v>
      </c>
      <c r="R62" s="1618"/>
      <c r="S62" s="1618">
        <v>3</v>
      </c>
      <c r="T62" s="1611" t="s">
        <v>1246</v>
      </c>
      <c r="U62" s="1611" t="s">
        <v>865</v>
      </c>
      <c r="V62" s="1611"/>
      <c r="W62" s="1611" t="s">
        <v>851</v>
      </c>
      <c r="X62" s="1611" t="s">
        <v>668</v>
      </c>
      <c r="Y62" s="1611"/>
      <c r="Z62" s="1611"/>
    </row>
    <row r="63" spans="1:26" customFormat="1" ht="234.6" hidden="1">
      <c r="A63" s="1611"/>
      <c r="B63" s="1611" t="s">
        <v>1076</v>
      </c>
      <c r="C63" s="1611" t="s">
        <v>693</v>
      </c>
      <c r="D63" s="1611" t="s">
        <v>431</v>
      </c>
      <c r="E63" s="1619" t="s">
        <v>1366</v>
      </c>
      <c r="F63" s="1604" t="s">
        <v>1367</v>
      </c>
      <c r="G63" s="1611" t="s">
        <v>993</v>
      </c>
      <c r="H63" s="1618" t="s">
        <v>987</v>
      </c>
      <c r="I63" s="1618" t="s">
        <v>1000</v>
      </c>
      <c r="J63" s="1601" t="s">
        <v>1368</v>
      </c>
      <c r="K63" s="1611">
        <v>41694.208333333336</v>
      </c>
      <c r="L63" s="1611" t="s">
        <v>1305</v>
      </c>
      <c r="M63" s="1617" t="s">
        <v>1369</v>
      </c>
      <c r="N63" s="1611" t="s">
        <v>923</v>
      </c>
      <c r="O63" s="1604">
        <v>2014</v>
      </c>
      <c r="P63" s="1611" t="s">
        <v>1350</v>
      </c>
      <c r="Q63" s="1618">
        <v>7</v>
      </c>
      <c r="R63" s="1618"/>
      <c r="S63" s="1618">
        <v>7</v>
      </c>
      <c r="T63" s="1611" t="s">
        <v>701</v>
      </c>
      <c r="U63" s="1611" t="s">
        <v>865</v>
      </c>
      <c r="V63" s="1611"/>
      <c r="W63" s="1611" t="s">
        <v>850</v>
      </c>
      <c r="X63" s="1611" t="s">
        <v>668</v>
      </c>
      <c r="Y63" s="1611"/>
      <c r="Z63" s="1611"/>
    </row>
    <row r="64" spans="1:26" customFormat="1" ht="193.2" hidden="1">
      <c r="A64" s="1611"/>
      <c r="B64" s="1611"/>
      <c r="C64" s="1611" t="s">
        <v>1006</v>
      </c>
      <c r="D64" s="1611" t="s">
        <v>879</v>
      </c>
      <c r="E64" s="1619" t="s">
        <v>1371</v>
      </c>
      <c r="F64" s="1604">
        <v>47</v>
      </c>
      <c r="G64" s="1611" t="s">
        <v>1311</v>
      </c>
      <c r="H64" s="1618" t="s">
        <v>987</v>
      </c>
      <c r="I64" s="1618" t="s">
        <v>1019</v>
      </c>
      <c r="J64" s="1601" t="s">
        <v>1372</v>
      </c>
      <c r="K64" s="1611">
        <v>41720.829861111109</v>
      </c>
      <c r="L64" s="1611" t="s">
        <v>1305</v>
      </c>
      <c r="M64" s="1617" t="s">
        <v>1373</v>
      </c>
      <c r="N64" s="1611" t="s">
        <v>1916</v>
      </c>
      <c r="O64" s="1604">
        <v>2014</v>
      </c>
      <c r="P64" s="1611" t="s">
        <v>1374</v>
      </c>
      <c r="Q64" s="1618">
        <v>120</v>
      </c>
      <c r="R64" s="1618"/>
      <c r="S64" s="1618">
        <v>120</v>
      </c>
      <c r="T64" s="1611" t="s">
        <v>1375</v>
      </c>
      <c r="U64" s="1611" t="s">
        <v>864</v>
      </c>
      <c r="V64" s="1611"/>
      <c r="W64" s="1611" t="s">
        <v>883</v>
      </c>
      <c r="X64" s="1611"/>
      <c r="Y64" s="1611"/>
      <c r="Z64" s="1611"/>
    </row>
    <row r="65" spans="1:26" customFormat="1" hidden="1">
      <c r="A65" s="1611"/>
      <c r="B65" s="1611" t="s">
        <v>591</v>
      </c>
      <c r="C65" s="1611" t="s">
        <v>998</v>
      </c>
      <c r="D65" s="1611" t="s">
        <v>879</v>
      </c>
      <c r="E65" s="1619"/>
      <c r="F65" s="1604"/>
      <c r="G65" s="1611" t="s">
        <v>1321</v>
      </c>
      <c r="H65" s="1618"/>
      <c r="I65" s="1618"/>
      <c r="J65" s="1601"/>
      <c r="K65" s="1611">
        <v>41732</v>
      </c>
      <c r="L65" s="1611" t="s">
        <v>1294</v>
      </c>
      <c r="M65" s="1617" t="s">
        <v>1376</v>
      </c>
      <c r="N65" s="1611" t="s">
        <v>913</v>
      </c>
      <c r="O65" s="1604">
        <v>2014</v>
      </c>
      <c r="P65" s="1611" t="s">
        <v>1377</v>
      </c>
      <c r="Q65" s="1618">
        <v>2</v>
      </c>
      <c r="R65" s="1618"/>
      <c r="S65" s="1618">
        <v>2</v>
      </c>
      <c r="T65" s="1611" t="s">
        <v>1378</v>
      </c>
      <c r="U65" s="1611" t="s">
        <v>821</v>
      </c>
      <c r="V65" s="1611"/>
      <c r="W65" s="1611" t="s">
        <v>850</v>
      </c>
      <c r="X65" s="1611"/>
      <c r="Y65" s="1611"/>
      <c r="Z65" s="1611"/>
    </row>
    <row r="66" spans="1:26" customFormat="1" ht="124.2" hidden="1">
      <c r="A66" s="1611"/>
      <c r="B66" s="1611" t="s">
        <v>1076</v>
      </c>
      <c r="C66" s="1611" t="s">
        <v>588</v>
      </c>
      <c r="D66" s="1611" t="s">
        <v>1057</v>
      </c>
      <c r="E66" s="1619" t="s">
        <v>1379</v>
      </c>
      <c r="F66" s="1604"/>
      <c r="G66" s="1611" t="s">
        <v>1380</v>
      </c>
      <c r="H66" s="1618" t="s">
        <v>987</v>
      </c>
      <c r="I66" s="1618" t="s">
        <v>995</v>
      </c>
      <c r="J66" s="1601" t="s">
        <v>1381</v>
      </c>
      <c r="K66" s="1611" t="s">
        <v>1382</v>
      </c>
      <c r="L66" s="1611" t="s">
        <v>1305</v>
      </c>
      <c r="M66" s="1617" t="s">
        <v>1383</v>
      </c>
      <c r="N66" s="1611" t="s">
        <v>912</v>
      </c>
      <c r="O66" s="1604">
        <v>2014</v>
      </c>
      <c r="P66" s="1611" t="s">
        <v>1377</v>
      </c>
      <c r="Q66" s="1618">
        <v>10</v>
      </c>
      <c r="R66" s="1618"/>
      <c r="S66" s="1618">
        <v>10</v>
      </c>
      <c r="T66" s="1611" t="s">
        <v>1384</v>
      </c>
      <c r="U66" s="1611" t="s">
        <v>821</v>
      </c>
      <c r="V66" s="1611"/>
      <c r="W66" s="1611" t="s">
        <v>851</v>
      </c>
      <c r="X66" s="1611" t="s">
        <v>1385</v>
      </c>
      <c r="Y66" s="1611"/>
      <c r="Z66" s="1611"/>
    </row>
    <row r="67" spans="1:26" customFormat="1" ht="124.2" hidden="1">
      <c r="A67" s="1611"/>
      <c r="B67" s="1611"/>
      <c r="C67" s="1611" t="s">
        <v>91</v>
      </c>
      <c r="D67" s="1611" t="s">
        <v>1057</v>
      </c>
      <c r="E67" s="1619" t="s">
        <v>1386</v>
      </c>
      <c r="F67" s="1604">
        <v>63</v>
      </c>
      <c r="G67" s="1611" t="s">
        <v>1311</v>
      </c>
      <c r="H67" s="1618" t="s">
        <v>987</v>
      </c>
      <c r="I67" s="1618" t="s">
        <v>995</v>
      </c>
      <c r="J67" s="1601" t="s">
        <v>1387</v>
      </c>
      <c r="K67" s="1611" t="s">
        <v>1388</v>
      </c>
      <c r="L67" s="1611" t="s">
        <v>1294</v>
      </c>
      <c r="M67" s="1617" t="s">
        <v>1389</v>
      </c>
      <c r="N67" s="1611" t="s">
        <v>923</v>
      </c>
      <c r="O67" s="1604">
        <v>2014</v>
      </c>
      <c r="P67" s="1611" t="s">
        <v>1377</v>
      </c>
      <c r="Q67" s="1618">
        <v>8</v>
      </c>
      <c r="R67" s="1618"/>
      <c r="S67" s="1618">
        <v>8</v>
      </c>
      <c r="T67" s="1611" t="s">
        <v>226</v>
      </c>
      <c r="U67" s="1611" t="s">
        <v>821</v>
      </c>
      <c r="V67" s="1611"/>
      <c r="W67" s="1611" t="s">
        <v>850</v>
      </c>
      <c r="X67" s="1611"/>
      <c r="Y67" s="1611"/>
      <c r="Z67" s="1611"/>
    </row>
    <row r="68" spans="1:26" customFormat="1" ht="27.6" hidden="1">
      <c r="A68" s="1611"/>
      <c r="B68" s="1611"/>
      <c r="C68" s="1611" t="s">
        <v>93</v>
      </c>
      <c r="D68" s="1611" t="s">
        <v>431</v>
      </c>
      <c r="E68" s="1619" t="s">
        <v>1390</v>
      </c>
      <c r="F68" s="1604"/>
      <c r="G68" s="1611" t="s">
        <v>993</v>
      </c>
      <c r="H68" s="1618" t="s">
        <v>987</v>
      </c>
      <c r="I68" s="1618" t="s">
        <v>1000</v>
      </c>
      <c r="J68" s="1601" t="s">
        <v>1391</v>
      </c>
      <c r="K68" s="1611" t="s">
        <v>1392</v>
      </c>
      <c r="L68" s="1611" t="s">
        <v>1305</v>
      </c>
      <c r="M68" s="1617" t="s">
        <v>1393</v>
      </c>
      <c r="N68" s="1611" t="s">
        <v>913</v>
      </c>
      <c r="O68" s="1604">
        <v>2014</v>
      </c>
      <c r="P68" s="1611" t="s">
        <v>1377</v>
      </c>
      <c r="Q68" s="1618">
        <v>4</v>
      </c>
      <c r="R68" s="1618"/>
      <c r="S68" s="1618">
        <v>4</v>
      </c>
      <c r="T68" s="1611" t="s">
        <v>1218</v>
      </c>
      <c r="U68" s="1611" t="s">
        <v>869</v>
      </c>
      <c r="V68" s="1611"/>
      <c r="W68" s="1611" t="s">
        <v>916</v>
      </c>
      <c r="X68" s="1611" t="s">
        <v>1394</v>
      </c>
      <c r="Y68" s="1611"/>
      <c r="Z68" s="1611"/>
    </row>
    <row r="69" spans="1:26" customFormat="1" ht="193.2" hidden="1">
      <c r="A69" s="1611"/>
      <c r="B69" s="1611" t="s">
        <v>1076</v>
      </c>
      <c r="C69" s="1611" t="s">
        <v>93</v>
      </c>
      <c r="D69" s="1611" t="s">
        <v>431</v>
      </c>
      <c r="E69" s="1619" t="s">
        <v>1395</v>
      </c>
      <c r="F69" s="1604"/>
      <c r="G69" s="1611" t="s">
        <v>1311</v>
      </c>
      <c r="H69" s="1618" t="s">
        <v>987</v>
      </c>
      <c r="I69" s="1618" t="s">
        <v>1000</v>
      </c>
      <c r="J69" s="1601" t="s">
        <v>1396</v>
      </c>
      <c r="K69" s="1611" t="s">
        <v>1397</v>
      </c>
      <c r="L69" s="1611" t="s">
        <v>1305</v>
      </c>
      <c r="M69" s="1617" t="s">
        <v>1398</v>
      </c>
      <c r="N69" s="1611" t="s">
        <v>929</v>
      </c>
      <c r="O69" s="1604">
        <v>2014</v>
      </c>
      <c r="P69" s="1611" t="s">
        <v>1399</v>
      </c>
      <c r="Q69" s="1618">
        <v>2</v>
      </c>
      <c r="R69" s="1618"/>
      <c r="S69" s="1618">
        <v>2</v>
      </c>
      <c r="T69" s="1611" t="s">
        <v>1400</v>
      </c>
      <c r="U69" s="1611" t="s">
        <v>864</v>
      </c>
      <c r="V69" s="1611"/>
      <c r="W69" s="1611" t="s">
        <v>1922</v>
      </c>
      <c r="X69" s="1611"/>
      <c r="Y69" s="1611"/>
      <c r="Z69" s="1611"/>
    </row>
    <row r="70" spans="1:26" customFormat="1" ht="96.6" hidden="1">
      <c r="A70" s="1611"/>
      <c r="B70" s="1611"/>
      <c r="C70" s="1611" t="s">
        <v>588</v>
      </c>
      <c r="D70" s="1611" t="s">
        <v>998</v>
      </c>
      <c r="E70" s="1619" t="s">
        <v>1401</v>
      </c>
      <c r="F70" s="1604">
        <v>45</v>
      </c>
      <c r="G70" s="1611" t="s">
        <v>1311</v>
      </c>
      <c r="H70" s="1618" t="s">
        <v>987</v>
      </c>
      <c r="I70" s="1618" t="s">
        <v>995</v>
      </c>
      <c r="J70" s="1601" t="s">
        <v>1402</v>
      </c>
      <c r="K70" s="1611" t="s">
        <v>1403</v>
      </c>
      <c r="L70" s="1611" t="s">
        <v>1305</v>
      </c>
      <c r="M70" s="1617" t="s">
        <v>1404</v>
      </c>
      <c r="N70" s="1611" t="s">
        <v>912</v>
      </c>
      <c r="O70" s="1604">
        <v>2014</v>
      </c>
      <c r="P70" s="1611" t="s">
        <v>1399</v>
      </c>
      <c r="Q70" s="1618">
        <v>30</v>
      </c>
      <c r="R70" s="1618"/>
      <c r="S70" s="1618">
        <v>30</v>
      </c>
      <c r="T70" s="1611" t="s">
        <v>1405</v>
      </c>
      <c r="U70" s="1611" t="s">
        <v>870</v>
      </c>
      <c r="V70" s="1611"/>
      <c r="W70" s="1611" t="s">
        <v>849</v>
      </c>
      <c r="X70" s="1611"/>
      <c r="Y70" s="1611"/>
      <c r="Z70" s="1611"/>
    </row>
    <row r="71" spans="1:26" customFormat="1" hidden="1">
      <c r="A71" s="1611"/>
      <c r="B71" s="1611" t="s">
        <v>591</v>
      </c>
      <c r="C71" s="1611" t="s">
        <v>3609</v>
      </c>
      <c r="D71" s="1611" t="s">
        <v>879</v>
      </c>
      <c r="E71" s="1619"/>
      <c r="F71" s="1604"/>
      <c r="G71" s="1611" t="s">
        <v>1321</v>
      </c>
      <c r="H71" s="1618"/>
      <c r="I71" s="1618"/>
      <c r="J71" s="1601"/>
      <c r="K71" s="1611">
        <v>41787</v>
      </c>
      <c r="L71" s="1611" t="s">
        <v>1294</v>
      </c>
      <c r="M71" s="1617" t="s">
        <v>1406</v>
      </c>
      <c r="N71" s="1611" t="s">
        <v>917</v>
      </c>
      <c r="O71" s="1604">
        <v>2014</v>
      </c>
      <c r="P71" s="1611" t="s">
        <v>1399</v>
      </c>
      <c r="Q71" s="1618">
        <v>3</v>
      </c>
      <c r="R71" s="1618"/>
      <c r="S71" s="1618">
        <v>3</v>
      </c>
      <c r="T71" s="1611" t="s">
        <v>1218</v>
      </c>
      <c r="U71" s="1611" t="s">
        <v>865</v>
      </c>
      <c r="V71" s="1611"/>
      <c r="W71" s="1611" t="s">
        <v>850</v>
      </c>
      <c r="X71" s="1611"/>
      <c r="Y71" s="1611"/>
      <c r="Z71" s="1611"/>
    </row>
    <row r="72" spans="1:26" customFormat="1" ht="82.8" hidden="1">
      <c r="A72" s="1611"/>
      <c r="B72" s="1611"/>
      <c r="C72" s="1611" t="s">
        <v>91</v>
      </c>
      <c r="D72" s="1611" t="s">
        <v>1057</v>
      </c>
      <c r="E72" s="1619" t="s">
        <v>1407</v>
      </c>
      <c r="F72" s="1604"/>
      <c r="G72" s="1611" t="s">
        <v>1380</v>
      </c>
      <c r="H72" s="1618" t="s">
        <v>987</v>
      </c>
      <c r="I72" s="1618" t="s">
        <v>995</v>
      </c>
      <c r="J72" s="1601" t="s">
        <v>1408</v>
      </c>
      <c r="K72" s="1611" t="s">
        <v>1409</v>
      </c>
      <c r="L72" s="1611" t="s">
        <v>1294</v>
      </c>
      <c r="M72" s="1617" t="s">
        <v>1410</v>
      </c>
      <c r="N72" s="1611" t="s">
        <v>912</v>
      </c>
      <c r="O72" s="1604">
        <v>2014</v>
      </c>
      <c r="P72" s="1611" t="s">
        <v>1399</v>
      </c>
      <c r="Q72" s="1618">
        <v>1</v>
      </c>
      <c r="R72" s="1618"/>
      <c r="S72" s="1618">
        <v>1</v>
      </c>
      <c r="T72" s="1611" t="s">
        <v>1093</v>
      </c>
      <c r="U72" s="1611" t="s">
        <v>821</v>
      </c>
      <c r="V72" s="1611"/>
      <c r="W72" s="1611" t="s">
        <v>851</v>
      </c>
      <c r="X72" s="1611" t="s">
        <v>1411</v>
      </c>
      <c r="Y72" s="1611"/>
      <c r="Z72" s="1611"/>
    </row>
    <row r="73" spans="1:26" customFormat="1" ht="82.8" hidden="1">
      <c r="A73" s="1611"/>
      <c r="B73" s="1611"/>
      <c r="C73" s="1611" t="s">
        <v>1309</v>
      </c>
      <c r="D73" s="1611" t="s">
        <v>1167</v>
      </c>
      <c r="E73" s="1619" t="s">
        <v>1412</v>
      </c>
      <c r="F73" s="1604">
        <v>43</v>
      </c>
      <c r="G73" s="1611" t="s">
        <v>993</v>
      </c>
      <c r="H73" s="1618" t="s">
        <v>987</v>
      </c>
      <c r="I73" s="1618" t="s">
        <v>995</v>
      </c>
      <c r="J73" s="1601" t="s">
        <v>1346</v>
      </c>
      <c r="K73" s="1611">
        <v>41800.458333333336</v>
      </c>
      <c r="L73" s="1611" t="s">
        <v>1305</v>
      </c>
      <c r="M73" s="1617" t="s">
        <v>1413</v>
      </c>
      <c r="N73" s="1611" t="s">
        <v>915</v>
      </c>
      <c r="O73" s="1604">
        <v>2014</v>
      </c>
      <c r="P73" s="1611" t="s">
        <v>1414</v>
      </c>
      <c r="Q73" s="1618">
        <v>23</v>
      </c>
      <c r="R73" s="1618"/>
      <c r="S73" s="1618">
        <v>23</v>
      </c>
      <c r="T73" s="1611" t="s">
        <v>1415</v>
      </c>
      <c r="U73" s="1611" t="s">
        <v>914</v>
      </c>
      <c r="V73" s="1611"/>
      <c r="W73" s="1611" t="s">
        <v>850</v>
      </c>
      <c r="X73" s="1611" t="s">
        <v>1416</v>
      </c>
      <c r="Y73" s="1611"/>
      <c r="Z73" s="1611"/>
    </row>
    <row r="74" spans="1:26" customFormat="1" ht="124.2" hidden="1">
      <c r="A74" s="1611"/>
      <c r="B74" s="1611"/>
      <c r="C74" s="1611" t="s">
        <v>91</v>
      </c>
      <c r="D74" s="1611" t="s">
        <v>1057</v>
      </c>
      <c r="E74" s="1619" t="s">
        <v>1417</v>
      </c>
      <c r="F74" s="1604">
        <v>22</v>
      </c>
      <c r="G74" s="1611" t="s">
        <v>1380</v>
      </c>
      <c r="H74" s="1618" t="s">
        <v>987</v>
      </c>
      <c r="I74" s="1618" t="s">
        <v>995</v>
      </c>
      <c r="J74" s="1601" t="s">
        <v>1037</v>
      </c>
      <c r="K74" s="1611" t="s">
        <v>1418</v>
      </c>
      <c r="L74" s="1611" t="s">
        <v>1294</v>
      </c>
      <c r="M74" s="1617" t="s">
        <v>1419</v>
      </c>
      <c r="N74" s="1611" t="s">
        <v>912</v>
      </c>
      <c r="O74" s="1604">
        <v>2014</v>
      </c>
      <c r="P74" s="1611" t="s">
        <v>1414</v>
      </c>
      <c r="Q74" s="1618">
        <v>17</v>
      </c>
      <c r="R74" s="1618"/>
      <c r="S74" s="1618">
        <v>17</v>
      </c>
      <c r="T74" s="1611" t="s">
        <v>1420</v>
      </c>
      <c r="U74" s="1611" t="s">
        <v>558</v>
      </c>
      <c r="V74" s="1611"/>
      <c r="W74" s="1611" t="s">
        <v>883</v>
      </c>
      <c r="X74" s="1611" t="s">
        <v>1421</v>
      </c>
      <c r="Y74" s="1611"/>
      <c r="Z74" s="1611"/>
    </row>
    <row r="75" spans="1:26" customFormat="1" ht="41.4" hidden="1">
      <c r="A75" s="1611"/>
      <c r="B75" s="1611"/>
      <c r="C75" s="1611" t="s">
        <v>91</v>
      </c>
      <c r="D75" s="1611" t="s">
        <v>1167</v>
      </c>
      <c r="E75" s="1619" t="s">
        <v>1422</v>
      </c>
      <c r="F75" s="1604">
        <v>42</v>
      </c>
      <c r="G75" s="1611" t="s">
        <v>1311</v>
      </c>
      <c r="H75" s="1618" t="s">
        <v>987</v>
      </c>
      <c r="I75" s="1618" t="s">
        <v>995</v>
      </c>
      <c r="J75" s="1601" t="s">
        <v>1387</v>
      </c>
      <c r="K75" s="1611" t="s">
        <v>1423</v>
      </c>
      <c r="L75" s="1611" t="s">
        <v>1294</v>
      </c>
      <c r="M75" s="1617" t="s">
        <v>1424</v>
      </c>
      <c r="N75" s="1611" t="s">
        <v>912</v>
      </c>
      <c r="O75" s="1604">
        <v>2014</v>
      </c>
      <c r="P75" s="1611" t="s">
        <v>1296</v>
      </c>
      <c r="Q75" s="1618">
        <v>80</v>
      </c>
      <c r="R75" s="1618"/>
      <c r="S75" s="1618">
        <v>80</v>
      </c>
      <c r="T75" s="1611" t="s">
        <v>1425</v>
      </c>
      <c r="U75" s="1611" t="s">
        <v>1904</v>
      </c>
      <c r="V75" s="1611"/>
      <c r="W75" s="1611" t="s">
        <v>883</v>
      </c>
      <c r="X75" s="1611"/>
      <c r="Y75" s="1611"/>
      <c r="Z75" s="1611"/>
    </row>
    <row r="76" spans="1:26" customFormat="1" hidden="1">
      <c r="A76" s="1611"/>
      <c r="B76" s="1611" t="s">
        <v>591</v>
      </c>
      <c r="C76" s="1611" t="s">
        <v>3609</v>
      </c>
      <c r="D76" s="1611" t="s">
        <v>879</v>
      </c>
      <c r="E76" s="1619"/>
      <c r="F76" s="1604"/>
      <c r="G76" s="1611" t="s">
        <v>1321</v>
      </c>
      <c r="H76" s="1618" t="s">
        <v>987</v>
      </c>
      <c r="I76" s="1618" t="s">
        <v>1426</v>
      </c>
      <c r="J76" s="1601"/>
      <c r="K76" s="1611">
        <v>41473.472222222219</v>
      </c>
      <c r="L76" s="1611" t="s">
        <v>1294</v>
      </c>
      <c r="M76" s="1617" t="s">
        <v>1427</v>
      </c>
      <c r="N76" s="1611" t="s">
        <v>1916</v>
      </c>
      <c r="O76" s="1604">
        <v>2014</v>
      </c>
      <c r="P76" s="1611" t="s">
        <v>1296</v>
      </c>
      <c r="Q76" s="1618">
        <v>2</v>
      </c>
      <c r="R76" s="1618"/>
      <c r="S76" s="1618">
        <v>2</v>
      </c>
      <c r="T76" s="1611" t="s">
        <v>1097</v>
      </c>
      <c r="U76" s="1611" t="s">
        <v>864</v>
      </c>
      <c r="V76" s="1611"/>
      <c r="W76" s="1611" t="s">
        <v>850</v>
      </c>
      <c r="X76" s="1611"/>
      <c r="Y76" s="1611"/>
      <c r="Z76" s="1611"/>
    </row>
    <row r="77" spans="1:26" customFormat="1" hidden="1">
      <c r="A77" s="1611"/>
      <c r="B77" s="1611"/>
      <c r="C77" s="1611" t="s">
        <v>588</v>
      </c>
      <c r="D77" s="1611" t="s">
        <v>879</v>
      </c>
      <c r="E77" s="1619" t="s">
        <v>1428</v>
      </c>
      <c r="F77" s="1604">
        <v>36</v>
      </c>
      <c r="G77" s="1611" t="s">
        <v>1311</v>
      </c>
      <c r="H77" s="1618" t="s">
        <v>987</v>
      </c>
      <c r="I77" s="1618" t="s">
        <v>1019</v>
      </c>
      <c r="J77" s="1601" t="s">
        <v>1429</v>
      </c>
      <c r="K77" s="1611" t="s">
        <v>1430</v>
      </c>
      <c r="L77" s="1611" t="s">
        <v>1305</v>
      </c>
      <c r="M77" s="1617" t="s">
        <v>1431</v>
      </c>
      <c r="N77" s="1611" t="s">
        <v>912</v>
      </c>
      <c r="O77" s="1604">
        <v>2014</v>
      </c>
      <c r="P77" s="1611" t="s">
        <v>1296</v>
      </c>
      <c r="Q77" s="1618">
        <v>22</v>
      </c>
      <c r="R77" s="1618"/>
      <c r="S77" s="1618">
        <v>22</v>
      </c>
      <c r="T77" s="1611" t="s">
        <v>1432</v>
      </c>
      <c r="U77" s="1611" t="s">
        <v>864</v>
      </c>
      <c r="V77" s="1611"/>
      <c r="W77" s="1611" t="s">
        <v>851</v>
      </c>
      <c r="X77" s="1611"/>
      <c r="Y77" s="1611"/>
      <c r="Z77" s="1611"/>
    </row>
    <row r="78" spans="1:26" customFormat="1" ht="55.2" hidden="1">
      <c r="A78" s="1611"/>
      <c r="B78" s="1611" t="s">
        <v>1076</v>
      </c>
      <c r="C78" s="1611" t="s">
        <v>588</v>
      </c>
      <c r="D78" s="1611" t="s">
        <v>879</v>
      </c>
      <c r="E78" s="1619" t="s">
        <v>1433</v>
      </c>
      <c r="F78" s="1604">
        <v>21</v>
      </c>
      <c r="G78" s="1611" t="s">
        <v>993</v>
      </c>
      <c r="H78" s="1618" t="s">
        <v>987</v>
      </c>
      <c r="I78" s="1618" t="s">
        <v>1019</v>
      </c>
      <c r="J78" s="1601" t="s">
        <v>1391</v>
      </c>
      <c r="K78" s="1611" t="s">
        <v>1434</v>
      </c>
      <c r="L78" s="1611" t="s">
        <v>1305</v>
      </c>
      <c r="M78" s="1617" t="s">
        <v>1435</v>
      </c>
      <c r="N78" s="1611" t="s">
        <v>1916</v>
      </c>
      <c r="O78" s="1604">
        <v>2014</v>
      </c>
      <c r="P78" s="1611" t="s">
        <v>1436</v>
      </c>
      <c r="Q78" s="1618">
        <v>10</v>
      </c>
      <c r="R78" s="1618"/>
      <c r="S78" s="1618">
        <v>10</v>
      </c>
      <c r="T78" s="1611" t="s">
        <v>1241</v>
      </c>
      <c r="U78" s="1611" t="s">
        <v>872</v>
      </c>
      <c r="V78" s="1611"/>
      <c r="W78" s="1611" t="s">
        <v>849</v>
      </c>
      <c r="X78" s="1611" t="s">
        <v>1437</v>
      </c>
      <c r="Y78" s="1611"/>
      <c r="Z78" s="1611"/>
    </row>
    <row r="79" spans="1:26" customFormat="1" ht="27.6" hidden="1">
      <c r="A79" s="1611"/>
      <c r="B79" s="1611" t="s">
        <v>1076</v>
      </c>
      <c r="C79" s="1611" t="s">
        <v>1128</v>
      </c>
      <c r="D79" s="1611" t="s">
        <v>879</v>
      </c>
      <c r="E79" s="1619" t="s">
        <v>1438</v>
      </c>
      <c r="F79" s="1604">
        <v>44</v>
      </c>
      <c r="G79" s="1611" t="s">
        <v>1311</v>
      </c>
      <c r="H79" s="1618" t="s">
        <v>987</v>
      </c>
      <c r="I79" s="1618" t="s">
        <v>995</v>
      </c>
      <c r="J79" s="1601" t="s">
        <v>1439</v>
      </c>
      <c r="K79" s="1611" t="s">
        <v>1440</v>
      </c>
      <c r="L79" s="1611" t="s">
        <v>1305</v>
      </c>
      <c r="M79" s="1617" t="s">
        <v>1441</v>
      </c>
      <c r="N79" s="1611" t="s">
        <v>912</v>
      </c>
      <c r="O79" s="1604">
        <v>2014</v>
      </c>
      <c r="P79" s="1611" t="s">
        <v>1436</v>
      </c>
      <c r="Q79" s="1618">
        <v>64</v>
      </c>
      <c r="R79" s="1618"/>
      <c r="S79" s="1618">
        <v>64</v>
      </c>
      <c r="T79" s="1611" t="s">
        <v>1097</v>
      </c>
      <c r="U79" s="1611" t="s">
        <v>869</v>
      </c>
      <c r="V79" s="1611"/>
      <c r="W79" s="1611" t="s">
        <v>851</v>
      </c>
      <c r="X79" s="1611"/>
      <c r="Y79" s="1611"/>
      <c r="Z79" s="1611"/>
    </row>
    <row r="80" spans="1:26" customFormat="1" ht="27.6" hidden="1">
      <c r="A80" s="1611"/>
      <c r="B80" s="1611" t="s">
        <v>1076</v>
      </c>
      <c r="C80" s="1611" t="s">
        <v>1128</v>
      </c>
      <c r="D80" s="1611" t="s">
        <v>879</v>
      </c>
      <c r="E80" s="1619" t="s">
        <v>1442</v>
      </c>
      <c r="F80" s="1604">
        <v>18</v>
      </c>
      <c r="G80" s="1611" t="s">
        <v>1311</v>
      </c>
      <c r="H80" s="1618" t="s">
        <v>987</v>
      </c>
      <c r="I80" s="1618" t="s">
        <v>1019</v>
      </c>
      <c r="J80" s="1601" t="s">
        <v>1443</v>
      </c>
      <c r="K80" s="1611" t="s">
        <v>1444</v>
      </c>
      <c r="L80" s="1611" t="s">
        <v>1305</v>
      </c>
      <c r="M80" s="1617" t="s">
        <v>1445</v>
      </c>
      <c r="N80" s="1611" t="s">
        <v>923</v>
      </c>
      <c r="O80" s="1604">
        <v>2014</v>
      </c>
      <c r="P80" s="1611" t="s">
        <v>1436</v>
      </c>
      <c r="Q80" s="1618">
        <v>2</v>
      </c>
      <c r="R80" s="1618"/>
      <c r="S80" s="1618">
        <v>2</v>
      </c>
      <c r="T80" s="1611" t="s">
        <v>1446</v>
      </c>
      <c r="U80" s="1611" t="s">
        <v>821</v>
      </c>
      <c r="V80" s="1611"/>
      <c r="W80" s="1611" t="s">
        <v>850</v>
      </c>
      <c r="X80" s="1611"/>
      <c r="Y80" s="1611"/>
      <c r="Z80" s="1611"/>
    </row>
    <row r="81" spans="1:26" customFormat="1" ht="27.6" hidden="1">
      <c r="A81" s="1611"/>
      <c r="B81" s="1611" t="s">
        <v>1076</v>
      </c>
      <c r="C81" s="1611" t="s">
        <v>1128</v>
      </c>
      <c r="D81" s="1611" t="s">
        <v>879</v>
      </c>
      <c r="E81" s="1619" t="s">
        <v>1447</v>
      </c>
      <c r="F81" s="1604">
        <v>18</v>
      </c>
      <c r="G81" s="1611" t="s">
        <v>1311</v>
      </c>
      <c r="H81" s="1618" t="s">
        <v>994</v>
      </c>
      <c r="I81" s="1618" t="s">
        <v>1019</v>
      </c>
      <c r="J81" s="1601" t="s">
        <v>1449</v>
      </c>
      <c r="K81" s="1611" t="s">
        <v>1450</v>
      </c>
      <c r="L81" s="1611" t="s">
        <v>1305</v>
      </c>
      <c r="M81" s="1617" t="s">
        <v>1451</v>
      </c>
      <c r="N81" s="1611" t="s">
        <v>912</v>
      </c>
      <c r="O81" s="1604">
        <v>2014</v>
      </c>
      <c r="P81" s="1611" t="s">
        <v>1436</v>
      </c>
      <c r="Q81" s="1618">
        <v>7</v>
      </c>
      <c r="R81" s="1618"/>
      <c r="S81" s="1618">
        <v>7</v>
      </c>
      <c r="T81" s="1611" t="s">
        <v>1241</v>
      </c>
      <c r="U81" s="1611" t="s">
        <v>868</v>
      </c>
      <c r="V81" s="1611"/>
      <c r="W81" s="1611" t="s">
        <v>849</v>
      </c>
      <c r="X81" s="1611"/>
      <c r="Y81" s="1611"/>
      <c r="Z81" s="1611"/>
    </row>
    <row r="82" spans="1:26" customFormat="1" ht="82.8" hidden="1">
      <c r="A82" s="1611"/>
      <c r="B82" s="1611" t="s">
        <v>591</v>
      </c>
      <c r="C82" s="1611" t="s">
        <v>3656</v>
      </c>
      <c r="D82" s="1611" t="s">
        <v>879</v>
      </c>
      <c r="E82" s="1619" t="s">
        <v>1452</v>
      </c>
      <c r="F82" s="1604"/>
      <c r="G82" s="1611" t="s">
        <v>1321</v>
      </c>
      <c r="H82" s="1618" t="s">
        <v>987</v>
      </c>
      <c r="I82" s="1618" t="s">
        <v>995</v>
      </c>
      <c r="J82" s="1601" t="s">
        <v>1047</v>
      </c>
      <c r="K82" s="1611" t="s">
        <v>1453</v>
      </c>
      <c r="L82" s="1611" t="s">
        <v>1305</v>
      </c>
      <c r="M82" s="1617" t="s">
        <v>1454</v>
      </c>
      <c r="N82" s="1611" t="s">
        <v>923</v>
      </c>
      <c r="O82" s="1604">
        <v>2014</v>
      </c>
      <c r="P82" s="1611" t="s">
        <v>1436</v>
      </c>
      <c r="Q82" s="1618">
        <v>3</v>
      </c>
      <c r="R82" s="1618"/>
      <c r="S82" s="1618">
        <v>3</v>
      </c>
      <c r="T82" s="1611" t="s">
        <v>1218</v>
      </c>
      <c r="U82" s="1611" t="s">
        <v>869</v>
      </c>
      <c r="V82" s="1611"/>
      <c r="W82" s="1611" t="s">
        <v>850</v>
      </c>
      <c r="X82" s="1611"/>
      <c r="Y82" s="1611"/>
      <c r="Z82" s="1611"/>
    </row>
    <row r="83" spans="1:26" customFormat="1" hidden="1">
      <c r="A83" s="1611"/>
      <c r="B83" s="1611" t="s">
        <v>1076</v>
      </c>
      <c r="C83" s="1611" t="s">
        <v>1049</v>
      </c>
      <c r="D83" s="1611" t="s">
        <v>879</v>
      </c>
      <c r="E83" s="1619" t="s">
        <v>1455</v>
      </c>
      <c r="F83" s="1604"/>
      <c r="G83" s="1611" t="s">
        <v>1311</v>
      </c>
      <c r="H83" s="1618" t="s">
        <v>987</v>
      </c>
      <c r="I83" s="1618" t="s">
        <v>995</v>
      </c>
      <c r="J83" s="1601" t="s">
        <v>1456</v>
      </c>
      <c r="K83" s="1611" t="s">
        <v>1457</v>
      </c>
      <c r="L83" s="1611" t="s">
        <v>1305</v>
      </c>
      <c r="M83" s="1617" t="s">
        <v>1458</v>
      </c>
      <c r="N83" s="1611" t="s">
        <v>912</v>
      </c>
      <c r="O83" s="1604">
        <v>2014</v>
      </c>
      <c r="P83" s="1611" t="s">
        <v>1436</v>
      </c>
      <c r="Q83" s="1618">
        <v>7</v>
      </c>
      <c r="R83" s="1618"/>
      <c r="S83" s="1618">
        <v>7</v>
      </c>
      <c r="T83" s="1611" t="s">
        <v>1097</v>
      </c>
      <c r="U83" s="1611" t="s">
        <v>868</v>
      </c>
      <c r="V83" s="1611"/>
      <c r="W83" s="1611" t="s">
        <v>849</v>
      </c>
      <c r="X83" s="1611"/>
      <c r="Y83" s="1611"/>
      <c r="Z83" s="1611"/>
    </row>
    <row r="84" spans="1:26" customFormat="1" hidden="1">
      <c r="A84" s="1611"/>
      <c r="B84" s="1611" t="s">
        <v>1076</v>
      </c>
      <c r="C84" s="1611" t="s">
        <v>588</v>
      </c>
      <c r="D84" s="1611" t="s">
        <v>879</v>
      </c>
      <c r="E84" s="1619" t="s">
        <v>1459</v>
      </c>
      <c r="F84" s="1604"/>
      <c r="G84" s="1611" t="s">
        <v>993</v>
      </c>
      <c r="H84" s="1618" t="s">
        <v>994</v>
      </c>
      <c r="I84" s="1618" t="s">
        <v>1019</v>
      </c>
      <c r="J84" s="1601" t="s">
        <v>1037</v>
      </c>
      <c r="K84" s="1611" t="s">
        <v>1460</v>
      </c>
      <c r="L84" s="1611" t="s">
        <v>1305</v>
      </c>
      <c r="M84" s="1617" t="s">
        <v>1461</v>
      </c>
      <c r="N84" s="1611" t="s">
        <v>915</v>
      </c>
      <c r="O84" s="1604">
        <v>2014</v>
      </c>
      <c r="P84" s="1611" t="s">
        <v>1436</v>
      </c>
      <c r="Q84" s="1618">
        <v>1</v>
      </c>
      <c r="R84" s="1618"/>
      <c r="S84" s="1618">
        <v>1</v>
      </c>
      <c r="T84" s="1611" t="s">
        <v>1462</v>
      </c>
      <c r="U84" s="1611" t="s">
        <v>821</v>
      </c>
      <c r="V84" s="1611"/>
      <c r="W84" s="1611" t="s">
        <v>880</v>
      </c>
      <c r="X84" s="1611" t="s">
        <v>1463</v>
      </c>
      <c r="Y84" s="1611"/>
      <c r="Z84" s="1611"/>
    </row>
    <row r="85" spans="1:26" customFormat="1" ht="138" hidden="1">
      <c r="A85" s="1611"/>
      <c r="B85" s="1611" t="s">
        <v>591</v>
      </c>
      <c r="C85" s="1611" t="s">
        <v>974</v>
      </c>
      <c r="D85" s="1611" t="s">
        <v>879</v>
      </c>
      <c r="E85" s="1619" t="s">
        <v>1464</v>
      </c>
      <c r="F85" s="1604"/>
      <c r="G85" s="1611" t="s">
        <v>1321</v>
      </c>
      <c r="H85" s="1618" t="s">
        <v>987</v>
      </c>
      <c r="I85" s="1618" t="s">
        <v>995</v>
      </c>
      <c r="J85" s="1601" t="s">
        <v>1465</v>
      </c>
      <c r="K85" s="1611" t="s">
        <v>1466</v>
      </c>
      <c r="L85" s="1611" t="s">
        <v>1305</v>
      </c>
      <c r="M85" s="1617" t="s">
        <v>1467</v>
      </c>
      <c r="N85" s="1611" t="s">
        <v>923</v>
      </c>
      <c r="O85" s="1604">
        <v>2014</v>
      </c>
      <c r="P85" s="1611" t="s">
        <v>1436</v>
      </c>
      <c r="Q85" s="1618">
        <v>2</v>
      </c>
      <c r="R85" s="1618"/>
      <c r="S85" s="1618">
        <v>2</v>
      </c>
      <c r="T85" s="1611" t="s">
        <v>1432</v>
      </c>
      <c r="U85" s="1611" t="s">
        <v>934</v>
      </c>
      <c r="V85" s="1611"/>
      <c r="W85" s="1611" t="s">
        <v>850</v>
      </c>
      <c r="X85" s="1611"/>
      <c r="Y85" s="1611"/>
      <c r="Z85" s="1611"/>
    </row>
    <row r="86" spans="1:26" customFormat="1" ht="27.6" hidden="1">
      <c r="A86" s="1611"/>
      <c r="B86" s="1611"/>
      <c r="C86" s="1611" t="s">
        <v>693</v>
      </c>
      <c r="D86" s="1611" t="s">
        <v>998</v>
      </c>
      <c r="E86" s="1619" t="s">
        <v>1468</v>
      </c>
      <c r="F86" s="1604">
        <v>24</v>
      </c>
      <c r="G86" s="1611" t="s">
        <v>993</v>
      </c>
      <c r="H86" s="1618" t="s">
        <v>987</v>
      </c>
      <c r="I86" s="1618" t="s">
        <v>995</v>
      </c>
      <c r="J86" s="1601"/>
      <c r="K86" s="1611" t="s">
        <v>1469</v>
      </c>
      <c r="L86" s="1611" t="s">
        <v>1305</v>
      </c>
      <c r="M86" s="1617" t="s">
        <v>1470</v>
      </c>
      <c r="N86" s="1611" t="s">
        <v>1916</v>
      </c>
      <c r="O86" s="1604">
        <v>2014</v>
      </c>
      <c r="P86" s="1611" t="s">
        <v>1436</v>
      </c>
      <c r="Q86" s="1618">
        <v>30</v>
      </c>
      <c r="R86" s="1618"/>
      <c r="S86" s="1618">
        <v>30</v>
      </c>
      <c r="T86" s="1611" t="s">
        <v>701</v>
      </c>
      <c r="U86" s="1611" t="s">
        <v>558</v>
      </c>
      <c r="V86" s="1611"/>
      <c r="W86" s="1611" t="s">
        <v>850</v>
      </c>
      <c r="X86" s="1611" t="s">
        <v>1471</v>
      </c>
      <c r="Y86" s="1611"/>
      <c r="Z86" s="1611"/>
    </row>
    <row r="87" spans="1:26" customFormat="1" ht="27.6" hidden="1">
      <c r="A87" s="1611"/>
      <c r="B87" s="1611" t="s">
        <v>1076</v>
      </c>
      <c r="C87" s="1611" t="s">
        <v>91</v>
      </c>
      <c r="D87" s="1611" t="s">
        <v>604</v>
      </c>
      <c r="E87" s="1619" t="s">
        <v>1472</v>
      </c>
      <c r="F87" s="1604"/>
      <c r="G87" s="1611" t="s">
        <v>993</v>
      </c>
      <c r="H87" s="1618" t="s">
        <v>987</v>
      </c>
      <c r="I87" s="1618" t="s">
        <v>995</v>
      </c>
      <c r="J87" s="1601" t="s">
        <v>1364</v>
      </c>
      <c r="K87" s="1611" t="s">
        <v>1473</v>
      </c>
      <c r="L87" s="1611" t="s">
        <v>1305</v>
      </c>
      <c r="M87" s="1617" t="s">
        <v>1474</v>
      </c>
      <c r="N87" s="1611" t="s">
        <v>912</v>
      </c>
      <c r="O87" s="1604">
        <v>2014</v>
      </c>
      <c r="P87" s="1611" t="s">
        <v>1475</v>
      </c>
      <c r="Q87" s="1618">
        <v>5</v>
      </c>
      <c r="R87" s="1618"/>
      <c r="S87" s="1618">
        <v>5</v>
      </c>
      <c r="T87" s="1611" t="s">
        <v>1360</v>
      </c>
      <c r="U87" s="1611" t="s">
        <v>867</v>
      </c>
      <c r="V87" s="1611"/>
      <c r="W87" s="1611" t="s">
        <v>851</v>
      </c>
      <c r="X87" s="1611" t="s">
        <v>1476</v>
      </c>
      <c r="Y87" s="1611"/>
      <c r="Z87" s="1611"/>
    </row>
    <row r="88" spans="1:26" customFormat="1" hidden="1">
      <c r="A88" s="1611"/>
      <c r="B88" s="1611"/>
      <c r="C88" s="1611" t="s">
        <v>93</v>
      </c>
      <c r="D88" s="1611" t="s">
        <v>431</v>
      </c>
      <c r="E88" s="1619" t="s">
        <v>1477</v>
      </c>
      <c r="F88" s="1604">
        <v>18</v>
      </c>
      <c r="G88" s="1611" t="s">
        <v>1311</v>
      </c>
      <c r="H88" s="1618" t="s">
        <v>987</v>
      </c>
      <c r="I88" s="1618" t="s">
        <v>1019</v>
      </c>
      <c r="J88" s="1601" t="s">
        <v>1396</v>
      </c>
      <c r="K88" s="1611" t="s">
        <v>1478</v>
      </c>
      <c r="L88" s="1611" t="s">
        <v>1305</v>
      </c>
      <c r="M88" s="1617" t="s">
        <v>1479</v>
      </c>
      <c r="N88" s="1611" t="s">
        <v>915</v>
      </c>
      <c r="O88" s="1604">
        <v>2014</v>
      </c>
      <c r="P88" s="1611" t="s">
        <v>1475</v>
      </c>
      <c r="Q88" s="1618">
        <v>3</v>
      </c>
      <c r="R88" s="1618"/>
      <c r="S88" s="1618">
        <v>3</v>
      </c>
      <c r="T88" s="1611" t="s">
        <v>1297</v>
      </c>
      <c r="U88" s="1611" t="s">
        <v>821</v>
      </c>
      <c r="V88" s="1611"/>
      <c r="W88" s="1611" t="s">
        <v>849</v>
      </c>
      <c r="X88" s="1611"/>
      <c r="Y88" s="1611"/>
      <c r="Z88" s="1611"/>
    </row>
    <row r="89" spans="1:26" customFormat="1" hidden="1">
      <c r="A89" s="1611"/>
      <c r="B89" s="1611" t="s">
        <v>591</v>
      </c>
      <c r="C89" s="1611" t="s">
        <v>974</v>
      </c>
      <c r="D89" s="1611" t="s">
        <v>879</v>
      </c>
      <c r="E89" s="1619" t="s">
        <v>1480</v>
      </c>
      <c r="F89" s="1604"/>
      <c r="G89" s="1611" t="s">
        <v>1321</v>
      </c>
      <c r="H89" s="1618" t="s">
        <v>987</v>
      </c>
      <c r="I89" s="1618" t="s">
        <v>995</v>
      </c>
      <c r="J89" s="1601"/>
      <c r="K89" s="1611" t="s">
        <v>1481</v>
      </c>
      <c r="L89" s="1611" t="s">
        <v>1305</v>
      </c>
      <c r="M89" s="1617" t="s">
        <v>1482</v>
      </c>
      <c r="N89" s="1611" t="s">
        <v>912</v>
      </c>
      <c r="O89" s="1604">
        <v>2014</v>
      </c>
      <c r="P89" s="1611" t="s">
        <v>1475</v>
      </c>
      <c r="Q89" s="1618">
        <v>15</v>
      </c>
      <c r="R89" s="1618"/>
      <c r="S89" s="1618">
        <v>15</v>
      </c>
      <c r="T89" s="1611" t="s">
        <v>1097</v>
      </c>
      <c r="U89" s="1611" t="s">
        <v>863</v>
      </c>
      <c r="V89" s="1611"/>
      <c r="W89" s="1611" t="s">
        <v>849</v>
      </c>
      <c r="X89" s="1611"/>
      <c r="Y89" s="1611"/>
      <c r="Z89" s="1611"/>
    </row>
    <row r="90" spans="1:26" customFormat="1" ht="69" hidden="1">
      <c r="A90" s="1611"/>
      <c r="B90" s="1611" t="s">
        <v>1076</v>
      </c>
      <c r="C90" s="1611" t="s">
        <v>1006</v>
      </c>
      <c r="D90" s="1611" t="s">
        <v>879</v>
      </c>
      <c r="E90" s="1619" t="s">
        <v>1483</v>
      </c>
      <c r="F90" s="1604">
        <v>41</v>
      </c>
      <c r="G90" s="1611" t="s">
        <v>1311</v>
      </c>
      <c r="H90" s="1618" t="s">
        <v>987</v>
      </c>
      <c r="I90" s="1618" t="s">
        <v>995</v>
      </c>
      <c r="J90" s="1601" t="s">
        <v>1484</v>
      </c>
      <c r="K90" s="1611" t="s">
        <v>1485</v>
      </c>
      <c r="L90" s="1611" t="s">
        <v>1305</v>
      </c>
      <c r="M90" s="1617" t="s">
        <v>1988</v>
      </c>
      <c r="N90" s="1611" t="s">
        <v>913</v>
      </c>
      <c r="O90" s="1604">
        <v>2014</v>
      </c>
      <c r="P90" s="1611" t="s">
        <v>1475</v>
      </c>
      <c r="Q90" s="1618">
        <v>4</v>
      </c>
      <c r="R90" s="1618"/>
      <c r="S90" s="1618">
        <v>4</v>
      </c>
      <c r="T90" s="1611" t="s">
        <v>1097</v>
      </c>
      <c r="U90" s="1611" t="s">
        <v>934</v>
      </c>
      <c r="V90" s="1611"/>
      <c r="W90" s="1611" t="s">
        <v>850</v>
      </c>
      <c r="X90" s="1611"/>
      <c r="Y90" s="1611"/>
      <c r="Z90" s="1611"/>
    </row>
    <row r="91" spans="1:26" customFormat="1" hidden="1">
      <c r="A91" s="1611"/>
      <c r="B91" s="1611" t="s">
        <v>591</v>
      </c>
      <c r="C91" s="1611" t="s">
        <v>3654</v>
      </c>
      <c r="D91" s="1611" t="s">
        <v>879</v>
      </c>
      <c r="E91" s="1619" t="s">
        <v>1486</v>
      </c>
      <c r="F91" s="1604"/>
      <c r="G91" s="1611" t="s">
        <v>993</v>
      </c>
      <c r="H91" s="1618" t="s">
        <v>987</v>
      </c>
      <c r="I91" s="1618" t="s">
        <v>995</v>
      </c>
      <c r="J91" s="1601"/>
      <c r="K91" s="1611" t="s">
        <v>1487</v>
      </c>
      <c r="L91" s="1611" t="s">
        <v>1305</v>
      </c>
      <c r="M91" s="1617" t="s">
        <v>1488</v>
      </c>
      <c r="N91" s="1611" t="s">
        <v>912</v>
      </c>
      <c r="O91" s="1604">
        <v>2014</v>
      </c>
      <c r="P91" s="1611" t="s">
        <v>1475</v>
      </c>
      <c r="Q91" s="1618">
        <v>9</v>
      </c>
      <c r="R91" s="1618"/>
      <c r="S91" s="1618">
        <v>9</v>
      </c>
      <c r="T91" s="1611" t="s">
        <v>1097</v>
      </c>
      <c r="U91" s="1611" t="s">
        <v>863</v>
      </c>
      <c r="V91" s="1611"/>
      <c r="W91" s="1611" t="s">
        <v>883</v>
      </c>
      <c r="X91" s="1611"/>
      <c r="Y91" s="1611"/>
      <c r="Z91" s="1611"/>
    </row>
    <row r="92" spans="1:26" customFormat="1" hidden="1">
      <c r="A92" s="1611"/>
      <c r="B92" s="1611" t="s">
        <v>1076</v>
      </c>
      <c r="C92" s="1611" t="s">
        <v>1049</v>
      </c>
      <c r="D92" s="1611" t="s">
        <v>1167</v>
      </c>
      <c r="E92" s="1619" t="s">
        <v>1489</v>
      </c>
      <c r="F92" s="1604"/>
      <c r="G92" s="1611" t="s">
        <v>993</v>
      </c>
      <c r="H92" s="1618" t="s">
        <v>987</v>
      </c>
      <c r="I92" s="1618" t="s">
        <v>995</v>
      </c>
      <c r="J92" s="1601" t="s">
        <v>1396</v>
      </c>
      <c r="K92" s="1611" t="s">
        <v>1490</v>
      </c>
      <c r="L92" s="1611" t="s">
        <v>1305</v>
      </c>
      <c r="M92" s="1617" t="s">
        <v>1491</v>
      </c>
      <c r="N92" s="1611" t="s">
        <v>1916</v>
      </c>
      <c r="O92" s="1604">
        <v>2014</v>
      </c>
      <c r="P92" s="1611" t="s">
        <v>1475</v>
      </c>
      <c r="Q92" s="1618">
        <v>3</v>
      </c>
      <c r="R92" s="1618"/>
      <c r="S92" s="1618">
        <v>3</v>
      </c>
      <c r="T92" s="1611" t="s">
        <v>1492</v>
      </c>
      <c r="U92" s="1611" t="s">
        <v>865</v>
      </c>
      <c r="V92" s="1611"/>
      <c r="W92" s="1611" t="s">
        <v>850</v>
      </c>
      <c r="X92" s="1611"/>
      <c r="Y92" s="1611"/>
      <c r="Z92" s="1611"/>
    </row>
    <row r="93" spans="1:26" customFormat="1" ht="27.6" hidden="1">
      <c r="A93" s="1611"/>
      <c r="B93" s="1611"/>
      <c r="C93" s="1611" t="s">
        <v>1057</v>
      </c>
      <c r="D93" s="1611" t="s">
        <v>1057</v>
      </c>
      <c r="E93" s="1619" t="s">
        <v>1493</v>
      </c>
      <c r="F93" s="1604">
        <v>22</v>
      </c>
      <c r="G93" s="1611" t="s">
        <v>993</v>
      </c>
      <c r="H93" s="1618" t="s">
        <v>987</v>
      </c>
      <c r="I93" s="1618" t="s">
        <v>1019</v>
      </c>
      <c r="J93" s="1601"/>
      <c r="K93" s="1611" t="s">
        <v>1494</v>
      </c>
      <c r="L93" s="1611" t="s">
        <v>1305</v>
      </c>
      <c r="M93" s="1617" t="s">
        <v>1495</v>
      </c>
      <c r="N93" s="1611" t="s">
        <v>913</v>
      </c>
      <c r="O93" s="1604">
        <v>2014</v>
      </c>
      <c r="P93" s="1611" t="s">
        <v>1475</v>
      </c>
      <c r="Q93" s="1618">
        <v>26</v>
      </c>
      <c r="R93" s="1618"/>
      <c r="S93" s="1618">
        <v>26</v>
      </c>
      <c r="T93" s="1611" t="s">
        <v>1496</v>
      </c>
      <c r="U93" s="1611" t="s">
        <v>870</v>
      </c>
      <c r="V93" s="1611"/>
      <c r="W93" s="1611" t="s">
        <v>850</v>
      </c>
      <c r="X93" s="1611"/>
      <c r="Y93" s="1611"/>
      <c r="Z93" s="1611"/>
    </row>
    <row r="94" spans="1:26" customFormat="1" hidden="1">
      <c r="A94" s="1611"/>
      <c r="B94" s="1611" t="s">
        <v>591</v>
      </c>
      <c r="C94" s="1611" t="s">
        <v>3654</v>
      </c>
      <c r="D94" s="1611" t="s">
        <v>879</v>
      </c>
      <c r="E94" s="1619" t="s">
        <v>1497</v>
      </c>
      <c r="F94" s="1604"/>
      <c r="G94" s="1611" t="s">
        <v>1321</v>
      </c>
      <c r="H94" s="1618" t="s">
        <v>987</v>
      </c>
      <c r="I94" s="1618" t="s">
        <v>995</v>
      </c>
      <c r="J94" s="1601"/>
      <c r="K94" s="1611" t="s">
        <v>1498</v>
      </c>
      <c r="L94" s="1611" t="s">
        <v>1305</v>
      </c>
      <c r="M94" s="1617" t="s">
        <v>1499</v>
      </c>
      <c r="N94" s="1611" t="s">
        <v>923</v>
      </c>
      <c r="O94" s="1604">
        <v>2014</v>
      </c>
      <c r="P94" s="1611" t="s">
        <v>653</v>
      </c>
      <c r="Q94" s="1618">
        <v>5</v>
      </c>
      <c r="R94" s="1618"/>
      <c r="S94" s="1618">
        <v>5</v>
      </c>
      <c r="T94" s="1611" t="s">
        <v>1500</v>
      </c>
      <c r="U94" s="1611" t="s">
        <v>864</v>
      </c>
      <c r="V94" s="1611"/>
      <c r="W94" s="1611" t="s">
        <v>882</v>
      </c>
      <c r="X94" s="1611"/>
      <c r="Y94" s="1611"/>
      <c r="Z94" s="1611"/>
    </row>
    <row r="95" spans="1:26" customFormat="1" ht="110.4" hidden="1">
      <c r="A95" s="1611"/>
      <c r="B95" s="1611" t="s">
        <v>591</v>
      </c>
      <c r="C95" s="1611" t="s">
        <v>974</v>
      </c>
      <c r="D95" s="1611" t="s">
        <v>879</v>
      </c>
      <c r="E95" s="1619" t="s">
        <v>1501</v>
      </c>
      <c r="F95" s="1604"/>
      <c r="G95" s="1611" t="s">
        <v>1321</v>
      </c>
      <c r="H95" s="1618" t="s">
        <v>987</v>
      </c>
      <c r="I95" s="1618" t="s">
        <v>995</v>
      </c>
      <c r="J95" s="1601"/>
      <c r="K95" s="1611" t="s">
        <v>1502</v>
      </c>
      <c r="L95" s="1611" t="s">
        <v>1305</v>
      </c>
      <c r="M95" s="1617" t="s">
        <v>1503</v>
      </c>
      <c r="N95" s="1611" t="s">
        <v>912</v>
      </c>
      <c r="O95" s="1604">
        <v>2014</v>
      </c>
      <c r="P95" s="1611" t="s">
        <v>653</v>
      </c>
      <c r="Q95" s="1618">
        <v>13</v>
      </c>
      <c r="R95" s="1618"/>
      <c r="S95" s="1618">
        <v>13</v>
      </c>
      <c r="T95" s="1611" t="s">
        <v>1241</v>
      </c>
      <c r="U95" s="1611" t="s">
        <v>934</v>
      </c>
      <c r="V95" s="1611"/>
      <c r="W95" s="1611" t="s">
        <v>849</v>
      </c>
      <c r="X95" s="1611"/>
      <c r="Y95" s="1611"/>
      <c r="Z95" s="1611"/>
    </row>
    <row r="96" spans="1:26" customFormat="1" hidden="1">
      <c r="A96" s="1611"/>
      <c r="B96" s="1611"/>
      <c r="C96" s="1611" t="s">
        <v>1006</v>
      </c>
      <c r="D96" s="1611" t="s">
        <v>879</v>
      </c>
      <c r="E96" s="1619" t="s">
        <v>1504</v>
      </c>
      <c r="F96" s="1604">
        <v>36</v>
      </c>
      <c r="G96" s="1611" t="s">
        <v>1311</v>
      </c>
      <c r="H96" s="1618" t="s">
        <v>987</v>
      </c>
      <c r="I96" s="1618" t="s">
        <v>995</v>
      </c>
      <c r="J96" s="1601"/>
      <c r="K96" s="1611" t="s">
        <v>1505</v>
      </c>
      <c r="L96" s="1611" t="s">
        <v>1305</v>
      </c>
      <c r="M96" s="1617" t="s">
        <v>1506</v>
      </c>
      <c r="N96" s="1611" t="s">
        <v>923</v>
      </c>
      <c r="O96" s="1604">
        <v>2014</v>
      </c>
      <c r="P96" s="1611" t="s">
        <v>653</v>
      </c>
      <c r="Q96" s="1618">
        <v>7</v>
      </c>
      <c r="R96" s="1618"/>
      <c r="S96" s="1618">
        <v>7</v>
      </c>
      <c r="T96" s="1611" t="s">
        <v>1218</v>
      </c>
      <c r="U96" s="1611" t="s">
        <v>869</v>
      </c>
      <c r="V96" s="1611"/>
      <c r="W96" s="1611" t="s">
        <v>850</v>
      </c>
      <c r="X96" s="1611"/>
      <c r="Y96" s="1611"/>
      <c r="Z96" s="1611"/>
    </row>
    <row r="97" spans="1:26" customFormat="1" hidden="1">
      <c r="A97" s="1611"/>
      <c r="B97" s="1611"/>
      <c r="C97" s="1611" t="s">
        <v>1507</v>
      </c>
      <c r="D97" s="1611" t="s">
        <v>1167</v>
      </c>
      <c r="E97" s="1619" t="s">
        <v>1508</v>
      </c>
      <c r="F97" s="1604"/>
      <c r="G97" s="1611" t="s">
        <v>993</v>
      </c>
      <c r="H97" s="1618" t="s">
        <v>987</v>
      </c>
      <c r="I97" s="1618" t="s">
        <v>1019</v>
      </c>
      <c r="J97" s="1601"/>
      <c r="K97" s="1611" t="s">
        <v>1509</v>
      </c>
      <c r="L97" s="1611" t="s">
        <v>1305</v>
      </c>
      <c r="M97" s="1617" t="s">
        <v>1510</v>
      </c>
      <c r="N97" s="1611" t="s">
        <v>913</v>
      </c>
      <c r="O97" s="1604">
        <v>2014</v>
      </c>
      <c r="P97" s="1611" t="s">
        <v>653</v>
      </c>
      <c r="Q97" s="1618">
        <v>38</v>
      </c>
      <c r="R97" s="1618"/>
      <c r="S97" s="1618">
        <v>38</v>
      </c>
      <c r="T97" s="1611" t="s">
        <v>1155</v>
      </c>
      <c r="U97" s="1611" t="s">
        <v>1104</v>
      </c>
      <c r="V97" s="1611"/>
      <c r="W97" s="1611" t="s">
        <v>850</v>
      </c>
      <c r="X97" s="1611"/>
      <c r="Y97" s="1611"/>
      <c r="Z97" s="1611"/>
    </row>
    <row r="98" spans="1:26" customFormat="1" hidden="1">
      <c r="A98" s="1611"/>
      <c r="B98" s="1611"/>
      <c r="C98" s="1611" t="s">
        <v>873</v>
      </c>
      <c r="D98" s="1611" t="s">
        <v>873</v>
      </c>
      <c r="E98" s="1619" t="s">
        <v>1511</v>
      </c>
      <c r="F98" s="1604">
        <v>29</v>
      </c>
      <c r="G98" s="1611" t="s">
        <v>1311</v>
      </c>
      <c r="H98" s="1618" t="s">
        <v>987</v>
      </c>
      <c r="I98" s="1618" t="s">
        <v>995</v>
      </c>
      <c r="J98" s="1601"/>
      <c r="K98" s="1611" t="s">
        <v>1512</v>
      </c>
      <c r="L98" s="1611" t="s">
        <v>1305</v>
      </c>
      <c r="M98" s="1617" t="s">
        <v>1513</v>
      </c>
      <c r="N98" s="1611" t="s">
        <v>912</v>
      </c>
      <c r="O98" s="1604">
        <v>2014</v>
      </c>
      <c r="P98" s="1611" t="s">
        <v>653</v>
      </c>
      <c r="Q98" s="1618">
        <v>10</v>
      </c>
      <c r="R98" s="1618"/>
      <c r="S98" s="1618">
        <v>10</v>
      </c>
      <c r="T98" s="1611" t="s">
        <v>1514</v>
      </c>
      <c r="U98" s="1611" t="s">
        <v>867</v>
      </c>
      <c r="V98" s="1611"/>
      <c r="W98" s="1611" t="s">
        <v>882</v>
      </c>
      <c r="X98" s="1611"/>
      <c r="Y98" s="1611"/>
      <c r="Z98" s="1611"/>
    </row>
    <row r="99" spans="1:26" customFormat="1" hidden="1">
      <c r="A99" s="1611"/>
      <c r="B99" s="1611"/>
      <c r="C99" s="1611" t="s">
        <v>1309</v>
      </c>
      <c r="D99" s="1611" t="s">
        <v>879</v>
      </c>
      <c r="E99" s="1619" t="s">
        <v>1515</v>
      </c>
      <c r="F99" s="1604">
        <v>44</v>
      </c>
      <c r="G99" s="1611" t="s">
        <v>1311</v>
      </c>
      <c r="H99" s="1618" t="s">
        <v>987</v>
      </c>
      <c r="I99" s="1618" t="s">
        <v>995</v>
      </c>
      <c r="J99" s="1601"/>
      <c r="K99" s="1611" t="s">
        <v>1516</v>
      </c>
      <c r="L99" s="1611" t="s">
        <v>1305</v>
      </c>
      <c r="M99" s="1617" t="s">
        <v>1517</v>
      </c>
      <c r="N99" s="1611" t="s">
        <v>917</v>
      </c>
      <c r="O99" s="1604">
        <v>2014</v>
      </c>
      <c r="P99" s="1611" t="s">
        <v>653</v>
      </c>
      <c r="Q99" s="1618">
        <v>5</v>
      </c>
      <c r="R99" s="1618"/>
      <c r="S99" s="1618">
        <v>5</v>
      </c>
      <c r="T99" s="1611" t="s">
        <v>1218</v>
      </c>
      <c r="U99" s="1611" t="s">
        <v>869</v>
      </c>
      <c r="V99" s="1611"/>
      <c r="W99" s="1611" t="s">
        <v>850</v>
      </c>
      <c r="X99" s="1611"/>
      <c r="Y99" s="1611"/>
      <c r="Z99" s="1611"/>
    </row>
    <row r="100" spans="1:26" customFormat="1" ht="96.6" hidden="1">
      <c r="A100" s="1611"/>
      <c r="B100" s="1611" t="s">
        <v>591</v>
      </c>
      <c r="C100" s="1611" t="s">
        <v>974</v>
      </c>
      <c r="D100" s="1611" t="s">
        <v>879</v>
      </c>
      <c r="E100" s="1619" t="s">
        <v>1518</v>
      </c>
      <c r="F100" s="1604"/>
      <c r="G100" s="1611" t="s">
        <v>1321</v>
      </c>
      <c r="H100" s="1618" t="s">
        <v>987</v>
      </c>
      <c r="I100" s="1618" t="s">
        <v>995</v>
      </c>
      <c r="J100" s="1601"/>
      <c r="K100" s="1611" t="s">
        <v>1519</v>
      </c>
      <c r="L100" s="1611" t="s">
        <v>1305</v>
      </c>
      <c r="M100" s="1617" t="s">
        <v>1520</v>
      </c>
      <c r="N100" s="1611" t="s">
        <v>912</v>
      </c>
      <c r="O100" s="1604">
        <v>2014</v>
      </c>
      <c r="P100" s="1611" t="s">
        <v>1102</v>
      </c>
      <c r="Q100" s="1618">
        <v>13</v>
      </c>
      <c r="R100" s="1618"/>
      <c r="S100" s="1618">
        <v>13</v>
      </c>
      <c r="T100" s="1611" t="s">
        <v>1521</v>
      </c>
      <c r="U100" s="1611" t="s">
        <v>864</v>
      </c>
      <c r="V100" s="1611"/>
      <c r="W100" s="1611" t="s">
        <v>850</v>
      </c>
      <c r="X100" s="1611"/>
      <c r="Y100" s="1611"/>
      <c r="Z100" s="1611"/>
    </row>
    <row r="101" spans="1:26" customFormat="1" ht="151.80000000000001" hidden="1">
      <c r="A101" s="1611"/>
      <c r="B101" s="1611" t="s">
        <v>1076</v>
      </c>
      <c r="C101" s="1611" t="s">
        <v>1309</v>
      </c>
      <c r="D101" s="1611" t="s">
        <v>879</v>
      </c>
      <c r="E101" s="1619" t="s">
        <v>1522</v>
      </c>
      <c r="F101" s="1604">
        <v>34</v>
      </c>
      <c r="G101" s="1611" t="s">
        <v>1311</v>
      </c>
      <c r="H101" s="1618" t="s">
        <v>987</v>
      </c>
      <c r="I101" s="1618" t="s">
        <v>995</v>
      </c>
      <c r="J101" s="1601" t="s">
        <v>1439</v>
      </c>
      <c r="K101" s="1611" t="s">
        <v>1523</v>
      </c>
      <c r="L101" s="1611" t="s">
        <v>1305</v>
      </c>
      <c r="M101" s="1617" t="s">
        <v>1524</v>
      </c>
      <c r="N101" s="1611" t="s">
        <v>917</v>
      </c>
      <c r="O101" s="1604">
        <v>2014</v>
      </c>
      <c r="P101" s="1611" t="s">
        <v>1102</v>
      </c>
      <c r="Q101" s="1618">
        <v>10</v>
      </c>
      <c r="R101" s="1618"/>
      <c r="S101" s="1618">
        <v>10</v>
      </c>
      <c r="T101" s="1611" t="s">
        <v>226</v>
      </c>
      <c r="U101" s="1611" t="s">
        <v>869</v>
      </c>
      <c r="V101" s="1611"/>
      <c r="W101" s="1611" t="s">
        <v>880</v>
      </c>
      <c r="X101" s="1611"/>
      <c r="Y101" s="1611"/>
      <c r="Z101" s="1611"/>
    </row>
    <row r="102" spans="1:26" customFormat="1" ht="27.6" hidden="1">
      <c r="A102" s="1611"/>
      <c r="B102" s="1611"/>
      <c r="C102" s="1611" t="s">
        <v>1039</v>
      </c>
      <c r="D102" s="1611" t="s">
        <v>879</v>
      </c>
      <c r="E102" s="1619" t="s">
        <v>1525</v>
      </c>
      <c r="F102" s="1604"/>
      <c r="G102" s="1611" t="s">
        <v>1311</v>
      </c>
      <c r="H102" s="1618" t="s">
        <v>987</v>
      </c>
      <c r="I102" s="1618" t="s">
        <v>1019</v>
      </c>
      <c r="J102" s="1601" t="s">
        <v>1526</v>
      </c>
      <c r="K102" s="1611" t="s">
        <v>1527</v>
      </c>
      <c r="L102" s="1611" t="s">
        <v>1305</v>
      </c>
      <c r="M102" s="1617" t="s">
        <v>1528</v>
      </c>
      <c r="N102" s="1611" t="s">
        <v>912</v>
      </c>
      <c r="O102" s="1604">
        <v>2014</v>
      </c>
      <c r="P102" s="1611" t="s">
        <v>1102</v>
      </c>
      <c r="Q102" s="1618">
        <v>30</v>
      </c>
      <c r="R102" s="1618"/>
      <c r="S102" s="1618">
        <v>30</v>
      </c>
      <c r="T102" s="1611" t="s">
        <v>1529</v>
      </c>
      <c r="U102" s="1611" t="s">
        <v>864</v>
      </c>
      <c r="V102" s="1611"/>
      <c r="W102" s="1611" t="s">
        <v>882</v>
      </c>
      <c r="X102" s="1611"/>
      <c r="Y102" s="1611"/>
      <c r="Z102" s="1611"/>
    </row>
    <row r="103" spans="1:26" customFormat="1" ht="96.6" hidden="1">
      <c r="A103" s="1611"/>
      <c r="B103" s="1611"/>
      <c r="C103" s="1611" t="s">
        <v>1309</v>
      </c>
      <c r="D103" s="1611" t="s">
        <v>879</v>
      </c>
      <c r="E103" s="1619" t="s">
        <v>1530</v>
      </c>
      <c r="F103" s="1604">
        <v>43</v>
      </c>
      <c r="G103" s="1611" t="s">
        <v>1311</v>
      </c>
      <c r="H103" s="1618" t="s">
        <v>987</v>
      </c>
      <c r="I103" s="1618" t="s">
        <v>995</v>
      </c>
      <c r="J103" s="1601" t="s">
        <v>1408</v>
      </c>
      <c r="K103" s="1611" t="s">
        <v>1531</v>
      </c>
      <c r="L103" s="1611" t="s">
        <v>1305</v>
      </c>
      <c r="M103" s="1617" t="s">
        <v>1532</v>
      </c>
      <c r="N103" s="1611" t="s">
        <v>915</v>
      </c>
      <c r="O103" s="1604">
        <v>2014</v>
      </c>
      <c r="P103" s="1611" t="s">
        <v>1102</v>
      </c>
      <c r="Q103" s="1618">
        <v>2</v>
      </c>
      <c r="R103" s="1618"/>
      <c r="S103" s="1618">
        <v>2</v>
      </c>
      <c r="T103" s="1611" t="s">
        <v>1097</v>
      </c>
      <c r="U103" s="1611" t="s">
        <v>864</v>
      </c>
      <c r="V103" s="1611"/>
      <c r="W103" s="1611" t="s">
        <v>850</v>
      </c>
      <c r="X103" s="1611"/>
      <c r="Y103" s="1611"/>
      <c r="Z103" s="1611"/>
    </row>
    <row r="104" spans="1:26" customFormat="1" hidden="1">
      <c r="A104" s="1611"/>
      <c r="B104" s="1611"/>
      <c r="C104" s="1611" t="s">
        <v>1039</v>
      </c>
      <c r="D104" s="1611" t="s">
        <v>879</v>
      </c>
      <c r="E104" s="1619" t="s">
        <v>1533</v>
      </c>
      <c r="F104" s="1604"/>
      <c r="G104" s="1611" t="s">
        <v>1311</v>
      </c>
      <c r="H104" s="1618" t="s">
        <v>987</v>
      </c>
      <c r="I104" s="1618" t="s">
        <v>995</v>
      </c>
      <c r="J104" s="1601" t="s">
        <v>1534</v>
      </c>
      <c r="K104" s="1611" t="s">
        <v>1535</v>
      </c>
      <c r="L104" s="1611" t="s">
        <v>1305</v>
      </c>
      <c r="M104" s="1617" t="s">
        <v>1536</v>
      </c>
      <c r="N104" s="1611" t="s">
        <v>912</v>
      </c>
      <c r="O104" s="1604">
        <v>2014</v>
      </c>
      <c r="P104" s="1611" t="s">
        <v>1102</v>
      </c>
      <c r="Q104" s="1618">
        <v>60</v>
      </c>
      <c r="R104" s="1618"/>
      <c r="S104" s="1618">
        <v>60</v>
      </c>
      <c r="T104" s="1611" t="s">
        <v>1297</v>
      </c>
      <c r="U104" s="1611" t="s">
        <v>869</v>
      </c>
      <c r="V104" s="1611"/>
      <c r="W104" s="1611" t="s">
        <v>850</v>
      </c>
      <c r="X104" s="1611"/>
      <c r="Y104" s="1611"/>
      <c r="Z104" s="1611"/>
    </row>
    <row r="105" spans="1:26" customFormat="1" ht="82.8" hidden="1">
      <c r="A105" s="1611"/>
      <c r="B105" s="1611" t="s">
        <v>591</v>
      </c>
      <c r="C105" s="1611" t="s">
        <v>974</v>
      </c>
      <c r="D105" s="1611" t="s">
        <v>879</v>
      </c>
      <c r="E105" s="1619" t="s">
        <v>1537</v>
      </c>
      <c r="F105" s="1604"/>
      <c r="G105" s="1611" t="s">
        <v>1321</v>
      </c>
      <c r="H105" s="1618" t="s">
        <v>987</v>
      </c>
      <c r="I105" s="1618" t="s">
        <v>995</v>
      </c>
      <c r="J105" s="1601"/>
      <c r="K105" s="1611" t="s">
        <v>1538</v>
      </c>
      <c r="L105" s="1611" t="s">
        <v>1305</v>
      </c>
      <c r="M105" s="1617" t="s">
        <v>1539</v>
      </c>
      <c r="N105" s="1611" t="s">
        <v>912</v>
      </c>
      <c r="O105" s="1604">
        <v>2014</v>
      </c>
      <c r="P105" s="1611" t="s">
        <v>1102</v>
      </c>
      <c r="Q105" s="1618">
        <v>3</v>
      </c>
      <c r="R105" s="1618"/>
      <c r="S105" s="1618">
        <v>3</v>
      </c>
      <c r="T105" s="1611" t="s">
        <v>1360</v>
      </c>
      <c r="U105" s="1611" t="s">
        <v>864</v>
      </c>
      <c r="V105" s="1611"/>
      <c r="W105" s="1611" t="s">
        <v>851</v>
      </c>
      <c r="X105" s="1611"/>
      <c r="Y105" s="1611"/>
      <c r="Z105" s="1611"/>
    </row>
    <row r="106" spans="1:26" customFormat="1" ht="138" hidden="1">
      <c r="A106" s="1611"/>
      <c r="B106" s="1611" t="s">
        <v>1076</v>
      </c>
      <c r="C106" s="1611" t="s">
        <v>1006</v>
      </c>
      <c r="D106" s="1611" t="s">
        <v>879</v>
      </c>
      <c r="E106" s="1619" t="s">
        <v>1540</v>
      </c>
      <c r="F106" s="1604">
        <v>49</v>
      </c>
      <c r="G106" s="1611" t="s">
        <v>1311</v>
      </c>
      <c r="H106" s="1618" t="s">
        <v>987</v>
      </c>
      <c r="I106" s="1618" t="s">
        <v>1019</v>
      </c>
      <c r="J106" s="1601" t="s">
        <v>1541</v>
      </c>
      <c r="K106" s="1611" t="s">
        <v>1542</v>
      </c>
      <c r="L106" s="1611" t="s">
        <v>1305</v>
      </c>
      <c r="M106" s="1617" t="s">
        <v>1543</v>
      </c>
      <c r="N106" s="1611" t="s">
        <v>913</v>
      </c>
      <c r="O106" s="1604">
        <v>2014</v>
      </c>
      <c r="P106" s="1611" t="s">
        <v>1102</v>
      </c>
      <c r="Q106" s="1618">
        <v>12</v>
      </c>
      <c r="R106" s="1618"/>
      <c r="S106" s="1618">
        <v>12</v>
      </c>
      <c r="T106" s="1611" t="s">
        <v>1544</v>
      </c>
      <c r="U106" s="1611" t="s">
        <v>864</v>
      </c>
      <c r="V106" s="1611"/>
      <c r="W106" s="1611" t="s">
        <v>850</v>
      </c>
      <c r="X106" s="1611"/>
      <c r="Y106" s="1611"/>
      <c r="Z106" s="1611"/>
    </row>
    <row r="107" spans="1:26" customFormat="1" ht="96.6" hidden="1">
      <c r="A107" s="1611"/>
      <c r="B107" s="1611"/>
      <c r="C107" s="1611" t="s">
        <v>93</v>
      </c>
      <c r="D107" s="1611" t="s">
        <v>431</v>
      </c>
      <c r="E107" s="1619" t="s">
        <v>1545</v>
      </c>
      <c r="F107" s="1604">
        <v>54</v>
      </c>
      <c r="G107" s="1611" t="s">
        <v>993</v>
      </c>
      <c r="H107" s="1618" t="s">
        <v>987</v>
      </c>
      <c r="I107" s="1618" t="s">
        <v>1019</v>
      </c>
      <c r="J107" s="1601" t="s">
        <v>1546</v>
      </c>
      <c r="K107" s="1611" t="s">
        <v>1547</v>
      </c>
      <c r="L107" s="1611" t="s">
        <v>1305</v>
      </c>
      <c r="M107" s="1617" t="s">
        <v>1548</v>
      </c>
      <c r="N107" s="1611" t="s">
        <v>912</v>
      </c>
      <c r="O107" s="1604">
        <v>2014</v>
      </c>
      <c r="P107" s="1611" t="s">
        <v>1102</v>
      </c>
      <c r="Q107" s="1618">
        <v>25</v>
      </c>
      <c r="R107" s="1618"/>
      <c r="S107" s="1618">
        <v>25</v>
      </c>
      <c r="T107" s="1611" t="s">
        <v>1549</v>
      </c>
      <c r="U107" s="1611" t="s">
        <v>1104</v>
      </c>
      <c r="V107" s="1611"/>
      <c r="W107" s="1611" t="s">
        <v>851</v>
      </c>
      <c r="X107" s="1611" t="s">
        <v>1105</v>
      </c>
      <c r="Y107" s="1611"/>
      <c r="Z107" s="1611"/>
    </row>
    <row r="108" spans="1:26" customFormat="1" ht="96.6" hidden="1">
      <c r="A108" s="1611"/>
      <c r="B108" s="1611"/>
      <c r="C108" s="1611" t="s">
        <v>1057</v>
      </c>
      <c r="D108" s="1611" t="s">
        <v>1057</v>
      </c>
      <c r="E108" s="1619" t="s">
        <v>1550</v>
      </c>
      <c r="F108" s="1604">
        <v>28</v>
      </c>
      <c r="G108" s="1611" t="s">
        <v>993</v>
      </c>
      <c r="H108" s="1618" t="s">
        <v>987</v>
      </c>
      <c r="I108" s="1618" t="s">
        <v>995</v>
      </c>
      <c r="J108" s="1601" t="s">
        <v>1551</v>
      </c>
      <c r="K108" s="1611" t="s">
        <v>1552</v>
      </c>
      <c r="L108" s="1611" t="s">
        <v>1294</v>
      </c>
      <c r="M108" s="1617" t="s">
        <v>1553</v>
      </c>
      <c r="N108" s="1611" t="s">
        <v>915</v>
      </c>
      <c r="O108" s="1604">
        <v>2014</v>
      </c>
      <c r="P108" s="1611" t="s">
        <v>1154</v>
      </c>
      <c r="Q108" s="1618">
        <v>10</v>
      </c>
      <c r="R108" s="1618"/>
      <c r="S108" s="1618">
        <v>10</v>
      </c>
      <c r="T108" s="1611" t="s">
        <v>1554</v>
      </c>
      <c r="U108" s="1611" t="s">
        <v>869</v>
      </c>
      <c r="V108" s="1611"/>
      <c r="W108" s="1611" t="s">
        <v>1555</v>
      </c>
      <c r="X108" s="1611" t="s">
        <v>1210</v>
      </c>
      <c r="Y108" s="1611"/>
      <c r="Z108" s="1611"/>
    </row>
    <row r="109" spans="1:26" customFormat="1" hidden="1">
      <c r="A109" s="1611"/>
      <c r="B109" s="1611" t="s">
        <v>591</v>
      </c>
      <c r="C109" s="1611" t="s">
        <v>973</v>
      </c>
      <c r="D109" s="1611" t="s">
        <v>879</v>
      </c>
      <c r="E109" s="1619" t="s">
        <v>1556</v>
      </c>
      <c r="F109" s="1604"/>
      <c r="G109" s="1611" t="s">
        <v>1321</v>
      </c>
      <c r="H109" s="1618"/>
      <c r="I109" s="1618"/>
      <c r="J109" s="1601"/>
      <c r="K109" s="1611">
        <v>41708</v>
      </c>
      <c r="L109" s="1611" t="s">
        <v>1294</v>
      </c>
      <c r="M109" s="1617" t="s">
        <v>1557</v>
      </c>
      <c r="N109" s="1611" t="s">
        <v>912</v>
      </c>
      <c r="O109" s="1604">
        <v>2014</v>
      </c>
      <c r="P109" s="1611" t="s">
        <v>1374</v>
      </c>
      <c r="Q109" s="1618">
        <v>84</v>
      </c>
      <c r="R109" s="1618"/>
      <c r="S109" s="1618">
        <v>84</v>
      </c>
      <c r="T109" s="1611" t="s">
        <v>1097</v>
      </c>
      <c r="U109" s="1611" t="s">
        <v>868</v>
      </c>
      <c r="V109" s="1611"/>
      <c r="W109" s="1611" t="s">
        <v>849</v>
      </c>
      <c r="X109" s="1611"/>
      <c r="Y109" s="1611"/>
      <c r="Z109" s="1611"/>
    </row>
    <row r="110" spans="1:26" customFormat="1" ht="151.80000000000001" hidden="1">
      <c r="A110" s="1611"/>
      <c r="B110" s="1611"/>
      <c r="C110" s="1611" t="s">
        <v>1006</v>
      </c>
      <c r="D110" s="1611" t="s">
        <v>431</v>
      </c>
      <c r="E110" s="1619" t="s">
        <v>1558</v>
      </c>
      <c r="F110" s="1604">
        <v>23</v>
      </c>
      <c r="G110" s="1611" t="s">
        <v>1311</v>
      </c>
      <c r="H110" s="1618" t="s">
        <v>987</v>
      </c>
      <c r="I110" s="1618" t="s">
        <v>1019</v>
      </c>
      <c r="J110" s="1601" t="s">
        <v>1335</v>
      </c>
      <c r="K110" s="1611">
        <v>41717.833333333336</v>
      </c>
      <c r="L110" s="1611" t="s">
        <v>1305</v>
      </c>
      <c r="M110" s="1617" t="s">
        <v>1559</v>
      </c>
      <c r="N110" s="1611" t="s">
        <v>915</v>
      </c>
      <c r="O110" s="1604">
        <v>2014</v>
      </c>
      <c r="P110" s="1611" t="s">
        <v>1374</v>
      </c>
      <c r="Q110" s="1618">
        <v>7</v>
      </c>
      <c r="R110" s="1618"/>
      <c r="S110" s="1618">
        <v>7</v>
      </c>
      <c r="T110" s="1611" t="s">
        <v>1160</v>
      </c>
      <c r="U110" s="1611" t="s">
        <v>914</v>
      </c>
      <c r="V110" s="1611"/>
      <c r="W110" s="1611" t="s">
        <v>850</v>
      </c>
      <c r="X110" s="1611"/>
      <c r="Y110" s="1611"/>
      <c r="Z110" s="1611"/>
    </row>
    <row r="111" spans="1:26" customFormat="1" ht="110.4" hidden="1">
      <c r="A111" s="1611"/>
      <c r="B111" s="1611"/>
      <c r="C111" s="1611" t="s">
        <v>77</v>
      </c>
      <c r="D111" s="1611" t="s">
        <v>998</v>
      </c>
      <c r="E111" s="1619" t="s">
        <v>1560</v>
      </c>
      <c r="F111" s="1604">
        <v>32</v>
      </c>
      <c r="G111" s="1611" t="s">
        <v>1311</v>
      </c>
      <c r="H111" s="1618" t="s">
        <v>987</v>
      </c>
      <c r="I111" s="1618" t="s">
        <v>1000</v>
      </c>
      <c r="J111" s="1601" t="s">
        <v>1561</v>
      </c>
      <c r="K111" s="1611" t="s">
        <v>1562</v>
      </c>
      <c r="L111" s="1611" t="s">
        <v>1294</v>
      </c>
      <c r="M111" s="1617" t="s">
        <v>1563</v>
      </c>
      <c r="N111" s="1611" t="s">
        <v>923</v>
      </c>
      <c r="O111" s="1604">
        <v>2014</v>
      </c>
      <c r="P111" s="1611" t="s">
        <v>1374</v>
      </c>
      <c r="Q111" s="1618">
        <v>16</v>
      </c>
      <c r="R111" s="1618"/>
      <c r="S111" s="1618">
        <v>16</v>
      </c>
      <c r="T111" s="1611" t="s">
        <v>1564</v>
      </c>
      <c r="U111" s="1611" t="s">
        <v>558</v>
      </c>
      <c r="V111" s="1611"/>
      <c r="W111" s="1611" t="s">
        <v>882</v>
      </c>
      <c r="X111" s="1611"/>
      <c r="Y111" s="1611"/>
      <c r="Z111" s="1611"/>
    </row>
    <row r="112" spans="1:26" customFormat="1" ht="55.2" hidden="1">
      <c r="A112" s="1611"/>
      <c r="B112" s="1611"/>
      <c r="C112" s="1611" t="s">
        <v>77</v>
      </c>
      <c r="D112" s="1611" t="s">
        <v>879</v>
      </c>
      <c r="E112" s="1619" t="s">
        <v>1565</v>
      </c>
      <c r="F112" s="1604">
        <v>29</v>
      </c>
      <c r="G112" s="1611" t="s">
        <v>1311</v>
      </c>
      <c r="H112" s="1618" t="s">
        <v>987</v>
      </c>
      <c r="I112" s="1618" t="s">
        <v>995</v>
      </c>
      <c r="J112" s="1601" t="s">
        <v>1566</v>
      </c>
      <c r="K112" s="1611" t="s">
        <v>1567</v>
      </c>
      <c r="L112" s="1611" t="s">
        <v>1294</v>
      </c>
      <c r="M112" s="1617" t="s">
        <v>1568</v>
      </c>
      <c r="N112" s="1611" t="s">
        <v>929</v>
      </c>
      <c r="O112" s="1604">
        <v>2014</v>
      </c>
      <c r="P112" s="1611" t="s">
        <v>1374</v>
      </c>
      <c r="Q112" s="1618">
        <v>1</v>
      </c>
      <c r="R112" s="1618"/>
      <c r="S112" s="1618">
        <v>1</v>
      </c>
      <c r="T112" s="1611" t="s">
        <v>1400</v>
      </c>
      <c r="U112" s="1611" t="s">
        <v>866</v>
      </c>
      <c r="V112" s="1611"/>
      <c r="W112" s="1611" t="s">
        <v>1922</v>
      </c>
      <c r="X112" s="1611"/>
      <c r="Y112" s="1611"/>
      <c r="Z112" s="1611"/>
    </row>
    <row r="113" spans="1:26" customFormat="1" ht="220.8" hidden="1">
      <c r="A113" s="1611"/>
      <c r="B113" s="1611"/>
      <c r="C113" s="1611" t="s">
        <v>77</v>
      </c>
      <c r="D113" s="1611" t="s">
        <v>998</v>
      </c>
      <c r="E113" s="1619" t="s">
        <v>1569</v>
      </c>
      <c r="F113" s="1604">
        <v>27</v>
      </c>
      <c r="G113" s="1611" t="s">
        <v>1311</v>
      </c>
      <c r="H113" s="1618" t="s">
        <v>987</v>
      </c>
      <c r="I113" s="1618" t="s">
        <v>1019</v>
      </c>
      <c r="J113" s="1601" t="s">
        <v>1047</v>
      </c>
      <c r="K113" s="1611" t="s">
        <v>1570</v>
      </c>
      <c r="L113" s="1611" t="s">
        <v>1294</v>
      </c>
      <c r="M113" s="1617" t="s">
        <v>1571</v>
      </c>
      <c r="N113" s="1611" t="s">
        <v>912</v>
      </c>
      <c r="O113" s="1604">
        <v>2014</v>
      </c>
      <c r="P113" s="1611" t="s">
        <v>1377</v>
      </c>
      <c r="Q113" s="1618">
        <v>78</v>
      </c>
      <c r="R113" s="1618"/>
      <c r="S113" s="1618">
        <v>78</v>
      </c>
      <c r="T113" s="1611" t="s">
        <v>1097</v>
      </c>
      <c r="U113" s="1611" t="s">
        <v>863</v>
      </c>
      <c r="V113" s="1611"/>
      <c r="W113" s="1611" t="s">
        <v>883</v>
      </c>
      <c r="X113" s="1611"/>
      <c r="Y113" s="1611"/>
      <c r="Z113" s="1611"/>
    </row>
    <row r="114" spans="1:26" customFormat="1" ht="41.4" hidden="1">
      <c r="A114" s="1611"/>
      <c r="B114" s="1611"/>
      <c r="C114" s="1611" t="s">
        <v>1049</v>
      </c>
      <c r="D114" s="1611" t="s">
        <v>1167</v>
      </c>
      <c r="E114" s="1619" t="s">
        <v>1572</v>
      </c>
      <c r="F114" s="1604" t="s">
        <v>495</v>
      </c>
      <c r="G114" s="1611" t="s">
        <v>1311</v>
      </c>
      <c r="H114" s="1618" t="s">
        <v>987</v>
      </c>
      <c r="I114" s="1618" t="s">
        <v>1000</v>
      </c>
      <c r="J114" s="1601" t="s">
        <v>1573</v>
      </c>
      <c r="K114" s="1611">
        <v>41277</v>
      </c>
      <c r="L114" s="1611" t="s">
        <v>1574</v>
      </c>
      <c r="M114" s="1617" t="s">
        <v>2910</v>
      </c>
      <c r="N114" s="1611" t="s">
        <v>1916</v>
      </c>
      <c r="O114" s="1604">
        <v>2013</v>
      </c>
      <c r="P114" s="1611" t="s">
        <v>992</v>
      </c>
      <c r="Q114" s="1618">
        <v>2</v>
      </c>
      <c r="R114" s="1618"/>
      <c r="S114" s="1618">
        <v>2</v>
      </c>
      <c r="T114" s="1611" t="s">
        <v>1246</v>
      </c>
      <c r="U114" s="1611" t="s">
        <v>1575</v>
      </c>
      <c r="V114" s="1611"/>
      <c r="W114" s="1611" t="s">
        <v>851</v>
      </c>
      <c r="X114" s="1611"/>
      <c r="Y114" s="1611"/>
      <c r="Z114" s="1611"/>
    </row>
    <row r="115" spans="1:26" customFormat="1" ht="41.4" hidden="1">
      <c r="A115" s="1611"/>
      <c r="B115" s="1611"/>
      <c r="C115" s="1611" t="s">
        <v>95</v>
      </c>
      <c r="D115" s="1611" t="s">
        <v>1223</v>
      </c>
      <c r="E115" s="1619" t="s">
        <v>1576</v>
      </c>
      <c r="F115" s="1604" t="s">
        <v>1576</v>
      </c>
      <c r="G115" s="1611" t="s">
        <v>1577</v>
      </c>
      <c r="H115" s="1618"/>
      <c r="I115" s="1618" t="s">
        <v>1576</v>
      </c>
      <c r="J115" s="1601" t="s">
        <v>1576</v>
      </c>
      <c r="K115" s="1611">
        <v>41279</v>
      </c>
      <c r="L115" s="1611" t="s">
        <v>1294</v>
      </c>
      <c r="M115" s="1617" t="s">
        <v>1578</v>
      </c>
      <c r="N115" s="1611" t="s">
        <v>923</v>
      </c>
      <c r="O115" s="1604">
        <v>2013</v>
      </c>
      <c r="P115" s="1611" t="s">
        <v>992</v>
      </c>
      <c r="Q115" s="1618">
        <v>25</v>
      </c>
      <c r="R115" s="1618"/>
      <c r="S115" s="1618">
        <v>25</v>
      </c>
      <c r="T115" s="1611" t="s">
        <v>1564</v>
      </c>
      <c r="U115" s="1611" t="s">
        <v>558</v>
      </c>
      <c r="V115" s="1611"/>
      <c r="W115" s="1611" t="s">
        <v>882</v>
      </c>
      <c r="X115" s="1611" t="s">
        <v>1579</v>
      </c>
      <c r="Y115" s="1611"/>
      <c r="Z115" s="1611"/>
    </row>
    <row r="116" spans="1:26" customFormat="1" hidden="1">
      <c r="A116" s="1611"/>
      <c r="B116" s="1611"/>
      <c r="C116" s="1611" t="s">
        <v>91</v>
      </c>
      <c r="D116" s="1611" t="s">
        <v>879</v>
      </c>
      <c r="E116" s="1619" t="s">
        <v>1580</v>
      </c>
      <c r="F116" s="1604" t="s">
        <v>1581</v>
      </c>
      <c r="G116" s="1611" t="s">
        <v>1311</v>
      </c>
      <c r="H116" s="1618" t="s">
        <v>987</v>
      </c>
      <c r="I116" s="1618" t="s">
        <v>1019</v>
      </c>
      <c r="J116" s="1601" t="s">
        <v>1408</v>
      </c>
      <c r="K116" s="1611">
        <v>41284</v>
      </c>
      <c r="L116" s="1611" t="s">
        <v>1574</v>
      </c>
      <c r="M116" s="1617" t="s">
        <v>1582</v>
      </c>
      <c r="N116" s="1611" t="s">
        <v>929</v>
      </c>
      <c r="O116" s="1604">
        <v>2013</v>
      </c>
      <c r="P116" s="1611" t="s">
        <v>992</v>
      </c>
      <c r="Q116" s="1618">
        <v>2</v>
      </c>
      <c r="R116" s="1618"/>
      <c r="S116" s="1618">
        <v>2</v>
      </c>
      <c r="T116" s="1611" t="s">
        <v>1901</v>
      </c>
      <c r="U116" s="1611" t="s">
        <v>558</v>
      </c>
      <c r="V116" s="1611"/>
      <c r="W116" s="1611" t="s">
        <v>1583</v>
      </c>
      <c r="X116" s="1611"/>
      <c r="Y116" s="1611"/>
      <c r="Z116" s="1611"/>
    </row>
    <row r="117" spans="1:26" customFormat="1" ht="27.6" hidden="1">
      <c r="A117" s="1611"/>
      <c r="B117" s="1611"/>
      <c r="C117" s="1611" t="s">
        <v>588</v>
      </c>
      <c r="D117" s="1611" t="s">
        <v>604</v>
      </c>
      <c r="E117" s="1619" t="s">
        <v>1576</v>
      </c>
      <c r="F117" s="1604" t="s">
        <v>1576</v>
      </c>
      <c r="G117" s="1611" t="s">
        <v>1577</v>
      </c>
      <c r="H117" s="1618"/>
      <c r="I117" s="1618" t="s">
        <v>1576</v>
      </c>
      <c r="J117" s="1601" t="s">
        <v>1576</v>
      </c>
      <c r="K117" s="1611">
        <v>41290</v>
      </c>
      <c r="L117" s="1611" t="s">
        <v>1574</v>
      </c>
      <c r="M117" s="1617" t="s">
        <v>1584</v>
      </c>
      <c r="N117" s="1611" t="s">
        <v>1916</v>
      </c>
      <c r="O117" s="1604">
        <v>2013</v>
      </c>
      <c r="P117" s="1611" t="s">
        <v>992</v>
      </c>
      <c r="Q117" s="1618">
        <v>2</v>
      </c>
      <c r="R117" s="1618"/>
      <c r="S117" s="1618">
        <v>2</v>
      </c>
      <c r="T117" s="1611" t="s">
        <v>1218</v>
      </c>
      <c r="U117" s="1611" t="s">
        <v>869</v>
      </c>
      <c r="V117" s="1611"/>
      <c r="W117" s="1611" t="s">
        <v>850</v>
      </c>
      <c r="X117" s="1611" t="s">
        <v>1585</v>
      </c>
      <c r="Y117" s="1611"/>
      <c r="Z117" s="1611"/>
    </row>
    <row r="118" spans="1:26" customFormat="1" hidden="1">
      <c r="A118" s="1611"/>
      <c r="B118" s="1611"/>
      <c r="C118" s="1611" t="s">
        <v>91</v>
      </c>
      <c r="D118" s="1611" t="s">
        <v>879</v>
      </c>
      <c r="E118" s="1619" t="s">
        <v>1586</v>
      </c>
      <c r="F118" s="1604" t="s">
        <v>511</v>
      </c>
      <c r="G118" s="1611" t="s">
        <v>1311</v>
      </c>
      <c r="H118" s="1618" t="s">
        <v>987</v>
      </c>
      <c r="I118" s="1618" t="s">
        <v>1019</v>
      </c>
      <c r="J118" s="1601" t="s">
        <v>1408</v>
      </c>
      <c r="K118" s="1611">
        <v>41291</v>
      </c>
      <c r="L118" s="1611" t="s">
        <v>1294</v>
      </c>
      <c r="M118" s="1617" t="s">
        <v>2911</v>
      </c>
      <c r="N118" s="1611" t="s">
        <v>912</v>
      </c>
      <c r="O118" s="1604">
        <v>2013</v>
      </c>
      <c r="P118" s="1611" t="s">
        <v>992</v>
      </c>
      <c r="Q118" s="1618">
        <v>60</v>
      </c>
      <c r="R118" s="1618"/>
      <c r="S118" s="1618">
        <v>60</v>
      </c>
      <c r="T118" s="1611" t="s">
        <v>1097</v>
      </c>
      <c r="U118" s="1611" t="s">
        <v>863</v>
      </c>
      <c r="V118" s="1611"/>
      <c r="W118" s="1611" t="s">
        <v>849</v>
      </c>
      <c r="X118" s="1611"/>
      <c r="Y118" s="1611"/>
      <c r="Z118" s="1611"/>
    </row>
    <row r="119" spans="1:26" customFormat="1" ht="27.6" hidden="1">
      <c r="A119" s="1611"/>
      <c r="B119" s="1611"/>
      <c r="C119" s="1611" t="s">
        <v>93</v>
      </c>
      <c r="D119" s="1611" t="s">
        <v>431</v>
      </c>
      <c r="E119" s="1619" t="s">
        <v>1576</v>
      </c>
      <c r="F119" s="1604" t="s">
        <v>1576</v>
      </c>
      <c r="G119" s="1611" t="s">
        <v>1587</v>
      </c>
      <c r="H119" s="1618"/>
      <c r="I119" s="1618" t="s">
        <v>1576</v>
      </c>
      <c r="J119" s="1601" t="s">
        <v>1576</v>
      </c>
      <c r="K119" s="1611">
        <v>41298</v>
      </c>
      <c r="L119" s="1611" t="s">
        <v>1574</v>
      </c>
      <c r="M119" s="1617" t="s">
        <v>1588</v>
      </c>
      <c r="N119" s="1611" t="s">
        <v>913</v>
      </c>
      <c r="O119" s="1604">
        <v>2013</v>
      </c>
      <c r="P119" s="1611" t="s">
        <v>992</v>
      </c>
      <c r="Q119" s="1618">
        <v>23</v>
      </c>
      <c r="R119" s="1618"/>
      <c r="S119" s="1618">
        <v>23</v>
      </c>
      <c r="T119" s="1611" t="s">
        <v>1297</v>
      </c>
      <c r="U119" s="1611" t="s">
        <v>1589</v>
      </c>
      <c r="V119" s="1611"/>
      <c r="W119" s="1611" t="s">
        <v>850</v>
      </c>
      <c r="X119" s="1611" t="s">
        <v>1228</v>
      </c>
      <c r="Y119" s="1611"/>
      <c r="Z119" s="1611"/>
    </row>
    <row r="120" spans="1:26" customFormat="1" ht="27.6" hidden="1">
      <c r="A120" s="1611"/>
      <c r="B120" s="1611"/>
      <c r="C120" s="1611" t="s">
        <v>91</v>
      </c>
      <c r="D120" s="1611" t="s">
        <v>879</v>
      </c>
      <c r="E120" s="1619" t="s">
        <v>1590</v>
      </c>
      <c r="F120" s="1604" t="s">
        <v>1591</v>
      </c>
      <c r="G120" s="1611" t="s">
        <v>1311</v>
      </c>
      <c r="H120" s="1618" t="s">
        <v>994</v>
      </c>
      <c r="I120" s="1618" t="s">
        <v>1019</v>
      </c>
      <c r="J120" s="1601" t="s">
        <v>1592</v>
      </c>
      <c r="K120" s="1611">
        <v>41316</v>
      </c>
      <c r="L120" s="1611" t="s">
        <v>1294</v>
      </c>
      <c r="M120" s="1617" t="s">
        <v>1593</v>
      </c>
      <c r="N120" s="1611" t="s">
        <v>912</v>
      </c>
      <c r="O120" s="1604">
        <v>2013</v>
      </c>
      <c r="P120" s="1611" t="s">
        <v>1009</v>
      </c>
      <c r="Q120" s="1618">
        <v>30</v>
      </c>
      <c r="R120" s="1618"/>
      <c r="S120" s="1618">
        <v>30</v>
      </c>
      <c r="T120" s="1611" t="s">
        <v>1496</v>
      </c>
      <c r="U120" s="1611" t="s">
        <v>558</v>
      </c>
      <c r="V120" s="1611"/>
      <c r="W120" s="1611" t="s">
        <v>850</v>
      </c>
      <c r="X120" s="1611"/>
      <c r="Y120" s="1611"/>
      <c r="Z120" s="1611"/>
    </row>
    <row r="121" spans="1:26" customFormat="1" ht="27.6" hidden="1">
      <c r="A121" s="1611"/>
      <c r="B121" s="1611"/>
      <c r="C121" s="1611" t="s">
        <v>77</v>
      </c>
      <c r="D121" s="1611" t="s">
        <v>431</v>
      </c>
      <c r="E121" s="1619" t="s">
        <v>1576</v>
      </c>
      <c r="F121" s="1604" t="s">
        <v>1576</v>
      </c>
      <c r="G121" s="1611" t="s">
        <v>1577</v>
      </c>
      <c r="H121" s="1618"/>
      <c r="I121" s="1618" t="s">
        <v>1576</v>
      </c>
      <c r="J121" s="1601" t="s">
        <v>1576</v>
      </c>
      <c r="K121" s="1611">
        <v>41320</v>
      </c>
      <c r="L121" s="1611" t="s">
        <v>1294</v>
      </c>
      <c r="M121" s="1617" t="s">
        <v>1594</v>
      </c>
      <c r="N121" s="1611" t="s">
        <v>913</v>
      </c>
      <c r="O121" s="1604">
        <v>2013</v>
      </c>
      <c r="P121" s="1611" t="s">
        <v>1009</v>
      </c>
      <c r="Q121" s="1618">
        <v>30</v>
      </c>
      <c r="R121" s="1618"/>
      <c r="S121" s="1618">
        <v>30</v>
      </c>
      <c r="T121" s="1611" t="s">
        <v>1200</v>
      </c>
      <c r="U121" s="1611" t="s">
        <v>1595</v>
      </c>
      <c r="V121" s="1611"/>
      <c r="W121" s="1611" t="s">
        <v>883</v>
      </c>
      <c r="X121" s="1611" t="s">
        <v>1228</v>
      </c>
      <c r="Y121" s="1611"/>
      <c r="Z121" s="1611"/>
    </row>
    <row r="122" spans="1:26" customFormat="1" ht="82.8" hidden="1">
      <c r="A122" s="1611"/>
      <c r="B122" s="1611"/>
      <c r="C122" s="1611" t="s">
        <v>77</v>
      </c>
      <c r="D122" s="1611" t="s">
        <v>1057</v>
      </c>
      <c r="E122" s="1619" t="s">
        <v>1576</v>
      </c>
      <c r="F122" s="1604" t="s">
        <v>1576</v>
      </c>
      <c r="G122" s="1611" t="s">
        <v>1577</v>
      </c>
      <c r="H122" s="1618"/>
      <c r="I122" s="1618" t="s">
        <v>1576</v>
      </c>
      <c r="J122" s="1601" t="s">
        <v>1576</v>
      </c>
      <c r="K122" s="1611">
        <v>41323</v>
      </c>
      <c r="L122" s="1611" t="s">
        <v>1294</v>
      </c>
      <c r="M122" s="1617" t="s">
        <v>1597</v>
      </c>
      <c r="N122" s="1611" t="s">
        <v>915</v>
      </c>
      <c r="O122" s="1604">
        <v>2013</v>
      </c>
      <c r="P122" s="1611" t="s">
        <v>1009</v>
      </c>
      <c r="Q122" s="1618">
        <v>15</v>
      </c>
      <c r="R122" s="1618"/>
      <c r="S122" s="1618">
        <v>15</v>
      </c>
      <c r="T122" s="1611" t="s">
        <v>1598</v>
      </c>
      <c r="U122" s="1611" t="s">
        <v>869</v>
      </c>
      <c r="V122" s="1611"/>
      <c r="W122" s="1611" t="s">
        <v>850</v>
      </c>
      <c r="X122" s="1611" t="s">
        <v>1385</v>
      </c>
      <c r="Y122" s="1611"/>
      <c r="Z122" s="1611"/>
    </row>
    <row r="123" spans="1:26" customFormat="1" ht="27.6" hidden="1">
      <c r="A123" s="1611"/>
      <c r="B123" s="1611"/>
      <c r="C123" s="1611" t="s">
        <v>91</v>
      </c>
      <c r="D123" s="1611" t="s">
        <v>879</v>
      </c>
      <c r="E123" s="1619" t="s">
        <v>1599</v>
      </c>
      <c r="F123" s="1604" t="s">
        <v>1600</v>
      </c>
      <c r="G123" s="1611" t="s">
        <v>1311</v>
      </c>
      <c r="H123" s="1618" t="s">
        <v>987</v>
      </c>
      <c r="I123" s="1618" t="s">
        <v>995</v>
      </c>
      <c r="J123" s="1601" t="s">
        <v>1601</v>
      </c>
      <c r="K123" s="1611">
        <v>41331</v>
      </c>
      <c r="L123" s="1611" t="s">
        <v>1294</v>
      </c>
      <c r="M123" s="1617" t="s">
        <v>1602</v>
      </c>
      <c r="N123" s="1611" t="s">
        <v>912</v>
      </c>
      <c r="O123" s="1604">
        <v>2013</v>
      </c>
      <c r="P123" s="1611" t="s">
        <v>1009</v>
      </c>
      <c r="Q123" s="1618">
        <v>150</v>
      </c>
      <c r="R123" s="1618"/>
      <c r="S123" s="1618">
        <v>150</v>
      </c>
      <c r="T123" s="1611" t="s">
        <v>1241</v>
      </c>
      <c r="U123" s="1611" t="s">
        <v>1603</v>
      </c>
      <c r="V123" s="1611"/>
      <c r="W123" s="1611" t="s">
        <v>883</v>
      </c>
      <c r="X123" s="1611"/>
      <c r="Y123" s="1611"/>
      <c r="Z123" s="1611"/>
    </row>
    <row r="124" spans="1:26" customFormat="1" hidden="1">
      <c r="A124" s="1611"/>
      <c r="B124" s="1611"/>
      <c r="C124" s="1611" t="s">
        <v>1006</v>
      </c>
      <c r="D124" s="1611" t="s">
        <v>1057</v>
      </c>
      <c r="E124" s="1619" t="s">
        <v>1576</v>
      </c>
      <c r="F124" s="1604" t="s">
        <v>1576</v>
      </c>
      <c r="G124" s="1611" t="s">
        <v>1577</v>
      </c>
      <c r="H124" s="1618"/>
      <c r="I124" s="1618" t="s">
        <v>1576</v>
      </c>
      <c r="J124" s="1601" t="s">
        <v>1576</v>
      </c>
      <c r="K124" s="1611">
        <v>41341</v>
      </c>
      <c r="L124" s="1611" t="s">
        <v>1294</v>
      </c>
      <c r="M124" s="1617" t="s">
        <v>1604</v>
      </c>
      <c r="N124" s="1611" t="s">
        <v>912</v>
      </c>
      <c r="O124" s="1604">
        <v>2013</v>
      </c>
      <c r="P124" s="1611" t="s">
        <v>1034</v>
      </c>
      <c r="Q124" s="1618">
        <v>15</v>
      </c>
      <c r="R124" s="1618"/>
      <c r="S124" s="1618">
        <v>15</v>
      </c>
      <c r="T124" s="1611" t="s">
        <v>1496</v>
      </c>
      <c r="U124" s="1611" t="s">
        <v>1605</v>
      </c>
      <c r="V124" s="1611"/>
      <c r="W124" s="1611" t="s">
        <v>916</v>
      </c>
      <c r="X124" s="1611" t="s">
        <v>1606</v>
      </c>
      <c r="Y124" s="1611"/>
      <c r="Z124" s="1611"/>
    </row>
    <row r="125" spans="1:26" customFormat="1" ht="41.4" hidden="1">
      <c r="A125" s="1611"/>
      <c r="B125" s="1611"/>
      <c r="C125" s="1611" t="s">
        <v>91</v>
      </c>
      <c r="D125" s="1611" t="s">
        <v>879</v>
      </c>
      <c r="E125" s="1619" t="s">
        <v>1607</v>
      </c>
      <c r="F125" s="1604" t="s">
        <v>1608</v>
      </c>
      <c r="G125" s="1611" t="s">
        <v>1311</v>
      </c>
      <c r="H125" s="1618" t="s">
        <v>987</v>
      </c>
      <c r="I125" s="1618" t="s">
        <v>1019</v>
      </c>
      <c r="J125" s="1601" t="s">
        <v>1381</v>
      </c>
      <c r="K125" s="1611">
        <v>41342</v>
      </c>
      <c r="L125" s="1611" t="s">
        <v>1294</v>
      </c>
      <c r="M125" s="1617" t="s">
        <v>1609</v>
      </c>
      <c r="N125" s="1611" t="s">
        <v>913</v>
      </c>
      <c r="O125" s="1604">
        <v>2013</v>
      </c>
      <c r="P125" s="1611" t="s">
        <v>1610</v>
      </c>
      <c r="Q125" s="1618">
        <v>3</v>
      </c>
      <c r="R125" s="1618"/>
      <c r="S125" s="1618">
        <v>3</v>
      </c>
      <c r="T125" s="1611" t="s">
        <v>1103</v>
      </c>
      <c r="U125" s="1611" t="s">
        <v>1611</v>
      </c>
      <c r="V125" s="1611"/>
      <c r="W125" s="1611" t="s">
        <v>1612</v>
      </c>
      <c r="X125" s="1611"/>
      <c r="Y125" s="1611"/>
      <c r="Z125" s="1611"/>
    </row>
    <row r="126" spans="1:26" customFormat="1" ht="27.6" hidden="1">
      <c r="A126" s="1611"/>
      <c r="B126" s="1611"/>
      <c r="C126" s="1611" t="s">
        <v>588</v>
      </c>
      <c r="D126" s="1611" t="s">
        <v>879</v>
      </c>
      <c r="E126" s="1619" t="s">
        <v>1613</v>
      </c>
      <c r="F126" s="1604" t="s">
        <v>1614</v>
      </c>
      <c r="G126" s="1611" t="s">
        <v>1311</v>
      </c>
      <c r="H126" s="1618" t="s">
        <v>987</v>
      </c>
      <c r="I126" s="1618" t="s">
        <v>995</v>
      </c>
      <c r="J126" s="1601" t="s">
        <v>1541</v>
      </c>
      <c r="K126" s="1611">
        <v>41344</v>
      </c>
      <c r="L126" s="1611" t="s">
        <v>1294</v>
      </c>
      <c r="M126" s="1617" t="s">
        <v>1615</v>
      </c>
      <c r="N126" s="1611" t="s">
        <v>912</v>
      </c>
      <c r="O126" s="1604">
        <v>2013</v>
      </c>
      <c r="P126" s="1611" t="s">
        <v>1610</v>
      </c>
      <c r="Q126" s="1618">
        <v>10</v>
      </c>
      <c r="R126" s="1618"/>
      <c r="S126" s="1618">
        <v>10</v>
      </c>
      <c r="T126" s="1611" t="s">
        <v>1097</v>
      </c>
      <c r="U126" s="1611" t="s">
        <v>863</v>
      </c>
      <c r="V126" s="1611"/>
      <c r="W126" s="1611" t="s">
        <v>850</v>
      </c>
      <c r="X126" s="1611"/>
      <c r="Y126" s="1611"/>
      <c r="Z126" s="1611"/>
    </row>
    <row r="127" spans="1:26" customFormat="1" ht="41.4" hidden="1">
      <c r="A127" s="1611"/>
      <c r="B127" s="1611"/>
      <c r="C127" s="1611" t="s">
        <v>1006</v>
      </c>
      <c r="D127" s="1611" t="s">
        <v>879</v>
      </c>
      <c r="E127" s="1619" t="s">
        <v>1616</v>
      </c>
      <c r="F127" s="1604" t="s">
        <v>1608</v>
      </c>
      <c r="G127" s="1611" t="s">
        <v>1311</v>
      </c>
      <c r="H127" s="1618" t="s">
        <v>987</v>
      </c>
      <c r="I127" s="1618" t="s">
        <v>1019</v>
      </c>
      <c r="J127" s="1601" t="s">
        <v>1592</v>
      </c>
      <c r="K127" s="1611">
        <v>41344</v>
      </c>
      <c r="L127" s="1611" t="s">
        <v>1294</v>
      </c>
      <c r="M127" s="1617" t="s">
        <v>1617</v>
      </c>
      <c r="N127" s="1611" t="s">
        <v>1916</v>
      </c>
      <c r="O127" s="1604">
        <v>2013</v>
      </c>
      <c r="P127" s="1611" t="s">
        <v>1610</v>
      </c>
      <c r="Q127" s="1618">
        <v>35</v>
      </c>
      <c r="R127" s="1618"/>
      <c r="S127" s="1618">
        <v>35</v>
      </c>
      <c r="T127" s="1611" t="s">
        <v>1980</v>
      </c>
      <c r="U127" s="1611" t="s">
        <v>558</v>
      </c>
      <c r="V127" s="1611"/>
      <c r="W127" s="1611" t="s">
        <v>851</v>
      </c>
      <c r="X127" s="1611"/>
      <c r="Y127" s="1611"/>
      <c r="Z127" s="1611"/>
    </row>
    <row r="128" spans="1:26" customFormat="1" ht="41.4" hidden="1">
      <c r="A128" s="1611"/>
      <c r="B128" s="1611"/>
      <c r="C128" s="1611" t="s">
        <v>1049</v>
      </c>
      <c r="D128" s="1611" t="s">
        <v>879</v>
      </c>
      <c r="E128" s="1619" t="s">
        <v>1618</v>
      </c>
      <c r="F128" s="1604" t="s">
        <v>1619</v>
      </c>
      <c r="G128" s="1611" t="s">
        <v>1311</v>
      </c>
      <c r="H128" s="1618" t="s">
        <v>987</v>
      </c>
      <c r="I128" s="1618" t="s">
        <v>1000</v>
      </c>
      <c r="J128" s="1601" t="s">
        <v>1381</v>
      </c>
      <c r="K128" s="1611">
        <v>41349</v>
      </c>
      <c r="L128" s="1611" t="s">
        <v>1294</v>
      </c>
      <c r="M128" s="1617" t="s">
        <v>1620</v>
      </c>
      <c r="N128" s="1611" t="s">
        <v>912</v>
      </c>
      <c r="O128" s="1604">
        <v>2013</v>
      </c>
      <c r="P128" s="1611" t="s">
        <v>1610</v>
      </c>
      <c r="Q128" s="1618">
        <v>30</v>
      </c>
      <c r="R128" s="1618"/>
      <c r="S128" s="1618">
        <v>30</v>
      </c>
      <c r="T128" s="1611" t="s">
        <v>1621</v>
      </c>
      <c r="U128" s="1611" t="s">
        <v>1622</v>
      </c>
      <c r="V128" s="1611"/>
      <c r="W128" s="1611" t="s">
        <v>850</v>
      </c>
      <c r="X128" s="1611"/>
      <c r="Y128" s="1611"/>
      <c r="Z128" s="1611"/>
    </row>
    <row r="129" spans="1:26" customFormat="1" ht="27.6" hidden="1">
      <c r="A129" s="1611"/>
      <c r="B129" s="1611"/>
      <c r="C129" s="1611" t="s">
        <v>1128</v>
      </c>
      <c r="D129" s="1611" t="s">
        <v>879</v>
      </c>
      <c r="E129" s="1619" t="s">
        <v>1623</v>
      </c>
      <c r="F129" s="1604" t="s">
        <v>495</v>
      </c>
      <c r="G129" s="1611" t="s">
        <v>1311</v>
      </c>
      <c r="H129" s="1618" t="s">
        <v>994</v>
      </c>
      <c r="I129" s="1618" t="s">
        <v>1019</v>
      </c>
      <c r="J129" s="1601" t="s">
        <v>1592</v>
      </c>
      <c r="K129" s="1611">
        <v>41349</v>
      </c>
      <c r="L129" s="1611" t="s">
        <v>1294</v>
      </c>
      <c r="M129" s="1617" t="s">
        <v>1624</v>
      </c>
      <c r="N129" s="1611" t="s">
        <v>1916</v>
      </c>
      <c r="O129" s="1604">
        <v>2013</v>
      </c>
      <c r="P129" s="1611" t="s">
        <v>1610</v>
      </c>
      <c r="Q129" s="1618">
        <v>3</v>
      </c>
      <c r="R129" s="1618"/>
      <c r="S129" s="1618">
        <v>3</v>
      </c>
      <c r="T129" s="1611" t="s">
        <v>226</v>
      </c>
      <c r="U129" s="1611" t="s">
        <v>1625</v>
      </c>
      <c r="V129" s="1611"/>
      <c r="W129" s="1611" t="s">
        <v>850</v>
      </c>
      <c r="X129" s="1611"/>
      <c r="Y129" s="1611"/>
      <c r="Z129" s="1611"/>
    </row>
    <row r="130" spans="1:26" customFormat="1" ht="55.2" hidden="1">
      <c r="A130" s="1611"/>
      <c r="B130" s="1611"/>
      <c r="C130" s="1611" t="s">
        <v>1049</v>
      </c>
      <c r="D130" s="1611" t="s">
        <v>879</v>
      </c>
      <c r="E130" s="1619" t="s">
        <v>1626</v>
      </c>
      <c r="F130" s="1604" t="s">
        <v>1627</v>
      </c>
      <c r="G130" s="1611" t="s">
        <v>1311</v>
      </c>
      <c r="H130" s="1618" t="s">
        <v>987</v>
      </c>
      <c r="I130" s="1618" t="s">
        <v>1000</v>
      </c>
      <c r="J130" s="1601" t="s">
        <v>1628</v>
      </c>
      <c r="K130" s="1611">
        <v>41355</v>
      </c>
      <c r="L130" s="1611" t="s">
        <v>1294</v>
      </c>
      <c r="M130" s="1617" t="s">
        <v>1629</v>
      </c>
      <c r="N130" s="1611" t="s">
        <v>912</v>
      </c>
      <c r="O130" s="1604">
        <v>2013</v>
      </c>
      <c r="P130" s="1611" t="s">
        <v>1610</v>
      </c>
      <c r="Q130" s="1618">
        <v>2</v>
      </c>
      <c r="R130" s="1618"/>
      <c r="S130" s="1618">
        <v>2</v>
      </c>
      <c r="T130" s="1611" t="s">
        <v>1097</v>
      </c>
      <c r="U130" s="1611" t="s">
        <v>934</v>
      </c>
      <c r="V130" s="1611"/>
      <c r="W130" s="1611" t="s">
        <v>849</v>
      </c>
      <c r="X130" s="1611"/>
      <c r="Y130" s="1611"/>
      <c r="Z130" s="1611"/>
    </row>
    <row r="131" spans="1:26" customFormat="1" hidden="1">
      <c r="A131" s="1611"/>
      <c r="B131" s="1611"/>
      <c r="C131" s="1611" t="s">
        <v>77</v>
      </c>
      <c r="D131" s="1611" t="s">
        <v>1057</v>
      </c>
      <c r="E131" s="1619" t="s">
        <v>1576</v>
      </c>
      <c r="F131" s="1604" t="s">
        <v>1576</v>
      </c>
      <c r="G131" s="1611" t="s">
        <v>1577</v>
      </c>
      <c r="H131" s="1618"/>
      <c r="I131" s="1618" t="s">
        <v>1576</v>
      </c>
      <c r="J131" s="1601" t="s">
        <v>1576</v>
      </c>
      <c r="K131" s="1611">
        <v>41367</v>
      </c>
      <c r="L131" s="1611" t="s">
        <v>1574</v>
      </c>
      <c r="M131" s="1617" t="s">
        <v>1630</v>
      </c>
      <c r="N131" s="1611" t="s">
        <v>917</v>
      </c>
      <c r="O131" s="1604">
        <v>2013</v>
      </c>
      <c r="P131" s="1611" t="s">
        <v>1031</v>
      </c>
      <c r="Q131" s="1618">
        <v>2</v>
      </c>
      <c r="R131" s="1618"/>
      <c r="S131" s="1618">
        <v>2</v>
      </c>
      <c r="T131" s="1611" t="s">
        <v>1496</v>
      </c>
      <c r="U131" s="1611" t="s">
        <v>1918</v>
      </c>
      <c r="V131" s="1611"/>
      <c r="W131" s="1611" t="s">
        <v>850</v>
      </c>
      <c r="X131" s="1611" t="s">
        <v>1631</v>
      </c>
      <c r="Y131" s="1611"/>
      <c r="Z131" s="1611"/>
    </row>
    <row r="132" spans="1:26" customFormat="1" ht="41.4" hidden="1">
      <c r="A132" s="1611"/>
      <c r="B132" s="1611"/>
      <c r="C132" s="1611" t="s">
        <v>77</v>
      </c>
      <c r="D132" s="1611" t="s">
        <v>1057</v>
      </c>
      <c r="E132" s="1619" t="s">
        <v>1576</v>
      </c>
      <c r="F132" s="1604" t="s">
        <v>1576</v>
      </c>
      <c r="G132" s="1611" t="s">
        <v>1577</v>
      </c>
      <c r="H132" s="1618"/>
      <c r="I132" s="1618" t="s">
        <v>1576</v>
      </c>
      <c r="J132" s="1601" t="s">
        <v>1576</v>
      </c>
      <c r="K132" s="1611">
        <v>41369</v>
      </c>
      <c r="L132" s="1611" t="s">
        <v>1574</v>
      </c>
      <c r="M132" s="1617" t="s">
        <v>1632</v>
      </c>
      <c r="N132" s="1611" t="s">
        <v>929</v>
      </c>
      <c r="O132" s="1604">
        <v>2013</v>
      </c>
      <c r="P132" s="1611" t="s">
        <v>1031</v>
      </c>
      <c r="Q132" s="1618">
        <v>2</v>
      </c>
      <c r="R132" s="1618"/>
      <c r="S132" s="1618">
        <v>2</v>
      </c>
      <c r="T132" s="1611" t="s">
        <v>1633</v>
      </c>
      <c r="U132" s="1611" t="s">
        <v>1634</v>
      </c>
      <c r="V132" s="1611"/>
      <c r="W132" s="1611" t="s">
        <v>1635</v>
      </c>
      <c r="X132" s="1611" t="s">
        <v>1210</v>
      </c>
      <c r="Y132" s="1611"/>
      <c r="Z132" s="1611"/>
    </row>
    <row r="133" spans="1:26" customFormat="1" ht="27.6" hidden="1">
      <c r="A133" s="1611"/>
      <c r="B133" s="1611"/>
      <c r="C133" s="1611" t="s">
        <v>95</v>
      </c>
      <c r="D133" s="1611" t="s">
        <v>1636</v>
      </c>
      <c r="E133" s="1619" t="s">
        <v>1576</v>
      </c>
      <c r="F133" s="1604" t="s">
        <v>1576</v>
      </c>
      <c r="G133" s="1611" t="s">
        <v>1577</v>
      </c>
      <c r="H133" s="1618"/>
      <c r="I133" s="1618" t="s">
        <v>1576</v>
      </c>
      <c r="J133" s="1601" t="s">
        <v>1576</v>
      </c>
      <c r="K133" s="1611">
        <v>41379</v>
      </c>
      <c r="L133" s="1611" t="s">
        <v>1574</v>
      </c>
      <c r="M133" s="1617" t="s">
        <v>1637</v>
      </c>
      <c r="N133" s="1611" t="s">
        <v>912</v>
      </c>
      <c r="O133" s="1604">
        <v>2013</v>
      </c>
      <c r="P133" s="1611" t="s">
        <v>1031</v>
      </c>
      <c r="Q133" s="1618">
        <v>2</v>
      </c>
      <c r="R133" s="1618"/>
      <c r="S133" s="1618">
        <v>2</v>
      </c>
      <c r="T133" s="1611" t="s">
        <v>1218</v>
      </c>
      <c r="U133" s="1611" t="s">
        <v>869</v>
      </c>
      <c r="V133" s="1611"/>
      <c r="W133" s="1611" t="s">
        <v>850</v>
      </c>
      <c r="X133" s="1611" t="s">
        <v>1638</v>
      </c>
      <c r="Y133" s="1611"/>
      <c r="Z133" s="1611"/>
    </row>
    <row r="134" spans="1:26" customFormat="1" ht="27.6" hidden="1">
      <c r="A134" s="1611"/>
      <c r="B134" s="1611"/>
      <c r="C134" s="1611" t="s">
        <v>77</v>
      </c>
      <c r="D134" s="1611" t="s">
        <v>1057</v>
      </c>
      <c r="E134" s="1619" t="s">
        <v>1576</v>
      </c>
      <c r="F134" s="1604" t="s">
        <v>1576</v>
      </c>
      <c r="G134" s="1611" t="s">
        <v>1577</v>
      </c>
      <c r="H134" s="1618"/>
      <c r="I134" s="1618" t="s">
        <v>1576</v>
      </c>
      <c r="J134" s="1601" t="s">
        <v>1576</v>
      </c>
      <c r="K134" s="1611">
        <v>41380</v>
      </c>
      <c r="L134" s="1611" t="s">
        <v>1574</v>
      </c>
      <c r="M134" s="1617" t="s">
        <v>1639</v>
      </c>
      <c r="N134" s="1611" t="s">
        <v>915</v>
      </c>
      <c r="O134" s="1604">
        <v>2013</v>
      </c>
      <c r="P134" s="1611" t="s">
        <v>1031</v>
      </c>
      <c r="Q134" s="1618">
        <v>11</v>
      </c>
      <c r="R134" s="1618"/>
      <c r="S134" s="1618">
        <v>11</v>
      </c>
      <c r="T134" s="1611" t="s">
        <v>1218</v>
      </c>
      <c r="U134" s="1611" t="s">
        <v>869</v>
      </c>
      <c r="V134" s="1611"/>
      <c r="W134" s="1611" t="s">
        <v>850</v>
      </c>
      <c r="X134" s="1611" t="s">
        <v>1631</v>
      </c>
      <c r="Y134" s="1611"/>
      <c r="Z134" s="1611"/>
    </row>
    <row r="135" spans="1:26" customFormat="1" ht="55.2" hidden="1">
      <c r="A135" s="1611"/>
      <c r="B135" s="1611"/>
      <c r="C135" s="1611" t="s">
        <v>77</v>
      </c>
      <c r="D135" s="1611" t="s">
        <v>1057</v>
      </c>
      <c r="E135" s="1619" t="s">
        <v>1576</v>
      </c>
      <c r="F135" s="1604" t="s">
        <v>1576</v>
      </c>
      <c r="G135" s="1611" t="s">
        <v>1577</v>
      </c>
      <c r="H135" s="1618"/>
      <c r="I135" s="1618" t="s">
        <v>1576</v>
      </c>
      <c r="J135" s="1601" t="s">
        <v>1576</v>
      </c>
      <c r="K135" s="1611">
        <v>41384</v>
      </c>
      <c r="L135" s="1611" t="s">
        <v>1294</v>
      </c>
      <c r="M135" s="1617" t="s">
        <v>1640</v>
      </c>
      <c r="N135" s="1611" t="s">
        <v>929</v>
      </c>
      <c r="O135" s="1604">
        <v>2013</v>
      </c>
      <c r="P135" s="1611" t="s">
        <v>1031</v>
      </c>
      <c r="Q135" s="1618">
        <v>2</v>
      </c>
      <c r="R135" s="1618"/>
      <c r="S135" s="1618">
        <v>2</v>
      </c>
      <c r="T135" s="1611" t="s">
        <v>1183</v>
      </c>
      <c r="U135" s="1611" t="s">
        <v>1183</v>
      </c>
      <c r="V135" s="1611"/>
      <c r="W135" s="1611" t="s">
        <v>1635</v>
      </c>
      <c r="X135" s="1611" t="s">
        <v>1641</v>
      </c>
      <c r="Y135" s="1611"/>
      <c r="Z135" s="1611"/>
    </row>
    <row r="136" spans="1:26" customFormat="1" ht="27.6" hidden="1">
      <c r="A136" s="1611"/>
      <c r="B136" s="1611"/>
      <c r="C136" s="1611" t="s">
        <v>91</v>
      </c>
      <c r="D136" s="1611" t="s">
        <v>431</v>
      </c>
      <c r="E136" s="1619" t="s">
        <v>1642</v>
      </c>
      <c r="F136" s="1604"/>
      <c r="G136" s="1611" t="s">
        <v>1311</v>
      </c>
      <c r="H136" s="1618" t="s">
        <v>987</v>
      </c>
      <c r="I136" s="1618" t="s">
        <v>1019</v>
      </c>
      <c r="J136" s="1601" t="s">
        <v>1643</v>
      </c>
      <c r="K136" s="1611">
        <v>41386</v>
      </c>
      <c r="L136" s="1611" t="s">
        <v>1294</v>
      </c>
      <c r="M136" s="1617" t="s">
        <v>1644</v>
      </c>
      <c r="N136" s="1611" t="s">
        <v>912</v>
      </c>
      <c r="O136" s="1604">
        <v>2013</v>
      </c>
      <c r="P136" s="1611" t="s">
        <v>1031</v>
      </c>
      <c r="Q136" s="1618">
        <v>24</v>
      </c>
      <c r="R136" s="1618"/>
      <c r="S136" s="1618">
        <v>24</v>
      </c>
      <c r="T136" s="1611" t="s">
        <v>1307</v>
      </c>
      <c r="U136" s="1611" t="s">
        <v>1645</v>
      </c>
      <c r="V136" s="1611"/>
      <c r="W136" s="1611" t="s">
        <v>882</v>
      </c>
      <c r="X136" s="1611"/>
      <c r="Y136" s="1611"/>
      <c r="Z136" s="1611"/>
    </row>
    <row r="137" spans="1:26" customFormat="1" hidden="1">
      <c r="A137" s="1611"/>
      <c r="B137" s="1611"/>
      <c r="C137" s="1611" t="s">
        <v>77</v>
      </c>
      <c r="D137" s="1611" t="s">
        <v>879</v>
      </c>
      <c r="E137" s="1619" t="s">
        <v>1646</v>
      </c>
      <c r="F137" s="1604" t="s">
        <v>1647</v>
      </c>
      <c r="G137" s="1611" t="s">
        <v>1311</v>
      </c>
      <c r="H137" s="1618" t="s">
        <v>987</v>
      </c>
      <c r="I137" s="1618" t="s">
        <v>995</v>
      </c>
      <c r="J137" s="1601" t="s">
        <v>1648</v>
      </c>
      <c r="K137" s="1611">
        <v>41393</v>
      </c>
      <c r="L137" s="1611" t="s">
        <v>1294</v>
      </c>
      <c r="M137" s="1617" t="s">
        <v>1649</v>
      </c>
      <c r="N137" s="1611" t="s">
        <v>913</v>
      </c>
      <c r="O137" s="1604">
        <v>2013</v>
      </c>
      <c r="P137" s="1611" t="s">
        <v>1031</v>
      </c>
      <c r="Q137" s="1618">
        <v>10</v>
      </c>
      <c r="R137" s="1618"/>
      <c r="S137" s="1618">
        <v>10</v>
      </c>
      <c r="T137" s="1611" t="s">
        <v>1650</v>
      </c>
      <c r="U137" s="1611" t="s">
        <v>869</v>
      </c>
      <c r="V137" s="1611"/>
      <c r="W137" s="1611" t="s">
        <v>850</v>
      </c>
      <c r="X137" s="1611"/>
      <c r="Y137" s="1611"/>
      <c r="Z137" s="1611"/>
    </row>
    <row r="138" spans="1:26" customFormat="1" hidden="1">
      <c r="A138" s="1611"/>
      <c r="B138" s="1611"/>
      <c r="C138" s="1611" t="s">
        <v>693</v>
      </c>
      <c r="D138" s="1611" t="s">
        <v>879</v>
      </c>
      <c r="E138" s="1619" t="s">
        <v>1651</v>
      </c>
      <c r="F138" s="1604" t="s">
        <v>633</v>
      </c>
      <c r="G138" s="1611" t="s">
        <v>1311</v>
      </c>
      <c r="H138" s="1618" t="s">
        <v>987</v>
      </c>
      <c r="I138" s="1618" t="s">
        <v>1019</v>
      </c>
      <c r="J138" s="1601" t="s">
        <v>1408</v>
      </c>
      <c r="K138" s="1611">
        <v>41398</v>
      </c>
      <c r="L138" s="1611" t="s">
        <v>1294</v>
      </c>
      <c r="M138" s="1617" t="s">
        <v>1652</v>
      </c>
      <c r="N138" s="1611" t="s">
        <v>912</v>
      </c>
      <c r="O138" s="1604">
        <v>2013</v>
      </c>
      <c r="P138" s="1611" t="s">
        <v>1061</v>
      </c>
      <c r="Q138" s="1618">
        <v>80</v>
      </c>
      <c r="R138" s="1618"/>
      <c r="S138" s="1618">
        <v>80</v>
      </c>
      <c r="T138" s="1611" t="s">
        <v>1097</v>
      </c>
      <c r="U138" s="1611" t="s">
        <v>934</v>
      </c>
      <c r="V138" s="1611"/>
      <c r="W138" s="1611" t="s">
        <v>849</v>
      </c>
      <c r="X138" s="1611"/>
      <c r="Y138" s="1611"/>
      <c r="Z138" s="1611"/>
    </row>
    <row r="139" spans="1:26" customFormat="1" hidden="1">
      <c r="A139" s="1611"/>
      <c r="B139" s="1611"/>
      <c r="C139" s="1611" t="s">
        <v>1049</v>
      </c>
      <c r="D139" s="1611" t="s">
        <v>879</v>
      </c>
      <c r="E139" s="1619" t="s">
        <v>1653</v>
      </c>
      <c r="F139" s="1604" t="s">
        <v>1654</v>
      </c>
      <c r="G139" s="1611" t="s">
        <v>1311</v>
      </c>
      <c r="H139" s="1618" t="s">
        <v>987</v>
      </c>
      <c r="I139" s="1618" t="s">
        <v>1000</v>
      </c>
      <c r="J139" s="1601" t="s">
        <v>1352</v>
      </c>
      <c r="K139" s="1611">
        <v>41401</v>
      </c>
      <c r="L139" s="1611" t="s">
        <v>1294</v>
      </c>
      <c r="M139" s="1617" t="s">
        <v>1655</v>
      </c>
      <c r="N139" s="1611" t="s">
        <v>1916</v>
      </c>
      <c r="O139" s="1604">
        <v>2013</v>
      </c>
      <c r="P139" s="1611" t="s">
        <v>1061</v>
      </c>
      <c r="Q139" s="1618">
        <v>15</v>
      </c>
      <c r="R139" s="1618"/>
      <c r="S139" s="1618">
        <v>15</v>
      </c>
      <c r="T139" s="1611" t="s">
        <v>1218</v>
      </c>
      <c r="U139" s="1611" t="s">
        <v>869</v>
      </c>
      <c r="V139" s="1611"/>
      <c r="W139" s="1611" t="s">
        <v>850</v>
      </c>
      <c r="X139" s="1611"/>
      <c r="Y139" s="1611"/>
      <c r="Z139" s="1611"/>
    </row>
    <row r="140" spans="1:26" customFormat="1" ht="27.6" hidden="1">
      <c r="A140" s="1611"/>
      <c r="B140" s="1611"/>
      <c r="C140" s="1611" t="s">
        <v>694</v>
      </c>
      <c r="D140" s="1611" t="s">
        <v>879</v>
      </c>
      <c r="E140" s="1619" t="s">
        <v>1656</v>
      </c>
      <c r="F140" s="1604" t="s">
        <v>1657</v>
      </c>
      <c r="G140" s="1611" t="s">
        <v>1311</v>
      </c>
      <c r="H140" s="1618" t="s">
        <v>987</v>
      </c>
      <c r="I140" s="1618" t="s">
        <v>995</v>
      </c>
      <c r="J140" s="1601" t="s">
        <v>1396</v>
      </c>
      <c r="K140" s="1611">
        <v>41410</v>
      </c>
      <c r="L140" s="1611" t="s">
        <v>1294</v>
      </c>
      <c r="M140" s="1617" t="s">
        <v>1658</v>
      </c>
      <c r="N140" s="1611" t="s">
        <v>912</v>
      </c>
      <c r="O140" s="1604">
        <v>2013</v>
      </c>
      <c r="P140" s="1611" t="s">
        <v>1061</v>
      </c>
      <c r="Q140" s="1618">
        <v>3</v>
      </c>
      <c r="R140" s="1618"/>
      <c r="S140" s="1618">
        <v>3</v>
      </c>
      <c r="T140" s="1611" t="s">
        <v>1222</v>
      </c>
      <c r="U140" s="1611" t="s">
        <v>1659</v>
      </c>
      <c r="V140" s="1611"/>
      <c r="W140" s="1611" t="s">
        <v>850</v>
      </c>
      <c r="X140" s="1611"/>
      <c r="Y140" s="1611"/>
      <c r="Z140" s="1611"/>
    </row>
    <row r="141" spans="1:26" customFormat="1" ht="27.6" hidden="1">
      <c r="A141" s="1611"/>
      <c r="B141" s="1611"/>
      <c r="C141" s="1611" t="s">
        <v>77</v>
      </c>
      <c r="D141" s="1611" t="s">
        <v>1057</v>
      </c>
      <c r="E141" s="1619" t="s">
        <v>1576</v>
      </c>
      <c r="F141" s="1604" t="s">
        <v>1576</v>
      </c>
      <c r="G141" s="1611" t="s">
        <v>1577</v>
      </c>
      <c r="H141" s="1618"/>
      <c r="I141" s="1618" t="s">
        <v>1576</v>
      </c>
      <c r="J141" s="1601" t="s">
        <v>1576</v>
      </c>
      <c r="K141" s="1611">
        <v>41417</v>
      </c>
      <c r="L141" s="1611" t="s">
        <v>1294</v>
      </c>
      <c r="M141" s="1617" t="s">
        <v>1660</v>
      </c>
      <c r="N141" s="1611" t="s">
        <v>915</v>
      </c>
      <c r="O141" s="1604">
        <v>2013</v>
      </c>
      <c r="P141" s="1611" t="s">
        <v>1061</v>
      </c>
      <c r="Q141" s="1618">
        <v>2</v>
      </c>
      <c r="R141" s="1618"/>
      <c r="S141" s="1618">
        <v>2</v>
      </c>
      <c r="T141" s="1611" t="s">
        <v>1496</v>
      </c>
      <c r="U141" s="1611" t="s">
        <v>1659</v>
      </c>
      <c r="V141" s="1611"/>
      <c r="W141" s="1611" t="s">
        <v>850</v>
      </c>
      <c r="X141" s="1611" t="s">
        <v>1661</v>
      </c>
      <c r="Y141" s="1611"/>
      <c r="Z141" s="1611"/>
    </row>
    <row r="142" spans="1:26" customFormat="1" hidden="1">
      <c r="A142" s="1611"/>
      <c r="B142" s="1611"/>
      <c r="C142" s="1611" t="s">
        <v>1006</v>
      </c>
      <c r="D142" s="1611" t="s">
        <v>998</v>
      </c>
      <c r="E142" s="1619" t="s">
        <v>1662</v>
      </c>
      <c r="F142" s="1604" t="s">
        <v>1663</v>
      </c>
      <c r="G142" s="1611" t="s">
        <v>1311</v>
      </c>
      <c r="H142" s="1618" t="s">
        <v>987</v>
      </c>
      <c r="I142" s="1618" t="s">
        <v>995</v>
      </c>
      <c r="J142" s="1601" t="s">
        <v>1664</v>
      </c>
      <c r="K142" s="1611">
        <v>41420</v>
      </c>
      <c r="L142" s="1611" t="s">
        <v>1294</v>
      </c>
      <c r="M142" s="1617" t="s">
        <v>1665</v>
      </c>
      <c r="N142" s="1611" t="s">
        <v>912</v>
      </c>
      <c r="O142" s="1604">
        <v>2013</v>
      </c>
      <c r="P142" s="1611" t="s">
        <v>1061</v>
      </c>
      <c r="Q142" s="1618">
        <v>5</v>
      </c>
      <c r="R142" s="1618"/>
      <c r="S142" s="1618">
        <v>5</v>
      </c>
      <c r="T142" s="1611" t="s">
        <v>1432</v>
      </c>
      <c r="U142" s="1611" t="s">
        <v>1666</v>
      </c>
      <c r="V142" s="1611"/>
      <c r="W142" s="1611" t="s">
        <v>850</v>
      </c>
      <c r="X142" s="1611"/>
      <c r="Y142" s="1611"/>
      <c r="Z142" s="1611"/>
    </row>
    <row r="143" spans="1:26" customFormat="1" ht="41.4" hidden="1">
      <c r="A143" s="1611"/>
      <c r="B143" s="1611"/>
      <c r="C143" s="1611" t="s">
        <v>694</v>
      </c>
      <c r="D143" s="1611" t="s">
        <v>1223</v>
      </c>
      <c r="E143" s="1619" t="s">
        <v>1576</v>
      </c>
      <c r="F143" s="1604" t="s">
        <v>1576</v>
      </c>
      <c r="G143" s="1611" t="s">
        <v>1577</v>
      </c>
      <c r="H143" s="1618"/>
      <c r="I143" s="1618" t="s">
        <v>1576</v>
      </c>
      <c r="J143" s="1601" t="s">
        <v>1576</v>
      </c>
      <c r="K143" s="1611">
        <v>41423</v>
      </c>
      <c r="L143" s="1611" t="s">
        <v>1294</v>
      </c>
      <c r="M143" s="1617" t="s">
        <v>1667</v>
      </c>
      <c r="N143" s="1611" t="s">
        <v>915</v>
      </c>
      <c r="O143" s="1604">
        <v>2013</v>
      </c>
      <c r="P143" s="1611" t="s">
        <v>1061</v>
      </c>
      <c r="Q143" s="1618">
        <v>28</v>
      </c>
      <c r="R143" s="1618"/>
      <c r="S143" s="1618">
        <v>28</v>
      </c>
      <c r="T143" s="1611" t="s">
        <v>1668</v>
      </c>
      <c r="U143" s="1611" t="s">
        <v>869</v>
      </c>
      <c r="V143" s="1611"/>
      <c r="W143" s="1611" t="s">
        <v>850</v>
      </c>
      <c r="X143" s="1611" t="s">
        <v>1228</v>
      </c>
      <c r="Y143" s="1611"/>
      <c r="Z143" s="1611"/>
    </row>
    <row r="144" spans="1:26" customFormat="1" ht="110.4" hidden="1">
      <c r="A144" s="1611"/>
      <c r="B144" s="1611"/>
      <c r="C144" s="1611" t="s">
        <v>91</v>
      </c>
      <c r="D144" s="1611" t="s">
        <v>879</v>
      </c>
      <c r="E144" s="1619" t="s">
        <v>1669</v>
      </c>
      <c r="F144" s="1604" t="s">
        <v>1670</v>
      </c>
      <c r="G144" s="1611" t="s">
        <v>1311</v>
      </c>
      <c r="H144" s="1618" t="s">
        <v>1671</v>
      </c>
      <c r="I144" s="1618" t="s">
        <v>1000</v>
      </c>
      <c r="J144" s="1601" t="s">
        <v>1037</v>
      </c>
      <c r="K144" s="1611">
        <v>41445</v>
      </c>
      <c r="L144" s="1611" t="s">
        <v>1294</v>
      </c>
      <c r="M144" s="1617" t="s">
        <v>1672</v>
      </c>
      <c r="N144" s="1611" t="s">
        <v>912</v>
      </c>
      <c r="O144" s="1604">
        <v>2013</v>
      </c>
      <c r="P144" s="1611" t="s">
        <v>1240</v>
      </c>
      <c r="Q144" s="1618">
        <v>10</v>
      </c>
      <c r="R144" s="1618"/>
      <c r="S144" s="1618">
        <v>10</v>
      </c>
      <c r="T144" s="1611" t="s">
        <v>1097</v>
      </c>
      <c r="U144" s="1611" t="s">
        <v>863</v>
      </c>
      <c r="V144" s="1611"/>
      <c r="W144" s="1611" t="s">
        <v>851</v>
      </c>
      <c r="X144" s="1611"/>
      <c r="Y144" s="1611"/>
      <c r="Z144" s="1611"/>
    </row>
    <row r="145" spans="1:26" customFormat="1" hidden="1">
      <c r="A145" s="1611"/>
      <c r="B145" s="1611"/>
      <c r="C145" s="1611" t="s">
        <v>1039</v>
      </c>
      <c r="D145" s="1611" t="s">
        <v>1673</v>
      </c>
      <c r="E145" s="1619" t="s">
        <v>1674</v>
      </c>
      <c r="F145" s="1604" t="s">
        <v>1675</v>
      </c>
      <c r="G145" s="1611" t="s">
        <v>385</v>
      </c>
      <c r="H145" s="1618" t="s">
        <v>1671</v>
      </c>
      <c r="I145" s="1618" t="s">
        <v>1000</v>
      </c>
      <c r="J145" s="1601" t="s">
        <v>1391</v>
      </c>
      <c r="K145" s="1611">
        <v>41446</v>
      </c>
      <c r="L145" s="1611" t="s">
        <v>1676</v>
      </c>
      <c r="M145" s="1617" t="s">
        <v>1677</v>
      </c>
      <c r="N145" s="1611" t="s">
        <v>912</v>
      </c>
      <c r="O145" s="1604">
        <v>2013</v>
      </c>
      <c r="P145" s="1611" t="s">
        <v>1133</v>
      </c>
      <c r="Q145" s="1618">
        <v>5</v>
      </c>
      <c r="R145" s="1618"/>
      <c r="S145" s="1618">
        <v>5</v>
      </c>
      <c r="T145" s="1611" t="s">
        <v>1678</v>
      </c>
      <c r="U145" s="1611" t="s">
        <v>934</v>
      </c>
      <c r="V145" s="1611"/>
      <c r="W145" s="1611" t="s">
        <v>851</v>
      </c>
      <c r="X145" s="1611"/>
      <c r="Y145" s="1611"/>
      <c r="Z145" s="1611"/>
    </row>
    <row r="146" spans="1:26" customFormat="1" ht="69" hidden="1">
      <c r="A146" s="1611"/>
      <c r="B146" s="1611"/>
      <c r="C146" s="1611" t="s">
        <v>91</v>
      </c>
      <c r="D146" s="1611" t="s">
        <v>879</v>
      </c>
      <c r="E146" s="1619" t="s">
        <v>1679</v>
      </c>
      <c r="F146" s="1604" t="s">
        <v>1680</v>
      </c>
      <c r="G146" s="1611" t="s">
        <v>1311</v>
      </c>
      <c r="H146" s="1618" t="s">
        <v>1671</v>
      </c>
      <c r="I146" s="1618" t="s">
        <v>995</v>
      </c>
      <c r="J146" s="1601" t="s">
        <v>1573</v>
      </c>
      <c r="K146" s="1611">
        <v>41446</v>
      </c>
      <c r="L146" s="1611" t="s">
        <v>1294</v>
      </c>
      <c r="M146" s="1617" t="s">
        <v>1681</v>
      </c>
      <c r="N146" s="1611" t="s">
        <v>912</v>
      </c>
      <c r="O146" s="1604">
        <v>2013</v>
      </c>
      <c r="P146" s="1611" t="s">
        <v>1240</v>
      </c>
      <c r="Q146" s="1618">
        <v>3</v>
      </c>
      <c r="R146" s="1618"/>
      <c r="S146" s="1618">
        <v>3</v>
      </c>
      <c r="T146" s="1611" t="s">
        <v>1097</v>
      </c>
      <c r="U146" s="1611" t="s">
        <v>863</v>
      </c>
      <c r="V146" s="1611"/>
      <c r="W146" s="1611" t="s">
        <v>851</v>
      </c>
      <c r="X146" s="1611"/>
      <c r="Y146" s="1611"/>
      <c r="Z146" s="1611"/>
    </row>
    <row r="147" spans="1:26" customFormat="1" ht="124.2" hidden="1">
      <c r="A147" s="1611"/>
      <c r="B147" s="1611"/>
      <c r="C147" s="1611" t="s">
        <v>1006</v>
      </c>
      <c r="D147" s="1611" t="s">
        <v>879</v>
      </c>
      <c r="E147" s="1619" t="s">
        <v>1682</v>
      </c>
      <c r="F147" s="1604" t="s">
        <v>1675</v>
      </c>
      <c r="G147" s="1611" t="s">
        <v>1311</v>
      </c>
      <c r="H147" s="1618" t="s">
        <v>1671</v>
      </c>
      <c r="I147" s="1618" t="s">
        <v>995</v>
      </c>
      <c r="J147" s="1601" t="s">
        <v>1683</v>
      </c>
      <c r="K147" s="1611">
        <v>41449</v>
      </c>
      <c r="L147" s="1611" t="s">
        <v>1294</v>
      </c>
      <c r="M147" s="1617" t="s">
        <v>1684</v>
      </c>
      <c r="N147" s="1611" t="s">
        <v>912</v>
      </c>
      <c r="O147" s="1604">
        <v>2013</v>
      </c>
      <c r="P147" s="1611" t="s">
        <v>1240</v>
      </c>
      <c r="Q147" s="1618">
        <v>3</v>
      </c>
      <c r="R147" s="1618"/>
      <c r="S147" s="1618">
        <v>3</v>
      </c>
      <c r="T147" s="1611" t="s">
        <v>1222</v>
      </c>
      <c r="U147" s="1611" t="s">
        <v>1685</v>
      </c>
      <c r="V147" s="1611"/>
      <c r="W147" s="1611" t="s">
        <v>916</v>
      </c>
      <c r="X147" s="1611"/>
      <c r="Y147" s="1611"/>
      <c r="Z147" s="1611"/>
    </row>
    <row r="148" spans="1:26" customFormat="1" ht="27.6" hidden="1">
      <c r="A148" s="1611"/>
      <c r="B148" s="1611"/>
      <c r="C148" s="1611" t="s">
        <v>1049</v>
      </c>
      <c r="D148" s="1611" t="s">
        <v>431</v>
      </c>
      <c r="E148" s="1619" t="s">
        <v>1576</v>
      </c>
      <c r="F148" s="1604" t="s">
        <v>1576</v>
      </c>
      <c r="G148" s="1611" t="s">
        <v>1577</v>
      </c>
      <c r="H148" s="1618"/>
      <c r="I148" s="1618" t="s">
        <v>1576</v>
      </c>
      <c r="J148" s="1601" t="s">
        <v>1576</v>
      </c>
      <c r="K148" s="1611">
        <v>41453</v>
      </c>
      <c r="L148" s="1611" t="s">
        <v>1294</v>
      </c>
      <c r="M148" s="1617" t="s">
        <v>1686</v>
      </c>
      <c r="N148" s="1611" t="s">
        <v>917</v>
      </c>
      <c r="O148" s="1604">
        <v>2013</v>
      </c>
      <c r="P148" s="1611" t="s">
        <v>1240</v>
      </c>
      <c r="Q148" s="1618">
        <v>15</v>
      </c>
      <c r="R148" s="1618"/>
      <c r="S148" s="1618">
        <v>15</v>
      </c>
      <c r="T148" s="1611" t="s">
        <v>1598</v>
      </c>
      <c r="U148" s="1611" t="s">
        <v>1905</v>
      </c>
      <c r="V148" s="1611"/>
      <c r="W148" s="1611" t="s">
        <v>850</v>
      </c>
      <c r="X148" s="1611" t="s">
        <v>1228</v>
      </c>
      <c r="Y148" s="1611"/>
      <c r="Z148" s="1611"/>
    </row>
    <row r="149" spans="1:26" customFormat="1" ht="41.4" hidden="1">
      <c r="A149" s="1611"/>
      <c r="B149" s="1611"/>
      <c r="C149" s="1611" t="s">
        <v>430</v>
      </c>
      <c r="D149" s="1611" t="s">
        <v>879</v>
      </c>
      <c r="E149" s="1619" t="s">
        <v>1687</v>
      </c>
      <c r="F149" s="1604">
        <v>30</v>
      </c>
      <c r="G149" s="1611" t="s">
        <v>1688</v>
      </c>
      <c r="H149" s="1618" t="s">
        <v>994</v>
      </c>
      <c r="I149" s="1618" t="s">
        <v>995</v>
      </c>
      <c r="J149" s="1601" t="s">
        <v>1689</v>
      </c>
      <c r="K149" s="1611">
        <v>41457.5</v>
      </c>
      <c r="L149" s="1611" t="s">
        <v>1294</v>
      </c>
      <c r="M149" s="1617" t="s">
        <v>1690</v>
      </c>
      <c r="N149" s="1611" t="s">
        <v>912</v>
      </c>
      <c r="O149" s="1604">
        <v>2013</v>
      </c>
      <c r="P149" s="1611" t="s">
        <v>1691</v>
      </c>
      <c r="Q149" s="1618">
        <v>5</v>
      </c>
      <c r="R149" s="1618"/>
      <c r="S149" s="1618">
        <v>5</v>
      </c>
      <c r="T149" s="1611" t="s">
        <v>1462</v>
      </c>
      <c r="U149" s="1611" t="s">
        <v>1693</v>
      </c>
      <c r="V149" s="1611"/>
      <c r="W149" s="1611" t="s">
        <v>850</v>
      </c>
      <c r="X149" s="1611"/>
      <c r="Y149" s="1611"/>
      <c r="Z149" s="1611"/>
    </row>
    <row r="150" spans="1:26" customFormat="1" hidden="1">
      <c r="A150" s="1611"/>
      <c r="B150" s="1611"/>
      <c r="C150" s="1611" t="s">
        <v>1006</v>
      </c>
      <c r="D150" s="1611" t="s">
        <v>879</v>
      </c>
      <c r="E150" s="1619" t="s">
        <v>1694</v>
      </c>
      <c r="F150" s="1604"/>
      <c r="G150" s="1611" t="s">
        <v>1311</v>
      </c>
      <c r="H150" s="1618" t="s">
        <v>987</v>
      </c>
      <c r="I150" s="1618" t="s">
        <v>995</v>
      </c>
      <c r="J150" s="1601"/>
      <c r="K150" s="1611">
        <v>41462</v>
      </c>
      <c r="L150" s="1611" t="s">
        <v>1294</v>
      </c>
      <c r="M150" s="1617" t="s">
        <v>1695</v>
      </c>
      <c r="N150" s="1611" t="s">
        <v>912</v>
      </c>
      <c r="O150" s="1604">
        <v>2013</v>
      </c>
      <c r="P150" s="1611" t="s">
        <v>1475</v>
      </c>
      <c r="Q150" s="1618">
        <v>6</v>
      </c>
      <c r="R150" s="1618"/>
      <c r="S150" s="1618">
        <v>6</v>
      </c>
      <c r="T150" s="1611" t="s">
        <v>1462</v>
      </c>
      <c r="U150" s="1611" t="s">
        <v>821</v>
      </c>
      <c r="V150" s="1611"/>
      <c r="W150" s="1611" t="s">
        <v>849</v>
      </c>
      <c r="X150" s="1611"/>
      <c r="Y150" s="1611"/>
      <c r="Z150" s="1611"/>
    </row>
    <row r="151" spans="1:26" customFormat="1" ht="27.6" hidden="1">
      <c r="A151" s="1611"/>
      <c r="B151" s="1611"/>
      <c r="C151" s="1611" t="s">
        <v>1128</v>
      </c>
      <c r="D151" s="1611" t="s">
        <v>604</v>
      </c>
      <c r="E151" s="1619"/>
      <c r="F151" s="1604"/>
      <c r="G151" s="1611" t="s">
        <v>1577</v>
      </c>
      <c r="H151" s="1618"/>
      <c r="I151" s="1618"/>
      <c r="J151" s="1601"/>
      <c r="K151" s="1611">
        <v>41463.565972222219</v>
      </c>
      <c r="L151" s="1611" t="s">
        <v>1294</v>
      </c>
      <c r="M151" s="1617" t="s">
        <v>1696</v>
      </c>
      <c r="N151" s="1611" t="s">
        <v>1916</v>
      </c>
      <c r="O151" s="1604">
        <v>2013</v>
      </c>
      <c r="P151" s="1611" t="s">
        <v>1691</v>
      </c>
      <c r="Q151" s="1618">
        <v>30</v>
      </c>
      <c r="R151" s="1618"/>
      <c r="S151" s="1618">
        <v>30</v>
      </c>
      <c r="T151" s="1611" t="s">
        <v>1218</v>
      </c>
      <c r="U151" s="1611" t="s">
        <v>1697</v>
      </c>
      <c r="V151" s="1611"/>
      <c r="W151" s="1611" t="s">
        <v>916</v>
      </c>
      <c r="X151" s="1611" t="s">
        <v>1361</v>
      </c>
      <c r="Y151" s="1611"/>
      <c r="Z151" s="1611"/>
    </row>
    <row r="152" spans="1:26" customFormat="1" ht="69" hidden="1">
      <c r="A152" s="1611"/>
      <c r="B152" s="1611"/>
      <c r="C152" s="1611" t="s">
        <v>77</v>
      </c>
      <c r="D152" s="1611" t="s">
        <v>1057</v>
      </c>
      <c r="E152" s="1619"/>
      <c r="F152" s="1604"/>
      <c r="G152" s="1611" t="s">
        <v>1577</v>
      </c>
      <c r="H152" s="1618"/>
      <c r="I152" s="1618"/>
      <c r="J152" s="1601"/>
      <c r="K152" s="1611">
        <v>41464.5</v>
      </c>
      <c r="L152" s="1611" t="s">
        <v>1294</v>
      </c>
      <c r="M152" s="1617" t="s">
        <v>1698</v>
      </c>
      <c r="N152" s="1611" t="s">
        <v>917</v>
      </c>
      <c r="O152" s="1604">
        <v>2013</v>
      </c>
      <c r="P152" s="1611" t="s">
        <v>1691</v>
      </c>
      <c r="Q152" s="1618">
        <v>1</v>
      </c>
      <c r="R152" s="1618"/>
      <c r="S152" s="1618">
        <v>1</v>
      </c>
      <c r="T152" s="1611" t="s">
        <v>1699</v>
      </c>
      <c r="U152" s="1611" t="s">
        <v>870</v>
      </c>
      <c r="V152" s="1611"/>
      <c r="W152" s="1611" t="s">
        <v>850</v>
      </c>
      <c r="X152" s="1611" t="s">
        <v>1700</v>
      </c>
      <c r="Y152" s="1611"/>
      <c r="Z152" s="1611"/>
    </row>
    <row r="153" spans="1:26" customFormat="1" ht="27.6" hidden="1">
      <c r="A153" s="1611"/>
      <c r="B153" s="1611"/>
      <c r="C153" s="1611" t="s">
        <v>430</v>
      </c>
      <c r="D153" s="1611" t="s">
        <v>1223</v>
      </c>
      <c r="E153" s="1619"/>
      <c r="F153" s="1604"/>
      <c r="G153" s="1611" t="s">
        <v>1577</v>
      </c>
      <c r="H153" s="1618"/>
      <c r="I153" s="1618"/>
      <c r="J153" s="1601"/>
      <c r="K153" s="1611">
        <v>41465.458333333336</v>
      </c>
      <c r="L153" s="1611" t="s">
        <v>1294</v>
      </c>
      <c r="M153" s="1617" t="s">
        <v>1701</v>
      </c>
      <c r="N153" s="1611" t="s">
        <v>923</v>
      </c>
      <c r="O153" s="1604">
        <v>2013</v>
      </c>
      <c r="P153" s="1611" t="s">
        <v>1691</v>
      </c>
      <c r="Q153" s="1618">
        <v>3</v>
      </c>
      <c r="R153" s="1618"/>
      <c r="S153" s="1618">
        <v>3</v>
      </c>
      <c r="T153" s="1611" t="s">
        <v>1901</v>
      </c>
      <c r="U153" s="1611" t="s">
        <v>1905</v>
      </c>
      <c r="V153" s="1611"/>
      <c r="W153" s="1611" t="s">
        <v>1583</v>
      </c>
      <c r="X153" s="1611" t="s">
        <v>668</v>
      </c>
      <c r="Y153" s="1611"/>
      <c r="Z153" s="1611"/>
    </row>
    <row r="154" spans="1:26" customFormat="1" ht="41.4" hidden="1">
      <c r="A154" s="1611"/>
      <c r="B154" s="1611"/>
      <c r="C154" s="1611" t="s">
        <v>91</v>
      </c>
      <c r="D154" s="1611" t="s">
        <v>879</v>
      </c>
      <c r="E154" s="1619" t="s">
        <v>1702</v>
      </c>
      <c r="F154" s="1604">
        <v>20</v>
      </c>
      <c r="G154" s="1611" t="s">
        <v>1688</v>
      </c>
      <c r="H154" s="1618" t="s">
        <v>987</v>
      </c>
      <c r="I154" s="1618" t="s">
        <v>1019</v>
      </c>
      <c r="J154" s="1601" t="s">
        <v>1449</v>
      </c>
      <c r="K154" s="1611">
        <v>41465.875</v>
      </c>
      <c r="L154" s="1611" t="s">
        <v>1294</v>
      </c>
      <c r="M154" s="1617" t="s">
        <v>1703</v>
      </c>
      <c r="N154" s="1611" t="s">
        <v>912</v>
      </c>
      <c r="O154" s="1604">
        <v>2013</v>
      </c>
      <c r="P154" s="1611" t="s">
        <v>1691</v>
      </c>
      <c r="Q154" s="1618">
        <v>3</v>
      </c>
      <c r="R154" s="1618"/>
      <c r="S154" s="1618">
        <v>3</v>
      </c>
      <c r="T154" s="1611" t="s">
        <v>1704</v>
      </c>
      <c r="U154" s="1611" t="s">
        <v>1705</v>
      </c>
      <c r="V154" s="1611"/>
      <c r="W154" s="1611" t="s">
        <v>851</v>
      </c>
      <c r="X154" s="1611"/>
      <c r="Y154" s="1611"/>
      <c r="Z154" s="1611"/>
    </row>
    <row r="155" spans="1:26" customFormat="1" ht="96.6" hidden="1">
      <c r="A155" s="1611"/>
      <c r="B155" s="1611"/>
      <c r="C155" s="1611" t="s">
        <v>1128</v>
      </c>
      <c r="D155" s="1611" t="s">
        <v>879</v>
      </c>
      <c r="E155" s="1619" t="s">
        <v>1706</v>
      </c>
      <c r="F155" s="1604">
        <v>40</v>
      </c>
      <c r="G155" s="1611" t="s">
        <v>1688</v>
      </c>
      <c r="H155" s="1618" t="s">
        <v>994</v>
      </c>
      <c r="I155" s="1618" t="s">
        <v>995</v>
      </c>
      <c r="J155" s="1601" t="s">
        <v>1197</v>
      </c>
      <c r="K155" s="1611">
        <v>41466.597222222219</v>
      </c>
      <c r="L155" s="1611" t="s">
        <v>1294</v>
      </c>
      <c r="M155" s="1617" t="s">
        <v>1707</v>
      </c>
      <c r="N155" s="1611" t="s">
        <v>912</v>
      </c>
      <c r="O155" s="1604">
        <v>2013</v>
      </c>
      <c r="P155" s="1611" t="s">
        <v>1691</v>
      </c>
      <c r="Q155" s="1618">
        <v>95</v>
      </c>
      <c r="R155" s="1618"/>
      <c r="S155" s="1618">
        <v>95</v>
      </c>
      <c r="T155" s="1611" t="s">
        <v>1097</v>
      </c>
      <c r="U155" s="1611" t="s">
        <v>934</v>
      </c>
      <c r="V155" s="1611"/>
      <c r="W155" s="1611" t="s">
        <v>851</v>
      </c>
      <c r="X155" s="1611"/>
      <c r="Y155" s="1611"/>
      <c r="Z155" s="1611"/>
    </row>
    <row r="156" spans="1:26" customFormat="1" ht="41.4" hidden="1">
      <c r="A156" s="1611"/>
      <c r="B156" s="1611"/>
      <c r="C156" s="1611" t="s">
        <v>1128</v>
      </c>
      <c r="D156" s="1611" t="s">
        <v>879</v>
      </c>
      <c r="E156" s="1619" t="s">
        <v>1708</v>
      </c>
      <c r="F156" s="1604">
        <v>22</v>
      </c>
      <c r="G156" s="1611" t="s">
        <v>1688</v>
      </c>
      <c r="H156" s="1618" t="s">
        <v>994</v>
      </c>
      <c r="I156" s="1618" t="s">
        <v>995</v>
      </c>
      <c r="J156" s="1601" t="s">
        <v>1709</v>
      </c>
      <c r="K156" s="1611">
        <v>41470.5625</v>
      </c>
      <c r="L156" s="1611" t="s">
        <v>1294</v>
      </c>
      <c r="M156" s="1617" t="s">
        <v>1710</v>
      </c>
      <c r="N156" s="1611" t="s">
        <v>915</v>
      </c>
      <c r="O156" s="1604">
        <v>2013</v>
      </c>
      <c r="P156" s="1611" t="s">
        <v>1691</v>
      </c>
      <c r="Q156" s="1618">
        <v>15</v>
      </c>
      <c r="R156" s="1618"/>
      <c r="S156" s="1618">
        <v>15</v>
      </c>
      <c r="T156" s="1611" t="s">
        <v>1711</v>
      </c>
      <c r="U156" s="1611" t="s">
        <v>1712</v>
      </c>
      <c r="V156" s="1611"/>
      <c r="W156" s="1611" t="s">
        <v>916</v>
      </c>
      <c r="X156" s="1611"/>
      <c r="Y156" s="1611"/>
      <c r="Z156" s="1611"/>
    </row>
    <row r="157" spans="1:26" customFormat="1" ht="41.4" hidden="1">
      <c r="A157" s="1611"/>
      <c r="B157" s="1611"/>
      <c r="C157" s="1611" t="s">
        <v>91</v>
      </c>
      <c r="D157" s="1611" t="s">
        <v>879</v>
      </c>
      <c r="E157" s="1619" t="s">
        <v>1713</v>
      </c>
      <c r="F157" s="1604">
        <v>34</v>
      </c>
      <c r="G157" s="1611" t="s">
        <v>1688</v>
      </c>
      <c r="H157" s="1618" t="s">
        <v>987</v>
      </c>
      <c r="I157" s="1618" t="s">
        <v>1019</v>
      </c>
      <c r="J157" s="1601" t="s">
        <v>1573</v>
      </c>
      <c r="K157" s="1611">
        <v>41470.666666666664</v>
      </c>
      <c r="L157" s="1611" t="s">
        <v>1294</v>
      </c>
      <c r="M157" s="1617" t="s">
        <v>1714</v>
      </c>
      <c r="N157" s="1611" t="s">
        <v>915</v>
      </c>
      <c r="O157" s="1604">
        <v>2013</v>
      </c>
      <c r="P157" s="1611" t="s">
        <v>1691</v>
      </c>
      <c r="Q157" s="1618">
        <v>45</v>
      </c>
      <c r="R157" s="1618"/>
      <c r="S157" s="1618">
        <v>45</v>
      </c>
      <c r="T157" s="1611" t="s">
        <v>1715</v>
      </c>
      <c r="U157" s="1611" t="s">
        <v>558</v>
      </c>
      <c r="V157" s="1611"/>
      <c r="W157" s="1611" t="s">
        <v>850</v>
      </c>
      <c r="X157" s="1611"/>
      <c r="Y157" s="1611"/>
      <c r="Z157" s="1611"/>
    </row>
    <row r="158" spans="1:26" customFormat="1" ht="55.2" hidden="1">
      <c r="A158" s="1611"/>
      <c r="B158" s="1611"/>
      <c r="C158" s="1611" t="s">
        <v>91</v>
      </c>
      <c r="D158" s="1611" t="s">
        <v>1692</v>
      </c>
      <c r="E158" s="1619"/>
      <c r="F158" s="1604"/>
      <c r="G158" s="1611" t="s">
        <v>1716</v>
      </c>
      <c r="H158" s="1618"/>
      <c r="I158" s="1618"/>
      <c r="J158" s="1601"/>
      <c r="K158" s="1611">
        <v>41473</v>
      </c>
      <c r="L158" s="1611" t="s">
        <v>1294</v>
      </c>
      <c r="M158" s="1617" t="s">
        <v>1717</v>
      </c>
      <c r="N158" s="1611" t="s">
        <v>917</v>
      </c>
      <c r="O158" s="1604">
        <v>2013</v>
      </c>
      <c r="P158" s="1611" t="s">
        <v>1691</v>
      </c>
      <c r="Q158" s="1618">
        <v>2</v>
      </c>
      <c r="R158" s="1618"/>
      <c r="S158" s="1618">
        <v>2</v>
      </c>
      <c r="T158" s="1611" t="s">
        <v>1718</v>
      </c>
      <c r="U158" s="1611" t="s">
        <v>1645</v>
      </c>
      <c r="V158" s="1611"/>
      <c r="W158" s="1611" t="s">
        <v>850</v>
      </c>
      <c r="X158" s="1611"/>
      <c r="Y158" s="1611"/>
      <c r="Z158" s="1611"/>
    </row>
    <row r="159" spans="1:26" customFormat="1" ht="55.2" hidden="1">
      <c r="A159" s="1611"/>
      <c r="B159" s="1611"/>
      <c r="C159" s="1611" t="s">
        <v>91</v>
      </c>
      <c r="D159" s="1611" t="s">
        <v>821</v>
      </c>
      <c r="E159" s="1619" t="s">
        <v>1719</v>
      </c>
      <c r="F159" s="1604">
        <v>48</v>
      </c>
      <c r="G159" s="1611" t="s">
        <v>1311</v>
      </c>
      <c r="H159" s="1618" t="s">
        <v>987</v>
      </c>
      <c r="I159" s="1618" t="s">
        <v>995</v>
      </c>
      <c r="J159" s="1601" t="s">
        <v>1720</v>
      </c>
      <c r="K159" s="1611">
        <v>41473</v>
      </c>
      <c r="L159" s="1611" t="s">
        <v>1294</v>
      </c>
      <c r="M159" s="1617" t="s">
        <v>1717</v>
      </c>
      <c r="N159" s="1611" t="s">
        <v>913</v>
      </c>
      <c r="O159" s="1604">
        <v>2013</v>
      </c>
      <c r="P159" s="1611" t="s">
        <v>1691</v>
      </c>
      <c r="Q159" s="1618">
        <v>2</v>
      </c>
      <c r="R159" s="1618"/>
      <c r="S159" s="1618">
        <v>2</v>
      </c>
      <c r="T159" s="1611" t="s">
        <v>1718</v>
      </c>
      <c r="U159" s="1611" t="s">
        <v>1645</v>
      </c>
      <c r="V159" s="1611"/>
      <c r="W159" s="1611" t="s">
        <v>850</v>
      </c>
      <c r="X159" s="1611"/>
      <c r="Y159" s="1611"/>
      <c r="Z159" s="1611"/>
    </row>
    <row r="160" spans="1:26" customFormat="1" ht="27.6" hidden="1">
      <c r="A160" s="1611"/>
      <c r="B160" s="1611"/>
      <c r="C160" s="1611" t="s">
        <v>1049</v>
      </c>
      <c r="D160" s="1611" t="s">
        <v>431</v>
      </c>
      <c r="E160" s="1619"/>
      <c r="F160" s="1604"/>
      <c r="G160" s="1611" t="s">
        <v>1716</v>
      </c>
      <c r="H160" s="1618"/>
      <c r="I160" s="1618"/>
      <c r="J160" s="1601"/>
      <c r="K160" s="1611">
        <v>41482.479166666664</v>
      </c>
      <c r="L160" s="1611" t="s">
        <v>1294</v>
      </c>
      <c r="M160" s="1617" t="s">
        <v>1721</v>
      </c>
      <c r="N160" s="1611" t="s">
        <v>912</v>
      </c>
      <c r="O160" s="1604">
        <v>2013</v>
      </c>
      <c r="P160" s="1611" t="s">
        <v>1691</v>
      </c>
      <c r="Q160" s="1618">
        <v>3</v>
      </c>
      <c r="R160" s="1618"/>
      <c r="S160" s="1618">
        <v>3</v>
      </c>
      <c r="T160" s="1611" t="s">
        <v>1180</v>
      </c>
      <c r="U160" s="1611" t="s">
        <v>1104</v>
      </c>
      <c r="V160" s="1611"/>
      <c r="W160" s="1611" t="s">
        <v>849</v>
      </c>
      <c r="X160" s="1611" t="s">
        <v>1722</v>
      </c>
      <c r="Y160" s="1611"/>
      <c r="Z160" s="1611"/>
    </row>
    <row r="161" spans="1:26" customFormat="1" ht="27.6" hidden="1">
      <c r="A161" s="1611"/>
      <c r="B161" s="1611"/>
      <c r="C161" s="1611" t="s">
        <v>91</v>
      </c>
      <c r="D161" s="1611" t="s">
        <v>879</v>
      </c>
      <c r="E161" s="1619" t="s">
        <v>1723</v>
      </c>
      <c r="F161" s="1604">
        <v>44</v>
      </c>
      <c r="G161" s="1611" t="s">
        <v>1311</v>
      </c>
      <c r="H161" s="1618" t="s">
        <v>987</v>
      </c>
      <c r="I161" s="1618" t="s">
        <v>995</v>
      </c>
      <c r="J161" s="1601" t="s">
        <v>1724</v>
      </c>
      <c r="K161" s="1611">
        <v>41488</v>
      </c>
      <c r="L161" s="1611" t="s">
        <v>1294</v>
      </c>
      <c r="M161" s="1617" t="s">
        <v>1725</v>
      </c>
      <c r="N161" s="1611" t="s">
        <v>929</v>
      </c>
      <c r="O161" s="1604">
        <v>2013</v>
      </c>
      <c r="P161" s="1611" t="s">
        <v>1436</v>
      </c>
      <c r="Q161" s="1618">
        <v>3</v>
      </c>
      <c r="R161" s="1618"/>
      <c r="S161" s="1618">
        <v>3</v>
      </c>
      <c r="T161" s="1611" t="s">
        <v>1901</v>
      </c>
      <c r="U161" s="1611" t="s">
        <v>1726</v>
      </c>
      <c r="V161" s="1611"/>
      <c r="W161" s="1611" t="s">
        <v>1583</v>
      </c>
      <c r="X161" s="1611"/>
      <c r="Y161" s="1611"/>
      <c r="Z161" s="1611"/>
    </row>
    <row r="162" spans="1:26" customFormat="1" ht="27.6" hidden="1">
      <c r="A162" s="1611"/>
      <c r="B162" s="1611"/>
      <c r="C162" s="1611" t="s">
        <v>694</v>
      </c>
      <c r="D162" s="1611" t="s">
        <v>879</v>
      </c>
      <c r="E162" s="1619" t="s">
        <v>1727</v>
      </c>
      <c r="F162" s="1604">
        <v>23</v>
      </c>
      <c r="G162" s="1611" t="s">
        <v>1311</v>
      </c>
      <c r="H162" s="1618" t="s">
        <v>987</v>
      </c>
      <c r="I162" s="1618" t="s">
        <v>1728</v>
      </c>
      <c r="J162" s="1601" t="s">
        <v>1729</v>
      </c>
      <c r="K162" s="1611">
        <v>41501</v>
      </c>
      <c r="L162" s="1611" t="s">
        <v>1294</v>
      </c>
      <c r="M162" s="1617" t="s">
        <v>1730</v>
      </c>
      <c r="N162" s="1611" t="s">
        <v>1916</v>
      </c>
      <c r="O162" s="1604">
        <v>2013</v>
      </c>
      <c r="P162" s="1611" t="s">
        <v>1436</v>
      </c>
      <c r="Q162" s="1618">
        <v>2</v>
      </c>
      <c r="R162" s="1618"/>
      <c r="S162" s="1618">
        <v>2</v>
      </c>
      <c r="T162" s="1611" t="s">
        <v>1097</v>
      </c>
      <c r="U162" s="1611" t="s">
        <v>1731</v>
      </c>
      <c r="V162" s="1611"/>
      <c r="W162" s="1611" t="s">
        <v>850</v>
      </c>
      <c r="X162" s="1611"/>
      <c r="Y162" s="1611"/>
      <c r="Z162" s="1611"/>
    </row>
    <row r="163" spans="1:26" customFormat="1" hidden="1">
      <c r="A163" s="1611"/>
      <c r="B163" s="1611"/>
      <c r="C163" s="1611" t="s">
        <v>91</v>
      </c>
      <c r="D163" s="1611" t="s">
        <v>1167</v>
      </c>
      <c r="E163" s="1619"/>
      <c r="F163" s="1604"/>
      <c r="G163" s="1611" t="s">
        <v>1577</v>
      </c>
      <c r="H163" s="1618"/>
      <c r="I163" s="1618"/>
      <c r="J163" s="1601"/>
      <c r="K163" s="1611">
        <v>41515</v>
      </c>
      <c r="L163" s="1611" t="s">
        <v>1294</v>
      </c>
      <c r="M163" s="1617" t="s">
        <v>1732</v>
      </c>
      <c r="N163" s="1611" t="s">
        <v>923</v>
      </c>
      <c r="O163" s="1604">
        <v>2013</v>
      </c>
      <c r="P163" s="1611" t="s">
        <v>1436</v>
      </c>
      <c r="Q163" s="1618">
        <v>10</v>
      </c>
      <c r="R163" s="1618"/>
      <c r="S163" s="1618">
        <v>10</v>
      </c>
      <c r="T163" s="1611" t="s">
        <v>1901</v>
      </c>
      <c r="U163" s="1611" t="s">
        <v>1733</v>
      </c>
      <c r="V163" s="1611"/>
      <c r="W163" s="1611" t="s">
        <v>1583</v>
      </c>
      <c r="X163" s="1611" t="s">
        <v>1734</v>
      </c>
      <c r="Y163" s="1611"/>
      <c r="Z163" s="1611"/>
    </row>
    <row r="164" spans="1:26" customFormat="1" hidden="1">
      <c r="A164" s="1611"/>
      <c r="B164" s="1611"/>
      <c r="C164" s="1611" t="s">
        <v>1128</v>
      </c>
      <c r="D164" s="1611" t="s">
        <v>879</v>
      </c>
      <c r="E164" s="1619" t="s">
        <v>1735</v>
      </c>
      <c r="F164" s="1604">
        <v>19</v>
      </c>
      <c r="G164" s="1611" t="s">
        <v>1311</v>
      </c>
      <c r="H164" s="1618" t="s">
        <v>994</v>
      </c>
      <c r="I164" s="1618" t="s">
        <v>1019</v>
      </c>
      <c r="J164" s="1601" t="s">
        <v>1736</v>
      </c>
      <c r="K164" s="1611">
        <v>41526</v>
      </c>
      <c r="L164" s="1611" t="s">
        <v>1294</v>
      </c>
      <c r="M164" s="1617" t="s">
        <v>1737</v>
      </c>
      <c r="N164" s="1611" t="s">
        <v>912</v>
      </c>
      <c r="O164" s="1604">
        <v>2013</v>
      </c>
      <c r="P164" s="1611" t="s">
        <v>1475</v>
      </c>
      <c r="Q164" s="1618">
        <v>3</v>
      </c>
      <c r="R164" s="1618"/>
      <c r="S164" s="1618">
        <v>3</v>
      </c>
      <c r="T164" s="1611" t="s">
        <v>226</v>
      </c>
      <c r="U164" s="1611" t="s">
        <v>864</v>
      </c>
      <c r="V164" s="1611"/>
      <c r="W164" s="1611" t="s">
        <v>851</v>
      </c>
      <c r="X164" s="1611"/>
      <c r="Y164" s="1611"/>
      <c r="Z164" s="1611"/>
    </row>
    <row r="165" spans="1:26" customFormat="1" hidden="1">
      <c r="A165" s="1611"/>
      <c r="B165" s="1611"/>
      <c r="C165" s="1611" t="s">
        <v>588</v>
      </c>
      <c r="D165" s="1611" t="s">
        <v>879</v>
      </c>
      <c r="E165" s="1619" t="s">
        <v>1738</v>
      </c>
      <c r="F165" s="1604"/>
      <c r="G165" s="1611" t="s">
        <v>1311</v>
      </c>
      <c r="H165" s="1618"/>
      <c r="I165" s="1618"/>
      <c r="J165" s="1601"/>
      <c r="K165" s="1611">
        <v>41532</v>
      </c>
      <c r="L165" s="1611" t="s">
        <v>1294</v>
      </c>
      <c r="M165" s="1617" t="s">
        <v>1739</v>
      </c>
      <c r="N165" s="1611" t="s">
        <v>929</v>
      </c>
      <c r="O165" s="1604">
        <v>2013</v>
      </c>
      <c r="P165" s="1611" t="s">
        <v>1475</v>
      </c>
      <c r="Q165" s="1618">
        <v>2</v>
      </c>
      <c r="R165" s="1618"/>
      <c r="S165" s="1618">
        <v>2</v>
      </c>
      <c r="T165" s="1611" t="s">
        <v>1462</v>
      </c>
      <c r="U165" s="1611" t="s">
        <v>869</v>
      </c>
      <c r="V165" s="1611"/>
      <c r="W165" s="1611" t="s">
        <v>1740</v>
      </c>
      <c r="X165" s="1611"/>
      <c r="Y165" s="1611"/>
      <c r="Z165" s="1611"/>
    </row>
    <row r="166" spans="1:26" customFormat="1" hidden="1">
      <c r="A166" s="1611"/>
      <c r="B166" s="1611"/>
      <c r="C166" s="1611" t="s">
        <v>588</v>
      </c>
      <c r="D166" s="1611" t="s">
        <v>879</v>
      </c>
      <c r="E166" s="1619"/>
      <c r="F166" s="1604"/>
      <c r="G166" s="1611" t="s">
        <v>1311</v>
      </c>
      <c r="H166" s="1618"/>
      <c r="I166" s="1618"/>
      <c r="J166" s="1601"/>
      <c r="K166" s="1611">
        <v>41537</v>
      </c>
      <c r="L166" s="1611" t="s">
        <v>1294</v>
      </c>
      <c r="M166" s="1617" t="s">
        <v>1741</v>
      </c>
      <c r="N166" s="1611" t="s">
        <v>923</v>
      </c>
      <c r="O166" s="1604">
        <v>2013</v>
      </c>
      <c r="P166" s="1611" t="s">
        <v>1475</v>
      </c>
      <c r="Q166" s="1618">
        <v>3</v>
      </c>
      <c r="R166" s="1618"/>
      <c r="S166" s="1618">
        <v>3</v>
      </c>
      <c r="T166" s="1611" t="s">
        <v>1432</v>
      </c>
      <c r="U166" s="1611" t="s">
        <v>558</v>
      </c>
      <c r="V166" s="1611"/>
      <c r="W166" s="1611" t="s">
        <v>850</v>
      </c>
      <c r="X166" s="1611"/>
      <c r="Y166" s="1611"/>
      <c r="Z166" s="1611"/>
    </row>
    <row r="167" spans="1:26" customFormat="1" hidden="1">
      <c r="A167" s="1611"/>
      <c r="B167" s="1611"/>
      <c r="C167" s="1611" t="s">
        <v>1006</v>
      </c>
      <c r="D167" s="1611" t="s">
        <v>998</v>
      </c>
      <c r="E167" s="1619" t="s">
        <v>1742</v>
      </c>
      <c r="F167" s="1604"/>
      <c r="G167" s="1611" t="s">
        <v>1311</v>
      </c>
      <c r="H167" s="1618" t="s">
        <v>987</v>
      </c>
      <c r="I167" s="1618" t="s">
        <v>1743</v>
      </c>
      <c r="J167" s="1601" t="s">
        <v>1744</v>
      </c>
      <c r="K167" s="1611">
        <v>41539</v>
      </c>
      <c r="L167" s="1611" t="s">
        <v>1294</v>
      </c>
      <c r="M167" s="1617" t="s">
        <v>1745</v>
      </c>
      <c r="N167" s="1611" t="s">
        <v>917</v>
      </c>
      <c r="O167" s="1604">
        <v>2013</v>
      </c>
      <c r="P167" s="1611" t="s">
        <v>1475</v>
      </c>
      <c r="Q167" s="1618">
        <v>60</v>
      </c>
      <c r="R167" s="1618"/>
      <c r="S167" s="1618">
        <v>60</v>
      </c>
      <c r="T167" s="1611" t="s">
        <v>1564</v>
      </c>
      <c r="U167" s="1611" t="s">
        <v>558</v>
      </c>
      <c r="V167" s="1611"/>
      <c r="W167" s="1611" t="s">
        <v>882</v>
      </c>
      <c r="X167" s="1611"/>
      <c r="Y167" s="1611"/>
      <c r="Z167" s="1611"/>
    </row>
    <row r="168" spans="1:26" customFormat="1" hidden="1">
      <c r="A168" s="1611"/>
      <c r="B168" s="1611"/>
      <c r="C168" s="1611" t="s">
        <v>93</v>
      </c>
      <c r="D168" s="1611" t="s">
        <v>431</v>
      </c>
      <c r="E168" s="1619"/>
      <c r="F168" s="1604"/>
      <c r="G168" s="1611" t="s">
        <v>1577</v>
      </c>
      <c r="H168" s="1618"/>
      <c r="I168" s="1618"/>
      <c r="J168" s="1601"/>
      <c r="K168" s="1611">
        <v>41540</v>
      </c>
      <c r="L168" s="1611" t="s">
        <v>1294</v>
      </c>
      <c r="M168" s="1617" t="s">
        <v>1746</v>
      </c>
      <c r="N168" s="1611" t="s">
        <v>912</v>
      </c>
      <c r="O168" s="1604">
        <v>2013</v>
      </c>
      <c r="P168" s="1611" t="s">
        <v>1475</v>
      </c>
      <c r="Q168" s="1618">
        <v>2</v>
      </c>
      <c r="R168" s="1618"/>
      <c r="S168" s="1618">
        <v>2</v>
      </c>
      <c r="T168" s="1611" t="s">
        <v>1180</v>
      </c>
      <c r="U168" s="1611" t="s">
        <v>1104</v>
      </c>
      <c r="V168" s="1611"/>
      <c r="W168" s="1611" t="s">
        <v>850</v>
      </c>
      <c r="X168" s="1611" t="s">
        <v>1747</v>
      </c>
      <c r="Y168" s="1611"/>
      <c r="Z168" s="1611"/>
    </row>
    <row r="169" spans="1:26" customFormat="1" hidden="1">
      <c r="A169" s="1611"/>
      <c r="B169" s="1611"/>
      <c r="C169" s="1611" t="s">
        <v>918</v>
      </c>
      <c r="D169" s="1611" t="s">
        <v>1748</v>
      </c>
      <c r="E169" s="1619" t="s">
        <v>1749</v>
      </c>
      <c r="F169" s="1604">
        <v>24</v>
      </c>
      <c r="G169" s="1611" t="s">
        <v>1311</v>
      </c>
      <c r="H169" s="1618" t="s">
        <v>987</v>
      </c>
      <c r="I169" s="1618" t="s">
        <v>995</v>
      </c>
      <c r="J169" s="1601"/>
      <c r="K169" s="1611">
        <v>41547</v>
      </c>
      <c r="L169" s="1611" t="s">
        <v>1294</v>
      </c>
      <c r="M169" s="1617" t="s">
        <v>1750</v>
      </c>
      <c r="N169" s="1611" t="s">
        <v>912</v>
      </c>
      <c r="O169" s="1604">
        <v>2013</v>
      </c>
      <c r="P169" s="1611" t="s">
        <v>1475</v>
      </c>
      <c r="Q169" s="1618">
        <v>13</v>
      </c>
      <c r="R169" s="1618"/>
      <c r="S169" s="1618">
        <v>13</v>
      </c>
      <c r="T169" s="1611" t="s">
        <v>1751</v>
      </c>
      <c r="U169" s="1611" t="s">
        <v>1752</v>
      </c>
      <c r="V169" s="1611"/>
      <c r="W169" s="1611" t="s">
        <v>850</v>
      </c>
      <c r="X169" s="1611"/>
      <c r="Y169" s="1611"/>
      <c r="Z169" s="1611"/>
    </row>
    <row r="170" spans="1:26" customFormat="1" hidden="1">
      <c r="A170" s="1611"/>
      <c r="B170" s="1611"/>
      <c r="C170" s="1611" t="s">
        <v>1039</v>
      </c>
      <c r="D170" s="1611" t="s">
        <v>1673</v>
      </c>
      <c r="E170" s="1619" t="s">
        <v>1753</v>
      </c>
      <c r="F170" s="1604"/>
      <c r="G170" s="1611" t="s">
        <v>385</v>
      </c>
      <c r="H170" s="1618" t="s">
        <v>987</v>
      </c>
      <c r="I170" s="1618" t="s">
        <v>995</v>
      </c>
      <c r="J170" s="1601" t="s">
        <v>1648</v>
      </c>
      <c r="K170" s="1611">
        <v>41555</v>
      </c>
      <c r="L170" s="1611" t="s">
        <v>1754</v>
      </c>
      <c r="M170" s="1617" t="s">
        <v>1755</v>
      </c>
      <c r="N170" s="1611" t="s">
        <v>912</v>
      </c>
      <c r="O170" s="1604">
        <v>2013</v>
      </c>
      <c r="P170" s="1611" t="s">
        <v>653</v>
      </c>
      <c r="Q170" s="1618">
        <v>60</v>
      </c>
      <c r="R170" s="1618"/>
      <c r="S170" s="1618">
        <v>60</v>
      </c>
      <c r="T170" s="1611" t="s">
        <v>1241</v>
      </c>
      <c r="U170" s="1611" t="s">
        <v>864</v>
      </c>
      <c r="V170" s="1611"/>
      <c r="W170" s="1611" t="s">
        <v>849</v>
      </c>
      <c r="X170" s="1611"/>
      <c r="Y170" s="1611"/>
      <c r="Z170" s="1611"/>
    </row>
    <row r="171" spans="1:26" customFormat="1" hidden="1">
      <c r="A171" s="1611"/>
      <c r="B171" s="1611"/>
      <c r="C171" s="1611" t="s">
        <v>1049</v>
      </c>
      <c r="D171" s="1611" t="s">
        <v>431</v>
      </c>
      <c r="E171" s="1619"/>
      <c r="F171" s="1604"/>
      <c r="G171" s="1611" t="s">
        <v>1577</v>
      </c>
      <c r="H171" s="1618"/>
      <c r="I171" s="1618"/>
      <c r="J171" s="1601"/>
      <c r="K171" s="1611">
        <v>41562</v>
      </c>
      <c r="L171" s="1611" t="s">
        <v>1294</v>
      </c>
      <c r="M171" s="1617" t="s">
        <v>1756</v>
      </c>
      <c r="N171" s="1611" t="s">
        <v>1916</v>
      </c>
      <c r="O171" s="1604">
        <v>2013</v>
      </c>
      <c r="P171" s="1611" t="s">
        <v>653</v>
      </c>
      <c r="Q171" s="1618">
        <v>30</v>
      </c>
      <c r="R171" s="1618"/>
      <c r="S171" s="1618">
        <v>30</v>
      </c>
      <c r="T171" s="1611" t="s">
        <v>1432</v>
      </c>
      <c r="U171" s="1611" t="s">
        <v>558</v>
      </c>
      <c r="V171" s="1611"/>
      <c r="W171" s="1611" t="s">
        <v>851</v>
      </c>
      <c r="X171" s="1611" t="s">
        <v>1757</v>
      </c>
      <c r="Y171" s="1611"/>
      <c r="Z171" s="1611"/>
    </row>
    <row r="172" spans="1:26" customFormat="1" hidden="1">
      <c r="A172" s="1611"/>
      <c r="B172" s="1611"/>
      <c r="C172" s="1611" t="s">
        <v>1049</v>
      </c>
      <c r="D172" s="1611" t="s">
        <v>879</v>
      </c>
      <c r="E172" s="1619" t="s">
        <v>1758</v>
      </c>
      <c r="F172" s="1604"/>
      <c r="G172" s="1611" t="s">
        <v>1311</v>
      </c>
      <c r="H172" s="1618" t="s">
        <v>987</v>
      </c>
      <c r="I172" s="1618" t="s">
        <v>1019</v>
      </c>
      <c r="J172" s="1601" t="s">
        <v>1573</v>
      </c>
      <c r="K172" s="1611">
        <v>41567</v>
      </c>
      <c r="L172" s="1611" t="s">
        <v>1294</v>
      </c>
      <c r="M172" s="1617" t="s">
        <v>1759</v>
      </c>
      <c r="N172" s="1611" t="s">
        <v>913</v>
      </c>
      <c r="O172" s="1604">
        <v>2013</v>
      </c>
      <c r="P172" s="1611" t="s">
        <v>653</v>
      </c>
      <c r="Q172" s="1618">
        <v>15</v>
      </c>
      <c r="R172" s="1618"/>
      <c r="S172" s="1618">
        <v>15</v>
      </c>
      <c r="T172" s="1611" t="s">
        <v>1218</v>
      </c>
      <c r="U172" s="1611" t="s">
        <v>869</v>
      </c>
      <c r="V172" s="1611"/>
      <c r="W172" s="1611" t="s">
        <v>850</v>
      </c>
      <c r="X172" s="1611"/>
      <c r="Y172" s="1611"/>
      <c r="Z172" s="1611"/>
    </row>
    <row r="173" spans="1:26" customFormat="1" hidden="1">
      <c r="A173" s="1611"/>
      <c r="B173" s="1611"/>
      <c r="C173" s="1611" t="s">
        <v>588</v>
      </c>
      <c r="D173" s="1611" t="s">
        <v>604</v>
      </c>
      <c r="E173" s="1619"/>
      <c r="F173" s="1604"/>
      <c r="G173" s="1611" t="s">
        <v>1577</v>
      </c>
      <c r="H173" s="1618"/>
      <c r="I173" s="1618"/>
      <c r="J173" s="1601"/>
      <c r="K173" s="1611">
        <v>41579</v>
      </c>
      <c r="L173" s="1611" t="s">
        <v>1294</v>
      </c>
      <c r="M173" s="1617" t="s">
        <v>1760</v>
      </c>
      <c r="N173" s="1611" t="s">
        <v>912</v>
      </c>
      <c r="O173" s="1604">
        <v>2013</v>
      </c>
      <c r="P173" s="1611" t="s">
        <v>1102</v>
      </c>
      <c r="Q173" s="1618">
        <v>2</v>
      </c>
      <c r="R173" s="1618"/>
      <c r="S173" s="1618">
        <v>2</v>
      </c>
      <c r="T173" s="1611" t="s">
        <v>1360</v>
      </c>
      <c r="U173" s="1611" t="s">
        <v>867</v>
      </c>
      <c r="V173" s="1611"/>
      <c r="W173" s="1611" t="s">
        <v>851</v>
      </c>
      <c r="X173" s="1611" t="s">
        <v>1761</v>
      </c>
      <c r="Y173" s="1611"/>
      <c r="Z173" s="1611"/>
    </row>
    <row r="174" spans="1:26" customFormat="1" hidden="1">
      <c r="A174" s="1611"/>
      <c r="B174" s="1611"/>
      <c r="C174" s="1611" t="s">
        <v>588</v>
      </c>
      <c r="D174" s="1611" t="s">
        <v>1057</v>
      </c>
      <c r="E174" s="1619"/>
      <c r="F174" s="1604"/>
      <c r="G174" s="1611" t="s">
        <v>1577</v>
      </c>
      <c r="H174" s="1618"/>
      <c r="I174" s="1618"/>
      <c r="J174" s="1601"/>
      <c r="K174" s="1611">
        <v>41586</v>
      </c>
      <c r="L174" s="1611" t="s">
        <v>1294</v>
      </c>
      <c r="M174" s="1617" t="s">
        <v>1762</v>
      </c>
      <c r="N174" s="1611" t="s">
        <v>915</v>
      </c>
      <c r="O174" s="1604">
        <v>2013</v>
      </c>
      <c r="P174" s="1611" t="s">
        <v>1102</v>
      </c>
      <c r="Q174" s="1618">
        <v>1</v>
      </c>
      <c r="R174" s="1618"/>
      <c r="S174" s="1618">
        <v>1</v>
      </c>
      <c r="T174" s="1611" t="s">
        <v>1763</v>
      </c>
      <c r="U174" s="1611" t="s">
        <v>869</v>
      </c>
      <c r="V174" s="1611"/>
      <c r="W174" s="1611" t="s">
        <v>1764</v>
      </c>
      <c r="X174" s="1611" t="s">
        <v>1385</v>
      </c>
      <c r="Y174" s="1611"/>
      <c r="Z174" s="1611"/>
    </row>
    <row r="175" spans="1:26" customFormat="1" hidden="1">
      <c r="A175" s="1611"/>
      <c r="B175" s="1611"/>
      <c r="C175" s="1611" t="s">
        <v>694</v>
      </c>
      <c r="D175" s="1611" t="s">
        <v>879</v>
      </c>
      <c r="E175" s="1619" t="s">
        <v>1765</v>
      </c>
      <c r="F175" s="1604">
        <v>32</v>
      </c>
      <c r="G175" s="1611" t="s">
        <v>1311</v>
      </c>
      <c r="H175" s="1618" t="s">
        <v>987</v>
      </c>
      <c r="I175" s="1618" t="s">
        <v>1000</v>
      </c>
      <c r="J175" s="1601" t="s">
        <v>1387</v>
      </c>
      <c r="K175" s="1611">
        <v>41598</v>
      </c>
      <c r="L175" s="1611" t="s">
        <v>1294</v>
      </c>
      <c r="M175" s="1617" t="s">
        <v>1766</v>
      </c>
      <c r="N175" s="1611" t="s">
        <v>912</v>
      </c>
      <c r="O175" s="1604">
        <v>2013</v>
      </c>
      <c r="P175" s="1611" t="s">
        <v>1102</v>
      </c>
      <c r="Q175" s="1618">
        <v>27</v>
      </c>
      <c r="R175" s="1618"/>
      <c r="S175" s="1618">
        <v>27</v>
      </c>
      <c r="T175" s="1611" t="s">
        <v>1097</v>
      </c>
      <c r="U175" s="1611" t="s">
        <v>864</v>
      </c>
      <c r="V175" s="1611"/>
      <c r="W175" s="1611" t="s">
        <v>849</v>
      </c>
      <c r="X175" s="1611"/>
      <c r="Y175" s="1611"/>
      <c r="Z175" s="1611"/>
    </row>
    <row r="176" spans="1:26" customFormat="1" ht="27.6" hidden="1">
      <c r="A176" s="1611"/>
      <c r="B176" s="1611"/>
      <c r="C176" s="1611" t="s">
        <v>689</v>
      </c>
      <c r="D176" s="1611" t="s">
        <v>1223</v>
      </c>
      <c r="E176" s="1619"/>
      <c r="F176" s="1604"/>
      <c r="G176" s="1611" t="s">
        <v>1577</v>
      </c>
      <c r="H176" s="1618"/>
      <c r="I176" s="1618"/>
      <c r="J176" s="1601"/>
      <c r="K176" s="1611">
        <v>41603</v>
      </c>
      <c r="L176" s="1611" t="s">
        <v>1294</v>
      </c>
      <c r="M176" s="1617" t="s">
        <v>1767</v>
      </c>
      <c r="N176" s="1611" t="s">
        <v>912</v>
      </c>
      <c r="O176" s="1604">
        <v>2013</v>
      </c>
      <c r="P176" s="1611" t="s">
        <v>1102</v>
      </c>
      <c r="Q176" s="1618">
        <v>10</v>
      </c>
      <c r="R176" s="1618"/>
      <c r="S176" s="1618">
        <v>10</v>
      </c>
      <c r="T176" s="1611" t="s">
        <v>1218</v>
      </c>
      <c r="U176" s="1611" t="s">
        <v>869</v>
      </c>
      <c r="V176" s="1611"/>
      <c r="W176" s="1611" t="s">
        <v>850</v>
      </c>
      <c r="X176" s="1611" t="s">
        <v>1228</v>
      </c>
      <c r="Y176" s="1611"/>
      <c r="Z176" s="1611"/>
    </row>
    <row r="177" spans="1:26" customFormat="1" hidden="1">
      <c r="A177" s="1611"/>
      <c r="B177" s="1611"/>
      <c r="C177" s="1611" t="s">
        <v>91</v>
      </c>
      <c r="D177" s="1611" t="s">
        <v>1057</v>
      </c>
      <c r="E177" s="1619"/>
      <c r="F177" s="1604"/>
      <c r="G177" s="1611" t="s">
        <v>993</v>
      </c>
      <c r="H177" s="1618"/>
      <c r="I177" s="1618"/>
      <c r="J177" s="1601"/>
      <c r="K177" s="1611">
        <v>41604</v>
      </c>
      <c r="L177" s="1611" t="s">
        <v>1294</v>
      </c>
      <c r="M177" s="1617" t="s">
        <v>1768</v>
      </c>
      <c r="N177" s="1611" t="s">
        <v>917</v>
      </c>
      <c r="O177" s="1604">
        <v>2013</v>
      </c>
      <c r="P177" s="1611" t="s">
        <v>1102</v>
      </c>
      <c r="Q177" s="1618">
        <v>60</v>
      </c>
      <c r="R177" s="1618"/>
      <c r="S177" s="1618">
        <v>60</v>
      </c>
      <c r="T177" s="1611" t="s">
        <v>1919</v>
      </c>
      <c r="U177" s="1611" t="s">
        <v>558</v>
      </c>
      <c r="V177" s="1611"/>
      <c r="W177" s="1611" t="s">
        <v>850</v>
      </c>
      <c r="X177" s="1611" t="s">
        <v>1769</v>
      </c>
      <c r="Y177" s="1611"/>
      <c r="Z177" s="1611"/>
    </row>
    <row r="178" spans="1:26" customFormat="1" hidden="1">
      <c r="A178" s="1611"/>
      <c r="B178" s="1611"/>
      <c r="C178" s="1611" t="s">
        <v>1006</v>
      </c>
      <c r="D178" s="1611" t="s">
        <v>879</v>
      </c>
      <c r="E178" s="1619" t="s">
        <v>1770</v>
      </c>
      <c r="F178" s="1604">
        <v>18</v>
      </c>
      <c r="G178" s="1611" t="s">
        <v>1311</v>
      </c>
      <c r="H178" s="1618" t="s">
        <v>987</v>
      </c>
      <c r="I178" s="1618" t="s">
        <v>995</v>
      </c>
      <c r="J178" s="1601"/>
      <c r="K178" s="1611">
        <v>41605</v>
      </c>
      <c r="L178" s="1611" t="s">
        <v>1294</v>
      </c>
      <c r="M178" s="1617" t="s">
        <v>1771</v>
      </c>
      <c r="N178" s="1611" t="s">
        <v>1916</v>
      </c>
      <c r="O178" s="1604">
        <v>2013</v>
      </c>
      <c r="P178" s="1611" t="s">
        <v>1102</v>
      </c>
      <c r="Q178" s="1618">
        <v>7</v>
      </c>
      <c r="R178" s="1618"/>
      <c r="S178" s="1618">
        <v>7</v>
      </c>
      <c r="T178" s="1611" t="s">
        <v>1980</v>
      </c>
      <c r="U178" s="1611" t="s">
        <v>558</v>
      </c>
      <c r="V178" s="1611"/>
      <c r="W178" s="1611" t="s">
        <v>849</v>
      </c>
      <c r="X178" s="1611"/>
      <c r="Y178" s="1611"/>
      <c r="Z178" s="1611"/>
    </row>
    <row r="179" spans="1:26" customFormat="1" hidden="1">
      <c r="A179" s="1611"/>
      <c r="B179" s="1611"/>
      <c r="C179" s="1611" t="s">
        <v>77</v>
      </c>
      <c r="D179" s="1611" t="s">
        <v>879</v>
      </c>
      <c r="E179" s="1619" t="s">
        <v>1772</v>
      </c>
      <c r="F179" s="1604">
        <v>28</v>
      </c>
      <c r="G179" s="1611" t="s">
        <v>1311</v>
      </c>
      <c r="H179" s="1618" t="s">
        <v>994</v>
      </c>
      <c r="I179" s="1618" t="s">
        <v>1000</v>
      </c>
      <c r="J179" s="1601" t="s">
        <v>1169</v>
      </c>
      <c r="K179" s="1611">
        <v>41606</v>
      </c>
      <c r="L179" s="1611" t="s">
        <v>1294</v>
      </c>
      <c r="M179" s="1617" t="s">
        <v>1773</v>
      </c>
      <c r="N179" s="1611" t="s">
        <v>1916</v>
      </c>
      <c r="O179" s="1604">
        <v>2013</v>
      </c>
      <c r="P179" s="1611" t="s">
        <v>1102</v>
      </c>
      <c r="Q179" s="1618">
        <v>15</v>
      </c>
      <c r="R179" s="1618"/>
      <c r="S179" s="1618">
        <v>15</v>
      </c>
      <c r="T179" s="1611" t="s">
        <v>1307</v>
      </c>
      <c r="U179" s="1611" t="s">
        <v>863</v>
      </c>
      <c r="V179" s="1611"/>
      <c r="W179" s="1611" t="s">
        <v>849</v>
      </c>
      <c r="X179" s="1611"/>
      <c r="Y179" s="1611"/>
      <c r="Z179" s="1611"/>
    </row>
    <row r="180" spans="1:26" customFormat="1" hidden="1">
      <c r="A180" s="1611"/>
      <c r="B180" s="1611"/>
      <c r="C180" s="1611" t="s">
        <v>430</v>
      </c>
      <c r="D180" s="1611" t="s">
        <v>1167</v>
      </c>
      <c r="E180" s="1619" t="s">
        <v>1774</v>
      </c>
      <c r="F180" s="1604"/>
      <c r="G180" s="1611" t="s">
        <v>1311</v>
      </c>
      <c r="H180" s="1618" t="s">
        <v>987</v>
      </c>
      <c r="I180" s="1618"/>
      <c r="J180" s="1601" t="s">
        <v>1197</v>
      </c>
      <c r="K180" s="1611">
        <v>41608</v>
      </c>
      <c r="L180" s="1611" t="s">
        <v>1294</v>
      </c>
      <c r="M180" s="1617" t="s">
        <v>1775</v>
      </c>
      <c r="N180" s="1611" t="s">
        <v>917</v>
      </c>
      <c r="O180" s="1604">
        <v>2013</v>
      </c>
      <c r="P180" s="1611" t="s">
        <v>1102</v>
      </c>
      <c r="Q180" s="1618">
        <v>17</v>
      </c>
      <c r="R180" s="1618"/>
      <c r="S180" s="1618">
        <v>17</v>
      </c>
      <c r="T180" s="1611" t="s">
        <v>1200</v>
      </c>
      <c r="U180" s="1611" t="s">
        <v>914</v>
      </c>
      <c r="V180" s="1611"/>
      <c r="W180" s="1611" t="s">
        <v>849</v>
      </c>
      <c r="X180" s="1611"/>
      <c r="Y180" s="1611"/>
      <c r="Z180" s="1611"/>
    </row>
    <row r="181" spans="1:26" customFormat="1" hidden="1">
      <c r="A181" s="1611"/>
      <c r="B181" s="1611"/>
      <c r="C181" s="1611" t="s">
        <v>91</v>
      </c>
      <c r="D181" s="1611" t="s">
        <v>1057</v>
      </c>
      <c r="E181" s="1619"/>
      <c r="F181" s="1604"/>
      <c r="G181" s="1611" t="s">
        <v>1577</v>
      </c>
      <c r="H181" s="1618"/>
      <c r="I181" s="1618"/>
      <c r="J181" s="1601"/>
      <c r="K181" s="1611">
        <v>41617</v>
      </c>
      <c r="L181" s="1611" t="s">
        <v>1294</v>
      </c>
      <c r="M181" s="1617" t="s">
        <v>1917</v>
      </c>
      <c r="N181" s="1611" t="s">
        <v>912</v>
      </c>
      <c r="O181" s="1604">
        <v>2013</v>
      </c>
      <c r="P181" s="1611" t="s">
        <v>1154</v>
      </c>
      <c r="Q181" s="1618">
        <v>23</v>
      </c>
      <c r="R181" s="1618"/>
      <c r="S181" s="1618">
        <v>23</v>
      </c>
      <c r="T181" s="1611" t="s">
        <v>1598</v>
      </c>
      <c r="U181" s="1611" t="s">
        <v>558</v>
      </c>
      <c r="V181" s="1611"/>
      <c r="W181" s="1611" t="s">
        <v>850</v>
      </c>
      <c r="X181" s="1611" t="s">
        <v>1776</v>
      </c>
      <c r="Y181" s="1611"/>
      <c r="Z181" s="1611"/>
    </row>
    <row r="182" spans="1:26" customFormat="1" ht="41.4" hidden="1">
      <c r="A182" s="1611"/>
      <c r="B182" s="1611"/>
      <c r="C182" s="1611" t="s">
        <v>93</v>
      </c>
      <c r="D182" s="1611" t="s">
        <v>431</v>
      </c>
      <c r="E182" s="1619"/>
      <c r="F182" s="1604"/>
      <c r="G182" s="1611" t="s">
        <v>1577</v>
      </c>
      <c r="H182" s="1618"/>
      <c r="I182" s="1618"/>
      <c r="J182" s="1601"/>
      <c r="K182" s="1611">
        <v>41622</v>
      </c>
      <c r="L182" s="1611" t="s">
        <v>1294</v>
      </c>
      <c r="M182" s="1617" t="s">
        <v>1777</v>
      </c>
      <c r="N182" s="1611" t="s">
        <v>915</v>
      </c>
      <c r="O182" s="1604">
        <v>2013</v>
      </c>
      <c r="P182" s="1611" t="s">
        <v>1154</v>
      </c>
      <c r="Q182" s="1618">
        <v>10</v>
      </c>
      <c r="R182" s="1618"/>
      <c r="S182" s="1618">
        <v>10</v>
      </c>
      <c r="T182" s="1611" t="s">
        <v>1180</v>
      </c>
      <c r="U182" s="1611" t="s">
        <v>1104</v>
      </c>
      <c r="V182" s="1611"/>
      <c r="W182" s="1611" t="s">
        <v>850</v>
      </c>
      <c r="X182" s="1611" t="s">
        <v>1778</v>
      </c>
      <c r="Y182" s="1611"/>
      <c r="Z182" s="1611"/>
    </row>
    <row r="183" spans="1:26" customFormat="1" hidden="1">
      <c r="A183" s="1611"/>
      <c r="B183" s="1611"/>
      <c r="C183" s="1611" t="s">
        <v>430</v>
      </c>
      <c r="D183" s="1611" t="s">
        <v>879</v>
      </c>
      <c r="E183" s="1619" t="s">
        <v>1779</v>
      </c>
      <c r="F183" s="1604">
        <v>31</v>
      </c>
      <c r="G183" s="1611" t="s">
        <v>1311</v>
      </c>
      <c r="H183" s="1618"/>
      <c r="I183" s="1618"/>
      <c r="J183" s="1601"/>
      <c r="K183" s="1611">
        <v>41634</v>
      </c>
      <c r="L183" s="1611" t="s">
        <v>1294</v>
      </c>
      <c r="M183" s="1617" t="s">
        <v>1780</v>
      </c>
      <c r="N183" s="1611" t="s">
        <v>912</v>
      </c>
      <c r="O183" s="1604">
        <v>2013</v>
      </c>
      <c r="P183" s="1611" t="s">
        <v>1154</v>
      </c>
      <c r="Q183" s="1618">
        <v>11</v>
      </c>
      <c r="R183" s="1618"/>
      <c r="S183" s="1618">
        <v>11</v>
      </c>
      <c r="T183" s="1611" t="s">
        <v>1097</v>
      </c>
      <c r="U183" s="1611" t="s">
        <v>864</v>
      </c>
      <c r="V183" s="1611"/>
      <c r="W183" s="1611" t="s">
        <v>849</v>
      </c>
      <c r="X183" s="1611"/>
      <c r="Y183" s="1611"/>
      <c r="Z183" s="1611"/>
    </row>
    <row r="184" spans="1:26" customFormat="1" ht="27.6" hidden="1">
      <c r="A184" s="1611"/>
      <c r="B184" s="1611"/>
      <c r="C184" s="1611" t="s">
        <v>689</v>
      </c>
      <c r="D184" s="1611" t="s">
        <v>468</v>
      </c>
      <c r="E184" s="1619" t="s">
        <v>1781</v>
      </c>
      <c r="F184" s="1604">
        <v>52</v>
      </c>
      <c r="G184" s="1611" t="s">
        <v>1688</v>
      </c>
      <c r="H184" s="1618" t="s">
        <v>994</v>
      </c>
      <c r="I184" s="1618" t="s">
        <v>995</v>
      </c>
      <c r="J184" s="1601" t="s">
        <v>1541</v>
      </c>
      <c r="K184" s="1611">
        <v>40917</v>
      </c>
      <c r="L184" s="1611" t="s">
        <v>1294</v>
      </c>
      <c r="M184" s="1617" t="s">
        <v>1782</v>
      </c>
      <c r="N184" s="1611" t="s">
        <v>915</v>
      </c>
      <c r="O184" s="1604">
        <v>2012</v>
      </c>
      <c r="P184" s="1611" t="s">
        <v>992</v>
      </c>
      <c r="Q184" s="1618">
        <v>27</v>
      </c>
      <c r="R184" s="1618"/>
      <c r="S184" s="1618">
        <v>27</v>
      </c>
      <c r="T184" s="1611" t="s">
        <v>1218</v>
      </c>
      <c r="U184" s="1611" t="s">
        <v>869</v>
      </c>
      <c r="V184" s="1611"/>
      <c r="W184" s="1611" t="s">
        <v>916</v>
      </c>
      <c r="X184" s="1611"/>
      <c r="Y184" s="1611"/>
      <c r="Z184" s="1611"/>
    </row>
    <row r="185" spans="1:26" customFormat="1" ht="27.6" hidden="1">
      <c r="A185" s="1611"/>
      <c r="B185" s="1611"/>
      <c r="C185" s="1611" t="s">
        <v>430</v>
      </c>
      <c r="D185" s="1611" t="s">
        <v>448</v>
      </c>
      <c r="E185" s="1619" t="s">
        <v>1576</v>
      </c>
      <c r="F185" s="1604" t="s">
        <v>1576</v>
      </c>
      <c r="G185" s="1611" t="s">
        <v>1783</v>
      </c>
      <c r="H185" s="1618"/>
      <c r="I185" s="1618" t="s">
        <v>1576</v>
      </c>
      <c r="J185" s="1601" t="s">
        <v>1576</v>
      </c>
      <c r="K185" s="1611">
        <v>40922</v>
      </c>
      <c r="L185" s="1611" t="s">
        <v>1294</v>
      </c>
      <c r="M185" s="1617" t="s">
        <v>1784</v>
      </c>
      <c r="N185" s="1611" t="s">
        <v>912</v>
      </c>
      <c r="O185" s="1604">
        <v>2012</v>
      </c>
      <c r="P185" s="1611" t="s">
        <v>992</v>
      </c>
      <c r="Q185" s="1618">
        <v>30</v>
      </c>
      <c r="R185" s="1618"/>
      <c r="S185" s="1618">
        <v>30</v>
      </c>
      <c r="T185" s="1611" t="s">
        <v>1375</v>
      </c>
      <c r="U185" s="1611" t="s">
        <v>558</v>
      </c>
      <c r="V185" s="1611"/>
      <c r="W185" s="1611" t="s">
        <v>850</v>
      </c>
      <c r="X185" s="1611" t="s">
        <v>1228</v>
      </c>
      <c r="Y185" s="1611"/>
      <c r="Z185" s="1611"/>
    </row>
    <row r="186" spans="1:26" customFormat="1" hidden="1">
      <c r="A186" s="1611"/>
      <c r="B186" s="1611"/>
      <c r="C186" s="1611" t="s">
        <v>1006</v>
      </c>
      <c r="D186" s="1611" t="s">
        <v>454</v>
      </c>
      <c r="E186" s="1619" t="s">
        <v>1785</v>
      </c>
      <c r="F186" s="1604">
        <v>40</v>
      </c>
      <c r="G186" s="1611" t="s">
        <v>1688</v>
      </c>
      <c r="H186" s="1618" t="s">
        <v>987</v>
      </c>
      <c r="I186" s="1618" t="s">
        <v>1019</v>
      </c>
      <c r="J186" s="1601" t="s">
        <v>1541</v>
      </c>
      <c r="K186" s="1611">
        <v>40924</v>
      </c>
      <c r="L186" s="1611" t="s">
        <v>1294</v>
      </c>
      <c r="M186" s="1617" t="s">
        <v>1786</v>
      </c>
      <c r="N186" s="1611" t="s">
        <v>912</v>
      </c>
      <c r="O186" s="1604">
        <v>2012</v>
      </c>
      <c r="P186" s="1611" t="s">
        <v>992</v>
      </c>
      <c r="Q186" s="1618">
        <v>90</v>
      </c>
      <c r="R186" s="1618"/>
      <c r="S186" s="1618">
        <v>90</v>
      </c>
      <c r="T186" s="1611" t="s">
        <v>1283</v>
      </c>
      <c r="U186" s="1611" t="s">
        <v>864</v>
      </c>
      <c r="V186" s="1611"/>
      <c r="W186" s="1611" t="s">
        <v>849</v>
      </c>
      <c r="X186" s="1611"/>
      <c r="Y186" s="1611"/>
      <c r="Z186" s="1611"/>
    </row>
    <row r="187" spans="1:26" customFormat="1" hidden="1">
      <c r="A187" s="1611"/>
      <c r="B187" s="1611"/>
      <c r="C187" s="1611" t="s">
        <v>1128</v>
      </c>
      <c r="D187" s="1611" t="s">
        <v>454</v>
      </c>
      <c r="E187" s="1619" t="s">
        <v>1787</v>
      </c>
      <c r="F187" s="1604">
        <v>40</v>
      </c>
      <c r="G187" s="1611" t="s">
        <v>1688</v>
      </c>
      <c r="H187" s="1618" t="s">
        <v>994</v>
      </c>
      <c r="I187" s="1618" t="s">
        <v>1019</v>
      </c>
      <c r="J187" s="1601" t="s">
        <v>1788</v>
      </c>
      <c r="K187" s="1611">
        <v>40925</v>
      </c>
      <c r="L187" s="1611" t="s">
        <v>1294</v>
      </c>
      <c r="M187" s="1617" t="s">
        <v>1789</v>
      </c>
      <c r="N187" s="1611" t="s">
        <v>912</v>
      </c>
      <c r="O187" s="1604">
        <v>2012</v>
      </c>
      <c r="P187" s="1611" t="s">
        <v>992</v>
      </c>
      <c r="Q187" s="1618">
        <v>10</v>
      </c>
      <c r="R187" s="1618"/>
      <c r="S187" s="1618">
        <v>10</v>
      </c>
      <c r="T187" s="1611" t="s">
        <v>1405</v>
      </c>
      <c r="U187" s="1611" t="s">
        <v>869</v>
      </c>
      <c r="V187" s="1611"/>
      <c r="W187" s="1611" t="s">
        <v>850</v>
      </c>
      <c r="X187" s="1611"/>
      <c r="Y187" s="1611"/>
      <c r="Z187" s="1611"/>
    </row>
    <row r="188" spans="1:26" customFormat="1" hidden="1">
      <c r="A188" s="1611"/>
      <c r="B188" s="1611"/>
      <c r="C188" s="1611" t="s">
        <v>1057</v>
      </c>
      <c r="D188" s="1611" t="s">
        <v>552</v>
      </c>
      <c r="E188" s="1619" t="s">
        <v>1576</v>
      </c>
      <c r="F188" s="1604" t="s">
        <v>1576</v>
      </c>
      <c r="G188" s="1611" t="s">
        <v>993</v>
      </c>
      <c r="H188" s="1618"/>
      <c r="I188" s="1618" t="s">
        <v>1576</v>
      </c>
      <c r="J188" s="1601" t="s">
        <v>1576</v>
      </c>
      <c r="K188" s="1611">
        <v>40933</v>
      </c>
      <c r="L188" s="1611" t="s">
        <v>1294</v>
      </c>
      <c r="M188" s="1617" t="s">
        <v>1790</v>
      </c>
      <c r="N188" s="1611" t="s">
        <v>912</v>
      </c>
      <c r="O188" s="1604">
        <v>2012</v>
      </c>
      <c r="P188" s="1611" t="s">
        <v>992</v>
      </c>
      <c r="Q188" s="1618">
        <v>45</v>
      </c>
      <c r="R188" s="1618"/>
      <c r="S188" s="1618">
        <v>45</v>
      </c>
      <c r="T188" s="1611" t="s">
        <v>1791</v>
      </c>
      <c r="U188" s="1611" t="s">
        <v>558</v>
      </c>
      <c r="V188" s="1611"/>
      <c r="W188" s="1611" t="s">
        <v>851</v>
      </c>
      <c r="X188" s="1611"/>
      <c r="Y188" s="1611"/>
      <c r="Z188" s="1611"/>
    </row>
    <row r="189" spans="1:26" customFormat="1" hidden="1">
      <c r="A189" s="1611"/>
      <c r="B189" s="1611"/>
      <c r="C189" s="1611" t="s">
        <v>91</v>
      </c>
      <c r="D189" s="1611" t="s">
        <v>454</v>
      </c>
      <c r="E189" s="1619" t="s">
        <v>1792</v>
      </c>
      <c r="F189" s="1604">
        <v>61</v>
      </c>
      <c r="G189" s="1611" t="s">
        <v>1688</v>
      </c>
      <c r="H189" s="1618" t="s">
        <v>987</v>
      </c>
      <c r="I189" s="1618" t="s">
        <v>1000</v>
      </c>
      <c r="J189" s="1601" t="s">
        <v>1793</v>
      </c>
      <c r="K189" s="1611">
        <v>40955</v>
      </c>
      <c r="L189" s="1611" t="s">
        <v>1294</v>
      </c>
      <c r="M189" s="1617" t="s">
        <v>1794</v>
      </c>
      <c r="N189" s="1611" t="s">
        <v>913</v>
      </c>
      <c r="O189" s="1604">
        <v>2012</v>
      </c>
      <c r="P189" s="1611" t="s">
        <v>1009</v>
      </c>
      <c r="Q189" s="1618">
        <v>15</v>
      </c>
      <c r="R189" s="1618"/>
      <c r="S189" s="1618">
        <v>15</v>
      </c>
      <c r="T189" s="1611" t="s">
        <v>1795</v>
      </c>
      <c r="U189" s="1611" t="s">
        <v>864</v>
      </c>
      <c r="V189" s="1611"/>
      <c r="W189" s="1611" t="s">
        <v>882</v>
      </c>
      <c r="X189" s="1611"/>
      <c r="Y189" s="1611"/>
      <c r="Z189" s="1611"/>
    </row>
    <row r="190" spans="1:26" customFormat="1" hidden="1">
      <c r="A190" s="1611"/>
      <c r="B190" s="1611"/>
      <c r="C190" s="1611" t="s">
        <v>77</v>
      </c>
      <c r="D190" s="1611" t="s">
        <v>454</v>
      </c>
      <c r="E190" s="1619" t="s">
        <v>1796</v>
      </c>
      <c r="F190" s="1604">
        <v>34</v>
      </c>
      <c r="G190" s="1611" t="s">
        <v>1688</v>
      </c>
      <c r="H190" s="1618" t="s">
        <v>987</v>
      </c>
      <c r="I190" s="1618" t="s">
        <v>995</v>
      </c>
      <c r="J190" s="1601" t="s">
        <v>1381</v>
      </c>
      <c r="K190" s="1611">
        <v>40970</v>
      </c>
      <c r="L190" s="1611" t="s">
        <v>1294</v>
      </c>
      <c r="M190" s="1617" t="s">
        <v>1797</v>
      </c>
      <c r="N190" s="1611" t="s">
        <v>1916</v>
      </c>
      <c r="O190" s="1604">
        <v>2012</v>
      </c>
      <c r="P190" s="1611" t="s">
        <v>1034</v>
      </c>
      <c r="Q190" s="1618">
        <v>16</v>
      </c>
      <c r="R190" s="1618"/>
      <c r="S190" s="1618">
        <v>16</v>
      </c>
      <c r="T190" s="1611" t="s">
        <v>1798</v>
      </c>
      <c r="U190" s="1611" t="s">
        <v>864</v>
      </c>
      <c r="V190" s="1611"/>
      <c r="W190" s="1611" t="s">
        <v>882</v>
      </c>
      <c r="X190" s="1611"/>
      <c r="Y190" s="1611"/>
      <c r="Z190" s="1611"/>
    </row>
    <row r="191" spans="1:26" customFormat="1" ht="27.6" hidden="1">
      <c r="A191" s="1611"/>
      <c r="B191" s="1611"/>
      <c r="C191" s="1611" t="s">
        <v>588</v>
      </c>
      <c r="D191" s="1611" t="s">
        <v>468</v>
      </c>
      <c r="E191" s="1619" t="s">
        <v>1799</v>
      </c>
      <c r="F191" s="1604">
        <v>29</v>
      </c>
      <c r="G191" s="1611" t="s">
        <v>1688</v>
      </c>
      <c r="H191" s="1618" t="s">
        <v>987</v>
      </c>
      <c r="I191" s="1618" t="s">
        <v>995</v>
      </c>
      <c r="J191" s="1601" t="s">
        <v>1800</v>
      </c>
      <c r="K191" s="1611">
        <v>40983</v>
      </c>
      <c r="L191" s="1611" t="s">
        <v>1294</v>
      </c>
      <c r="M191" s="1617" t="s">
        <v>1801</v>
      </c>
      <c r="N191" s="1611" t="s">
        <v>915</v>
      </c>
      <c r="O191" s="1604">
        <v>2012</v>
      </c>
      <c r="P191" s="1611" t="s">
        <v>1034</v>
      </c>
      <c r="Q191" s="1618">
        <v>2</v>
      </c>
      <c r="R191" s="1618"/>
      <c r="S191" s="1618">
        <v>2</v>
      </c>
      <c r="T191" s="1611" t="s">
        <v>1297</v>
      </c>
      <c r="U191" s="1611" t="s">
        <v>864</v>
      </c>
      <c r="V191" s="1611"/>
      <c r="W191" s="1611" t="s">
        <v>850</v>
      </c>
      <c r="X191" s="1611"/>
      <c r="Y191" s="1611"/>
      <c r="Z191" s="1611"/>
    </row>
    <row r="192" spans="1:26" customFormat="1" ht="55.2" hidden="1">
      <c r="A192" s="1611"/>
      <c r="B192" s="1611"/>
      <c r="C192" s="1611" t="s">
        <v>689</v>
      </c>
      <c r="D192" s="1611" t="s">
        <v>468</v>
      </c>
      <c r="E192" s="1619" t="s">
        <v>1802</v>
      </c>
      <c r="F192" s="1604">
        <v>33</v>
      </c>
      <c r="G192" s="1611" t="s">
        <v>1688</v>
      </c>
      <c r="H192" s="1618" t="s">
        <v>987</v>
      </c>
      <c r="I192" s="1618" t="s">
        <v>1019</v>
      </c>
      <c r="J192" s="1601" t="s">
        <v>1573</v>
      </c>
      <c r="K192" s="1611">
        <v>40994</v>
      </c>
      <c r="L192" s="1611" t="s">
        <v>1294</v>
      </c>
      <c r="M192" s="1617" t="s">
        <v>1803</v>
      </c>
      <c r="N192" s="1611" t="s">
        <v>917</v>
      </c>
      <c r="O192" s="1604">
        <v>2012</v>
      </c>
      <c r="P192" s="1611" t="s">
        <v>1034</v>
      </c>
      <c r="Q192" s="1618">
        <v>14</v>
      </c>
      <c r="R192" s="1618"/>
      <c r="S192" s="1618">
        <v>14</v>
      </c>
      <c r="T192" s="1611" t="s">
        <v>1160</v>
      </c>
      <c r="U192" s="1611" t="s">
        <v>914</v>
      </c>
      <c r="V192" s="1611"/>
      <c r="W192" s="1611" t="s">
        <v>850</v>
      </c>
      <c r="X192" s="1611"/>
      <c r="Y192" s="1611"/>
      <c r="Z192" s="1611"/>
    </row>
    <row r="193" spans="1:26" customFormat="1" ht="55.2" hidden="1">
      <c r="A193" s="1611"/>
      <c r="B193" s="1611"/>
      <c r="C193" s="1611" t="s">
        <v>77</v>
      </c>
      <c r="D193" s="1611" t="s">
        <v>454</v>
      </c>
      <c r="E193" s="1619" t="s">
        <v>1804</v>
      </c>
      <c r="F193" s="1604">
        <v>37</v>
      </c>
      <c r="G193" s="1611" t="s">
        <v>1688</v>
      </c>
      <c r="H193" s="1618" t="s">
        <v>987</v>
      </c>
      <c r="I193" s="1618" t="s">
        <v>1019</v>
      </c>
      <c r="J193" s="1601" t="s">
        <v>1805</v>
      </c>
      <c r="K193" s="1611">
        <v>40996</v>
      </c>
      <c r="L193" s="1611" t="s">
        <v>1294</v>
      </c>
      <c r="M193" s="1617" t="s">
        <v>1806</v>
      </c>
      <c r="N193" s="1611" t="s">
        <v>913</v>
      </c>
      <c r="O193" s="1604">
        <v>2012</v>
      </c>
      <c r="P193" s="1611" t="s">
        <v>1034</v>
      </c>
      <c r="Q193" s="1618">
        <v>22</v>
      </c>
      <c r="R193" s="1618"/>
      <c r="S193" s="1618">
        <v>22</v>
      </c>
      <c r="T193" s="1611" t="s">
        <v>1807</v>
      </c>
      <c r="U193" s="1611" t="s">
        <v>864</v>
      </c>
      <c r="V193" s="1611"/>
      <c r="W193" s="1611" t="s">
        <v>850</v>
      </c>
      <c r="X193" s="1611"/>
      <c r="Y193" s="1611"/>
      <c r="Z193" s="1611"/>
    </row>
    <row r="194" spans="1:26" customFormat="1" ht="27.6" hidden="1">
      <c r="A194" s="1611"/>
      <c r="B194" s="1611"/>
      <c r="C194" s="1611" t="s">
        <v>588</v>
      </c>
      <c r="D194" s="1611" t="s">
        <v>468</v>
      </c>
      <c r="E194" s="1619" t="s">
        <v>1576</v>
      </c>
      <c r="F194" s="1604" t="s">
        <v>1576</v>
      </c>
      <c r="G194" s="1611" t="s">
        <v>1587</v>
      </c>
      <c r="H194" s="1618"/>
      <c r="I194" s="1618" t="s">
        <v>1576</v>
      </c>
      <c r="J194" s="1601" t="s">
        <v>1576</v>
      </c>
      <c r="K194" s="1611">
        <v>40997</v>
      </c>
      <c r="L194" s="1611" t="s">
        <v>1294</v>
      </c>
      <c r="M194" s="1617" t="s">
        <v>1808</v>
      </c>
      <c r="N194" s="1611" t="s">
        <v>923</v>
      </c>
      <c r="O194" s="1604">
        <v>2012</v>
      </c>
      <c r="P194" s="1611" t="s">
        <v>1034</v>
      </c>
      <c r="Q194" s="1618">
        <v>2</v>
      </c>
      <c r="R194" s="1618"/>
      <c r="S194" s="1618">
        <v>2</v>
      </c>
      <c r="T194" s="1611" t="s">
        <v>1180</v>
      </c>
      <c r="U194" s="1611" t="s">
        <v>1104</v>
      </c>
      <c r="V194" s="1611"/>
      <c r="W194" s="1611" t="s">
        <v>850</v>
      </c>
      <c r="X194" s="1611" t="s">
        <v>1809</v>
      </c>
      <c r="Y194" s="1611"/>
      <c r="Z194" s="1611"/>
    </row>
    <row r="195" spans="1:26" customFormat="1" ht="27.6" hidden="1">
      <c r="A195" s="1611"/>
      <c r="B195" s="1611"/>
      <c r="C195" s="1611" t="s">
        <v>589</v>
      </c>
      <c r="D195" s="1611" t="s">
        <v>454</v>
      </c>
      <c r="E195" s="1619" t="s">
        <v>1810</v>
      </c>
      <c r="F195" s="1604">
        <v>40</v>
      </c>
      <c r="G195" s="1611" t="s">
        <v>1688</v>
      </c>
      <c r="H195" s="1618" t="s">
        <v>987</v>
      </c>
      <c r="I195" s="1618" t="s">
        <v>1019</v>
      </c>
      <c r="J195" s="1601" t="s">
        <v>1197</v>
      </c>
      <c r="K195" s="1611">
        <v>41003</v>
      </c>
      <c r="L195" s="1611" t="s">
        <v>1294</v>
      </c>
      <c r="M195" s="1617" t="s">
        <v>1811</v>
      </c>
      <c r="N195" s="1611" t="s">
        <v>912</v>
      </c>
      <c r="O195" s="1604">
        <v>2012</v>
      </c>
      <c r="P195" s="1611" t="s">
        <v>1031</v>
      </c>
      <c r="Q195" s="1618">
        <v>11</v>
      </c>
      <c r="R195" s="1618"/>
      <c r="S195" s="1618">
        <v>11</v>
      </c>
      <c r="T195" s="1611" t="s">
        <v>1097</v>
      </c>
      <c r="U195" s="1611" t="s">
        <v>1905</v>
      </c>
      <c r="V195" s="1611"/>
      <c r="W195" s="1611" t="s">
        <v>851</v>
      </c>
      <c r="X195" s="1611"/>
      <c r="Y195" s="1611"/>
      <c r="Z195" s="1611"/>
    </row>
    <row r="196" spans="1:26" customFormat="1" ht="27.6" hidden="1">
      <c r="A196" s="1611"/>
      <c r="B196" s="1611"/>
      <c r="C196" s="1611" t="s">
        <v>1128</v>
      </c>
      <c r="D196" s="1611" t="s">
        <v>1636</v>
      </c>
      <c r="E196" s="1619" t="s">
        <v>1576</v>
      </c>
      <c r="F196" s="1604" t="s">
        <v>1576</v>
      </c>
      <c r="G196" s="1611" t="s">
        <v>1812</v>
      </c>
      <c r="H196" s="1618"/>
      <c r="I196" s="1618" t="s">
        <v>1576</v>
      </c>
      <c r="J196" s="1601" t="s">
        <v>1576</v>
      </c>
      <c r="K196" s="1611">
        <v>41025</v>
      </c>
      <c r="L196" s="1611" t="s">
        <v>1294</v>
      </c>
      <c r="M196" s="1617" t="s">
        <v>1813</v>
      </c>
      <c r="N196" s="1611" t="s">
        <v>923</v>
      </c>
      <c r="O196" s="1604">
        <v>2012</v>
      </c>
      <c r="P196" s="1611" t="s">
        <v>1031</v>
      </c>
      <c r="Q196" s="1618">
        <v>4</v>
      </c>
      <c r="R196" s="1618"/>
      <c r="S196" s="1618">
        <v>4</v>
      </c>
      <c r="T196" s="1611" t="s">
        <v>1795</v>
      </c>
      <c r="U196" s="1611" t="s">
        <v>867</v>
      </c>
      <c r="V196" s="1611"/>
      <c r="W196" s="1611" t="s">
        <v>882</v>
      </c>
      <c r="X196" s="1611" t="s">
        <v>1814</v>
      </c>
      <c r="Y196" s="1611"/>
      <c r="Z196" s="1611"/>
    </row>
    <row r="197" spans="1:26" customFormat="1" ht="27.6" hidden="1">
      <c r="A197" s="1611"/>
      <c r="B197" s="1611"/>
      <c r="C197" s="1611" t="s">
        <v>1006</v>
      </c>
      <c r="D197" s="1611" t="s">
        <v>454</v>
      </c>
      <c r="E197" s="1619" t="s">
        <v>1815</v>
      </c>
      <c r="F197" s="1604">
        <v>25</v>
      </c>
      <c r="G197" s="1611" t="s">
        <v>1688</v>
      </c>
      <c r="H197" s="1618" t="s">
        <v>987</v>
      </c>
      <c r="I197" s="1618" t="s">
        <v>1019</v>
      </c>
      <c r="J197" s="1601"/>
      <c r="K197" s="1611">
        <v>41038</v>
      </c>
      <c r="L197" s="1611" t="s">
        <v>1294</v>
      </c>
      <c r="M197" s="1617" t="s">
        <v>1816</v>
      </c>
      <c r="N197" s="1611" t="s">
        <v>912</v>
      </c>
      <c r="O197" s="1604">
        <v>2012</v>
      </c>
      <c r="P197" s="1611" t="s">
        <v>1061</v>
      </c>
      <c r="Q197" s="1618">
        <v>11</v>
      </c>
      <c r="R197" s="1618"/>
      <c r="S197" s="1618">
        <v>11</v>
      </c>
      <c r="T197" s="1611" t="s">
        <v>1222</v>
      </c>
      <c r="U197" s="1611" t="s">
        <v>1817</v>
      </c>
      <c r="V197" s="1611"/>
      <c r="W197" s="1611" t="s">
        <v>916</v>
      </c>
      <c r="X197" s="1611"/>
      <c r="Y197" s="1611"/>
      <c r="Z197" s="1611"/>
    </row>
    <row r="198" spans="1:26" customFormat="1" ht="27.6" hidden="1">
      <c r="A198" s="1611"/>
      <c r="B198" s="1611"/>
      <c r="C198" s="1611" t="s">
        <v>689</v>
      </c>
      <c r="D198" s="1611" t="s">
        <v>468</v>
      </c>
      <c r="E198" s="1619" t="s">
        <v>1818</v>
      </c>
      <c r="F198" s="1604">
        <v>26</v>
      </c>
      <c r="G198" s="1611" t="s">
        <v>1688</v>
      </c>
      <c r="H198" s="1618" t="s">
        <v>987</v>
      </c>
      <c r="I198" s="1618" t="s">
        <v>1019</v>
      </c>
      <c r="J198" s="1601" t="s">
        <v>1819</v>
      </c>
      <c r="K198" s="1611">
        <v>41050</v>
      </c>
      <c r="L198" s="1611" t="s">
        <v>1294</v>
      </c>
      <c r="M198" s="1617" t="s">
        <v>1820</v>
      </c>
      <c r="N198" s="1611" t="s">
        <v>912</v>
      </c>
      <c r="O198" s="1604">
        <v>2012</v>
      </c>
      <c r="P198" s="1611" t="s">
        <v>1061</v>
      </c>
      <c r="Q198" s="1618">
        <v>1</v>
      </c>
      <c r="R198" s="1618"/>
      <c r="S198" s="1618">
        <v>1</v>
      </c>
      <c r="T198" s="1611" t="s">
        <v>1821</v>
      </c>
      <c r="U198" s="1611" t="s">
        <v>1817</v>
      </c>
      <c r="V198" s="1611"/>
      <c r="W198" s="1611" t="s">
        <v>916</v>
      </c>
      <c r="X198" s="1611"/>
      <c r="Y198" s="1611"/>
      <c r="Z198" s="1611"/>
    </row>
    <row r="199" spans="1:26" customFormat="1" ht="41.4" hidden="1">
      <c r="A199" s="1611"/>
      <c r="B199" s="1611"/>
      <c r="C199" s="1611" t="s">
        <v>91</v>
      </c>
      <c r="D199" s="1611" t="s">
        <v>454</v>
      </c>
      <c r="E199" s="1619" t="s">
        <v>1822</v>
      </c>
      <c r="F199" s="1604">
        <v>21</v>
      </c>
      <c r="G199" s="1611" t="s">
        <v>1688</v>
      </c>
      <c r="H199" s="1618" t="s">
        <v>987</v>
      </c>
      <c r="I199" s="1618" t="s">
        <v>1000</v>
      </c>
      <c r="J199" s="1601" t="s">
        <v>1823</v>
      </c>
      <c r="K199" s="1611">
        <v>41052</v>
      </c>
      <c r="L199" s="1611" t="s">
        <v>1294</v>
      </c>
      <c r="M199" s="1617" t="s">
        <v>1824</v>
      </c>
      <c r="N199" s="1611" t="s">
        <v>1916</v>
      </c>
      <c r="O199" s="1604">
        <v>2012</v>
      </c>
      <c r="P199" s="1611" t="s">
        <v>1061</v>
      </c>
      <c r="Q199" s="1618">
        <v>12</v>
      </c>
      <c r="R199" s="1618"/>
      <c r="S199" s="1618">
        <v>12</v>
      </c>
      <c r="T199" s="1611" t="s">
        <v>1246</v>
      </c>
      <c r="U199" s="1611" t="s">
        <v>864</v>
      </c>
      <c r="V199" s="1611"/>
      <c r="W199" s="1611" t="s">
        <v>851</v>
      </c>
      <c r="X199" s="1611"/>
      <c r="Y199" s="1611"/>
      <c r="Z199" s="1611"/>
    </row>
    <row r="200" spans="1:26" customFormat="1" hidden="1">
      <c r="A200" s="1611"/>
      <c r="B200" s="1611"/>
      <c r="C200" s="1611" t="s">
        <v>91</v>
      </c>
      <c r="D200" s="1611" t="s">
        <v>454</v>
      </c>
      <c r="E200" s="1619" t="s">
        <v>1825</v>
      </c>
      <c r="F200" s="1604">
        <v>43</v>
      </c>
      <c r="G200" s="1611" t="s">
        <v>1688</v>
      </c>
      <c r="H200" s="1618" t="s">
        <v>987</v>
      </c>
      <c r="I200" s="1618" t="s">
        <v>995</v>
      </c>
      <c r="J200" s="1601" t="s">
        <v>1408</v>
      </c>
      <c r="K200" s="1611">
        <v>41055</v>
      </c>
      <c r="L200" s="1611" t="s">
        <v>1294</v>
      </c>
      <c r="M200" s="1617" t="s">
        <v>1826</v>
      </c>
      <c r="N200" s="1611" t="s">
        <v>923</v>
      </c>
      <c r="O200" s="1604">
        <v>2012</v>
      </c>
      <c r="P200" s="1611" t="s">
        <v>1061</v>
      </c>
      <c r="Q200" s="1618">
        <v>15</v>
      </c>
      <c r="R200" s="1618"/>
      <c r="S200" s="1618">
        <v>15</v>
      </c>
      <c r="T200" s="1611" t="s">
        <v>1901</v>
      </c>
      <c r="U200" s="1611" t="s">
        <v>864</v>
      </c>
      <c r="V200" s="1611"/>
      <c r="W200" s="1611" t="s">
        <v>1583</v>
      </c>
      <c r="X200" s="1611"/>
      <c r="Y200" s="1611"/>
      <c r="Z200" s="1611"/>
    </row>
    <row r="201" spans="1:26" customFormat="1" ht="82.8" hidden="1">
      <c r="A201" s="1611"/>
      <c r="B201" s="1611"/>
      <c r="C201" s="1611" t="s">
        <v>693</v>
      </c>
      <c r="D201" s="1611" t="s">
        <v>468</v>
      </c>
      <c r="E201" s="1619" t="s">
        <v>1576</v>
      </c>
      <c r="F201" s="1604" t="s">
        <v>1576</v>
      </c>
      <c r="G201" s="1611" t="s">
        <v>1783</v>
      </c>
      <c r="H201" s="1618"/>
      <c r="I201" s="1618" t="s">
        <v>1576</v>
      </c>
      <c r="J201" s="1601" t="s">
        <v>1576</v>
      </c>
      <c r="K201" s="1611">
        <v>41067</v>
      </c>
      <c r="L201" s="1611" t="s">
        <v>1294</v>
      </c>
      <c r="M201" s="1617" t="s">
        <v>1827</v>
      </c>
      <c r="N201" s="1611" t="s">
        <v>915</v>
      </c>
      <c r="O201" s="1604">
        <v>2012</v>
      </c>
      <c r="P201" s="1611" t="s">
        <v>1240</v>
      </c>
      <c r="Q201" s="1618">
        <v>3</v>
      </c>
      <c r="R201" s="1618"/>
      <c r="S201" s="1618">
        <v>3</v>
      </c>
      <c r="T201" s="1611" t="s">
        <v>1180</v>
      </c>
      <c r="U201" s="1611" t="s">
        <v>1104</v>
      </c>
      <c r="V201" s="1611"/>
      <c r="W201" s="1611" t="s">
        <v>850</v>
      </c>
      <c r="X201" s="1611"/>
      <c r="Y201" s="1611"/>
      <c r="Z201" s="1611"/>
    </row>
    <row r="202" spans="1:26" customFormat="1" ht="69" hidden="1">
      <c r="A202" s="1611"/>
      <c r="B202" s="1611"/>
      <c r="C202" s="1611" t="s">
        <v>588</v>
      </c>
      <c r="D202" s="1611" t="s">
        <v>468</v>
      </c>
      <c r="E202" s="1619" t="s">
        <v>1576</v>
      </c>
      <c r="F202" s="1604" t="s">
        <v>1576</v>
      </c>
      <c r="G202" s="1611" t="s">
        <v>1783</v>
      </c>
      <c r="H202" s="1618"/>
      <c r="I202" s="1618" t="s">
        <v>1576</v>
      </c>
      <c r="J202" s="1601" t="s">
        <v>1576</v>
      </c>
      <c r="K202" s="1611">
        <v>41068</v>
      </c>
      <c r="L202" s="1611" t="s">
        <v>1294</v>
      </c>
      <c r="M202" s="1617" t="s">
        <v>1828</v>
      </c>
      <c r="N202" s="1611" t="s">
        <v>915</v>
      </c>
      <c r="O202" s="1604">
        <v>2012</v>
      </c>
      <c r="P202" s="1611" t="s">
        <v>1240</v>
      </c>
      <c r="Q202" s="1618">
        <v>2</v>
      </c>
      <c r="R202" s="1618"/>
      <c r="S202" s="1618">
        <v>2</v>
      </c>
      <c r="T202" s="1611" t="s">
        <v>701</v>
      </c>
      <c r="U202" s="1611" t="s">
        <v>864</v>
      </c>
      <c r="V202" s="1611"/>
      <c r="W202" s="1611" t="s">
        <v>850</v>
      </c>
      <c r="X202" s="1611"/>
      <c r="Y202" s="1611"/>
      <c r="Z202" s="1611"/>
    </row>
    <row r="203" spans="1:26" customFormat="1" ht="82.8" hidden="1">
      <c r="A203" s="1611"/>
      <c r="B203" s="1611"/>
      <c r="C203" s="1611" t="s">
        <v>588</v>
      </c>
      <c r="D203" s="1611" t="s">
        <v>448</v>
      </c>
      <c r="E203" s="1619" t="s">
        <v>1576</v>
      </c>
      <c r="F203" s="1604" t="s">
        <v>1576</v>
      </c>
      <c r="G203" s="1611" t="s">
        <v>1783</v>
      </c>
      <c r="H203" s="1618"/>
      <c r="I203" s="1618" t="s">
        <v>1576</v>
      </c>
      <c r="J203" s="1601" t="s">
        <v>1576</v>
      </c>
      <c r="K203" s="1611">
        <v>41075</v>
      </c>
      <c r="L203" s="1611" t="s">
        <v>1294</v>
      </c>
      <c r="M203" s="1617" t="s">
        <v>1829</v>
      </c>
      <c r="N203" s="1611" t="s">
        <v>915</v>
      </c>
      <c r="O203" s="1604">
        <v>2012</v>
      </c>
      <c r="P203" s="1611" t="s">
        <v>1240</v>
      </c>
      <c r="Q203" s="1618">
        <v>9</v>
      </c>
      <c r="R203" s="1618"/>
      <c r="S203" s="1618">
        <v>9</v>
      </c>
      <c r="T203" s="1611" t="s">
        <v>1699</v>
      </c>
      <c r="U203" s="1611" t="s">
        <v>1905</v>
      </c>
      <c r="V203" s="1611"/>
      <c r="W203" s="1611" t="s">
        <v>850</v>
      </c>
      <c r="X203" s="1611"/>
      <c r="Y203" s="1611"/>
      <c r="Z203" s="1611"/>
    </row>
    <row r="204" spans="1:26" customFormat="1" ht="69" hidden="1">
      <c r="A204" s="1611"/>
      <c r="B204" s="1611"/>
      <c r="C204" s="1611" t="s">
        <v>91</v>
      </c>
      <c r="D204" s="1611" t="s">
        <v>454</v>
      </c>
      <c r="E204" s="1619" t="s">
        <v>1830</v>
      </c>
      <c r="F204" s="1604">
        <v>37</v>
      </c>
      <c r="G204" s="1611" t="s">
        <v>1688</v>
      </c>
      <c r="H204" s="1618" t="s">
        <v>987</v>
      </c>
      <c r="I204" s="1618" t="s">
        <v>1019</v>
      </c>
      <c r="J204" s="1601" t="s">
        <v>1408</v>
      </c>
      <c r="K204" s="1611">
        <v>41078</v>
      </c>
      <c r="L204" s="1611" t="s">
        <v>1294</v>
      </c>
      <c r="M204" s="1617" t="s">
        <v>1831</v>
      </c>
      <c r="N204" s="1611" t="s">
        <v>912</v>
      </c>
      <c r="O204" s="1604">
        <v>2012</v>
      </c>
      <c r="P204" s="1611" t="s">
        <v>1240</v>
      </c>
      <c r="Q204" s="1618">
        <v>20</v>
      </c>
      <c r="R204" s="1618"/>
      <c r="S204" s="1618">
        <v>20</v>
      </c>
      <c r="T204" s="1611" t="s">
        <v>1432</v>
      </c>
      <c r="U204" s="1611" t="s">
        <v>558</v>
      </c>
      <c r="V204" s="1611"/>
      <c r="W204" s="1611" t="s">
        <v>850</v>
      </c>
      <c r="X204" s="1611"/>
      <c r="Y204" s="1611"/>
      <c r="Z204" s="1611"/>
    </row>
    <row r="205" spans="1:26" customFormat="1" ht="41.4" hidden="1">
      <c r="A205" s="1611"/>
      <c r="B205" s="1611"/>
      <c r="C205" s="1611" t="s">
        <v>604</v>
      </c>
      <c r="D205" s="1611" t="s">
        <v>1636</v>
      </c>
      <c r="E205" s="1619" t="s">
        <v>1576</v>
      </c>
      <c r="F205" s="1604" t="s">
        <v>1576</v>
      </c>
      <c r="G205" s="1611" t="s">
        <v>1783</v>
      </c>
      <c r="H205" s="1618"/>
      <c r="I205" s="1618" t="s">
        <v>1576</v>
      </c>
      <c r="J205" s="1601" t="s">
        <v>1576</v>
      </c>
      <c r="K205" s="1611">
        <v>41080</v>
      </c>
      <c r="L205" s="1611" t="s">
        <v>1294</v>
      </c>
      <c r="M205" s="1617" t="s">
        <v>1832</v>
      </c>
      <c r="N205" s="1611" t="s">
        <v>912</v>
      </c>
      <c r="O205" s="1604">
        <v>2012</v>
      </c>
      <c r="P205" s="1611" t="s">
        <v>1240</v>
      </c>
      <c r="Q205" s="1618">
        <v>7</v>
      </c>
      <c r="R205" s="1618"/>
      <c r="S205" s="1618">
        <v>7</v>
      </c>
      <c r="T205" s="1611" t="s">
        <v>1360</v>
      </c>
      <c r="U205" s="1611" t="s">
        <v>867</v>
      </c>
      <c r="V205" s="1611"/>
      <c r="W205" s="1611" t="s">
        <v>851</v>
      </c>
      <c r="X205" s="1611"/>
      <c r="Y205" s="1611"/>
      <c r="Z205" s="1611"/>
    </row>
    <row r="206" spans="1:26" customFormat="1" ht="69" hidden="1">
      <c r="A206" s="1611"/>
      <c r="B206" s="1611"/>
      <c r="C206" s="1611" t="s">
        <v>589</v>
      </c>
      <c r="D206" s="1611" t="s">
        <v>454</v>
      </c>
      <c r="E206" s="1619" t="s">
        <v>1576</v>
      </c>
      <c r="F206" s="1604" t="s">
        <v>1576</v>
      </c>
      <c r="G206" s="1611" t="s">
        <v>1783</v>
      </c>
      <c r="H206" s="1618"/>
      <c r="I206" s="1618" t="s">
        <v>1576</v>
      </c>
      <c r="J206" s="1601" t="s">
        <v>1576</v>
      </c>
      <c r="K206" s="1611">
        <v>41085</v>
      </c>
      <c r="L206" s="1611" t="s">
        <v>1294</v>
      </c>
      <c r="M206" s="1617" t="s">
        <v>1833</v>
      </c>
      <c r="N206" s="1611" t="s">
        <v>912</v>
      </c>
      <c r="O206" s="1604">
        <v>2012</v>
      </c>
      <c r="P206" s="1611" t="s">
        <v>1240</v>
      </c>
      <c r="Q206" s="1618">
        <v>13</v>
      </c>
      <c r="R206" s="1618"/>
      <c r="S206" s="1618">
        <v>13</v>
      </c>
      <c r="T206" s="1611" t="s">
        <v>1097</v>
      </c>
      <c r="U206" s="1611" t="s">
        <v>864</v>
      </c>
      <c r="V206" s="1611"/>
      <c r="W206" s="1611" t="s">
        <v>851</v>
      </c>
      <c r="X206" s="1611"/>
      <c r="Y206" s="1611"/>
      <c r="Z206" s="1611"/>
    </row>
    <row r="207" spans="1:26" customFormat="1" ht="41.4" hidden="1">
      <c r="A207" s="1611"/>
      <c r="B207" s="1611"/>
      <c r="C207" s="1611" t="s">
        <v>588</v>
      </c>
      <c r="D207" s="1611" t="s">
        <v>558</v>
      </c>
      <c r="E207" s="1619" t="s">
        <v>1576</v>
      </c>
      <c r="F207" s="1604" t="s">
        <v>1576</v>
      </c>
      <c r="G207" s="1611" t="s">
        <v>1783</v>
      </c>
      <c r="H207" s="1618"/>
      <c r="I207" s="1618" t="s">
        <v>1576</v>
      </c>
      <c r="J207" s="1601" t="s">
        <v>1576</v>
      </c>
      <c r="K207" s="1611">
        <v>41090</v>
      </c>
      <c r="L207" s="1611" t="s">
        <v>1294</v>
      </c>
      <c r="M207" s="1617" t="s">
        <v>1834</v>
      </c>
      <c r="N207" s="1611" t="s">
        <v>912</v>
      </c>
      <c r="O207" s="1604">
        <v>2012</v>
      </c>
      <c r="P207" s="1611" t="s">
        <v>1240</v>
      </c>
      <c r="Q207" s="1618">
        <v>13</v>
      </c>
      <c r="R207" s="1618"/>
      <c r="S207" s="1618">
        <v>13</v>
      </c>
      <c r="T207" s="1611" t="s">
        <v>1189</v>
      </c>
      <c r="U207" s="1611" t="s">
        <v>558</v>
      </c>
      <c r="V207" s="1611"/>
      <c r="W207" s="1611" t="s">
        <v>849</v>
      </c>
      <c r="X207" s="1611"/>
      <c r="Y207" s="1611"/>
      <c r="Z207" s="1611"/>
    </row>
    <row r="208" spans="1:26" customFormat="1" ht="27.6" hidden="1">
      <c r="A208" s="1611"/>
      <c r="B208" s="1611"/>
      <c r="C208" s="1611" t="s">
        <v>1906</v>
      </c>
      <c r="D208" s="1611"/>
      <c r="E208" s="1619"/>
      <c r="F208" s="1604"/>
      <c r="G208" s="1611" t="s">
        <v>1688</v>
      </c>
      <c r="H208" s="1618"/>
      <c r="I208" s="1618"/>
      <c r="J208" s="1601"/>
      <c r="K208" s="1611">
        <v>41092</v>
      </c>
      <c r="L208" s="1611" t="s">
        <v>1294</v>
      </c>
      <c r="M208" s="1617" t="s">
        <v>1835</v>
      </c>
      <c r="N208" s="1611" t="s">
        <v>913</v>
      </c>
      <c r="O208" s="1604">
        <v>2012</v>
      </c>
      <c r="P208" s="1611" t="s">
        <v>1144</v>
      </c>
      <c r="Q208" s="1618">
        <v>7</v>
      </c>
      <c r="R208" s="1618"/>
      <c r="S208" s="1618">
        <v>7</v>
      </c>
      <c r="T208" s="1611" t="s">
        <v>1650</v>
      </c>
      <c r="U208" s="1611" t="s">
        <v>869</v>
      </c>
      <c r="V208" s="1611"/>
      <c r="W208" s="1611" t="s">
        <v>850</v>
      </c>
      <c r="X208" s="1611"/>
      <c r="Y208" s="1611"/>
      <c r="Z208" s="1611"/>
    </row>
    <row r="209" spans="1:26" customFormat="1" ht="96.6" hidden="1">
      <c r="A209" s="1611"/>
      <c r="B209" s="1611"/>
      <c r="C209" s="1611" t="s">
        <v>91</v>
      </c>
      <c r="D209" s="1611" t="s">
        <v>454</v>
      </c>
      <c r="E209" s="1619" t="s">
        <v>1836</v>
      </c>
      <c r="F209" s="1604">
        <v>43</v>
      </c>
      <c r="G209" s="1611" t="s">
        <v>1688</v>
      </c>
      <c r="H209" s="1618" t="s">
        <v>994</v>
      </c>
      <c r="I209" s="1618" t="s">
        <v>995</v>
      </c>
      <c r="J209" s="1601" t="s">
        <v>1381</v>
      </c>
      <c r="K209" s="1611">
        <v>41104</v>
      </c>
      <c r="L209" s="1611" t="s">
        <v>1294</v>
      </c>
      <c r="M209" s="1617" t="s">
        <v>1837</v>
      </c>
      <c r="N209" s="1611" t="s">
        <v>912</v>
      </c>
      <c r="O209" s="1604">
        <v>2012</v>
      </c>
      <c r="P209" s="1611" t="s">
        <v>1144</v>
      </c>
      <c r="Q209" s="1618">
        <v>28</v>
      </c>
      <c r="R209" s="1618"/>
      <c r="S209" s="1618">
        <v>28</v>
      </c>
      <c r="T209" s="1611" t="s">
        <v>1241</v>
      </c>
      <c r="U209" s="1611" t="s">
        <v>864</v>
      </c>
      <c r="V209" s="1611"/>
      <c r="W209" s="1611" t="s">
        <v>849</v>
      </c>
      <c r="X209" s="1611"/>
      <c r="Y209" s="1611"/>
      <c r="Z209" s="1611"/>
    </row>
    <row r="210" spans="1:26" customFormat="1" ht="82.8" hidden="1">
      <c r="A210" s="1611"/>
      <c r="B210" s="1611"/>
      <c r="C210" s="1611" t="s">
        <v>1049</v>
      </c>
      <c r="D210" s="1611" t="s">
        <v>454</v>
      </c>
      <c r="E210" s="1619" t="s">
        <v>1838</v>
      </c>
      <c r="F210" s="1604">
        <v>38</v>
      </c>
      <c r="G210" s="1611" t="s">
        <v>1688</v>
      </c>
      <c r="H210" s="1618" t="s">
        <v>987</v>
      </c>
      <c r="I210" s="1618" t="s">
        <v>995</v>
      </c>
      <c r="J210" s="1601" t="s">
        <v>1839</v>
      </c>
      <c r="K210" s="1611">
        <v>41112</v>
      </c>
      <c r="L210" s="1611" t="s">
        <v>1294</v>
      </c>
      <c r="M210" s="1617" t="s">
        <v>1840</v>
      </c>
      <c r="N210" s="1611" t="s">
        <v>1916</v>
      </c>
      <c r="O210" s="1604">
        <v>2012</v>
      </c>
      <c r="P210" s="1611" t="s">
        <v>1144</v>
      </c>
      <c r="Q210" s="1618">
        <v>3</v>
      </c>
      <c r="R210" s="1618"/>
      <c r="S210" s="1618">
        <v>3</v>
      </c>
      <c r="T210" s="1611" t="s">
        <v>1200</v>
      </c>
      <c r="U210" s="1611" t="s">
        <v>914</v>
      </c>
      <c r="V210" s="1611"/>
      <c r="W210" s="1611" t="s">
        <v>1596</v>
      </c>
      <c r="X210" s="1611"/>
      <c r="Y210" s="1611"/>
      <c r="Z210" s="1611"/>
    </row>
    <row r="211" spans="1:26" customFormat="1" ht="96.6" hidden="1">
      <c r="A211" s="1611"/>
      <c r="B211" s="1611"/>
      <c r="C211" s="1611" t="s">
        <v>1128</v>
      </c>
      <c r="D211" s="1611" t="s">
        <v>454</v>
      </c>
      <c r="E211" s="1619" t="s">
        <v>1841</v>
      </c>
      <c r="F211" s="1604">
        <v>22</v>
      </c>
      <c r="G211" s="1611" t="s">
        <v>1688</v>
      </c>
      <c r="H211" s="1618" t="s">
        <v>987</v>
      </c>
      <c r="I211" s="1618" t="s">
        <v>1000</v>
      </c>
      <c r="J211" s="1601" t="s">
        <v>1842</v>
      </c>
      <c r="K211" s="1611">
        <v>41139</v>
      </c>
      <c r="L211" s="1611" t="s">
        <v>1574</v>
      </c>
      <c r="M211" s="1617" t="s">
        <v>1843</v>
      </c>
      <c r="N211" s="1611" t="s">
        <v>912</v>
      </c>
      <c r="O211" s="1604">
        <v>2012</v>
      </c>
      <c r="P211" s="1611" t="s">
        <v>1436</v>
      </c>
      <c r="Q211" s="1618">
        <v>13</v>
      </c>
      <c r="R211" s="1618"/>
      <c r="S211" s="1618">
        <v>13</v>
      </c>
      <c r="T211" s="1611" t="s">
        <v>1844</v>
      </c>
      <c r="U211" s="1611" t="s">
        <v>864</v>
      </c>
      <c r="V211" s="1611"/>
      <c r="W211" s="1611" t="s">
        <v>1845</v>
      </c>
      <c r="X211" s="1611"/>
      <c r="Y211" s="1611"/>
      <c r="Z211" s="1611"/>
    </row>
    <row r="212" spans="1:26" customFormat="1" ht="110.4" hidden="1">
      <c r="A212" s="1611"/>
      <c r="B212" s="1611"/>
      <c r="C212" s="1611" t="s">
        <v>1039</v>
      </c>
      <c r="D212" s="1611" t="s">
        <v>1673</v>
      </c>
      <c r="E212" s="1619" t="s">
        <v>1846</v>
      </c>
      <c r="F212" s="1604">
        <v>59</v>
      </c>
      <c r="G212" s="1611" t="s">
        <v>1847</v>
      </c>
      <c r="H212" s="1618" t="s">
        <v>987</v>
      </c>
      <c r="I212" s="1618" t="s">
        <v>995</v>
      </c>
      <c r="J212" s="1601" t="s">
        <v>1408</v>
      </c>
      <c r="K212" s="1611">
        <v>41143</v>
      </c>
      <c r="L212" s="1611" t="s">
        <v>1676</v>
      </c>
      <c r="M212" s="1617" t="s">
        <v>1848</v>
      </c>
      <c r="N212" s="1611" t="s">
        <v>913</v>
      </c>
      <c r="O212" s="1604">
        <v>2012</v>
      </c>
      <c r="P212" s="1611" t="s">
        <v>1436</v>
      </c>
      <c r="Q212" s="1618">
        <v>7</v>
      </c>
      <c r="R212" s="1618"/>
      <c r="S212" s="1618">
        <v>7</v>
      </c>
      <c r="T212" s="1611" t="s">
        <v>701</v>
      </c>
      <c r="U212" s="1611" t="s">
        <v>864</v>
      </c>
      <c r="V212" s="1611"/>
      <c r="W212" s="1611" t="s">
        <v>850</v>
      </c>
      <c r="X212" s="1611"/>
      <c r="Y212" s="1611"/>
      <c r="Z212" s="1611"/>
    </row>
    <row r="213" spans="1:26" customFormat="1" ht="55.2" hidden="1">
      <c r="A213" s="1611"/>
      <c r="B213" s="1611"/>
      <c r="C213" s="1611" t="s">
        <v>589</v>
      </c>
      <c r="D213" s="1611" t="s">
        <v>1849</v>
      </c>
      <c r="E213" s="1619" t="s">
        <v>1576</v>
      </c>
      <c r="F213" s="1604" t="s">
        <v>1576</v>
      </c>
      <c r="G213" s="1611" t="s">
        <v>1716</v>
      </c>
      <c r="H213" s="1618"/>
      <c r="I213" s="1618" t="s">
        <v>1576</v>
      </c>
      <c r="J213" s="1601" t="s">
        <v>1576</v>
      </c>
      <c r="K213" s="1611">
        <v>41144</v>
      </c>
      <c r="L213" s="1611" t="s">
        <v>1574</v>
      </c>
      <c r="M213" s="1617" t="s">
        <v>1850</v>
      </c>
      <c r="N213" s="1611" t="s">
        <v>915</v>
      </c>
      <c r="O213" s="1604">
        <v>2012</v>
      </c>
      <c r="P213" s="1611" t="s">
        <v>1436</v>
      </c>
      <c r="Q213" s="1618">
        <v>30</v>
      </c>
      <c r="R213" s="1618"/>
      <c r="S213" s="1618">
        <v>30</v>
      </c>
      <c r="T213" s="1611" t="s">
        <v>1650</v>
      </c>
      <c r="U213" s="1611" t="s">
        <v>869</v>
      </c>
      <c r="V213" s="1611"/>
      <c r="W213" s="1611" t="s">
        <v>883</v>
      </c>
      <c r="X213" s="1611"/>
      <c r="Y213" s="1611"/>
      <c r="Z213" s="1611"/>
    </row>
    <row r="214" spans="1:26" customFormat="1" ht="82.8" hidden="1">
      <c r="A214" s="1611"/>
      <c r="B214" s="1611"/>
      <c r="C214" s="1611" t="s">
        <v>91</v>
      </c>
      <c r="D214" s="1611" t="s">
        <v>1673</v>
      </c>
      <c r="E214" s="1619" t="s">
        <v>1576</v>
      </c>
      <c r="F214" s="1604" t="s">
        <v>1576</v>
      </c>
      <c r="G214" s="1611" t="s">
        <v>1716</v>
      </c>
      <c r="H214" s="1618"/>
      <c r="I214" s="1618" t="s">
        <v>1576</v>
      </c>
      <c r="J214" s="1601" t="s">
        <v>1576</v>
      </c>
      <c r="K214" s="1611">
        <v>41144</v>
      </c>
      <c r="L214" s="1611" t="s">
        <v>1574</v>
      </c>
      <c r="M214" s="1617" t="s">
        <v>1851</v>
      </c>
      <c r="N214" s="1611" t="s">
        <v>923</v>
      </c>
      <c r="O214" s="1604">
        <v>2012</v>
      </c>
      <c r="P214" s="1611" t="s">
        <v>1436</v>
      </c>
      <c r="Q214" s="1618">
        <v>7</v>
      </c>
      <c r="R214" s="1618"/>
      <c r="S214" s="1618">
        <v>7</v>
      </c>
      <c r="T214" s="1611" t="s">
        <v>1432</v>
      </c>
      <c r="U214" s="1611" t="s">
        <v>558</v>
      </c>
      <c r="V214" s="1611"/>
      <c r="W214" s="1611" t="s">
        <v>851</v>
      </c>
      <c r="X214" s="1611"/>
      <c r="Y214" s="1611"/>
      <c r="Z214" s="1611"/>
    </row>
    <row r="215" spans="1:26" customFormat="1" ht="96.6" hidden="1">
      <c r="A215" s="1611"/>
      <c r="B215" s="1611"/>
      <c r="C215" s="1611" t="s">
        <v>95</v>
      </c>
      <c r="D215" s="1611" t="s">
        <v>1849</v>
      </c>
      <c r="E215" s="1619" t="s">
        <v>1852</v>
      </c>
      <c r="F215" s="1604">
        <v>23</v>
      </c>
      <c r="G215" s="1611" t="s">
        <v>1311</v>
      </c>
      <c r="H215" s="1618" t="s">
        <v>987</v>
      </c>
      <c r="I215" s="1618" t="s">
        <v>1000</v>
      </c>
      <c r="J215" s="1601" t="s">
        <v>1391</v>
      </c>
      <c r="K215" s="1611">
        <v>41145</v>
      </c>
      <c r="L215" s="1611" t="s">
        <v>1574</v>
      </c>
      <c r="M215" s="1617" t="s">
        <v>1853</v>
      </c>
      <c r="N215" s="1611" t="s">
        <v>912</v>
      </c>
      <c r="O215" s="1604">
        <v>2012</v>
      </c>
      <c r="P215" s="1611" t="s">
        <v>1436</v>
      </c>
      <c r="Q215" s="1618">
        <v>8</v>
      </c>
      <c r="R215" s="1618"/>
      <c r="S215" s="1618">
        <v>8</v>
      </c>
      <c r="T215" s="1611" t="s">
        <v>1218</v>
      </c>
      <c r="U215" s="1611" t="s">
        <v>869</v>
      </c>
      <c r="V215" s="1611"/>
      <c r="W215" s="1611" t="s">
        <v>850</v>
      </c>
      <c r="X215" s="1611"/>
      <c r="Y215" s="1611"/>
      <c r="Z215" s="1611"/>
    </row>
    <row r="216" spans="1:26" customFormat="1" ht="69" hidden="1">
      <c r="A216" s="1611"/>
      <c r="B216" s="1611"/>
      <c r="C216" s="1611" t="s">
        <v>589</v>
      </c>
      <c r="D216" s="1611" t="s">
        <v>558</v>
      </c>
      <c r="E216" s="1619" t="s">
        <v>1854</v>
      </c>
      <c r="F216" s="1604">
        <v>28</v>
      </c>
      <c r="G216" s="1611" t="s">
        <v>1311</v>
      </c>
      <c r="H216" s="1618" t="s">
        <v>987</v>
      </c>
      <c r="I216" s="1618" t="s">
        <v>995</v>
      </c>
      <c r="J216" s="1601" t="s">
        <v>1855</v>
      </c>
      <c r="K216" s="1611">
        <v>41149</v>
      </c>
      <c r="L216" s="1611" t="s">
        <v>1574</v>
      </c>
      <c r="M216" s="1617" t="s">
        <v>1856</v>
      </c>
      <c r="N216" s="1611" t="s">
        <v>912</v>
      </c>
      <c r="O216" s="1604">
        <v>2012</v>
      </c>
      <c r="P216" s="1611" t="s">
        <v>1436</v>
      </c>
      <c r="Q216" s="1618">
        <v>9</v>
      </c>
      <c r="R216" s="1618"/>
      <c r="S216" s="1618">
        <v>9</v>
      </c>
      <c r="T216" s="1611" t="s">
        <v>1246</v>
      </c>
      <c r="U216" s="1611" t="s">
        <v>558</v>
      </c>
      <c r="V216" s="1611"/>
      <c r="W216" s="1611" t="s">
        <v>851</v>
      </c>
      <c r="X216" s="1611"/>
      <c r="Y216" s="1611"/>
      <c r="Z216" s="1611"/>
    </row>
    <row r="217" spans="1:26" customFormat="1" ht="124.2" hidden="1">
      <c r="A217" s="1611"/>
      <c r="B217" s="1611"/>
      <c r="C217" s="1611" t="s">
        <v>1128</v>
      </c>
      <c r="D217" s="1611" t="s">
        <v>1673</v>
      </c>
      <c r="E217" s="1619" t="s">
        <v>1857</v>
      </c>
      <c r="F217" s="1604">
        <v>27</v>
      </c>
      <c r="G217" s="1611" t="s">
        <v>1311</v>
      </c>
      <c r="H217" s="1618" t="s">
        <v>994</v>
      </c>
      <c r="I217" s="1618" t="s">
        <v>1019</v>
      </c>
      <c r="J217" s="1601" t="s">
        <v>1788</v>
      </c>
      <c r="K217" s="1611">
        <v>41150</v>
      </c>
      <c r="L217" s="1611" t="s">
        <v>1574</v>
      </c>
      <c r="M217" s="1617" t="s">
        <v>1858</v>
      </c>
      <c r="N217" s="1611" t="s">
        <v>912</v>
      </c>
      <c r="O217" s="1604">
        <v>2012</v>
      </c>
      <c r="P217" s="1611" t="s">
        <v>1436</v>
      </c>
      <c r="Q217" s="1618">
        <v>7</v>
      </c>
      <c r="R217" s="1618"/>
      <c r="S217" s="1618">
        <v>7</v>
      </c>
      <c r="T217" s="1611" t="s">
        <v>1241</v>
      </c>
      <c r="U217" s="1611" t="s">
        <v>864</v>
      </c>
      <c r="V217" s="1611"/>
      <c r="W217" s="1611" t="s">
        <v>851</v>
      </c>
      <c r="X217" s="1611"/>
      <c r="Y217" s="1611"/>
      <c r="Z217" s="1611"/>
    </row>
    <row r="218" spans="1:26" customFormat="1" ht="165.6" hidden="1">
      <c r="A218" s="1611"/>
      <c r="B218" s="1611"/>
      <c r="C218" s="1611" t="s">
        <v>1039</v>
      </c>
      <c r="D218" s="1611" t="s">
        <v>1673</v>
      </c>
      <c r="E218" s="1619" t="s">
        <v>1859</v>
      </c>
      <c r="F218" s="1604">
        <v>62</v>
      </c>
      <c r="G218" s="1611" t="s">
        <v>1847</v>
      </c>
      <c r="H218" s="1618" t="s">
        <v>987</v>
      </c>
      <c r="I218" s="1618" t="s">
        <v>1019</v>
      </c>
      <c r="J218" s="1601" t="s">
        <v>1664</v>
      </c>
      <c r="K218" s="1611">
        <v>41153</v>
      </c>
      <c r="L218" s="1611" t="s">
        <v>1676</v>
      </c>
      <c r="M218" s="1617" t="s">
        <v>1860</v>
      </c>
      <c r="N218" s="1611" t="s">
        <v>1916</v>
      </c>
      <c r="O218" s="1604">
        <v>2012</v>
      </c>
      <c r="P218" s="1611" t="s">
        <v>1475</v>
      </c>
      <c r="Q218" s="1618">
        <v>180</v>
      </c>
      <c r="R218" s="1618"/>
      <c r="S218" s="1618">
        <v>180</v>
      </c>
      <c r="T218" s="1611" t="s">
        <v>1903</v>
      </c>
      <c r="U218" s="1611" t="s">
        <v>864</v>
      </c>
      <c r="V218" s="1611"/>
      <c r="W218" s="1611" t="s">
        <v>883</v>
      </c>
      <c r="X218" s="1611"/>
      <c r="Y218" s="1611"/>
      <c r="Z218" s="1611"/>
    </row>
    <row r="219" spans="1:26" customFormat="1" ht="124.2" hidden="1">
      <c r="A219" s="1611"/>
      <c r="B219" s="1611"/>
      <c r="C219" s="1611" t="s">
        <v>1057</v>
      </c>
      <c r="D219" s="1611" t="s">
        <v>1861</v>
      </c>
      <c r="E219" s="1619" t="s">
        <v>1576</v>
      </c>
      <c r="F219" s="1604" t="s">
        <v>1576</v>
      </c>
      <c r="G219" s="1611" t="s">
        <v>1716</v>
      </c>
      <c r="H219" s="1618"/>
      <c r="I219" s="1618" t="s">
        <v>1576</v>
      </c>
      <c r="J219" s="1601" t="s">
        <v>1576</v>
      </c>
      <c r="K219" s="1611">
        <v>41163</v>
      </c>
      <c r="L219" s="1611" t="s">
        <v>1574</v>
      </c>
      <c r="M219" s="1617" t="s">
        <v>1862</v>
      </c>
      <c r="N219" s="1611" t="s">
        <v>912</v>
      </c>
      <c r="O219" s="1604">
        <v>2012</v>
      </c>
      <c r="P219" s="1611" t="s">
        <v>1475</v>
      </c>
      <c r="Q219" s="1618">
        <v>8</v>
      </c>
      <c r="R219" s="1618"/>
      <c r="S219" s="1618">
        <v>8</v>
      </c>
      <c r="T219" s="1611" t="s">
        <v>1863</v>
      </c>
      <c r="U219" s="1611" t="s">
        <v>928</v>
      </c>
      <c r="V219" s="1611"/>
      <c r="W219" s="1611" t="s">
        <v>849</v>
      </c>
      <c r="X219" s="1611"/>
      <c r="Y219" s="1611"/>
      <c r="Z219" s="1611"/>
    </row>
    <row r="220" spans="1:26" customFormat="1" ht="55.2" hidden="1">
      <c r="A220" s="1611"/>
      <c r="B220" s="1611"/>
      <c r="C220" s="1611" t="s">
        <v>689</v>
      </c>
      <c r="D220" s="1611" t="s">
        <v>468</v>
      </c>
      <c r="E220" s="1619" t="s">
        <v>1576</v>
      </c>
      <c r="F220" s="1604" t="s">
        <v>1576</v>
      </c>
      <c r="G220" s="1611" t="s">
        <v>1716</v>
      </c>
      <c r="H220" s="1618"/>
      <c r="I220" s="1618" t="s">
        <v>1576</v>
      </c>
      <c r="J220" s="1601" t="s">
        <v>1576</v>
      </c>
      <c r="K220" s="1611">
        <v>41168</v>
      </c>
      <c r="L220" s="1611" t="s">
        <v>1574</v>
      </c>
      <c r="M220" s="1617" t="s">
        <v>1864</v>
      </c>
      <c r="N220" s="1611" t="s">
        <v>923</v>
      </c>
      <c r="O220" s="1604">
        <v>2012</v>
      </c>
      <c r="P220" s="1611" t="s">
        <v>1475</v>
      </c>
      <c r="Q220" s="1618">
        <v>10</v>
      </c>
      <c r="R220" s="1618"/>
      <c r="S220" s="1618">
        <v>10</v>
      </c>
      <c r="T220" s="1611" t="s">
        <v>1180</v>
      </c>
      <c r="U220" s="1611" t="s">
        <v>1104</v>
      </c>
      <c r="V220" s="1611"/>
      <c r="W220" s="1611" t="s">
        <v>850</v>
      </c>
      <c r="X220" s="1611"/>
      <c r="Y220" s="1611"/>
      <c r="Z220" s="1611"/>
    </row>
    <row r="221" spans="1:26" customFormat="1" ht="41.4" hidden="1">
      <c r="A221" s="1611"/>
      <c r="B221" s="1611"/>
      <c r="C221" s="1611" t="s">
        <v>689</v>
      </c>
      <c r="D221" s="1611" t="s">
        <v>468</v>
      </c>
      <c r="E221" s="1619" t="s">
        <v>1865</v>
      </c>
      <c r="F221" s="1604">
        <v>20</v>
      </c>
      <c r="G221" s="1611" t="s">
        <v>1311</v>
      </c>
      <c r="H221" s="1618" t="s">
        <v>987</v>
      </c>
      <c r="I221" s="1618" t="s">
        <v>995</v>
      </c>
      <c r="J221" s="1601" t="s">
        <v>1866</v>
      </c>
      <c r="K221" s="1611">
        <v>41195</v>
      </c>
      <c r="L221" s="1611" t="s">
        <v>1574</v>
      </c>
      <c r="M221" s="1617" t="s">
        <v>1867</v>
      </c>
      <c r="N221" s="1611" t="s">
        <v>915</v>
      </c>
      <c r="O221" s="1604">
        <v>2012</v>
      </c>
      <c r="P221" s="1611" t="s">
        <v>653</v>
      </c>
      <c r="Q221" s="1618">
        <v>3</v>
      </c>
      <c r="R221" s="1618"/>
      <c r="S221" s="1618">
        <v>3</v>
      </c>
      <c r="T221" s="1611" t="s">
        <v>1160</v>
      </c>
      <c r="U221" s="1611" t="s">
        <v>864</v>
      </c>
      <c r="V221" s="1611"/>
      <c r="W221" s="1611" t="s">
        <v>850</v>
      </c>
      <c r="X221" s="1611"/>
      <c r="Y221" s="1611"/>
      <c r="Z221" s="1611"/>
    </row>
    <row r="222" spans="1:26" customFormat="1" ht="69" hidden="1">
      <c r="A222" s="1611"/>
      <c r="B222" s="1611"/>
      <c r="C222" s="1611" t="s">
        <v>1128</v>
      </c>
      <c r="D222" s="1611" t="s">
        <v>1673</v>
      </c>
      <c r="E222" s="1619" t="s">
        <v>1868</v>
      </c>
      <c r="F222" s="1604">
        <v>21</v>
      </c>
      <c r="G222" s="1611" t="s">
        <v>1311</v>
      </c>
      <c r="H222" s="1618" t="s">
        <v>987</v>
      </c>
      <c r="I222" s="1618" t="s">
        <v>1019</v>
      </c>
      <c r="J222" s="1601" t="s">
        <v>1601</v>
      </c>
      <c r="K222" s="1611">
        <v>41199</v>
      </c>
      <c r="L222" s="1611" t="s">
        <v>1574</v>
      </c>
      <c r="M222" s="1617" t="s">
        <v>1869</v>
      </c>
      <c r="N222" s="1611" t="s">
        <v>912</v>
      </c>
      <c r="O222" s="1604">
        <v>2012</v>
      </c>
      <c r="P222" s="1611" t="s">
        <v>653</v>
      </c>
      <c r="Q222" s="1618">
        <v>6</v>
      </c>
      <c r="R222" s="1618"/>
      <c r="S222" s="1618">
        <v>6</v>
      </c>
      <c r="T222" s="1611" t="s">
        <v>1297</v>
      </c>
      <c r="U222" s="1611" t="s">
        <v>1870</v>
      </c>
      <c r="V222" s="1611"/>
      <c r="W222" s="1611" t="s">
        <v>850</v>
      </c>
      <c r="X222" s="1611"/>
      <c r="Y222" s="1611"/>
      <c r="Z222" s="1611"/>
    </row>
    <row r="223" spans="1:26" customFormat="1" ht="27.6" hidden="1">
      <c r="A223" s="1611"/>
      <c r="B223" s="1611"/>
      <c r="C223" s="1611" t="s">
        <v>689</v>
      </c>
      <c r="D223" s="1611" t="s">
        <v>468</v>
      </c>
      <c r="E223" s="1619" t="s">
        <v>1576</v>
      </c>
      <c r="F223" s="1604" t="s">
        <v>1576</v>
      </c>
      <c r="G223" s="1611" t="s">
        <v>1716</v>
      </c>
      <c r="H223" s="1618"/>
      <c r="I223" s="1618" t="s">
        <v>1576</v>
      </c>
      <c r="J223" s="1601" t="s">
        <v>1576</v>
      </c>
      <c r="K223" s="1611">
        <v>41204</v>
      </c>
      <c r="L223" s="1611" t="s">
        <v>1574</v>
      </c>
      <c r="M223" s="1617" t="s">
        <v>1871</v>
      </c>
      <c r="N223" s="1611" t="s">
        <v>912</v>
      </c>
      <c r="O223" s="1604">
        <v>2012</v>
      </c>
      <c r="P223" s="1611" t="s">
        <v>653</v>
      </c>
      <c r="Q223" s="1618">
        <v>3</v>
      </c>
      <c r="R223" s="1618"/>
      <c r="S223" s="1618">
        <v>3</v>
      </c>
      <c r="T223" s="1611" t="s">
        <v>1097</v>
      </c>
      <c r="U223" s="1611" t="s">
        <v>864</v>
      </c>
      <c r="V223" s="1611"/>
      <c r="W223" s="1611" t="s">
        <v>851</v>
      </c>
      <c r="X223" s="1611"/>
      <c r="Y223" s="1611"/>
      <c r="Z223" s="1611"/>
    </row>
    <row r="224" spans="1:26" customFormat="1" hidden="1">
      <c r="A224" s="1611"/>
      <c r="B224" s="1611"/>
      <c r="C224" s="1611" t="s">
        <v>95</v>
      </c>
      <c r="D224" s="1611" t="s">
        <v>448</v>
      </c>
      <c r="E224" s="1619" t="s">
        <v>1576</v>
      </c>
      <c r="F224" s="1604" t="s">
        <v>1576</v>
      </c>
      <c r="G224" s="1611" t="s">
        <v>1716</v>
      </c>
      <c r="H224" s="1618"/>
      <c r="I224" s="1618" t="s">
        <v>1576</v>
      </c>
      <c r="J224" s="1601" t="s">
        <v>1576</v>
      </c>
      <c r="K224" s="1611">
        <v>41215</v>
      </c>
      <c r="L224" s="1611" t="s">
        <v>1574</v>
      </c>
      <c r="M224" s="1617" t="s">
        <v>1872</v>
      </c>
      <c r="N224" s="1611" t="s">
        <v>917</v>
      </c>
      <c r="O224" s="1604">
        <v>2012</v>
      </c>
      <c r="P224" s="1611" t="s">
        <v>1102</v>
      </c>
      <c r="Q224" s="1618">
        <v>2</v>
      </c>
      <c r="R224" s="1618"/>
      <c r="S224" s="1618">
        <v>2</v>
      </c>
      <c r="T224" s="1611" t="s">
        <v>1873</v>
      </c>
      <c r="U224" s="1611" t="s">
        <v>1905</v>
      </c>
      <c r="V224" s="1611"/>
      <c r="W224" s="1611" t="s">
        <v>850</v>
      </c>
      <c r="X224" s="1611"/>
      <c r="Y224" s="1611"/>
      <c r="Z224" s="1611"/>
    </row>
    <row r="225" spans="1:26" customFormat="1" hidden="1">
      <c r="A225" s="1611"/>
      <c r="B225" s="1611"/>
      <c r="C225" s="1611" t="s">
        <v>689</v>
      </c>
      <c r="D225" s="1611" t="s">
        <v>468</v>
      </c>
      <c r="E225" s="1619" t="s">
        <v>1576</v>
      </c>
      <c r="F225" s="1604" t="s">
        <v>1576</v>
      </c>
      <c r="G225" s="1611" t="s">
        <v>1716</v>
      </c>
      <c r="H225" s="1618"/>
      <c r="I225" s="1618" t="s">
        <v>1576</v>
      </c>
      <c r="J225" s="1601" t="s">
        <v>1576</v>
      </c>
      <c r="K225" s="1611">
        <v>41219</v>
      </c>
      <c r="L225" s="1611" t="s">
        <v>1574</v>
      </c>
      <c r="M225" s="1617" t="s">
        <v>1874</v>
      </c>
      <c r="N225" s="1611" t="s">
        <v>917</v>
      </c>
      <c r="O225" s="1604">
        <v>2012</v>
      </c>
      <c r="P225" s="1611" t="s">
        <v>1102</v>
      </c>
      <c r="Q225" s="1618">
        <v>18</v>
      </c>
      <c r="R225" s="1618"/>
      <c r="S225" s="1618">
        <v>18</v>
      </c>
      <c r="T225" s="1611" t="s">
        <v>1180</v>
      </c>
      <c r="U225" s="1611" t="s">
        <v>1104</v>
      </c>
      <c r="V225" s="1611"/>
      <c r="W225" s="1611" t="s">
        <v>849</v>
      </c>
      <c r="X225" s="1611"/>
      <c r="Y225" s="1611"/>
      <c r="Z225" s="1611"/>
    </row>
    <row r="226" spans="1:26" customFormat="1" ht="27.6" hidden="1">
      <c r="A226" s="1611"/>
      <c r="B226" s="1611"/>
      <c r="C226" s="1611" t="s">
        <v>91</v>
      </c>
      <c r="D226" s="1611" t="s">
        <v>1875</v>
      </c>
      <c r="E226" s="1619" t="s">
        <v>1576</v>
      </c>
      <c r="F226" s="1604" t="s">
        <v>1576</v>
      </c>
      <c r="G226" s="1611" t="s">
        <v>1716</v>
      </c>
      <c r="H226" s="1618"/>
      <c r="I226" s="1618" t="s">
        <v>1576</v>
      </c>
      <c r="J226" s="1601" t="s">
        <v>1576</v>
      </c>
      <c r="K226" s="1611">
        <v>41227</v>
      </c>
      <c r="L226" s="1611" t="s">
        <v>1574</v>
      </c>
      <c r="M226" s="1617" t="s">
        <v>1876</v>
      </c>
      <c r="N226" s="1611" t="s">
        <v>923</v>
      </c>
      <c r="O226" s="1604">
        <v>2012</v>
      </c>
      <c r="P226" s="1611" t="s">
        <v>1102</v>
      </c>
      <c r="Q226" s="1618">
        <v>2</v>
      </c>
      <c r="R226" s="1618"/>
      <c r="S226" s="1618">
        <v>2</v>
      </c>
      <c r="T226" s="1611" t="s">
        <v>1180</v>
      </c>
      <c r="U226" s="1611" t="s">
        <v>1104</v>
      </c>
      <c r="V226" s="1611"/>
      <c r="W226" s="1611" t="s">
        <v>1877</v>
      </c>
      <c r="X226" s="1611"/>
      <c r="Y226" s="1611"/>
      <c r="Z226" s="1611"/>
    </row>
    <row r="227" spans="1:26" customFormat="1" hidden="1">
      <c r="A227" s="1611"/>
      <c r="B227" s="1611"/>
      <c r="C227" s="1611" t="s">
        <v>91</v>
      </c>
      <c r="D227" s="1611" t="s">
        <v>454</v>
      </c>
      <c r="E227" s="1619" t="s">
        <v>1590</v>
      </c>
      <c r="F227" s="1604">
        <v>37</v>
      </c>
      <c r="G227" s="1611" t="s">
        <v>1311</v>
      </c>
      <c r="H227" s="1618" t="s">
        <v>994</v>
      </c>
      <c r="I227" s="1618" t="s">
        <v>1000</v>
      </c>
      <c r="J227" s="1601" t="s">
        <v>1592</v>
      </c>
      <c r="K227" s="1611">
        <v>41230</v>
      </c>
      <c r="L227" s="1611" t="s">
        <v>1574</v>
      </c>
      <c r="M227" s="1617" t="s">
        <v>1878</v>
      </c>
      <c r="N227" s="1611" t="s">
        <v>915</v>
      </c>
      <c r="O227" s="1604">
        <v>2012</v>
      </c>
      <c r="P227" s="1611" t="s">
        <v>1102</v>
      </c>
      <c r="Q227" s="1618">
        <v>25</v>
      </c>
      <c r="R227" s="1618"/>
      <c r="S227" s="1618">
        <v>25</v>
      </c>
      <c r="T227" s="1611" t="s">
        <v>1879</v>
      </c>
      <c r="U227" s="1611" t="s">
        <v>869</v>
      </c>
      <c r="V227" s="1611"/>
      <c r="W227" s="1611" t="s">
        <v>916</v>
      </c>
      <c r="X227" s="1611"/>
      <c r="Y227" s="1611"/>
      <c r="Z227" s="1611"/>
    </row>
    <row r="228" spans="1:26" customFormat="1" ht="27.6" hidden="1">
      <c r="A228" s="1611"/>
      <c r="B228" s="1611"/>
      <c r="C228" s="1611" t="s">
        <v>1006</v>
      </c>
      <c r="D228" s="1611" t="s">
        <v>558</v>
      </c>
      <c r="E228" s="1619" t="s">
        <v>1880</v>
      </c>
      <c r="F228" s="1604">
        <v>30</v>
      </c>
      <c r="G228" s="1611" t="s">
        <v>1311</v>
      </c>
      <c r="H228" s="1618" t="s">
        <v>987</v>
      </c>
      <c r="I228" s="1618" t="s">
        <v>1000</v>
      </c>
      <c r="J228" s="1601" t="s">
        <v>1169</v>
      </c>
      <c r="K228" s="1611">
        <v>41231</v>
      </c>
      <c r="L228" s="1611" t="s">
        <v>1574</v>
      </c>
      <c r="M228" s="1617" t="s">
        <v>1881</v>
      </c>
      <c r="N228" s="1611" t="s">
        <v>912</v>
      </c>
      <c r="O228" s="1604">
        <v>2012</v>
      </c>
      <c r="P228" s="1611" t="s">
        <v>1102</v>
      </c>
      <c r="Q228" s="1618">
        <v>15</v>
      </c>
      <c r="R228" s="1618"/>
      <c r="S228" s="1618">
        <v>15</v>
      </c>
      <c r="T228" s="1611" t="s">
        <v>1283</v>
      </c>
      <c r="U228" s="1611" t="s">
        <v>864</v>
      </c>
      <c r="V228" s="1611"/>
      <c r="W228" s="1611" t="s">
        <v>883</v>
      </c>
      <c r="X228" s="1611"/>
      <c r="Y228" s="1611"/>
      <c r="Z228" s="1611"/>
    </row>
    <row r="229" spans="1:26" customFormat="1" hidden="1">
      <c r="A229" s="1611"/>
      <c r="B229" s="1611"/>
      <c r="C229" s="1611" t="s">
        <v>95</v>
      </c>
      <c r="D229" s="1611" t="s">
        <v>448</v>
      </c>
      <c r="E229" s="1619" t="s">
        <v>1882</v>
      </c>
      <c r="F229" s="1604">
        <v>31</v>
      </c>
      <c r="G229" s="1611" t="s">
        <v>1311</v>
      </c>
      <c r="H229" s="1618" t="s">
        <v>987</v>
      </c>
      <c r="I229" s="1618" t="s">
        <v>995</v>
      </c>
      <c r="J229" s="1601" t="s">
        <v>1032</v>
      </c>
      <c r="K229" s="1611">
        <v>41233</v>
      </c>
      <c r="L229" s="1611" t="s">
        <v>1574</v>
      </c>
      <c r="M229" s="1617" t="s">
        <v>1883</v>
      </c>
      <c r="N229" s="1611" t="s">
        <v>917</v>
      </c>
      <c r="O229" s="1604">
        <v>2012</v>
      </c>
      <c r="P229" s="1611" t="s">
        <v>1102</v>
      </c>
      <c r="Q229" s="1618">
        <v>7</v>
      </c>
      <c r="R229" s="1618"/>
      <c r="S229" s="1618">
        <v>7</v>
      </c>
      <c r="T229" s="1611" t="s">
        <v>1218</v>
      </c>
      <c r="U229" s="1611" t="s">
        <v>869</v>
      </c>
      <c r="V229" s="1611"/>
      <c r="W229" s="1611" t="s">
        <v>850</v>
      </c>
      <c r="X229" s="1611"/>
      <c r="Y229" s="1611"/>
      <c r="Z229" s="1611"/>
    </row>
    <row r="230" spans="1:26" customFormat="1" hidden="1">
      <c r="A230" s="1611"/>
      <c r="B230" s="1611"/>
      <c r="C230" s="1611" t="s">
        <v>1049</v>
      </c>
      <c r="D230" s="1611" t="s">
        <v>1673</v>
      </c>
      <c r="E230" s="1619" t="s">
        <v>1884</v>
      </c>
      <c r="F230" s="1604">
        <v>31</v>
      </c>
      <c r="G230" s="1611" t="s">
        <v>1311</v>
      </c>
      <c r="H230" s="1618" t="s">
        <v>987</v>
      </c>
      <c r="I230" s="1618" t="s">
        <v>1000</v>
      </c>
      <c r="J230" s="1601" t="s">
        <v>1601</v>
      </c>
      <c r="K230" s="1611">
        <v>41236</v>
      </c>
      <c r="L230" s="1611" t="s">
        <v>1574</v>
      </c>
      <c r="M230" s="1617" t="s">
        <v>1885</v>
      </c>
      <c r="N230" s="1611" t="s">
        <v>912</v>
      </c>
      <c r="O230" s="1604">
        <v>2012</v>
      </c>
      <c r="P230" s="1611" t="s">
        <v>1102</v>
      </c>
      <c r="Q230" s="1618">
        <v>60</v>
      </c>
      <c r="R230" s="1618">
        <v>400</v>
      </c>
      <c r="S230" s="1618">
        <v>460</v>
      </c>
      <c r="T230" s="1611" t="s">
        <v>1678</v>
      </c>
      <c r="U230" s="1611" t="s">
        <v>934</v>
      </c>
      <c r="V230" s="1611"/>
      <c r="W230" s="1611" t="s">
        <v>1116</v>
      </c>
      <c r="X230" s="1611"/>
      <c r="Y230" s="1611"/>
      <c r="Z230" s="1611"/>
    </row>
    <row r="231" spans="1:26" customFormat="1" hidden="1">
      <c r="A231" s="1611"/>
      <c r="B231" s="1611"/>
      <c r="C231" s="1611" t="s">
        <v>1049</v>
      </c>
      <c r="D231" s="1611" t="s">
        <v>1673</v>
      </c>
      <c r="E231" s="1619" t="s">
        <v>1886</v>
      </c>
      <c r="F231" s="1604">
        <v>41</v>
      </c>
      <c r="G231" s="1611" t="s">
        <v>1311</v>
      </c>
      <c r="H231" s="1618" t="s">
        <v>987</v>
      </c>
      <c r="I231" s="1618" t="s">
        <v>1019</v>
      </c>
      <c r="J231" s="1601"/>
      <c r="K231" s="1611">
        <v>41236</v>
      </c>
      <c r="L231" s="1611" t="s">
        <v>1574</v>
      </c>
      <c r="M231" s="1617" t="s">
        <v>1887</v>
      </c>
      <c r="N231" s="1611" t="s">
        <v>913</v>
      </c>
      <c r="O231" s="1604">
        <v>2012</v>
      </c>
      <c r="P231" s="1611" t="s">
        <v>1102</v>
      </c>
      <c r="Q231" s="1618">
        <v>7</v>
      </c>
      <c r="R231" s="1618"/>
      <c r="S231" s="1618">
        <v>7</v>
      </c>
      <c r="T231" s="1611" t="s">
        <v>1222</v>
      </c>
      <c r="U231" s="1611" t="s">
        <v>864</v>
      </c>
      <c r="V231" s="1611"/>
      <c r="W231" s="1611" t="s">
        <v>916</v>
      </c>
      <c r="X231" s="1611"/>
      <c r="Y231" s="1611"/>
      <c r="Z231" s="1611"/>
    </row>
    <row r="232" spans="1:26" customFormat="1" ht="41.4" hidden="1">
      <c r="A232" s="1611"/>
      <c r="B232" s="1611"/>
      <c r="C232" s="1611" t="s">
        <v>77</v>
      </c>
      <c r="D232" s="1611" t="s">
        <v>1673</v>
      </c>
      <c r="E232" s="1619" t="s">
        <v>1888</v>
      </c>
      <c r="F232" s="1604">
        <v>32</v>
      </c>
      <c r="G232" s="1611" t="s">
        <v>1311</v>
      </c>
      <c r="H232" s="1618" t="s">
        <v>987</v>
      </c>
      <c r="I232" s="1618" t="s">
        <v>1019</v>
      </c>
      <c r="J232" s="1601" t="s">
        <v>1037</v>
      </c>
      <c r="K232" s="1611">
        <v>41254</v>
      </c>
      <c r="L232" s="1611" t="s">
        <v>1574</v>
      </c>
      <c r="M232" s="1617" t="s">
        <v>1889</v>
      </c>
      <c r="N232" s="1611" t="s">
        <v>917</v>
      </c>
      <c r="O232" s="1604">
        <v>2012</v>
      </c>
      <c r="P232" s="1611" t="s">
        <v>1154</v>
      </c>
      <c r="Q232" s="1618">
        <v>7</v>
      </c>
      <c r="R232" s="1618"/>
      <c r="S232" s="1618">
        <v>7</v>
      </c>
      <c r="T232" s="1611" t="s">
        <v>1160</v>
      </c>
      <c r="U232" s="1611" t="s">
        <v>1902</v>
      </c>
      <c r="V232" s="1611"/>
      <c r="W232" s="1611" t="s">
        <v>850</v>
      </c>
      <c r="X232" s="1611"/>
      <c r="Y232" s="1611"/>
      <c r="Z232" s="1611"/>
    </row>
    <row r="233" spans="1:26" customFormat="1" ht="41.4" hidden="1">
      <c r="A233" s="1611"/>
      <c r="B233" s="1611"/>
      <c r="C233" s="1611" t="s">
        <v>91</v>
      </c>
      <c r="D233" s="1611" t="s">
        <v>1673</v>
      </c>
      <c r="E233" s="1619" t="s">
        <v>1890</v>
      </c>
      <c r="F233" s="1604">
        <v>21</v>
      </c>
      <c r="G233" s="1611" t="s">
        <v>1311</v>
      </c>
      <c r="H233" s="1618" t="s">
        <v>987</v>
      </c>
      <c r="I233" s="1618" t="s">
        <v>1000</v>
      </c>
      <c r="J233" s="1601" t="s">
        <v>1891</v>
      </c>
      <c r="K233" s="1611">
        <v>41255</v>
      </c>
      <c r="L233" s="1611" t="s">
        <v>1574</v>
      </c>
      <c r="M233" s="1617" t="s">
        <v>1892</v>
      </c>
      <c r="N233" s="1611" t="s">
        <v>1916</v>
      </c>
      <c r="O233" s="1604">
        <v>2012</v>
      </c>
      <c r="P233" s="1611" t="s">
        <v>1893</v>
      </c>
      <c r="Q233" s="1618">
        <v>26</v>
      </c>
      <c r="R233" s="1618"/>
      <c r="S233" s="1618">
        <v>26</v>
      </c>
      <c r="T233" s="1611" t="s">
        <v>1097</v>
      </c>
      <c r="U233" s="1611" t="s">
        <v>864</v>
      </c>
      <c r="V233" s="1611"/>
      <c r="W233" s="1611" t="s">
        <v>850</v>
      </c>
      <c r="X233" s="1611"/>
      <c r="Y233" s="1611"/>
      <c r="Z233" s="1611"/>
    </row>
    <row r="234" spans="1:26" customFormat="1" ht="41.4" hidden="1">
      <c r="A234" s="1611"/>
      <c r="B234" s="1611"/>
      <c r="C234" s="1611" t="s">
        <v>77</v>
      </c>
      <c r="D234" s="1611" t="s">
        <v>1673</v>
      </c>
      <c r="E234" s="1619" t="s">
        <v>1894</v>
      </c>
      <c r="F234" s="1604">
        <v>26</v>
      </c>
      <c r="G234" s="1611" t="s">
        <v>1311</v>
      </c>
      <c r="H234" s="1618" t="s">
        <v>987</v>
      </c>
      <c r="I234" s="1618" t="s">
        <v>1000</v>
      </c>
      <c r="J234" s="1601" t="s">
        <v>1895</v>
      </c>
      <c r="K234" s="1611">
        <v>41274</v>
      </c>
      <c r="L234" s="1611" t="s">
        <v>1574</v>
      </c>
      <c r="M234" s="1617" t="s">
        <v>1896</v>
      </c>
      <c r="N234" s="1611" t="s">
        <v>913</v>
      </c>
      <c r="O234" s="1604">
        <v>2012</v>
      </c>
      <c r="P234" s="1611" t="s">
        <v>1154</v>
      </c>
      <c r="Q234" s="1618">
        <v>11</v>
      </c>
      <c r="R234" s="1618"/>
      <c r="S234" s="1618">
        <v>11</v>
      </c>
      <c r="T234" s="1611" t="s">
        <v>1160</v>
      </c>
      <c r="U234" s="1611" t="s">
        <v>1902</v>
      </c>
      <c r="V234" s="1611"/>
      <c r="W234" s="1611" t="s">
        <v>850</v>
      </c>
      <c r="X234" s="1611"/>
      <c r="Y234" s="1611"/>
      <c r="Z234" s="1611"/>
    </row>
    <row r="235" spans="1:26" customFormat="1" hidden="1">
      <c r="A235" s="1611"/>
      <c r="B235" s="1611" t="s">
        <v>591</v>
      </c>
      <c r="C235" s="1611" t="s">
        <v>974</v>
      </c>
      <c r="D235" s="1611" t="s">
        <v>879</v>
      </c>
      <c r="E235" s="1619" t="s">
        <v>985</v>
      </c>
      <c r="F235" s="1604">
        <v>39</v>
      </c>
      <c r="G235" s="1611" t="s">
        <v>986</v>
      </c>
      <c r="H235" s="1618" t="s">
        <v>987</v>
      </c>
      <c r="I235" s="1618" t="s">
        <v>988</v>
      </c>
      <c r="J235" s="1601" t="s">
        <v>1439</v>
      </c>
      <c r="K235" s="1611" t="s">
        <v>989</v>
      </c>
      <c r="L235" s="1611" t="s">
        <v>990</v>
      </c>
      <c r="M235" s="1617" t="s">
        <v>991</v>
      </c>
      <c r="N235" s="1611" t="s">
        <v>912</v>
      </c>
      <c r="O235" s="1604">
        <v>2016</v>
      </c>
      <c r="P235" s="1611" t="s">
        <v>992</v>
      </c>
      <c r="Q235" s="1618">
        <v>21</v>
      </c>
      <c r="R235" s="1618"/>
      <c r="S235" s="1618">
        <v>21</v>
      </c>
      <c r="T235" s="1611" t="s">
        <v>1189</v>
      </c>
      <c r="U235" s="1611" t="s">
        <v>864</v>
      </c>
      <c r="V235" s="1611"/>
      <c r="W235" s="1611" t="s">
        <v>851</v>
      </c>
      <c r="X235" s="1611"/>
      <c r="Y235" s="1611"/>
      <c r="Z235" s="1611"/>
    </row>
    <row r="236" spans="1:26" customFormat="1" hidden="1">
      <c r="A236" s="1611"/>
      <c r="B236" s="1611" t="s">
        <v>1076</v>
      </c>
      <c r="C236" s="1611" t="s">
        <v>938</v>
      </c>
      <c r="D236" s="1611" t="s">
        <v>938</v>
      </c>
      <c r="E236" s="1619" t="s">
        <v>2025</v>
      </c>
      <c r="F236" s="1604">
        <v>33</v>
      </c>
      <c r="G236" s="1611" t="s">
        <v>993</v>
      </c>
      <c r="H236" s="1618" t="s">
        <v>994</v>
      </c>
      <c r="I236" s="1618" t="s">
        <v>995</v>
      </c>
      <c r="J236" s="1601" t="s">
        <v>1396</v>
      </c>
      <c r="K236" s="1611" t="s">
        <v>996</v>
      </c>
      <c r="L236" s="1611" t="s">
        <v>990</v>
      </c>
      <c r="M236" s="1617" t="s">
        <v>997</v>
      </c>
      <c r="N236" s="1611" t="s">
        <v>929</v>
      </c>
      <c r="O236" s="1604">
        <v>2016</v>
      </c>
      <c r="P236" s="1611" t="s">
        <v>992</v>
      </c>
      <c r="Q236" s="1618">
        <v>1</v>
      </c>
      <c r="R236" s="1618"/>
      <c r="S236" s="1618">
        <v>1</v>
      </c>
      <c r="T236" s="1611" t="s">
        <v>1943</v>
      </c>
      <c r="U236" s="1611" t="s">
        <v>1905</v>
      </c>
      <c r="V236" s="1611"/>
      <c r="W236" s="1611" t="s">
        <v>852</v>
      </c>
      <c r="X236" s="1611" t="s">
        <v>1055</v>
      </c>
      <c r="Y236" s="1611"/>
      <c r="Z236" s="1611"/>
    </row>
    <row r="237" spans="1:26" customFormat="1" ht="27.6" hidden="1">
      <c r="A237" s="1611"/>
      <c r="B237" s="1611" t="s">
        <v>1076</v>
      </c>
      <c r="C237" s="1611" t="s">
        <v>938</v>
      </c>
      <c r="D237" s="1611" t="s">
        <v>938</v>
      </c>
      <c r="E237" s="1619" t="s">
        <v>2026</v>
      </c>
      <c r="F237" s="1604">
        <v>24</v>
      </c>
      <c r="G237" s="1611" t="s">
        <v>999</v>
      </c>
      <c r="H237" s="1618" t="s">
        <v>987</v>
      </c>
      <c r="I237" s="1618" t="s">
        <v>1000</v>
      </c>
      <c r="J237" s="1601" t="s">
        <v>1396</v>
      </c>
      <c r="K237" s="1611" t="s">
        <v>1001</v>
      </c>
      <c r="L237" s="1611" t="s">
        <v>990</v>
      </c>
      <c r="M237" s="1617" t="s">
        <v>1002</v>
      </c>
      <c r="N237" s="1611" t="s">
        <v>917</v>
      </c>
      <c r="O237" s="1604">
        <v>2016</v>
      </c>
      <c r="P237" s="1611" t="s">
        <v>992</v>
      </c>
      <c r="Q237" s="1618">
        <v>80</v>
      </c>
      <c r="R237" s="1618"/>
      <c r="S237" s="1618">
        <v>80</v>
      </c>
      <c r="T237" s="1611" t="s">
        <v>1564</v>
      </c>
      <c r="U237" s="1611" t="s">
        <v>558</v>
      </c>
      <c r="V237" s="1611"/>
      <c r="W237" s="1611" t="s">
        <v>948</v>
      </c>
      <c r="X237" s="1611" t="s">
        <v>1055</v>
      </c>
      <c r="Y237" s="1611"/>
      <c r="Z237" s="1611"/>
    </row>
    <row r="238" spans="1:26" customFormat="1" ht="27.6" hidden="1">
      <c r="A238" s="1611"/>
      <c r="B238" s="1611" t="s">
        <v>1076</v>
      </c>
      <c r="C238" s="1611" t="s">
        <v>938</v>
      </c>
      <c r="D238" s="1611" t="s">
        <v>938</v>
      </c>
      <c r="E238" s="1619" t="s">
        <v>2027</v>
      </c>
      <c r="F238" s="1604">
        <v>43</v>
      </c>
      <c r="G238" s="1611" t="s">
        <v>999</v>
      </c>
      <c r="H238" s="1618" t="s">
        <v>987</v>
      </c>
      <c r="I238" s="1618" t="s">
        <v>995</v>
      </c>
      <c r="J238" s="1601" t="s">
        <v>1456</v>
      </c>
      <c r="K238" s="1611">
        <v>42385</v>
      </c>
      <c r="L238" s="1611" t="s">
        <v>990</v>
      </c>
      <c r="M238" s="1617" t="s">
        <v>1003</v>
      </c>
      <c r="N238" s="1611" t="s">
        <v>912</v>
      </c>
      <c r="O238" s="1604">
        <v>2016</v>
      </c>
      <c r="P238" s="1611" t="s">
        <v>992</v>
      </c>
      <c r="Q238" s="1618">
        <v>47</v>
      </c>
      <c r="R238" s="1618"/>
      <c r="S238" s="1618">
        <v>47</v>
      </c>
      <c r="T238" s="1611" t="s">
        <v>1278</v>
      </c>
      <c r="U238" s="1611" t="s">
        <v>864</v>
      </c>
      <c r="V238" s="1611"/>
      <c r="W238" s="1611" t="s">
        <v>851</v>
      </c>
      <c r="X238" s="1611" t="s">
        <v>1055</v>
      </c>
      <c r="Y238" s="1611"/>
      <c r="Z238" s="1611"/>
    </row>
    <row r="239" spans="1:26" customFormat="1" hidden="1">
      <c r="A239" s="1611"/>
      <c r="B239" s="1611" t="s">
        <v>1076</v>
      </c>
      <c r="C239" s="1611" t="s">
        <v>938</v>
      </c>
      <c r="D239" s="1611" t="s">
        <v>938</v>
      </c>
      <c r="E239" s="1619" t="s">
        <v>2028</v>
      </c>
      <c r="F239" s="1604">
        <v>29</v>
      </c>
      <c r="G239" s="1611" t="s">
        <v>993</v>
      </c>
      <c r="H239" s="1618" t="s">
        <v>994</v>
      </c>
      <c r="I239" s="1618" t="s">
        <v>995</v>
      </c>
      <c r="J239" s="1601" t="s">
        <v>2029</v>
      </c>
      <c r="K239" s="1611" t="s">
        <v>1004</v>
      </c>
      <c r="L239" s="1611" t="s">
        <v>990</v>
      </c>
      <c r="M239" s="1617" t="s">
        <v>1005</v>
      </c>
      <c r="N239" s="1611" t="s">
        <v>912</v>
      </c>
      <c r="O239" s="1604">
        <v>2016</v>
      </c>
      <c r="P239" s="1611" t="s">
        <v>992</v>
      </c>
      <c r="Q239" s="1618">
        <v>13</v>
      </c>
      <c r="R239" s="1618"/>
      <c r="S239" s="1618">
        <v>13</v>
      </c>
      <c r="T239" s="1611" t="s">
        <v>1241</v>
      </c>
      <c r="U239" s="1611" t="s">
        <v>864</v>
      </c>
      <c r="V239" s="1611"/>
      <c r="W239" s="1611" t="s">
        <v>851</v>
      </c>
      <c r="X239" s="1611" t="s">
        <v>1055</v>
      </c>
      <c r="Y239" s="1611"/>
      <c r="Z239" s="1611"/>
    </row>
    <row r="240" spans="1:26" customFormat="1" hidden="1">
      <c r="A240" s="1611"/>
      <c r="B240" s="1611" t="s">
        <v>1076</v>
      </c>
      <c r="C240" s="1611" t="s">
        <v>918</v>
      </c>
      <c r="D240" s="1611" t="s">
        <v>918</v>
      </c>
      <c r="E240" s="1619" t="s">
        <v>1007</v>
      </c>
      <c r="F240" s="1604">
        <v>47</v>
      </c>
      <c r="G240" s="1611" t="s">
        <v>993</v>
      </c>
      <c r="H240" s="1618" t="s">
        <v>987</v>
      </c>
      <c r="I240" s="1618" t="s">
        <v>1000</v>
      </c>
      <c r="J240" s="1601" t="s">
        <v>2031</v>
      </c>
      <c r="K240" s="1611" t="s">
        <v>1008</v>
      </c>
      <c r="L240" s="1611" t="s">
        <v>990</v>
      </c>
      <c r="M240" s="1617" t="s">
        <v>2155</v>
      </c>
      <c r="N240" s="1611" t="s">
        <v>1916</v>
      </c>
      <c r="O240" s="1604">
        <v>2016</v>
      </c>
      <c r="P240" s="1611" t="s">
        <v>1009</v>
      </c>
      <c r="Q240" s="1618">
        <v>20</v>
      </c>
      <c r="R240" s="1618"/>
      <c r="S240" s="1618">
        <v>20</v>
      </c>
      <c r="T240" s="1611" t="s">
        <v>701</v>
      </c>
      <c r="U240" s="1611" t="s">
        <v>1960</v>
      </c>
      <c r="V240" s="1611"/>
      <c r="W240" s="1611" t="s">
        <v>883</v>
      </c>
      <c r="X240" s="1611" t="s">
        <v>2032</v>
      </c>
      <c r="Y240" s="1611"/>
      <c r="Z240" s="1611"/>
    </row>
    <row r="241" spans="1:26" customFormat="1" ht="27.6" hidden="1">
      <c r="A241" s="1611"/>
      <c r="B241" s="1611" t="s">
        <v>1076</v>
      </c>
      <c r="C241" s="1611" t="s">
        <v>1010</v>
      </c>
      <c r="D241" s="1611" t="s">
        <v>998</v>
      </c>
      <c r="E241" s="1619" t="s">
        <v>1011</v>
      </c>
      <c r="F241" s="1604">
        <v>19</v>
      </c>
      <c r="G241" s="1611" t="s">
        <v>993</v>
      </c>
      <c r="H241" s="1618" t="s">
        <v>987</v>
      </c>
      <c r="I241" s="1618" t="s">
        <v>995</v>
      </c>
      <c r="J241" s="1601" t="s">
        <v>2024</v>
      </c>
      <c r="K241" s="1611">
        <v>42380</v>
      </c>
      <c r="L241" s="1611" t="s">
        <v>990</v>
      </c>
      <c r="M241" s="1617" t="s">
        <v>1012</v>
      </c>
      <c r="N241" s="1611" t="s">
        <v>913</v>
      </c>
      <c r="O241" s="1604">
        <v>2016</v>
      </c>
      <c r="P241" s="1611" t="s">
        <v>992</v>
      </c>
      <c r="Q241" s="1618">
        <v>15</v>
      </c>
      <c r="R241" s="1618"/>
      <c r="S241" s="1618">
        <v>15</v>
      </c>
      <c r="T241" s="1611" t="s">
        <v>1897</v>
      </c>
      <c r="U241" s="1611" t="s">
        <v>928</v>
      </c>
      <c r="V241" s="1611"/>
      <c r="W241" s="1611" t="s">
        <v>882</v>
      </c>
      <c r="X241" s="1611" t="s">
        <v>1056</v>
      </c>
      <c r="Y241" s="1611"/>
      <c r="Z241" s="1611"/>
    </row>
    <row r="242" spans="1:26" customFormat="1" ht="27.6" hidden="1">
      <c r="A242" s="1611"/>
      <c r="B242" s="1611" t="s">
        <v>1076</v>
      </c>
      <c r="C242" s="1611" t="s">
        <v>430</v>
      </c>
      <c r="D242" s="1611" t="s">
        <v>879</v>
      </c>
      <c r="E242" s="1619" t="s">
        <v>1013</v>
      </c>
      <c r="F242" s="1604">
        <v>40</v>
      </c>
      <c r="G242" s="1611" t="s">
        <v>1014</v>
      </c>
      <c r="H242" s="1618" t="s">
        <v>987</v>
      </c>
      <c r="I242" s="1618" t="s">
        <v>995</v>
      </c>
      <c r="J242" s="1601" t="s">
        <v>2030</v>
      </c>
      <c r="K242" s="1611" t="s">
        <v>1015</v>
      </c>
      <c r="L242" s="1611" t="s">
        <v>990</v>
      </c>
      <c r="M242" s="1617" t="s">
        <v>1016</v>
      </c>
      <c r="N242" s="1611" t="s">
        <v>923</v>
      </c>
      <c r="O242" s="1604">
        <v>2016</v>
      </c>
      <c r="P242" s="1611" t="s">
        <v>992</v>
      </c>
      <c r="Q242" s="1618">
        <v>8</v>
      </c>
      <c r="R242" s="1618"/>
      <c r="S242" s="1618">
        <v>8</v>
      </c>
      <c r="T242" s="1611" t="s">
        <v>1278</v>
      </c>
      <c r="U242" s="1611" t="s">
        <v>934</v>
      </c>
      <c r="V242" s="1611"/>
      <c r="W242" s="1611" t="s">
        <v>850</v>
      </c>
      <c r="X242" s="1611"/>
      <c r="Y242" s="1611"/>
      <c r="Z242" s="1611"/>
    </row>
    <row r="243" spans="1:26" customFormat="1" hidden="1">
      <c r="A243" s="1611"/>
      <c r="B243" s="1611" t="s">
        <v>1076</v>
      </c>
      <c r="C243" s="1611" t="s">
        <v>1010</v>
      </c>
      <c r="D243" s="1611" t="s">
        <v>879</v>
      </c>
      <c r="E243" s="1619" t="s">
        <v>1017</v>
      </c>
      <c r="F243" s="1604">
        <v>41</v>
      </c>
      <c r="G243" s="1611" t="s">
        <v>1018</v>
      </c>
      <c r="H243" s="1618" t="s">
        <v>987</v>
      </c>
      <c r="I243" s="1618" t="s">
        <v>1019</v>
      </c>
      <c r="J243" s="1601" t="s">
        <v>1573</v>
      </c>
      <c r="K243" s="1611" t="s">
        <v>1020</v>
      </c>
      <c r="L243" s="1611" t="s">
        <v>990</v>
      </c>
      <c r="M243" s="1617" t="s">
        <v>1021</v>
      </c>
      <c r="N243" s="1611" t="s">
        <v>912</v>
      </c>
      <c r="O243" s="1604">
        <v>2016</v>
      </c>
      <c r="P243" s="1611" t="s">
        <v>992</v>
      </c>
      <c r="Q243" s="1618">
        <v>28</v>
      </c>
      <c r="R243" s="1618"/>
      <c r="S243" s="1618">
        <v>28</v>
      </c>
      <c r="T243" s="1611" t="s">
        <v>1278</v>
      </c>
      <c r="U243" s="1611" t="s">
        <v>558</v>
      </c>
      <c r="V243" s="1611"/>
      <c r="W243" s="1611" t="s">
        <v>850</v>
      </c>
      <c r="X243" s="1611"/>
      <c r="Y243" s="1611"/>
      <c r="Z243" s="1611"/>
    </row>
    <row r="244" spans="1:26" customFormat="1" ht="27.6" hidden="1">
      <c r="A244" s="1611"/>
      <c r="B244" s="1611" t="s">
        <v>1076</v>
      </c>
      <c r="C244" s="1611" t="s">
        <v>77</v>
      </c>
      <c r="D244" s="1611" t="s">
        <v>879</v>
      </c>
      <c r="E244" s="1619" t="s">
        <v>1022</v>
      </c>
      <c r="F244" s="1604">
        <v>27</v>
      </c>
      <c r="G244" s="1611" t="s">
        <v>1023</v>
      </c>
      <c r="H244" s="1618" t="s">
        <v>987</v>
      </c>
      <c r="I244" s="1618" t="s">
        <v>995</v>
      </c>
      <c r="J244" s="1601" t="s">
        <v>1866</v>
      </c>
      <c r="K244" s="1611" t="s">
        <v>1024</v>
      </c>
      <c r="L244" s="1611" t="s">
        <v>990</v>
      </c>
      <c r="M244" s="1617" t="s">
        <v>1025</v>
      </c>
      <c r="N244" s="1611" t="s">
        <v>915</v>
      </c>
      <c r="O244" s="1604">
        <v>2016</v>
      </c>
      <c r="P244" s="1611" t="s">
        <v>1009</v>
      </c>
      <c r="Q244" s="1618">
        <v>23</v>
      </c>
      <c r="R244" s="1618"/>
      <c r="S244" s="1618">
        <v>23</v>
      </c>
      <c r="T244" s="1611" t="s">
        <v>701</v>
      </c>
      <c r="U244" s="1611" t="s">
        <v>864</v>
      </c>
      <c r="V244" s="1611"/>
      <c r="W244" s="1611" t="s">
        <v>916</v>
      </c>
      <c r="X244" s="1611"/>
      <c r="Y244" s="1611"/>
      <c r="Z244" s="1611"/>
    </row>
    <row r="245" spans="1:26" customFormat="1" ht="27.6" hidden="1">
      <c r="A245" s="1611"/>
      <c r="B245" s="1611" t="s">
        <v>1076</v>
      </c>
      <c r="C245" s="1611" t="s">
        <v>93</v>
      </c>
      <c r="D245" s="1611" t="s">
        <v>431</v>
      </c>
      <c r="E245" s="1619" t="s">
        <v>1026</v>
      </c>
      <c r="F245" s="1604">
        <v>23</v>
      </c>
      <c r="G245" s="1611" t="s">
        <v>1027</v>
      </c>
      <c r="H245" s="1618" t="s">
        <v>987</v>
      </c>
      <c r="I245" s="1618" t="s">
        <v>1019</v>
      </c>
      <c r="J245" s="1601" t="s">
        <v>1895</v>
      </c>
      <c r="K245" s="1611" t="s">
        <v>1028</v>
      </c>
      <c r="L245" s="1611" t="s">
        <v>990</v>
      </c>
      <c r="M245" s="1617" t="s">
        <v>1029</v>
      </c>
      <c r="N245" s="1611" t="s">
        <v>915</v>
      </c>
      <c r="O245" s="1604">
        <v>2016</v>
      </c>
      <c r="P245" s="1611" t="s">
        <v>1009</v>
      </c>
      <c r="Q245" s="1618">
        <v>10</v>
      </c>
      <c r="R245" s="1618"/>
      <c r="S245" s="1618">
        <v>10</v>
      </c>
      <c r="T245" s="1611" t="s">
        <v>1160</v>
      </c>
      <c r="U245" s="1611" t="s">
        <v>914</v>
      </c>
      <c r="V245" s="1611"/>
      <c r="W245" s="1611" t="s">
        <v>850</v>
      </c>
      <c r="X245" s="1611"/>
      <c r="Y245" s="1611"/>
      <c r="Z245" s="1611"/>
    </row>
    <row r="246" spans="1:26" customFormat="1" hidden="1">
      <c r="A246" s="1611"/>
      <c r="B246" s="1611"/>
      <c r="C246" s="1611" t="s">
        <v>93</v>
      </c>
      <c r="D246" s="1611" t="s">
        <v>431</v>
      </c>
      <c r="E246" s="1619" t="s">
        <v>1030</v>
      </c>
      <c r="F246" s="1604">
        <v>56</v>
      </c>
      <c r="G246" s="1611" t="s">
        <v>993</v>
      </c>
      <c r="H246" s="1618" t="s">
        <v>987</v>
      </c>
      <c r="I246" s="1618">
        <v>1</v>
      </c>
      <c r="J246" s="1601" t="s">
        <v>2038</v>
      </c>
      <c r="K246" s="1611">
        <v>42464.638888888891</v>
      </c>
      <c r="L246" s="1611" t="s">
        <v>990</v>
      </c>
      <c r="M246" s="1617" t="s">
        <v>1944</v>
      </c>
      <c r="N246" s="1611" t="s">
        <v>917</v>
      </c>
      <c r="O246" s="1604">
        <v>2016</v>
      </c>
      <c r="P246" s="1611" t="s">
        <v>1031</v>
      </c>
      <c r="Q246" s="1618">
        <v>3</v>
      </c>
      <c r="R246" s="1618"/>
      <c r="S246" s="1618">
        <v>3</v>
      </c>
      <c r="T246" s="1611" t="s">
        <v>1945</v>
      </c>
      <c r="U246" s="1611" t="s">
        <v>1987</v>
      </c>
      <c r="V246" s="1611"/>
      <c r="W246" s="1611" t="s">
        <v>850</v>
      </c>
      <c r="X246" s="1611"/>
      <c r="Y246" s="1611"/>
      <c r="Z246" s="1611"/>
    </row>
    <row r="247" spans="1:26" customFormat="1" hidden="1">
      <c r="A247" s="1611"/>
      <c r="B247" s="1611"/>
      <c r="C247" s="1611" t="s">
        <v>938</v>
      </c>
      <c r="D247" s="1611" t="s">
        <v>938</v>
      </c>
      <c r="E247" s="1619" t="s">
        <v>2033</v>
      </c>
      <c r="F247" s="1604">
        <v>42</v>
      </c>
      <c r="G247" s="1611" t="s">
        <v>993</v>
      </c>
      <c r="H247" s="1618" t="s">
        <v>987</v>
      </c>
      <c r="I247" s="1618">
        <v>2</v>
      </c>
      <c r="J247" s="1601" t="s">
        <v>1032</v>
      </c>
      <c r="K247" s="1611">
        <v>42460.909722222219</v>
      </c>
      <c r="L247" s="1611" t="s">
        <v>990</v>
      </c>
      <c r="M247" s="1617" t="s">
        <v>1033</v>
      </c>
      <c r="N247" s="1611" t="s">
        <v>923</v>
      </c>
      <c r="O247" s="1604">
        <v>2016</v>
      </c>
      <c r="P247" s="1611" t="s">
        <v>1034</v>
      </c>
      <c r="Q247" s="1618">
        <v>8</v>
      </c>
      <c r="R247" s="1618"/>
      <c r="S247" s="1618">
        <v>8</v>
      </c>
      <c r="T247" s="1611" t="s">
        <v>226</v>
      </c>
      <c r="U247" s="1611" t="s">
        <v>864</v>
      </c>
      <c r="V247" s="1611"/>
      <c r="W247" s="1611" t="s">
        <v>850</v>
      </c>
      <c r="X247" s="1611" t="s">
        <v>1055</v>
      </c>
      <c r="Y247" s="1611"/>
      <c r="Z247" s="1611"/>
    </row>
    <row r="248" spans="1:26" customFormat="1" ht="27.6" hidden="1">
      <c r="A248" s="1611"/>
      <c r="B248" s="1611"/>
      <c r="C248" s="1611" t="s">
        <v>93</v>
      </c>
      <c r="D248" s="1611" t="s">
        <v>431</v>
      </c>
      <c r="E248" s="1619" t="s">
        <v>1035</v>
      </c>
      <c r="F248" s="1604">
        <v>27</v>
      </c>
      <c r="G248" s="1611" t="s">
        <v>1036</v>
      </c>
      <c r="H248" s="1618" t="s">
        <v>994</v>
      </c>
      <c r="I248" s="1618">
        <v>1</v>
      </c>
      <c r="J248" s="1601" t="s">
        <v>2035</v>
      </c>
      <c r="K248" s="1611">
        <v>42445.298611111109</v>
      </c>
      <c r="L248" s="1611" t="s">
        <v>990</v>
      </c>
      <c r="M248" s="1617" t="s">
        <v>1038</v>
      </c>
      <c r="N248" s="1611" t="s">
        <v>915</v>
      </c>
      <c r="O248" s="1604">
        <v>2016</v>
      </c>
      <c r="P248" s="1611" t="s">
        <v>1034</v>
      </c>
      <c r="Q248" s="1618">
        <v>4</v>
      </c>
      <c r="R248" s="1618"/>
      <c r="S248" s="1618">
        <v>4</v>
      </c>
      <c r="T248" s="1611" t="s">
        <v>1650</v>
      </c>
      <c r="U248" s="1611" t="s">
        <v>1960</v>
      </c>
      <c r="V248" s="1611"/>
      <c r="W248" s="1611" t="s">
        <v>916</v>
      </c>
      <c r="X248" s="1611"/>
      <c r="Y248" s="1611"/>
      <c r="Z248" s="1611"/>
    </row>
    <row r="249" spans="1:26" customFormat="1" ht="27.6" hidden="1">
      <c r="A249" s="1611"/>
      <c r="B249" s="1611"/>
      <c r="C249" s="1611" t="s">
        <v>1039</v>
      </c>
      <c r="D249" s="1611" t="s">
        <v>879</v>
      </c>
      <c r="E249" s="1619" t="s">
        <v>1040</v>
      </c>
      <c r="F249" s="1604">
        <v>29</v>
      </c>
      <c r="G249" s="1611" t="s">
        <v>1041</v>
      </c>
      <c r="H249" s="1618" t="s">
        <v>987</v>
      </c>
      <c r="I249" s="1618">
        <v>2</v>
      </c>
      <c r="J249" s="1601" t="s">
        <v>2034</v>
      </c>
      <c r="K249" s="1611">
        <v>42447.149305555555</v>
      </c>
      <c r="L249" s="1611" t="s">
        <v>990</v>
      </c>
      <c r="M249" s="1617" t="s">
        <v>2123</v>
      </c>
      <c r="N249" s="1611" t="s">
        <v>912</v>
      </c>
      <c r="O249" s="1604">
        <v>2016</v>
      </c>
      <c r="P249" s="1611" t="s">
        <v>1034</v>
      </c>
      <c r="Q249" s="1618">
        <v>59</v>
      </c>
      <c r="R249" s="1618">
        <v>75</v>
      </c>
      <c r="S249" s="1618">
        <v>134</v>
      </c>
      <c r="T249" s="1611" t="s">
        <v>1278</v>
      </c>
      <c r="U249" s="1611" t="s">
        <v>864</v>
      </c>
      <c r="V249" s="1611"/>
      <c r="W249" s="1611" t="s">
        <v>2009</v>
      </c>
      <c r="X249" s="1611"/>
      <c r="Y249" s="1611"/>
      <c r="Z249" s="1611"/>
    </row>
    <row r="250" spans="1:26" customFormat="1" ht="27.6" hidden="1">
      <c r="A250" s="1611"/>
      <c r="B250" s="1611"/>
      <c r="C250" s="1611" t="s">
        <v>1010</v>
      </c>
      <c r="D250" s="1611" t="s">
        <v>879</v>
      </c>
      <c r="E250" s="1619" t="s">
        <v>1042</v>
      </c>
      <c r="F250" s="1604">
        <v>37</v>
      </c>
      <c r="G250" s="1611" t="s">
        <v>1043</v>
      </c>
      <c r="H250" s="1618" t="s">
        <v>987</v>
      </c>
      <c r="I250" s="1618">
        <v>3</v>
      </c>
      <c r="J250" s="1601" t="s">
        <v>1044</v>
      </c>
      <c r="K250" s="1611">
        <v>42431.961805555555</v>
      </c>
      <c r="L250" s="1611" t="s">
        <v>1045</v>
      </c>
      <c r="M250" s="1617" t="s">
        <v>1046</v>
      </c>
      <c r="N250" s="1611" t="s">
        <v>929</v>
      </c>
      <c r="O250" s="1604">
        <v>2016</v>
      </c>
      <c r="P250" s="1611" t="s">
        <v>1034</v>
      </c>
      <c r="Q250" s="1618">
        <v>8</v>
      </c>
      <c r="R250" s="1618"/>
      <c r="S250" s="1618">
        <v>8</v>
      </c>
      <c r="T250" s="1611" t="s">
        <v>1898</v>
      </c>
      <c r="U250" s="1611" t="s">
        <v>864</v>
      </c>
      <c r="V250" s="1611"/>
      <c r="W250" s="1611" t="s">
        <v>882</v>
      </c>
      <c r="X250" s="1611"/>
      <c r="Y250" s="1611"/>
      <c r="Z250" s="1611"/>
    </row>
    <row r="251" spans="1:26" customFormat="1" hidden="1">
      <c r="A251" s="1611"/>
      <c r="B251" s="1611"/>
      <c r="C251" s="1611" t="s">
        <v>938</v>
      </c>
      <c r="D251" s="1611" t="s">
        <v>938</v>
      </c>
      <c r="E251" s="1619" t="s">
        <v>2036</v>
      </c>
      <c r="F251" s="1604">
        <v>21</v>
      </c>
      <c r="G251" s="1611" t="s">
        <v>993</v>
      </c>
      <c r="H251" s="1618" t="s">
        <v>987</v>
      </c>
      <c r="I251" s="1618">
        <v>2</v>
      </c>
      <c r="J251" s="1601" t="s">
        <v>1047</v>
      </c>
      <c r="K251" s="1611">
        <v>42483</v>
      </c>
      <c r="L251" s="1611" t="s">
        <v>1045</v>
      </c>
      <c r="M251" s="1617" t="s">
        <v>1048</v>
      </c>
      <c r="N251" s="1611" t="s">
        <v>912</v>
      </c>
      <c r="O251" s="1604">
        <v>2016</v>
      </c>
      <c r="P251" s="1611" t="s">
        <v>1031</v>
      </c>
      <c r="Q251" s="1618">
        <v>7</v>
      </c>
      <c r="R251" s="1618"/>
      <c r="S251" s="1618">
        <v>7</v>
      </c>
      <c r="T251" s="1611" t="s">
        <v>1278</v>
      </c>
      <c r="U251" s="1611" t="s">
        <v>558</v>
      </c>
      <c r="V251" s="1611"/>
      <c r="W251" s="1611" t="s">
        <v>1946</v>
      </c>
      <c r="X251" s="1611" t="s">
        <v>1055</v>
      </c>
      <c r="Y251" s="1611"/>
      <c r="Z251" s="1611"/>
    </row>
    <row r="252" spans="1:26" customFormat="1" ht="27.6" hidden="1">
      <c r="A252" s="1611"/>
      <c r="B252" s="1611"/>
      <c r="C252" s="1611" t="s">
        <v>1049</v>
      </c>
      <c r="D252" s="1611" t="s">
        <v>1053</v>
      </c>
      <c r="E252" s="1619" t="s">
        <v>1050</v>
      </c>
      <c r="F252" s="1604">
        <v>37</v>
      </c>
      <c r="G252" s="1611" t="s">
        <v>993</v>
      </c>
      <c r="H252" s="1618" t="s">
        <v>987</v>
      </c>
      <c r="I252" s="1618" t="s">
        <v>995</v>
      </c>
      <c r="J252" s="1601" t="s">
        <v>1169</v>
      </c>
      <c r="K252" s="1611">
        <v>42467</v>
      </c>
      <c r="L252" s="1611" t="s">
        <v>1045</v>
      </c>
      <c r="M252" s="1617" t="s">
        <v>1051</v>
      </c>
      <c r="N252" s="1611" t="s">
        <v>917</v>
      </c>
      <c r="O252" s="1604">
        <v>2016</v>
      </c>
      <c r="P252" s="1611" t="s">
        <v>1031</v>
      </c>
      <c r="Q252" s="1618">
        <v>238</v>
      </c>
      <c r="R252" s="1618"/>
      <c r="S252" s="1618">
        <v>238</v>
      </c>
      <c r="T252" s="1611" t="s">
        <v>701</v>
      </c>
      <c r="U252" s="1611" t="s">
        <v>558</v>
      </c>
      <c r="V252" s="1611"/>
      <c r="W252" s="1611" t="s">
        <v>1946</v>
      </c>
      <c r="X252" s="1611" t="s">
        <v>2037</v>
      </c>
      <c r="Y252" s="1611"/>
      <c r="Z252" s="1611"/>
    </row>
    <row r="253" spans="1:26" customFormat="1" ht="27.6" hidden="1">
      <c r="A253" s="1611"/>
      <c r="B253" s="1611"/>
      <c r="C253" s="1611" t="s">
        <v>938</v>
      </c>
      <c r="D253" s="1611" t="s">
        <v>938</v>
      </c>
      <c r="E253" s="1619" t="s">
        <v>2044</v>
      </c>
      <c r="F253" s="1604">
        <v>35</v>
      </c>
      <c r="G253" s="1611" t="s">
        <v>993</v>
      </c>
      <c r="H253" s="1618" t="s">
        <v>987</v>
      </c>
      <c r="I253" s="1618" t="s">
        <v>1728</v>
      </c>
      <c r="J253" s="1601" t="s">
        <v>1037</v>
      </c>
      <c r="K253" s="1611">
        <v>42516</v>
      </c>
      <c r="L253" s="1611" t="s">
        <v>1059</v>
      </c>
      <c r="M253" s="1617" t="s">
        <v>1060</v>
      </c>
      <c r="N253" s="1611" t="s">
        <v>913</v>
      </c>
      <c r="O253" s="1604">
        <v>2016</v>
      </c>
      <c r="P253" s="1611" t="s">
        <v>1061</v>
      </c>
      <c r="Q253" s="1618">
        <v>6</v>
      </c>
      <c r="R253" s="1618"/>
      <c r="S253" s="1618">
        <v>6</v>
      </c>
      <c r="T253" s="1611" t="s">
        <v>226</v>
      </c>
      <c r="U253" s="1611" t="s">
        <v>864</v>
      </c>
      <c r="V253" s="1611"/>
      <c r="W253" s="1611" t="s">
        <v>1946</v>
      </c>
      <c r="X253" s="1611" t="s">
        <v>1055</v>
      </c>
      <c r="Y253" s="1611"/>
      <c r="Z253" s="1611"/>
    </row>
    <row r="254" spans="1:26" customFormat="1" ht="27.6" hidden="1">
      <c r="A254" s="1611"/>
      <c r="B254" s="1611"/>
      <c r="C254" s="1611" t="s">
        <v>938</v>
      </c>
      <c r="D254" s="1611" t="s">
        <v>938</v>
      </c>
      <c r="E254" s="1619" t="s">
        <v>2043</v>
      </c>
      <c r="F254" s="1604">
        <v>43</v>
      </c>
      <c r="G254" s="1611" t="s">
        <v>1062</v>
      </c>
      <c r="H254" s="1618" t="s">
        <v>1063</v>
      </c>
      <c r="I254" s="1618" t="s">
        <v>1728</v>
      </c>
      <c r="J254" s="1601" t="s">
        <v>2035</v>
      </c>
      <c r="K254" s="1611">
        <v>42506</v>
      </c>
      <c r="L254" s="1611" t="s">
        <v>1059</v>
      </c>
      <c r="M254" s="1617" t="s">
        <v>1064</v>
      </c>
      <c r="N254" s="1611" t="s">
        <v>912</v>
      </c>
      <c r="O254" s="1604">
        <v>2016</v>
      </c>
      <c r="P254" s="1611" t="s">
        <v>1061</v>
      </c>
      <c r="Q254" s="1618">
        <v>138</v>
      </c>
      <c r="R254" s="1618"/>
      <c r="S254" s="1618">
        <v>138</v>
      </c>
      <c r="T254" s="1611" t="s">
        <v>1899</v>
      </c>
      <c r="U254" s="1611" t="s">
        <v>934</v>
      </c>
      <c r="V254" s="1611"/>
      <c r="W254" s="1611" t="s">
        <v>851</v>
      </c>
      <c r="X254" s="1611"/>
      <c r="Y254" s="1611"/>
      <c r="Z254" s="1611"/>
    </row>
    <row r="255" spans="1:26" customFormat="1" hidden="1">
      <c r="A255" s="1611"/>
      <c r="B255" s="1611"/>
      <c r="C255" s="1611" t="s">
        <v>938</v>
      </c>
      <c r="D255" s="1611" t="s">
        <v>938</v>
      </c>
      <c r="E255" s="1619" t="s">
        <v>2040</v>
      </c>
      <c r="F255" s="1604">
        <v>21</v>
      </c>
      <c r="G255" s="1611" t="s">
        <v>993</v>
      </c>
      <c r="H255" s="1618" t="s">
        <v>987</v>
      </c>
      <c r="I255" s="1618" t="s">
        <v>2041</v>
      </c>
      <c r="J255" s="1601" t="s">
        <v>2039</v>
      </c>
      <c r="K255" s="1611">
        <v>42492</v>
      </c>
      <c r="L255" s="1611" t="s">
        <v>1059</v>
      </c>
      <c r="M255" s="1617" t="s">
        <v>1065</v>
      </c>
      <c r="N255" s="1611" t="s">
        <v>913</v>
      </c>
      <c r="O255" s="1604">
        <v>2016</v>
      </c>
      <c r="P255" s="1611" t="s">
        <v>1061</v>
      </c>
      <c r="Q255" s="1618">
        <v>2</v>
      </c>
      <c r="R255" s="1618"/>
      <c r="S255" s="1618">
        <v>2</v>
      </c>
      <c r="T255" s="1611" t="s">
        <v>226</v>
      </c>
      <c r="U255" s="1611" t="s">
        <v>864</v>
      </c>
      <c r="V255" s="1611"/>
      <c r="W255" s="1611" t="s">
        <v>1946</v>
      </c>
      <c r="X255" s="1611" t="s">
        <v>1055</v>
      </c>
      <c r="Y255" s="1611"/>
      <c r="Z255" s="1611"/>
    </row>
    <row r="256" spans="1:26" customFormat="1" ht="27.6" hidden="1">
      <c r="A256" s="1611"/>
      <c r="B256" s="1611"/>
      <c r="C256" s="1611" t="s">
        <v>1066</v>
      </c>
      <c r="D256" s="1611" t="s">
        <v>431</v>
      </c>
      <c r="E256" s="1619" t="s">
        <v>2046</v>
      </c>
      <c r="F256" s="1604">
        <v>40</v>
      </c>
      <c r="G256" s="1611" t="s">
        <v>993</v>
      </c>
      <c r="H256" s="1618" t="s">
        <v>987</v>
      </c>
      <c r="I256" s="1618" t="s">
        <v>2042</v>
      </c>
      <c r="J256" s="1601" t="s">
        <v>1788</v>
      </c>
      <c r="K256" s="1611">
        <v>42493</v>
      </c>
      <c r="L256" s="1611" t="s">
        <v>990</v>
      </c>
      <c r="M256" s="1617" t="s">
        <v>1067</v>
      </c>
      <c r="N256" s="1611" t="s">
        <v>913</v>
      </c>
      <c r="O256" s="1604">
        <v>2016</v>
      </c>
      <c r="P256" s="1611" t="s">
        <v>1061</v>
      </c>
      <c r="Q256" s="1618">
        <v>12</v>
      </c>
      <c r="R256" s="1618"/>
      <c r="S256" s="1618">
        <v>12</v>
      </c>
      <c r="T256" s="1611" t="s">
        <v>1947</v>
      </c>
      <c r="U256" s="1611" t="s">
        <v>914</v>
      </c>
      <c r="V256" s="1611"/>
      <c r="W256" s="1611" t="s">
        <v>1946</v>
      </c>
      <c r="X256" s="1611" t="s">
        <v>2045</v>
      </c>
      <c r="Y256" s="1611"/>
      <c r="Z256" s="1611"/>
    </row>
    <row r="257" spans="1:26" customFormat="1" hidden="1">
      <c r="A257" s="1611"/>
      <c r="B257" s="1611"/>
      <c r="C257" s="1611" t="s">
        <v>918</v>
      </c>
      <c r="D257" s="1611" t="s">
        <v>918</v>
      </c>
      <c r="E257" s="1619" t="s">
        <v>1068</v>
      </c>
      <c r="F257" s="1604">
        <v>40</v>
      </c>
      <c r="G257" s="1611" t="s">
        <v>1069</v>
      </c>
      <c r="H257" s="1618" t="s">
        <v>994</v>
      </c>
      <c r="I257" s="1618" t="s">
        <v>2042</v>
      </c>
      <c r="J257" s="1601" t="s">
        <v>1037</v>
      </c>
      <c r="K257" s="1611">
        <v>42503</v>
      </c>
      <c r="L257" s="1611" t="s">
        <v>990</v>
      </c>
      <c r="M257" s="1617" t="s">
        <v>1070</v>
      </c>
      <c r="N257" s="1611" t="s">
        <v>915</v>
      </c>
      <c r="O257" s="1604">
        <v>2016</v>
      </c>
      <c r="P257" s="1611" t="s">
        <v>1061</v>
      </c>
      <c r="Q257" s="1618">
        <v>25</v>
      </c>
      <c r="R257" s="1618"/>
      <c r="S257" s="1618">
        <v>25</v>
      </c>
      <c r="T257" s="1611" t="s">
        <v>1900</v>
      </c>
      <c r="U257" s="1611" t="s">
        <v>1960</v>
      </c>
      <c r="V257" s="1611"/>
      <c r="W257" s="1611" t="s">
        <v>1946</v>
      </c>
      <c r="X257" s="1611"/>
      <c r="Y257" s="1611"/>
      <c r="Z257" s="1611"/>
    </row>
    <row r="258" spans="1:26" customFormat="1" hidden="1">
      <c r="A258" s="1611"/>
      <c r="B258" s="1611"/>
      <c r="C258" s="1611" t="s">
        <v>1049</v>
      </c>
      <c r="D258" s="1611" t="s">
        <v>1053</v>
      </c>
      <c r="E258" s="1619" t="s">
        <v>2047</v>
      </c>
      <c r="F258" s="1604">
        <v>48</v>
      </c>
      <c r="G258" s="1611" t="s">
        <v>1071</v>
      </c>
      <c r="H258" s="1618" t="s">
        <v>987</v>
      </c>
      <c r="I258" s="1618" t="s">
        <v>2041</v>
      </c>
      <c r="J258" s="1601" t="s">
        <v>1381</v>
      </c>
      <c r="K258" s="1611">
        <v>42512</v>
      </c>
      <c r="L258" s="1611" t="s">
        <v>990</v>
      </c>
      <c r="M258" s="1617" t="s">
        <v>1072</v>
      </c>
      <c r="N258" s="1611" t="s">
        <v>912</v>
      </c>
      <c r="O258" s="1604">
        <v>2016</v>
      </c>
      <c r="P258" s="1611" t="s">
        <v>1061</v>
      </c>
      <c r="Q258" s="1618">
        <v>56</v>
      </c>
      <c r="R258" s="1618"/>
      <c r="S258" s="1618">
        <v>56</v>
      </c>
      <c r="T258" s="1611" t="s">
        <v>1278</v>
      </c>
      <c r="U258" s="1611" t="s">
        <v>864</v>
      </c>
      <c r="V258" s="1611"/>
      <c r="W258" s="1611" t="s">
        <v>883</v>
      </c>
      <c r="X258" s="1611"/>
      <c r="Y258" s="1611"/>
      <c r="Z258" s="1611"/>
    </row>
    <row r="259" spans="1:26" customFormat="1" hidden="1">
      <c r="A259" s="1611"/>
      <c r="B259" s="1611"/>
      <c r="C259" s="1611" t="s">
        <v>91</v>
      </c>
      <c r="D259" s="1611" t="s">
        <v>1167</v>
      </c>
      <c r="E259" s="1619" t="s">
        <v>1923</v>
      </c>
      <c r="F259" s="1604">
        <v>27</v>
      </c>
      <c r="G259" s="1611" t="s">
        <v>1924</v>
      </c>
      <c r="H259" s="1618" t="s">
        <v>987</v>
      </c>
      <c r="I259" s="1618">
        <v>1</v>
      </c>
      <c r="J259" s="1601" t="s">
        <v>1648</v>
      </c>
      <c r="K259" s="1611">
        <v>42529</v>
      </c>
      <c r="L259" s="1611" t="s">
        <v>990</v>
      </c>
      <c r="M259" s="1617" t="s">
        <v>1908</v>
      </c>
      <c r="N259" s="1611" t="s">
        <v>912</v>
      </c>
      <c r="O259" s="1604">
        <v>2016</v>
      </c>
      <c r="P259" s="1611" t="s">
        <v>1240</v>
      </c>
      <c r="Q259" s="1618">
        <v>20</v>
      </c>
      <c r="R259" s="1618"/>
      <c r="S259" s="1618">
        <v>20</v>
      </c>
      <c r="T259" s="1611" t="s">
        <v>1907</v>
      </c>
      <c r="U259" s="1611" t="s">
        <v>1948</v>
      </c>
      <c r="V259" s="1611"/>
      <c r="W259" s="1611" t="s">
        <v>883</v>
      </c>
      <c r="X259" s="1611"/>
      <c r="Y259" s="1611"/>
      <c r="Z259" s="1611"/>
    </row>
    <row r="260" spans="1:26" customFormat="1" hidden="1">
      <c r="A260" s="1611"/>
      <c r="B260" s="1611"/>
      <c r="C260" s="1611" t="s">
        <v>1223</v>
      </c>
      <c r="D260" s="1611" t="s">
        <v>1223</v>
      </c>
      <c r="E260" s="1619" t="s">
        <v>2053</v>
      </c>
      <c r="F260" s="1604">
        <v>22</v>
      </c>
      <c r="G260" s="1611" t="s">
        <v>993</v>
      </c>
      <c r="H260" s="1618" t="s">
        <v>987</v>
      </c>
      <c r="I260" s="1618">
        <v>2</v>
      </c>
      <c r="J260" s="1601" t="s">
        <v>1648</v>
      </c>
      <c r="K260" s="1611">
        <v>42532</v>
      </c>
      <c r="L260" s="1611" t="s">
        <v>990</v>
      </c>
      <c r="M260" s="1617" t="s">
        <v>1909</v>
      </c>
      <c r="N260" s="1611" t="s">
        <v>917</v>
      </c>
      <c r="O260" s="1604">
        <v>2016</v>
      </c>
      <c r="P260" s="1611" t="s">
        <v>1240</v>
      </c>
      <c r="Q260" s="1618">
        <v>1</v>
      </c>
      <c r="R260" s="1618"/>
      <c r="S260" s="1618">
        <v>1</v>
      </c>
      <c r="T260" s="1611" t="s">
        <v>1514</v>
      </c>
      <c r="U260" s="1611" t="s">
        <v>1948</v>
      </c>
      <c r="V260" s="1611"/>
      <c r="W260" s="1611" t="s">
        <v>849</v>
      </c>
      <c r="X260" s="1611" t="s">
        <v>2052</v>
      </c>
      <c r="Y260" s="1611"/>
      <c r="Z260" s="1611"/>
    </row>
    <row r="261" spans="1:26" customFormat="1" hidden="1">
      <c r="A261" s="1611"/>
      <c r="B261" s="1611"/>
      <c r="C261" s="1611" t="s">
        <v>77</v>
      </c>
      <c r="D261" s="1611" t="s">
        <v>1167</v>
      </c>
      <c r="E261" s="1619" t="s">
        <v>1925</v>
      </c>
      <c r="F261" s="1604">
        <v>62</v>
      </c>
      <c r="G261" s="1611" t="s">
        <v>993</v>
      </c>
      <c r="H261" s="1618" t="s">
        <v>987</v>
      </c>
      <c r="I261" s="1618">
        <v>2</v>
      </c>
      <c r="J261" s="1601"/>
      <c r="K261" s="1611">
        <v>42534</v>
      </c>
      <c r="L261" s="1611" t="s">
        <v>990</v>
      </c>
      <c r="M261" s="1617" t="s">
        <v>1910</v>
      </c>
      <c r="N261" s="1611" t="s">
        <v>923</v>
      </c>
      <c r="O261" s="1604">
        <v>2016</v>
      </c>
      <c r="P261" s="1611" t="s">
        <v>1240</v>
      </c>
      <c r="Q261" s="1618">
        <v>29</v>
      </c>
      <c r="R261" s="1618"/>
      <c r="S261" s="1618">
        <v>29</v>
      </c>
      <c r="T261" s="1611" t="s">
        <v>1180</v>
      </c>
      <c r="U261" s="1611" t="s">
        <v>1104</v>
      </c>
      <c r="V261" s="1611"/>
      <c r="W261" s="1611" t="s">
        <v>1370</v>
      </c>
      <c r="X261" s="1611"/>
      <c r="Y261" s="1611"/>
      <c r="Z261" s="1611"/>
    </row>
    <row r="262" spans="1:26" customFormat="1" hidden="1">
      <c r="A262" s="1611"/>
      <c r="B262" s="1611"/>
      <c r="C262" s="1611" t="s">
        <v>1223</v>
      </c>
      <c r="D262" s="1611" t="s">
        <v>1223</v>
      </c>
      <c r="E262" s="1619" t="s">
        <v>2048</v>
      </c>
      <c r="F262" s="1604">
        <v>36</v>
      </c>
      <c r="G262" s="1611" t="s">
        <v>993</v>
      </c>
      <c r="H262" s="1618" t="s">
        <v>987</v>
      </c>
      <c r="I262" s="1618">
        <v>1</v>
      </c>
      <c r="J262" s="1601" t="s">
        <v>1648</v>
      </c>
      <c r="K262" s="1611">
        <v>42537</v>
      </c>
      <c r="L262" s="1611" t="s">
        <v>990</v>
      </c>
      <c r="M262" s="1617" t="s">
        <v>1911</v>
      </c>
      <c r="N262" s="1611" t="s">
        <v>923</v>
      </c>
      <c r="O262" s="1604">
        <v>2016</v>
      </c>
      <c r="P262" s="1611" t="s">
        <v>1240</v>
      </c>
      <c r="Q262" s="1618">
        <v>2</v>
      </c>
      <c r="R262" s="1618"/>
      <c r="S262" s="1618">
        <v>2</v>
      </c>
      <c r="T262" s="1611" t="s">
        <v>1650</v>
      </c>
      <c r="U262" s="1611" t="s">
        <v>1960</v>
      </c>
      <c r="V262" s="1611"/>
      <c r="W262" s="1611" t="s">
        <v>883</v>
      </c>
      <c r="X262" s="1611" t="s">
        <v>1959</v>
      </c>
      <c r="Y262" s="1611"/>
      <c r="Z262" s="1611"/>
    </row>
    <row r="263" spans="1:26" customFormat="1" ht="27.6" hidden="1">
      <c r="A263" s="1611"/>
      <c r="B263" s="1611"/>
      <c r="C263" s="1611" t="s">
        <v>1006</v>
      </c>
      <c r="D263" s="1611" t="s">
        <v>431</v>
      </c>
      <c r="E263" s="1619" t="s">
        <v>2050</v>
      </c>
      <c r="F263" s="1604">
        <v>19</v>
      </c>
      <c r="G263" s="1611" t="s">
        <v>1926</v>
      </c>
      <c r="H263" s="1618" t="s">
        <v>987</v>
      </c>
      <c r="I263" s="1618">
        <v>3</v>
      </c>
      <c r="J263" s="1601" t="s">
        <v>2051</v>
      </c>
      <c r="K263" s="1611">
        <v>42538</v>
      </c>
      <c r="L263" s="1611" t="s">
        <v>990</v>
      </c>
      <c r="M263" s="1617" t="s">
        <v>1912</v>
      </c>
      <c r="N263" s="1611" t="s">
        <v>913</v>
      </c>
      <c r="O263" s="1604">
        <v>2016</v>
      </c>
      <c r="P263" s="1611" t="s">
        <v>1240</v>
      </c>
      <c r="Q263" s="1618">
        <v>106</v>
      </c>
      <c r="R263" s="1618"/>
      <c r="S263" s="1618">
        <v>106</v>
      </c>
      <c r="T263" s="1611" t="s">
        <v>1160</v>
      </c>
      <c r="U263" s="1611" t="s">
        <v>914</v>
      </c>
      <c r="V263" s="1611"/>
      <c r="W263" s="1611" t="s">
        <v>883</v>
      </c>
      <c r="X263" s="1611"/>
      <c r="Y263" s="1611"/>
      <c r="Z263" s="1611"/>
    </row>
    <row r="264" spans="1:26" customFormat="1" ht="41.4" hidden="1">
      <c r="A264" s="1611"/>
      <c r="B264" s="1611"/>
      <c r="C264" s="1611" t="s">
        <v>1049</v>
      </c>
      <c r="D264" s="1611" t="s">
        <v>1053</v>
      </c>
      <c r="E264" s="1619" t="s">
        <v>1927</v>
      </c>
      <c r="F264" s="1604">
        <v>25</v>
      </c>
      <c r="G264" s="1611" t="s">
        <v>993</v>
      </c>
      <c r="H264" s="1618" t="s">
        <v>987</v>
      </c>
      <c r="I264" s="1618">
        <v>2</v>
      </c>
      <c r="J264" s="1601" t="s">
        <v>1346</v>
      </c>
      <c r="K264" s="1611">
        <v>42537</v>
      </c>
      <c r="L264" s="1611" t="s">
        <v>990</v>
      </c>
      <c r="M264" s="1617" t="s">
        <v>1969</v>
      </c>
      <c r="N264" s="1611" t="s">
        <v>929</v>
      </c>
      <c r="O264" s="1604">
        <v>2016</v>
      </c>
      <c r="P264" s="1611" t="s">
        <v>1240</v>
      </c>
      <c r="Q264" s="1618">
        <v>7</v>
      </c>
      <c r="R264" s="1618"/>
      <c r="S264" s="1618">
        <v>7</v>
      </c>
      <c r="T264" s="1611" t="s">
        <v>1913</v>
      </c>
      <c r="U264" s="1611" t="s">
        <v>558</v>
      </c>
      <c r="V264" s="1611"/>
      <c r="W264" s="1611" t="s">
        <v>1914</v>
      </c>
      <c r="X264" s="1611"/>
      <c r="Y264" s="1611"/>
      <c r="Z264" s="1611"/>
    </row>
    <row r="265" spans="1:26" customFormat="1" ht="41.4" hidden="1">
      <c r="A265" s="1611"/>
      <c r="B265" s="1611"/>
      <c r="C265" s="1611" t="s">
        <v>938</v>
      </c>
      <c r="D265" s="1611" t="s">
        <v>938</v>
      </c>
      <c r="E265" s="1619" t="s">
        <v>1928</v>
      </c>
      <c r="F265" s="1604">
        <v>47</v>
      </c>
      <c r="G265" s="1611" t="s">
        <v>2054</v>
      </c>
      <c r="H265" s="1618" t="s">
        <v>987</v>
      </c>
      <c r="I265" s="1618">
        <v>2</v>
      </c>
      <c r="J265" s="1601" t="s">
        <v>1601</v>
      </c>
      <c r="K265" s="1611">
        <v>42542</v>
      </c>
      <c r="L265" s="1611" t="s">
        <v>990</v>
      </c>
      <c r="M265" s="1617" t="s">
        <v>1970</v>
      </c>
      <c r="N265" s="1611" t="s">
        <v>912</v>
      </c>
      <c r="O265" s="1604">
        <v>2016</v>
      </c>
      <c r="P265" s="1611" t="s">
        <v>1240</v>
      </c>
      <c r="Q265" s="1618">
        <v>11</v>
      </c>
      <c r="R265" s="1618"/>
      <c r="S265" s="1618">
        <v>11</v>
      </c>
      <c r="T265" s="1611" t="s">
        <v>1278</v>
      </c>
      <c r="U265" s="1611" t="s">
        <v>934</v>
      </c>
      <c r="V265" s="1611"/>
      <c r="W265" s="1611" t="s">
        <v>849</v>
      </c>
      <c r="X265" s="1611"/>
      <c r="Y265" s="1611"/>
      <c r="Z265" s="1611"/>
    </row>
    <row r="266" spans="1:26" customFormat="1" hidden="1">
      <c r="A266" s="1611"/>
      <c r="B266" s="1611"/>
      <c r="C266" s="1611" t="s">
        <v>1066</v>
      </c>
      <c r="D266" s="1611" t="s">
        <v>431</v>
      </c>
      <c r="E266" s="1619" t="s">
        <v>2049</v>
      </c>
      <c r="F266" s="1604">
        <v>35</v>
      </c>
      <c r="G266" s="1611" t="s">
        <v>1929</v>
      </c>
      <c r="H266" s="1618" t="s">
        <v>987</v>
      </c>
      <c r="I266" s="1618">
        <v>1</v>
      </c>
      <c r="J266" s="1601" t="s">
        <v>1443</v>
      </c>
      <c r="K266" s="1611">
        <v>42543</v>
      </c>
      <c r="L266" s="1611" t="s">
        <v>990</v>
      </c>
      <c r="M266" s="1617" t="s">
        <v>1915</v>
      </c>
      <c r="N266" s="1611" t="s">
        <v>912</v>
      </c>
      <c r="O266" s="1604">
        <v>2016</v>
      </c>
      <c r="P266" s="1611" t="s">
        <v>1240</v>
      </c>
      <c r="Q266" s="1618">
        <v>1</v>
      </c>
      <c r="R266" s="1618"/>
      <c r="S266" s="1618">
        <v>1</v>
      </c>
      <c r="T266" s="1611" t="s">
        <v>1301</v>
      </c>
      <c r="U266" s="1611" t="s">
        <v>870</v>
      </c>
      <c r="V266" s="1611"/>
      <c r="W266" s="1611" t="s">
        <v>849</v>
      </c>
      <c r="X266" s="1611"/>
      <c r="Y266" s="1611"/>
      <c r="Z266" s="1611"/>
    </row>
    <row r="267" spans="1:26" customFormat="1" hidden="1">
      <c r="A267" s="1611"/>
      <c r="B267" s="1611"/>
      <c r="C267" s="1611" t="s">
        <v>694</v>
      </c>
      <c r="D267" s="1611" t="s">
        <v>879</v>
      </c>
      <c r="E267" s="1619" t="s">
        <v>1949</v>
      </c>
      <c r="F267" s="1604">
        <v>48</v>
      </c>
      <c r="G267" s="1611" t="s">
        <v>1289</v>
      </c>
      <c r="H267" s="1618" t="s">
        <v>987</v>
      </c>
      <c r="I267" s="1618">
        <v>2</v>
      </c>
      <c r="J267" s="1601" t="s">
        <v>2051</v>
      </c>
      <c r="K267" s="1611">
        <v>42543</v>
      </c>
      <c r="L267" s="1611" t="s">
        <v>990</v>
      </c>
      <c r="M267" s="1617" t="s">
        <v>1920</v>
      </c>
      <c r="N267" s="1611" t="s">
        <v>912</v>
      </c>
      <c r="O267" s="1604">
        <v>2016</v>
      </c>
      <c r="P267" s="1611" t="s">
        <v>1240</v>
      </c>
      <c r="Q267" s="1618">
        <v>19</v>
      </c>
      <c r="R267" s="1618"/>
      <c r="S267" s="1618">
        <v>19</v>
      </c>
      <c r="T267" s="1611" t="s">
        <v>1699</v>
      </c>
      <c r="U267" s="1611" t="s">
        <v>864</v>
      </c>
      <c r="V267" s="1611"/>
      <c r="W267" s="1611" t="s">
        <v>850</v>
      </c>
      <c r="X267" s="1611"/>
      <c r="Y267" s="1611"/>
      <c r="Z267" s="1611"/>
    </row>
    <row r="268" spans="1:26" customFormat="1" ht="27.6" hidden="1">
      <c r="A268" s="1611"/>
      <c r="B268" s="1611"/>
      <c r="C268" s="1611" t="s">
        <v>93</v>
      </c>
      <c r="D268" s="1611" t="s">
        <v>431</v>
      </c>
      <c r="E268" s="1619" t="s">
        <v>1950</v>
      </c>
      <c r="F268" s="1604">
        <v>22</v>
      </c>
      <c r="G268" s="1611" t="s">
        <v>1023</v>
      </c>
      <c r="H268" s="1618" t="s">
        <v>987</v>
      </c>
      <c r="I268" s="1618">
        <v>2</v>
      </c>
      <c r="J268" s="1601" t="s">
        <v>2058</v>
      </c>
      <c r="K268" s="1611">
        <v>42556</v>
      </c>
      <c r="L268" s="1611" t="s">
        <v>990</v>
      </c>
      <c r="M268" s="1617" t="s">
        <v>1951</v>
      </c>
      <c r="N268" s="1611" t="s">
        <v>915</v>
      </c>
      <c r="O268" s="1604">
        <v>2016</v>
      </c>
      <c r="P268" s="1611" t="s">
        <v>1144</v>
      </c>
      <c r="Q268" s="1618">
        <v>71</v>
      </c>
      <c r="R268" s="1618"/>
      <c r="S268" s="1618">
        <v>71</v>
      </c>
      <c r="T268" s="1611" t="s">
        <v>1160</v>
      </c>
      <c r="U268" s="1611" t="s">
        <v>1952</v>
      </c>
      <c r="V268" s="1611"/>
      <c r="W268" s="1611" t="s">
        <v>850</v>
      </c>
      <c r="X268" s="1611"/>
      <c r="Y268" s="1611"/>
      <c r="Z268" s="1611"/>
    </row>
    <row r="269" spans="1:26" customFormat="1" ht="41.4" hidden="1">
      <c r="A269" s="1611"/>
      <c r="B269" s="1611"/>
      <c r="C269" s="1611" t="s">
        <v>430</v>
      </c>
      <c r="D269" s="1611" t="s">
        <v>879</v>
      </c>
      <c r="E269" s="1619" t="s">
        <v>2059</v>
      </c>
      <c r="F269" s="1604">
        <v>31</v>
      </c>
      <c r="G269" s="1611" t="s">
        <v>1014</v>
      </c>
      <c r="H269" s="1618" t="s">
        <v>987</v>
      </c>
      <c r="I269" s="1618">
        <v>1</v>
      </c>
      <c r="J269" s="1601" t="s">
        <v>1044</v>
      </c>
      <c r="K269" s="1611">
        <v>42559</v>
      </c>
      <c r="L269" s="1611" t="s">
        <v>990</v>
      </c>
      <c r="M269" s="1617" t="s">
        <v>1971</v>
      </c>
      <c r="N269" s="1611" t="s">
        <v>912</v>
      </c>
      <c r="O269" s="1604">
        <v>2016</v>
      </c>
      <c r="P269" s="1611" t="s">
        <v>1144</v>
      </c>
      <c r="Q269" s="1618">
        <v>103</v>
      </c>
      <c r="R269" s="1618">
        <v>100</v>
      </c>
      <c r="S269" s="1618">
        <v>203</v>
      </c>
      <c r="T269" s="1611" t="s">
        <v>1189</v>
      </c>
      <c r="U269" s="1611" t="s">
        <v>864</v>
      </c>
      <c r="V269" s="1611"/>
      <c r="W269" s="1611" t="s">
        <v>2009</v>
      </c>
      <c r="X269" s="1611"/>
      <c r="Y269" s="1611"/>
      <c r="Z269" s="1611"/>
    </row>
    <row r="270" spans="1:26" customFormat="1" ht="41.4" hidden="1">
      <c r="A270" s="1611"/>
      <c r="B270" s="1611"/>
      <c r="C270" s="1611" t="s">
        <v>938</v>
      </c>
      <c r="D270" s="1611" t="s">
        <v>938</v>
      </c>
      <c r="E270" s="1619" t="s">
        <v>2056</v>
      </c>
      <c r="F270" s="1604">
        <v>25</v>
      </c>
      <c r="G270" s="1611" t="s">
        <v>999</v>
      </c>
      <c r="H270" s="1618" t="s">
        <v>987</v>
      </c>
      <c r="I270" s="1618">
        <v>1</v>
      </c>
      <c r="J270" s="1601" t="s">
        <v>1456</v>
      </c>
      <c r="K270" s="1611">
        <v>42568</v>
      </c>
      <c r="L270" s="1611" t="s">
        <v>990</v>
      </c>
      <c r="M270" s="1617" t="s">
        <v>1972</v>
      </c>
      <c r="N270" s="1611" t="s">
        <v>912</v>
      </c>
      <c r="O270" s="1604">
        <v>2016</v>
      </c>
      <c r="P270" s="1611" t="s">
        <v>1144</v>
      </c>
      <c r="Q270" s="1618">
        <v>118</v>
      </c>
      <c r="R270" s="1618"/>
      <c r="S270" s="1618">
        <v>118</v>
      </c>
      <c r="T270" s="1611" t="s">
        <v>701</v>
      </c>
      <c r="U270" s="1611" t="s">
        <v>1953</v>
      </c>
      <c r="V270" s="1611"/>
      <c r="W270" s="1611" t="s">
        <v>883</v>
      </c>
      <c r="X270" s="1611" t="s">
        <v>2055</v>
      </c>
      <c r="Y270" s="1611"/>
      <c r="Z270" s="1611"/>
    </row>
    <row r="271" spans="1:26" customFormat="1" ht="27.6" hidden="1">
      <c r="A271" s="1611"/>
      <c r="B271" s="1611" t="s">
        <v>591</v>
      </c>
      <c r="C271" s="1611" t="s">
        <v>3609</v>
      </c>
      <c r="D271" s="1611" t="s">
        <v>879</v>
      </c>
      <c r="E271" s="1619" t="s">
        <v>2057</v>
      </c>
      <c r="F271" s="1604">
        <v>38</v>
      </c>
      <c r="G271" s="1611" t="s">
        <v>2130</v>
      </c>
      <c r="H271" s="1618" t="s">
        <v>987</v>
      </c>
      <c r="I271" s="1618">
        <v>1</v>
      </c>
      <c r="J271" s="1601" t="s">
        <v>1037</v>
      </c>
      <c r="K271" s="1611">
        <v>42556</v>
      </c>
      <c r="L271" s="1611" t="s">
        <v>990</v>
      </c>
      <c r="M271" s="1617" t="s">
        <v>1954</v>
      </c>
      <c r="N271" s="1611" t="s">
        <v>912</v>
      </c>
      <c r="O271" s="1604">
        <v>2016</v>
      </c>
      <c r="P271" s="1611" t="s">
        <v>1144</v>
      </c>
      <c r="Q271" s="1618">
        <v>6</v>
      </c>
      <c r="R271" s="1618"/>
      <c r="S271" s="1618">
        <v>6</v>
      </c>
      <c r="T271" s="1611" t="s">
        <v>1278</v>
      </c>
      <c r="U271" s="1611" t="s">
        <v>934</v>
      </c>
      <c r="V271" s="1611"/>
      <c r="W271" s="1611" t="s">
        <v>851</v>
      </c>
      <c r="X271" s="1611"/>
      <c r="Y271" s="1611"/>
      <c r="Z271" s="1611"/>
    </row>
    <row r="272" spans="1:26" customFormat="1" ht="27.6" hidden="1">
      <c r="A272" s="1611"/>
      <c r="B272" s="1611" t="s">
        <v>591</v>
      </c>
      <c r="C272" s="1611" t="s">
        <v>974</v>
      </c>
      <c r="D272" s="1611" t="s">
        <v>879</v>
      </c>
      <c r="E272" s="1619" t="s">
        <v>2077</v>
      </c>
      <c r="F272" s="1604">
        <v>20</v>
      </c>
      <c r="G272" s="1611" t="s">
        <v>2078</v>
      </c>
      <c r="H272" s="1618" t="s">
        <v>987</v>
      </c>
      <c r="I272" s="1618">
        <v>1</v>
      </c>
      <c r="J272" s="1601" t="s">
        <v>2038</v>
      </c>
      <c r="K272" s="1611">
        <v>42585</v>
      </c>
      <c r="L272" s="1611" t="s">
        <v>990</v>
      </c>
      <c r="M272" s="1617" t="s">
        <v>2002</v>
      </c>
      <c r="N272" s="1611" t="s">
        <v>912</v>
      </c>
      <c r="O272" s="1604">
        <v>2016</v>
      </c>
      <c r="P272" s="1611" t="s">
        <v>1110</v>
      </c>
      <c r="Q272" s="1618">
        <v>120</v>
      </c>
      <c r="R272" s="1618">
        <v>75</v>
      </c>
      <c r="S272" s="1618">
        <v>195</v>
      </c>
      <c r="T272" s="1611" t="s">
        <v>1189</v>
      </c>
      <c r="U272" s="1611" t="s">
        <v>864</v>
      </c>
      <c r="V272" s="1611"/>
      <c r="W272" s="1611" t="s">
        <v>2009</v>
      </c>
      <c r="X272" s="1611"/>
      <c r="Y272" s="1611"/>
      <c r="Z272" s="1611"/>
    </row>
    <row r="273" spans="1:26" customFormat="1" hidden="1">
      <c r="A273" s="1611"/>
      <c r="B273" s="1611"/>
      <c r="C273" s="1611" t="s">
        <v>1128</v>
      </c>
      <c r="D273" s="1611" t="s">
        <v>879</v>
      </c>
      <c r="E273" s="1619" t="s">
        <v>2074</v>
      </c>
      <c r="F273" s="1604">
        <v>40</v>
      </c>
      <c r="G273" s="1611" t="s">
        <v>2076</v>
      </c>
      <c r="H273" s="1618" t="s">
        <v>987</v>
      </c>
      <c r="I273" s="1618">
        <v>3</v>
      </c>
      <c r="J273" s="1601" t="s">
        <v>2075</v>
      </c>
      <c r="K273" s="1611">
        <v>42585</v>
      </c>
      <c r="L273" s="1611" t="s">
        <v>990</v>
      </c>
      <c r="M273" s="1617" t="s">
        <v>1961</v>
      </c>
      <c r="N273" s="1611" t="s">
        <v>912</v>
      </c>
      <c r="O273" s="1604">
        <v>2016</v>
      </c>
      <c r="P273" s="1611" t="s">
        <v>1110</v>
      </c>
      <c r="Q273" s="1618">
        <v>12</v>
      </c>
      <c r="R273" s="1618"/>
      <c r="S273" s="1618">
        <v>12</v>
      </c>
      <c r="T273" s="1611" t="s">
        <v>1166</v>
      </c>
      <c r="U273" s="1611" t="s">
        <v>1960</v>
      </c>
      <c r="V273" s="1611"/>
      <c r="W273" s="1611" t="s">
        <v>916</v>
      </c>
      <c r="X273" s="1611"/>
      <c r="Y273" s="1611"/>
      <c r="Z273" s="1611"/>
    </row>
    <row r="274" spans="1:26" customFormat="1" hidden="1">
      <c r="A274" s="1611"/>
      <c r="B274" s="1611"/>
      <c r="C274" s="1611" t="s">
        <v>1006</v>
      </c>
      <c r="D274" s="1611" t="s">
        <v>431</v>
      </c>
      <c r="E274" s="1619" t="s">
        <v>2060</v>
      </c>
      <c r="F274" s="1604">
        <v>39</v>
      </c>
      <c r="G274" s="1611" t="s">
        <v>993</v>
      </c>
      <c r="H274" s="1618" t="s">
        <v>987</v>
      </c>
      <c r="I274" s="1618">
        <v>3</v>
      </c>
      <c r="J274" s="1601" t="s">
        <v>1047</v>
      </c>
      <c r="K274" s="1611">
        <v>42585</v>
      </c>
      <c r="L274" s="1611" t="s">
        <v>990</v>
      </c>
      <c r="M274" s="1617" t="s">
        <v>1962</v>
      </c>
      <c r="N274" s="1611" t="s">
        <v>912</v>
      </c>
      <c r="O274" s="1604">
        <v>2016</v>
      </c>
      <c r="P274" s="1611" t="s">
        <v>1110</v>
      </c>
      <c r="Q274" s="1618">
        <v>3</v>
      </c>
      <c r="R274" s="1618"/>
      <c r="S274" s="1618">
        <v>3</v>
      </c>
      <c r="T274" s="1611" t="s">
        <v>1180</v>
      </c>
      <c r="U274" s="1611" t="s">
        <v>1104</v>
      </c>
      <c r="V274" s="1611"/>
      <c r="W274" s="1611" t="s">
        <v>850</v>
      </c>
      <c r="X274" s="1611" t="s">
        <v>1105</v>
      </c>
      <c r="Y274" s="1611"/>
      <c r="Z274" s="1611"/>
    </row>
    <row r="275" spans="1:26" customFormat="1" hidden="1">
      <c r="A275" s="1611"/>
      <c r="B275" s="1611"/>
      <c r="C275" s="1611" t="s">
        <v>588</v>
      </c>
      <c r="D275" s="1611" t="s">
        <v>998</v>
      </c>
      <c r="E275" s="1619" t="s">
        <v>2063</v>
      </c>
      <c r="F275" s="1604">
        <v>31</v>
      </c>
      <c r="G275" s="1611" t="s">
        <v>993</v>
      </c>
      <c r="H275" s="1618" t="s">
        <v>987</v>
      </c>
      <c r="I275" s="1618">
        <v>1</v>
      </c>
      <c r="J275" s="1611" t="s">
        <v>2064</v>
      </c>
      <c r="K275" s="2894">
        <v>42585</v>
      </c>
      <c r="L275" s="1611" t="s">
        <v>990</v>
      </c>
      <c r="M275" s="1617" t="s">
        <v>1963</v>
      </c>
      <c r="N275" s="1611" t="s">
        <v>912</v>
      </c>
      <c r="O275" s="1604">
        <v>2016</v>
      </c>
      <c r="P275" s="1611" t="s">
        <v>1110</v>
      </c>
      <c r="Q275" s="1618">
        <v>60</v>
      </c>
      <c r="R275" s="1618"/>
      <c r="S275" s="1618">
        <v>60</v>
      </c>
      <c r="T275" s="1611" t="s">
        <v>1977</v>
      </c>
      <c r="U275" s="1611" t="s">
        <v>558</v>
      </c>
      <c r="V275" s="1611"/>
      <c r="W275" s="1611" t="s">
        <v>851</v>
      </c>
      <c r="X275" s="1611" t="s">
        <v>2065</v>
      </c>
      <c r="Y275" s="1611"/>
      <c r="Z275" s="1611"/>
    </row>
    <row r="276" spans="1:26" customFormat="1" ht="27.6" hidden="1">
      <c r="A276" s="1611"/>
      <c r="B276" s="1611"/>
      <c r="C276" s="1611" t="s">
        <v>1049</v>
      </c>
      <c r="D276" s="1611" t="s">
        <v>1053</v>
      </c>
      <c r="E276" s="1619" t="s">
        <v>2067</v>
      </c>
      <c r="F276" s="1604">
        <v>37</v>
      </c>
      <c r="G276" s="1611" t="s">
        <v>2069</v>
      </c>
      <c r="H276" s="1618" t="s">
        <v>987</v>
      </c>
      <c r="I276" s="1618">
        <v>1</v>
      </c>
      <c r="J276" s="1611" t="s">
        <v>2068</v>
      </c>
      <c r="K276" s="1611">
        <v>42585</v>
      </c>
      <c r="L276" s="1611" t="s">
        <v>2117</v>
      </c>
      <c r="M276" s="1617" t="s">
        <v>2118</v>
      </c>
      <c r="N276" s="1611" t="s">
        <v>913</v>
      </c>
      <c r="O276" s="1604">
        <v>2016</v>
      </c>
      <c r="P276" s="1611" t="s">
        <v>1110</v>
      </c>
      <c r="Q276" s="1618">
        <v>10</v>
      </c>
      <c r="R276" s="1618"/>
      <c r="S276" s="1618">
        <v>10</v>
      </c>
      <c r="T276" s="1611" t="s">
        <v>1650</v>
      </c>
      <c r="U276" s="1611" t="s">
        <v>864</v>
      </c>
      <c r="V276" s="1611"/>
      <c r="W276" s="1611" t="s">
        <v>916</v>
      </c>
      <c r="X276" s="1611"/>
      <c r="Y276" s="1611"/>
      <c r="Z276" s="1611"/>
    </row>
    <row r="277" spans="1:26" customFormat="1" hidden="1">
      <c r="A277" s="1611"/>
      <c r="B277" s="1611"/>
      <c r="C277" s="1611" t="s">
        <v>694</v>
      </c>
      <c r="D277" s="1611" t="s">
        <v>879</v>
      </c>
      <c r="E277" s="1619" t="s">
        <v>2079</v>
      </c>
      <c r="F277" s="1604">
        <v>49</v>
      </c>
      <c r="G277" s="1611" t="s">
        <v>2080</v>
      </c>
      <c r="H277" s="1618" t="s">
        <v>987</v>
      </c>
      <c r="I277" s="1618">
        <v>2</v>
      </c>
      <c r="J277" s="1611" t="s">
        <v>1839</v>
      </c>
      <c r="K277" s="1611">
        <v>42585</v>
      </c>
      <c r="L277" s="1611" t="s">
        <v>990</v>
      </c>
      <c r="M277" s="1617" t="s">
        <v>1964</v>
      </c>
      <c r="N277" s="1611" t="s">
        <v>929</v>
      </c>
      <c r="O277" s="1604">
        <v>2016</v>
      </c>
      <c r="P277" s="1611" t="s">
        <v>1110</v>
      </c>
      <c r="Q277" s="1618">
        <v>4</v>
      </c>
      <c r="R277" s="1618"/>
      <c r="S277" s="1618">
        <v>4</v>
      </c>
      <c r="T277" s="1611" t="s">
        <v>1978</v>
      </c>
      <c r="U277" s="1611" t="s">
        <v>864</v>
      </c>
      <c r="V277" s="1611"/>
      <c r="W277" s="1611" t="s">
        <v>1973</v>
      </c>
      <c r="X277" s="1611"/>
      <c r="Y277" s="1611"/>
      <c r="Z277" s="1611"/>
    </row>
    <row r="278" spans="1:26" customFormat="1" ht="27.6" hidden="1">
      <c r="A278" s="1611"/>
      <c r="B278" s="1611"/>
      <c r="C278" s="1611" t="s">
        <v>1223</v>
      </c>
      <c r="D278" s="1611" t="s">
        <v>1223</v>
      </c>
      <c r="E278" s="1619" t="s">
        <v>2066</v>
      </c>
      <c r="F278" s="1604">
        <v>45</v>
      </c>
      <c r="G278" s="1611" t="s">
        <v>993</v>
      </c>
      <c r="H278" s="1618" t="s">
        <v>994</v>
      </c>
      <c r="I278" s="1618">
        <v>1</v>
      </c>
      <c r="J278" s="1611" t="s">
        <v>1683</v>
      </c>
      <c r="K278" s="1611">
        <v>42585</v>
      </c>
      <c r="L278" s="1611" t="s">
        <v>990</v>
      </c>
      <c r="M278" s="1617" t="s">
        <v>1966</v>
      </c>
      <c r="N278" s="1611" t="s">
        <v>913</v>
      </c>
      <c r="O278" s="1604">
        <v>2016</v>
      </c>
      <c r="P278" s="1611" t="s">
        <v>1110</v>
      </c>
      <c r="Q278" s="1618">
        <v>18</v>
      </c>
      <c r="R278" s="1618"/>
      <c r="S278" s="1618">
        <v>18</v>
      </c>
      <c r="T278" s="1611" t="s">
        <v>1943</v>
      </c>
      <c r="U278" s="1611" t="s">
        <v>1905</v>
      </c>
      <c r="V278" s="1611"/>
      <c r="W278" s="1611" t="s">
        <v>1968</v>
      </c>
      <c r="X278" s="1611" t="s">
        <v>1228</v>
      </c>
      <c r="Y278" s="1611"/>
      <c r="Z278" s="1611"/>
    </row>
    <row r="279" spans="1:26" customFormat="1" hidden="1">
      <c r="A279" s="1611"/>
      <c r="B279" s="1611"/>
      <c r="C279" s="1611" t="s">
        <v>693</v>
      </c>
      <c r="D279" s="1611" t="s">
        <v>879</v>
      </c>
      <c r="E279" s="1619" t="s">
        <v>2061</v>
      </c>
      <c r="F279" s="1604">
        <v>45</v>
      </c>
      <c r="G279" s="1611" t="s">
        <v>2062</v>
      </c>
      <c r="H279" s="1618" t="s">
        <v>987</v>
      </c>
      <c r="I279" s="1618">
        <v>1</v>
      </c>
      <c r="J279" s="1611" t="s">
        <v>1197</v>
      </c>
      <c r="K279" s="1611">
        <v>42585</v>
      </c>
      <c r="L279" s="1611" t="s">
        <v>990</v>
      </c>
      <c r="M279" s="1617" t="s">
        <v>1965</v>
      </c>
      <c r="N279" s="1611" t="s">
        <v>912</v>
      </c>
      <c r="O279" s="1604">
        <v>2016</v>
      </c>
      <c r="P279" s="1611" t="s">
        <v>1110</v>
      </c>
      <c r="Q279" s="1618">
        <v>90</v>
      </c>
      <c r="R279" s="1618">
        <v>60</v>
      </c>
      <c r="S279" s="1618">
        <v>150</v>
      </c>
      <c r="T279" s="1611" t="s">
        <v>1189</v>
      </c>
      <c r="U279" s="1611" t="s">
        <v>864</v>
      </c>
      <c r="V279" s="1611"/>
      <c r="W279" s="1611" t="s">
        <v>2009</v>
      </c>
      <c r="X279" s="1611"/>
      <c r="Y279" s="1611"/>
      <c r="Z279" s="1611"/>
    </row>
    <row r="280" spans="1:26" customFormat="1" hidden="1">
      <c r="A280" s="1611"/>
      <c r="B280" s="1611"/>
      <c r="C280" s="1611" t="s">
        <v>1223</v>
      </c>
      <c r="D280" s="1611" t="s">
        <v>1223</v>
      </c>
      <c r="E280" s="1619" t="s">
        <v>2073</v>
      </c>
      <c r="F280" s="1604">
        <v>27</v>
      </c>
      <c r="G280" s="1611" t="s">
        <v>993</v>
      </c>
      <c r="H280" s="1618" t="s">
        <v>987</v>
      </c>
      <c r="I280" s="1618">
        <v>1</v>
      </c>
      <c r="J280" s="1611" t="s">
        <v>2024</v>
      </c>
      <c r="K280" s="1611">
        <v>42585</v>
      </c>
      <c r="L280" s="1611" t="s">
        <v>990</v>
      </c>
      <c r="M280" s="1617" t="s">
        <v>1967</v>
      </c>
      <c r="N280" s="1611" t="s">
        <v>912</v>
      </c>
      <c r="O280" s="1604">
        <v>2016</v>
      </c>
      <c r="P280" s="1611" t="s">
        <v>1110</v>
      </c>
      <c r="Q280" s="1618">
        <v>35</v>
      </c>
      <c r="R280" s="1618"/>
      <c r="S280" s="1618">
        <v>35</v>
      </c>
      <c r="T280" s="1611" t="s">
        <v>1405</v>
      </c>
      <c r="U280" s="1611" t="s">
        <v>821</v>
      </c>
      <c r="V280" s="1611"/>
      <c r="W280" s="1611" t="s">
        <v>849</v>
      </c>
      <c r="X280" s="1611" t="s">
        <v>1959</v>
      </c>
      <c r="Y280" s="1611"/>
      <c r="Z280" s="1611"/>
    </row>
    <row r="281" spans="1:26" customFormat="1" hidden="1">
      <c r="A281" s="1611"/>
      <c r="B281" s="1611"/>
      <c r="C281" s="1611" t="s">
        <v>1958</v>
      </c>
      <c r="D281" s="1611" t="s">
        <v>1958</v>
      </c>
      <c r="E281" s="1619"/>
      <c r="F281" s="1604"/>
      <c r="G281" s="1611" t="s">
        <v>993</v>
      </c>
      <c r="H281" s="1618" t="s">
        <v>994</v>
      </c>
      <c r="I281" s="1618"/>
      <c r="J281" s="1611"/>
      <c r="K281" s="1611">
        <v>42590</v>
      </c>
      <c r="L281" s="1611" t="s">
        <v>990</v>
      </c>
      <c r="M281" s="1617" t="s">
        <v>2005</v>
      </c>
      <c r="N281" s="1611" t="s">
        <v>923</v>
      </c>
      <c r="O281" s="1604">
        <v>2016</v>
      </c>
      <c r="P281" s="1611" t="s">
        <v>1110</v>
      </c>
      <c r="Q281" s="1618">
        <v>6</v>
      </c>
      <c r="R281" s="1618"/>
      <c r="S281" s="1618">
        <v>6</v>
      </c>
      <c r="T281" s="1611"/>
      <c r="U281" s="1611" t="s">
        <v>1905</v>
      </c>
      <c r="V281" s="1611"/>
      <c r="W281" s="1611" t="s">
        <v>850</v>
      </c>
      <c r="X281" s="1611" t="s">
        <v>1228</v>
      </c>
      <c r="Y281" s="1611"/>
      <c r="Z281" s="1611"/>
    </row>
    <row r="282" spans="1:26" customFormat="1" ht="41.4" hidden="1">
      <c r="A282" s="1611"/>
      <c r="B282" s="1611"/>
      <c r="C282" s="1611" t="s">
        <v>1006</v>
      </c>
      <c r="D282" s="1611" t="s">
        <v>879</v>
      </c>
      <c r="E282" s="1619" t="s">
        <v>2071</v>
      </c>
      <c r="F282" s="1604">
        <v>38</v>
      </c>
      <c r="G282" s="1611" t="s">
        <v>2072</v>
      </c>
      <c r="H282" s="1618" t="s">
        <v>987</v>
      </c>
      <c r="I282" s="1618">
        <v>2</v>
      </c>
      <c r="J282" s="1611" t="s">
        <v>2070</v>
      </c>
      <c r="K282" s="1611">
        <v>42589</v>
      </c>
      <c r="L282" s="1611" t="s">
        <v>990</v>
      </c>
      <c r="M282" s="1617" t="s">
        <v>2003</v>
      </c>
      <c r="N282" s="1611" t="s">
        <v>923</v>
      </c>
      <c r="O282" s="1604">
        <v>2016</v>
      </c>
      <c r="P282" s="1611" t="s">
        <v>1110</v>
      </c>
      <c r="Q282" s="1618">
        <v>6</v>
      </c>
      <c r="R282" s="1618"/>
      <c r="S282" s="1618">
        <v>6</v>
      </c>
      <c r="T282" s="1611" t="s">
        <v>2081</v>
      </c>
      <c r="U282" s="1611" t="s">
        <v>864</v>
      </c>
      <c r="V282" s="1611"/>
      <c r="W282" s="1611" t="s">
        <v>2004</v>
      </c>
      <c r="X282" s="1611"/>
      <c r="Y282" s="1611"/>
      <c r="Z282" s="1611"/>
    </row>
    <row r="283" spans="1:26" customFormat="1" hidden="1">
      <c r="A283" s="1611"/>
      <c r="B283" s="1611" t="s">
        <v>591</v>
      </c>
      <c r="C283" s="1611" t="s">
        <v>998</v>
      </c>
      <c r="D283" s="1611" t="s">
        <v>998</v>
      </c>
      <c r="E283" s="1619" t="s">
        <v>2090</v>
      </c>
      <c r="F283" s="1604">
        <v>20</v>
      </c>
      <c r="G283" s="1611" t="s">
        <v>993</v>
      </c>
      <c r="H283" s="1618" t="s">
        <v>987</v>
      </c>
      <c r="I283" s="1618">
        <v>1</v>
      </c>
      <c r="J283" s="1611" t="s">
        <v>2089</v>
      </c>
      <c r="K283" s="1611">
        <v>42616</v>
      </c>
      <c r="L283" s="1611" t="s">
        <v>990</v>
      </c>
      <c r="M283" s="1617" t="s">
        <v>1994</v>
      </c>
      <c r="N283" s="1611" t="s">
        <v>912</v>
      </c>
      <c r="O283" s="1604">
        <v>2016</v>
      </c>
      <c r="P283" s="1611" t="s">
        <v>1086</v>
      </c>
      <c r="Q283" s="1618">
        <v>7</v>
      </c>
      <c r="R283" s="1618"/>
      <c r="S283" s="1618">
        <v>7</v>
      </c>
      <c r="T283" s="1611" t="s">
        <v>2000</v>
      </c>
      <c r="U283" s="1611" t="s">
        <v>558</v>
      </c>
      <c r="V283" s="1611"/>
      <c r="W283" s="1611" t="s">
        <v>851</v>
      </c>
      <c r="X283" s="1611" t="s">
        <v>2091</v>
      </c>
      <c r="Y283" s="1611"/>
      <c r="Z283" s="1611"/>
    </row>
    <row r="284" spans="1:26" customFormat="1" hidden="1">
      <c r="A284" s="1611"/>
      <c r="B284" s="1611"/>
      <c r="C284" s="1611" t="s">
        <v>93</v>
      </c>
      <c r="D284" s="1611" t="s">
        <v>431</v>
      </c>
      <c r="E284" s="1619" t="s">
        <v>2084</v>
      </c>
      <c r="F284" s="1604">
        <v>24</v>
      </c>
      <c r="G284" s="1611" t="s">
        <v>2085</v>
      </c>
      <c r="H284" s="1618" t="s">
        <v>987</v>
      </c>
      <c r="I284" s="1618">
        <v>1</v>
      </c>
      <c r="J284" s="1611" t="s">
        <v>1601</v>
      </c>
      <c r="K284" s="1611">
        <v>42620</v>
      </c>
      <c r="L284" s="1611" t="s">
        <v>990</v>
      </c>
      <c r="M284" s="1617" t="s">
        <v>1995</v>
      </c>
      <c r="N284" s="1611" t="s">
        <v>912</v>
      </c>
      <c r="O284" s="1604">
        <v>2016</v>
      </c>
      <c r="P284" s="1611" t="s">
        <v>1086</v>
      </c>
      <c r="Q284" s="1618">
        <v>7</v>
      </c>
      <c r="R284" s="1618"/>
      <c r="S284" s="1618">
        <v>7</v>
      </c>
      <c r="T284" s="1611" t="s">
        <v>1297</v>
      </c>
      <c r="U284" s="1611" t="s">
        <v>865</v>
      </c>
      <c r="V284" s="1611"/>
      <c r="W284" s="1611" t="s">
        <v>849</v>
      </c>
      <c r="X284" s="1611"/>
      <c r="Y284" s="1611"/>
      <c r="Z284" s="2982"/>
    </row>
    <row r="285" spans="1:26" customFormat="1" hidden="1">
      <c r="A285" s="1611"/>
      <c r="B285" s="1611" t="s">
        <v>91</v>
      </c>
      <c r="C285" s="1611" t="s">
        <v>91</v>
      </c>
      <c r="D285" s="1611" t="s">
        <v>879</v>
      </c>
      <c r="E285" s="1619" t="s">
        <v>2092</v>
      </c>
      <c r="F285" s="1604">
        <v>19</v>
      </c>
      <c r="G285" s="1611" t="s">
        <v>1448</v>
      </c>
      <c r="H285" s="1618" t="s">
        <v>987</v>
      </c>
      <c r="I285" s="1618">
        <v>1</v>
      </c>
      <c r="J285" s="1611" t="s">
        <v>2119</v>
      </c>
      <c r="K285" s="1611">
        <v>42622</v>
      </c>
      <c r="L285" s="1611" t="s">
        <v>990</v>
      </c>
      <c r="M285" s="1617" t="s">
        <v>1996</v>
      </c>
      <c r="N285" s="1611" t="s">
        <v>912</v>
      </c>
      <c r="O285" s="1604">
        <v>2016</v>
      </c>
      <c r="P285" s="1611" t="s">
        <v>1086</v>
      </c>
      <c r="Q285" s="1618">
        <v>2</v>
      </c>
      <c r="R285" s="1618"/>
      <c r="S285" s="1618">
        <v>2</v>
      </c>
      <c r="T285" s="1611" t="s">
        <v>1241</v>
      </c>
      <c r="U285" s="1611" t="s">
        <v>864</v>
      </c>
      <c r="V285" s="1611"/>
      <c r="W285" s="1611" t="s">
        <v>851</v>
      </c>
      <c r="X285" s="1611"/>
      <c r="Y285" s="1611"/>
      <c r="Z285" s="1618" t="s">
        <v>1448</v>
      </c>
    </row>
    <row r="286" spans="1:26" customFormat="1" ht="27.6" hidden="1">
      <c r="A286" s="1611"/>
      <c r="B286" s="1611"/>
      <c r="C286" s="1611" t="s">
        <v>91</v>
      </c>
      <c r="D286" s="1611" t="s">
        <v>879</v>
      </c>
      <c r="E286" s="1619" t="s">
        <v>2082</v>
      </c>
      <c r="F286" s="1604">
        <v>39</v>
      </c>
      <c r="G286" s="1611" t="s">
        <v>2083</v>
      </c>
      <c r="H286" s="1618" t="s">
        <v>987</v>
      </c>
      <c r="I286" s="1618">
        <v>1</v>
      </c>
      <c r="J286" s="1611" t="s">
        <v>1895</v>
      </c>
      <c r="K286" s="1611">
        <v>42623</v>
      </c>
      <c r="L286" s="1611" t="s">
        <v>990</v>
      </c>
      <c r="M286" s="1617" t="s">
        <v>1997</v>
      </c>
      <c r="N286" s="1611" t="s">
        <v>912</v>
      </c>
      <c r="O286" s="1604">
        <v>2016</v>
      </c>
      <c r="P286" s="1611" t="s">
        <v>1086</v>
      </c>
      <c r="Q286" s="1618">
        <v>4</v>
      </c>
      <c r="R286" s="1618"/>
      <c r="S286" s="1618">
        <v>4</v>
      </c>
      <c r="T286" s="1611" t="s">
        <v>2001</v>
      </c>
      <c r="U286" s="1611" t="s">
        <v>865</v>
      </c>
      <c r="V286" s="1611"/>
      <c r="W286" s="1611" t="s">
        <v>851</v>
      </c>
      <c r="X286" s="1611"/>
      <c r="Y286" s="1611"/>
      <c r="Z286" s="2983"/>
    </row>
    <row r="287" spans="1:26" customFormat="1" ht="27.6" hidden="1">
      <c r="A287" s="1611"/>
      <c r="B287" s="1611"/>
      <c r="C287" s="1611" t="s">
        <v>91</v>
      </c>
      <c r="D287" s="1611" t="s">
        <v>879</v>
      </c>
      <c r="E287" s="1619" t="s">
        <v>2086</v>
      </c>
      <c r="F287" s="1604">
        <v>24</v>
      </c>
      <c r="G287" s="1611" t="s">
        <v>2087</v>
      </c>
      <c r="H287" s="1618" t="s">
        <v>987</v>
      </c>
      <c r="I287" s="1618">
        <v>1</v>
      </c>
      <c r="J287" s="1611" t="s">
        <v>1044</v>
      </c>
      <c r="K287" s="1611">
        <v>42639</v>
      </c>
      <c r="L287" s="1611" t="s">
        <v>990</v>
      </c>
      <c r="M287" s="1617" t="s">
        <v>1998</v>
      </c>
      <c r="N287" s="1611" t="s">
        <v>915</v>
      </c>
      <c r="O287" s="1604">
        <v>2016</v>
      </c>
      <c r="P287" s="1611" t="s">
        <v>1086</v>
      </c>
      <c r="Q287" s="1618">
        <v>2</v>
      </c>
      <c r="R287" s="1618"/>
      <c r="S287" s="1618">
        <v>2</v>
      </c>
      <c r="T287" s="1611" t="s">
        <v>1297</v>
      </c>
      <c r="U287" s="1611" t="s">
        <v>870</v>
      </c>
      <c r="V287" s="1611"/>
      <c r="W287" s="1611" t="s">
        <v>850</v>
      </c>
      <c r="X287" s="1611"/>
      <c r="Y287" s="1611"/>
      <c r="Z287" s="1611"/>
    </row>
    <row r="288" spans="1:26" customFormat="1" ht="27.6" hidden="1">
      <c r="A288" s="1611"/>
      <c r="B288" s="1611"/>
      <c r="C288" s="1611" t="s">
        <v>91</v>
      </c>
      <c r="D288" s="1611" t="s">
        <v>879</v>
      </c>
      <c r="E288" s="1619" t="s">
        <v>2088</v>
      </c>
      <c r="F288" s="1604">
        <v>36</v>
      </c>
      <c r="G288" s="1611" t="s">
        <v>2087</v>
      </c>
      <c r="H288" s="1618" t="s">
        <v>987</v>
      </c>
      <c r="I288" s="1618">
        <v>3</v>
      </c>
      <c r="J288" s="1611" t="s">
        <v>1449</v>
      </c>
      <c r="K288" s="1611">
        <v>42641</v>
      </c>
      <c r="L288" s="1611" t="s">
        <v>990</v>
      </c>
      <c r="M288" s="1617" t="s">
        <v>1999</v>
      </c>
      <c r="N288" s="1611" t="s">
        <v>912</v>
      </c>
      <c r="O288" s="1604">
        <v>2016</v>
      </c>
      <c r="P288" s="1611" t="s">
        <v>1086</v>
      </c>
      <c r="Q288" s="1618">
        <v>11</v>
      </c>
      <c r="R288" s="1618"/>
      <c r="S288" s="1618">
        <v>11</v>
      </c>
      <c r="T288" s="1611" t="s">
        <v>1097</v>
      </c>
      <c r="U288" s="1611" t="s">
        <v>863</v>
      </c>
      <c r="V288" s="1611"/>
      <c r="W288" s="1611" t="s">
        <v>851</v>
      </c>
      <c r="X288" s="1611"/>
      <c r="Y288" s="1611"/>
      <c r="Z288" s="1611"/>
    </row>
    <row r="289" spans="1:26" customFormat="1" ht="27.6" hidden="1">
      <c r="A289" s="1611"/>
      <c r="B289" s="1611"/>
      <c r="C289" s="1611" t="s">
        <v>77</v>
      </c>
      <c r="D289" s="1611" t="s">
        <v>879</v>
      </c>
      <c r="E289" s="1619" t="s">
        <v>2112</v>
      </c>
      <c r="F289" s="1604">
        <v>42</v>
      </c>
      <c r="G289" s="1611" t="s">
        <v>2113</v>
      </c>
      <c r="H289" s="1618" t="s">
        <v>987</v>
      </c>
      <c r="I289" s="1618">
        <v>1</v>
      </c>
      <c r="J289" s="1611"/>
      <c r="K289" s="1611">
        <v>42644</v>
      </c>
      <c r="L289" s="1611" t="s">
        <v>990</v>
      </c>
      <c r="M289" s="1617" t="s">
        <v>2008</v>
      </c>
      <c r="N289" s="1611" t="s">
        <v>912</v>
      </c>
      <c r="O289" s="1604">
        <v>2016</v>
      </c>
      <c r="P289" s="1611" t="s">
        <v>653</v>
      </c>
      <c r="Q289" s="1618">
        <v>107</v>
      </c>
      <c r="R289" s="1618">
        <v>100</v>
      </c>
      <c r="S289" s="1618">
        <v>207</v>
      </c>
      <c r="T289" s="1611" t="s">
        <v>1097</v>
      </c>
      <c r="U289" s="1611" t="s">
        <v>863</v>
      </c>
      <c r="V289" s="1611"/>
      <c r="W289" s="1611" t="s">
        <v>2009</v>
      </c>
      <c r="X289" s="1611"/>
      <c r="Y289" s="1611"/>
      <c r="Z289" s="1611"/>
    </row>
    <row r="290" spans="1:26" customFormat="1" hidden="1">
      <c r="A290" s="1611"/>
      <c r="B290" s="1611"/>
      <c r="C290" s="1611" t="s">
        <v>1066</v>
      </c>
      <c r="D290" s="1611" t="s">
        <v>431</v>
      </c>
      <c r="E290" s="1619" t="s">
        <v>2111</v>
      </c>
      <c r="F290" s="1604"/>
      <c r="G290" s="1611" t="s">
        <v>993</v>
      </c>
      <c r="H290" s="1618" t="s">
        <v>987</v>
      </c>
      <c r="I290" s="1618">
        <v>1</v>
      </c>
      <c r="J290" s="1611"/>
      <c r="K290" s="1611">
        <v>42647</v>
      </c>
      <c r="L290" s="1611" t="s">
        <v>990</v>
      </c>
      <c r="M290" s="1617" t="s">
        <v>2010</v>
      </c>
      <c r="N290" s="1611" t="s">
        <v>912</v>
      </c>
      <c r="O290" s="1604">
        <v>2016</v>
      </c>
      <c r="P290" s="1611" t="s">
        <v>653</v>
      </c>
      <c r="Q290" s="1618">
        <v>9</v>
      </c>
      <c r="R290" s="1618"/>
      <c r="S290" s="1618">
        <v>9</v>
      </c>
      <c r="T290" s="1611" t="s">
        <v>1180</v>
      </c>
      <c r="U290" s="1611" t="s">
        <v>1104</v>
      </c>
      <c r="V290" s="1611"/>
      <c r="W290" s="1611" t="s">
        <v>849</v>
      </c>
      <c r="X290" s="1611" t="s">
        <v>2110</v>
      </c>
      <c r="Y290" s="1611"/>
      <c r="Z290" s="1611"/>
    </row>
    <row r="291" spans="1:26" customFormat="1" ht="27.6" hidden="1">
      <c r="A291" s="1611"/>
      <c r="B291" s="1611"/>
      <c r="C291" s="1611" t="s">
        <v>1049</v>
      </c>
      <c r="D291" s="1611" t="s">
        <v>1053</v>
      </c>
      <c r="E291" s="1619" t="s">
        <v>2108</v>
      </c>
      <c r="F291" s="1604">
        <v>37</v>
      </c>
      <c r="G291" s="1611" t="s">
        <v>2107</v>
      </c>
      <c r="H291" s="1618" t="s">
        <v>987</v>
      </c>
      <c r="I291" s="1618">
        <v>2</v>
      </c>
      <c r="J291" s="1611" t="s">
        <v>1456</v>
      </c>
      <c r="K291" s="1611">
        <v>42650</v>
      </c>
      <c r="L291" s="1611" t="s">
        <v>990</v>
      </c>
      <c r="M291" s="1617" t="s">
        <v>2011</v>
      </c>
      <c r="N291" s="1611" t="s">
        <v>912</v>
      </c>
      <c r="O291" s="1604">
        <v>2016</v>
      </c>
      <c r="P291" s="1611" t="s">
        <v>653</v>
      </c>
      <c r="Q291" s="1618">
        <v>59</v>
      </c>
      <c r="R291" s="1618">
        <v>300</v>
      </c>
      <c r="S291" s="1618">
        <v>359</v>
      </c>
      <c r="T291" s="1611" t="s">
        <v>1097</v>
      </c>
      <c r="U291" s="1611" t="s">
        <v>934</v>
      </c>
      <c r="V291" s="1611"/>
      <c r="W291" s="1611" t="s">
        <v>2009</v>
      </c>
      <c r="X291" s="1611"/>
      <c r="Y291" s="1611"/>
      <c r="Z291" s="1611"/>
    </row>
    <row r="292" spans="1:26" customFormat="1" hidden="1">
      <c r="A292" s="1611"/>
      <c r="B292" s="1611" t="s">
        <v>591</v>
      </c>
      <c r="C292" s="1611" t="s">
        <v>3654</v>
      </c>
      <c r="D292" s="1611" t="s">
        <v>879</v>
      </c>
      <c r="E292" s="1619" t="s">
        <v>2106</v>
      </c>
      <c r="F292" s="1604">
        <v>26</v>
      </c>
      <c r="G292" s="1611" t="s">
        <v>1014</v>
      </c>
      <c r="H292" s="1618" t="s">
        <v>987</v>
      </c>
      <c r="I292" s="1618">
        <v>2</v>
      </c>
      <c r="J292" s="1611" t="s">
        <v>2114</v>
      </c>
      <c r="K292" s="1611">
        <v>42650</v>
      </c>
      <c r="L292" s="1611" t="s">
        <v>990</v>
      </c>
      <c r="M292" s="1617" t="s">
        <v>2109</v>
      </c>
      <c r="N292" s="1611" t="s">
        <v>923</v>
      </c>
      <c r="O292" s="1604">
        <v>2016</v>
      </c>
      <c r="P292" s="1611" t="s">
        <v>653</v>
      </c>
      <c r="Q292" s="1618">
        <v>4</v>
      </c>
      <c r="R292" s="1618"/>
      <c r="S292" s="1618">
        <v>4</v>
      </c>
      <c r="T292" s="1611" t="s">
        <v>1500</v>
      </c>
      <c r="U292" s="1611" t="s">
        <v>864</v>
      </c>
      <c r="V292" s="1611"/>
      <c r="W292" s="1611" t="s">
        <v>1968</v>
      </c>
      <c r="X292" s="1611"/>
      <c r="Y292" s="1611"/>
      <c r="Z292" s="1611"/>
    </row>
    <row r="293" spans="1:26" customFormat="1" ht="27.6" hidden="1">
      <c r="A293" s="1611"/>
      <c r="B293" s="1611" t="s">
        <v>591</v>
      </c>
      <c r="C293" s="1611" t="s">
        <v>3655</v>
      </c>
      <c r="D293" s="1611" t="s">
        <v>879</v>
      </c>
      <c r="E293" s="1619" t="s">
        <v>2104</v>
      </c>
      <c r="F293" s="1604">
        <v>26</v>
      </c>
      <c r="G293" s="1611" t="s">
        <v>2105</v>
      </c>
      <c r="H293" s="1618" t="s">
        <v>987</v>
      </c>
      <c r="I293" s="1618">
        <v>1</v>
      </c>
      <c r="J293" s="1611" t="s">
        <v>2115</v>
      </c>
      <c r="K293" s="1611">
        <v>42656</v>
      </c>
      <c r="L293" s="1611" t="s">
        <v>990</v>
      </c>
      <c r="M293" s="1617" t="s">
        <v>2103</v>
      </c>
      <c r="N293" s="1611" t="s">
        <v>912</v>
      </c>
      <c r="O293" s="1604">
        <v>2016</v>
      </c>
      <c r="P293" s="1611" t="s">
        <v>653</v>
      </c>
      <c r="Q293" s="1618">
        <v>26</v>
      </c>
      <c r="R293" s="1618"/>
      <c r="S293" s="1618">
        <v>26</v>
      </c>
      <c r="T293" s="1611" t="s">
        <v>1241</v>
      </c>
      <c r="U293" s="1611" t="s">
        <v>863</v>
      </c>
      <c r="V293" s="1611"/>
      <c r="W293" s="1611" t="s">
        <v>849</v>
      </c>
      <c r="X293" s="1611"/>
      <c r="Y293" s="1611"/>
      <c r="Z293" s="1611"/>
    </row>
    <row r="294" spans="1:26" customFormat="1" ht="27.6" hidden="1">
      <c r="A294" s="1611"/>
      <c r="B294" s="1611" t="s">
        <v>591</v>
      </c>
      <c r="C294" s="1611" t="s">
        <v>998</v>
      </c>
      <c r="D294" s="1611" t="s">
        <v>998</v>
      </c>
      <c r="E294" s="1619" t="s">
        <v>2102</v>
      </c>
      <c r="F294" s="1604">
        <v>61</v>
      </c>
      <c r="G294" s="1611" t="s">
        <v>1203</v>
      </c>
      <c r="H294" s="1618" t="s">
        <v>987</v>
      </c>
      <c r="I294" s="1618">
        <v>1</v>
      </c>
      <c r="J294" s="1611" t="s">
        <v>2116</v>
      </c>
      <c r="K294" s="1611">
        <v>42658</v>
      </c>
      <c r="L294" s="1611" t="s">
        <v>990</v>
      </c>
      <c r="M294" s="1617" t="s">
        <v>2012</v>
      </c>
      <c r="N294" s="1611" t="s">
        <v>912</v>
      </c>
      <c r="O294" s="1604">
        <v>2016</v>
      </c>
      <c r="P294" s="1611" t="s">
        <v>653</v>
      </c>
      <c r="Q294" s="1618">
        <v>38</v>
      </c>
      <c r="R294" s="1618"/>
      <c r="S294" s="1618">
        <v>38</v>
      </c>
      <c r="T294" s="1611" t="s">
        <v>2013</v>
      </c>
      <c r="U294" s="1611" t="s">
        <v>865</v>
      </c>
      <c r="V294" s="1611"/>
      <c r="W294" s="1611" t="s">
        <v>851</v>
      </c>
      <c r="X294" s="1611"/>
      <c r="Y294" s="1611"/>
      <c r="Z294" s="1611"/>
    </row>
    <row r="295" spans="1:26" customFormat="1" ht="27.6" hidden="1">
      <c r="A295" s="1611"/>
      <c r="B295" s="1611"/>
      <c r="C295" s="1611" t="s">
        <v>77</v>
      </c>
      <c r="D295" s="1611" t="s">
        <v>879</v>
      </c>
      <c r="E295" s="1619" t="s">
        <v>2093</v>
      </c>
      <c r="F295" s="1604">
        <v>29</v>
      </c>
      <c r="G295" s="1611" t="s">
        <v>2095</v>
      </c>
      <c r="H295" s="1618" t="s">
        <v>987</v>
      </c>
      <c r="I295" s="1618">
        <v>1</v>
      </c>
      <c r="J295" s="1611" t="s">
        <v>2094</v>
      </c>
      <c r="K295" s="1611">
        <v>42662</v>
      </c>
      <c r="L295" s="1611" t="s">
        <v>990</v>
      </c>
      <c r="M295" s="1617" t="s">
        <v>2014</v>
      </c>
      <c r="N295" s="1611" t="s">
        <v>2015</v>
      </c>
      <c r="O295" s="1604">
        <v>2016</v>
      </c>
      <c r="P295" s="1611" t="s">
        <v>653</v>
      </c>
      <c r="Q295" s="1618">
        <v>90</v>
      </c>
      <c r="R295" s="1618">
        <v>4500</v>
      </c>
      <c r="S295" s="1618">
        <v>4590</v>
      </c>
      <c r="T295" s="1611" t="s">
        <v>1241</v>
      </c>
      <c r="U295" s="1611" t="s">
        <v>934</v>
      </c>
      <c r="V295" s="1611"/>
      <c r="W295" s="1611" t="s">
        <v>2016</v>
      </c>
      <c r="X295" s="1611"/>
      <c r="Y295" s="1611"/>
      <c r="Z295" s="1611"/>
    </row>
    <row r="296" spans="1:26" customFormat="1" ht="27.6" hidden="1">
      <c r="A296" s="1611"/>
      <c r="B296" s="1611"/>
      <c r="C296" s="1611" t="s">
        <v>938</v>
      </c>
      <c r="D296" s="1611" t="s">
        <v>879</v>
      </c>
      <c r="E296" s="1619"/>
      <c r="F296" s="1604"/>
      <c r="G296" s="1611" t="s">
        <v>993</v>
      </c>
      <c r="H296" s="1618" t="s">
        <v>987</v>
      </c>
      <c r="I296" s="1618">
        <v>3</v>
      </c>
      <c r="J296" s="1611" t="s">
        <v>2096</v>
      </c>
      <c r="K296" s="1611">
        <v>42663</v>
      </c>
      <c r="L296" s="1611" t="s">
        <v>990</v>
      </c>
      <c r="M296" s="1617" t="s">
        <v>2017</v>
      </c>
      <c r="N296" s="1611" t="s">
        <v>912</v>
      </c>
      <c r="O296" s="1604">
        <v>2016</v>
      </c>
      <c r="P296" s="1611" t="s">
        <v>653</v>
      </c>
      <c r="Q296" s="1618">
        <v>5</v>
      </c>
      <c r="R296" s="1618"/>
      <c r="S296" s="1618">
        <v>5</v>
      </c>
      <c r="T296" s="1611" t="s">
        <v>1405</v>
      </c>
      <c r="U296" s="1611" t="s">
        <v>821</v>
      </c>
      <c r="V296" s="1611"/>
      <c r="W296" s="1611" t="s">
        <v>849</v>
      </c>
      <c r="X296" s="1611" t="s">
        <v>2097</v>
      </c>
      <c r="Y296" s="1611"/>
      <c r="Z296" s="1611"/>
    </row>
    <row r="297" spans="1:26" customFormat="1" ht="27.6" hidden="1">
      <c r="A297" s="1611"/>
      <c r="B297" s="1611"/>
      <c r="C297" s="1611" t="s">
        <v>1128</v>
      </c>
      <c r="D297" s="1611" t="s">
        <v>879</v>
      </c>
      <c r="E297" s="1619" t="s">
        <v>2100</v>
      </c>
      <c r="F297" s="1604">
        <v>62</v>
      </c>
      <c r="G297" s="1611" t="s">
        <v>2130</v>
      </c>
      <c r="H297" s="1618" t="s">
        <v>987</v>
      </c>
      <c r="I297" s="1618">
        <v>3</v>
      </c>
      <c r="J297" s="1611" t="s">
        <v>2101</v>
      </c>
      <c r="K297" s="1611">
        <v>42663</v>
      </c>
      <c r="L297" s="1611" t="s">
        <v>990</v>
      </c>
      <c r="M297" s="1617" t="s">
        <v>2018</v>
      </c>
      <c r="N297" s="1611" t="s">
        <v>912</v>
      </c>
      <c r="O297" s="1604">
        <v>2016</v>
      </c>
      <c r="P297" s="1611" t="s">
        <v>653</v>
      </c>
      <c r="Q297" s="1618">
        <v>11</v>
      </c>
      <c r="R297" s="1618"/>
      <c r="S297" s="1618">
        <v>11</v>
      </c>
      <c r="T297" s="1611" t="s">
        <v>1097</v>
      </c>
      <c r="U297" s="1611" t="s">
        <v>864</v>
      </c>
      <c r="V297" s="1611"/>
      <c r="W297" s="1611" t="s">
        <v>851</v>
      </c>
      <c r="X297" s="1611"/>
      <c r="Y297" s="1611"/>
      <c r="Z297" s="1611"/>
    </row>
    <row r="298" spans="1:26" customFormat="1" hidden="1">
      <c r="A298" s="1611"/>
      <c r="B298" s="1611"/>
      <c r="C298" s="1611" t="s">
        <v>1128</v>
      </c>
      <c r="D298" s="1611" t="s">
        <v>879</v>
      </c>
      <c r="E298" s="1619" t="s">
        <v>2098</v>
      </c>
      <c r="F298" s="1604">
        <v>18</v>
      </c>
      <c r="G298" s="1611" t="s">
        <v>2019</v>
      </c>
      <c r="H298" s="1618" t="s">
        <v>987</v>
      </c>
      <c r="I298" s="1618">
        <v>1</v>
      </c>
      <c r="J298" s="1611" t="s">
        <v>2099</v>
      </c>
      <c r="K298" s="1611">
        <v>42669</v>
      </c>
      <c r="L298" s="1611" t="s">
        <v>990</v>
      </c>
      <c r="M298" s="1617" t="s">
        <v>2020</v>
      </c>
      <c r="N298" s="1611" t="s">
        <v>915</v>
      </c>
      <c r="O298" s="1604">
        <v>2016</v>
      </c>
      <c r="P298" s="1611" t="s">
        <v>653</v>
      </c>
      <c r="Q298" s="1618">
        <v>3</v>
      </c>
      <c r="R298" s="1618"/>
      <c r="S298" s="1618">
        <v>3</v>
      </c>
      <c r="T298" s="1611" t="s">
        <v>1297</v>
      </c>
      <c r="U298" s="1611" t="s">
        <v>1960</v>
      </c>
      <c r="V298" s="1611"/>
      <c r="W298" s="1611" t="s">
        <v>916</v>
      </c>
      <c r="X298" s="1611"/>
      <c r="Y298" s="1611"/>
      <c r="Z298" s="1611"/>
    </row>
    <row r="299" spans="1:26" customFormat="1" hidden="1">
      <c r="A299" s="1611"/>
      <c r="B299" s="1611"/>
      <c r="C299" s="1611" t="s">
        <v>938</v>
      </c>
      <c r="D299" s="1611" t="s">
        <v>879</v>
      </c>
      <c r="E299" s="1619"/>
      <c r="F299" s="1604"/>
      <c r="G299" s="1611" t="s">
        <v>2021</v>
      </c>
      <c r="H299" s="1618" t="s">
        <v>987</v>
      </c>
      <c r="I299" s="1618">
        <v>1</v>
      </c>
      <c r="J299" s="1611"/>
      <c r="K299" s="1611">
        <v>42670</v>
      </c>
      <c r="L299" s="1611" t="s">
        <v>990</v>
      </c>
      <c r="M299" s="1617" t="s">
        <v>2022</v>
      </c>
      <c r="N299" s="1611" t="s">
        <v>2015</v>
      </c>
      <c r="O299" s="1604">
        <v>2016</v>
      </c>
      <c r="P299" s="1611" t="s">
        <v>653</v>
      </c>
      <c r="Q299" s="1618">
        <v>7</v>
      </c>
      <c r="R299" s="1618"/>
      <c r="S299" s="1618">
        <v>7</v>
      </c>
      <c r="T299" s="1611" t="s">
        <v>2023</v>
      </c>
      <c r="U299" s="1611" t="s">
        <v>864</v>
      </c>
      <c r="V299" s="1611"/>
      <c r="W299" s="1611" t="s">
        <v>1968</v>
      </c>
      <c r="X299" s="1611"/>
      <c r="Y299" s="1611"/>
      <c r="Z299" s="1611"/>
    </row>
    <row r="300" spans="1:26" customFormat="1" hidden="1">
      <c r="A300" s="1611"/>
      <c r="B300" s="1611"/>
      <c r="C300" s="1611" t="s">
        <v>93</v>
      </c>
      <c r="D300" s="1611" t="s">
        <v>431</v>
      </c>
      <c r="E300" s="1619" t="s">
        <v>2124</v>
      </c>
      <c r="F300" s="1604">
        <v>23</v>
      </c>
      <c r="G300" s="1611" t="s">
        <v>2125</v>
      </c>
      <c r="H300" s="1618" t="s">
        <v>987</v>
      </c>
      <c r="I300" s="1618"/>
      <c r="J300" s="1611" t="s">
        <v>2119</v>
      </c>
      <c r="K300" s="1611">
        <v>42647</v>
      </c>
      <c r="L300" s="1611" t="s">
        <v>990</v>
      </c>
      <c r="M300" s="1617" t="s">
        <v>2126</v>
      </c>
      <c r="N300" s="1611" t="s">
        <v>915</v>
      </c>
      <c r="O300" s="1604">
        <v>2016</v>
      </c>
      <c r="P300" s="1611" t="s">
        <v>653</v>
      </c>
      <c r="Q300" s="1618">
        <v>3</v>
      </c>
      <c r="R300" s="1618"/>
      <c r="S300" s="1618">
        <v>3</v>
      </c>
      <c r="T300" s="1611" t="s">
        <v>1297</v>
      </c>
      <c r="U300" s="1611" t="s">
        <v>864</v>
      </c>
      <c r="V300" s="1611"/>
      <c r="W300" s="1611" t="s">
        <v>849</v>
      </c>
      <c r="X300" s="1611"/>
      <c r="Y300" s="1611"/>
      <c r="Z300" s="2982"/>
    </row>
    <row r="301" spans="1:26" customFormat="1" ht="27.6" hidden="1">
      <c r="A301" s="1611"/>
      <c r="B301" s="1611" t="s">
        <v>91</v>
      </c>
      <c r="C301" s="1611" t="s">
        <v>91</v>
      </c>
      <c r="D301" s="1611" t="s">
        <v>879</v>
      </c>
      <c r="E301" s="1619" t="s">
        <v>2127</v>
      </c>
      <c r="F301" s="1604">
        <v>19</v>
      </c>
      <c r="G301" s="1611" t="s">
        <v>1448</v>
      </c>
      <c r="H301" s="1618" t="s">
        <v>994</v>
      </c>
      <c r="I301" s="1618">
        <v>3</v>
      </c>
      <c r="J301" s="1611" t="s">
        <v>2119</v>
      </c>
      <c r="K301" s="1611">
        <v>42708</v>
      </c>
      <c r="L301" s="1611" t="s">
        <v>990</v>
      </c>
      <c r="M301" s="1617" t="s">
        <v>2128</v>
      </c>
      <c r="N301" s="1611" t="s">
        <v>923</v>
      </c>
      <c r="O301" s="1604">
        <v>2016</v>
      </c>
      <c r="P301" s="1611" t="s">
        <v>1102</v>
      </c>
      <c r="Q301" s="1618">
        <v>3</v>
      </c>
      <c r="R301" s="1618"/>
      <c r="S301" s="1618">
        <v>3</v>
      </c>
      <c r="T301" s="1611" t="s">
        <v>821</v>
      </c>
      <c r="U301" s="1611" t="s">
        <v>1960</v>
      </c>
      <c r="V301" s="1611"/>
      <c r="W301" s="1611" t="s">
        <v>1370</v>
      </c>
      <c r="X301" s="1611"/>
      <c r="Y301" s="1611"/>
      <c r="Z301" s="1618" t="s">
        <v>1448</v>
      </c>
    </row>
    <row r="302" spans="1:26" customFormat="1" ht="55.2" hidden="1">
      <c r="A302" s="1611"/>
      <c r="B302" s="1611"/>
      <c r="C302" s="1611" t="s">
        <v>1958</v>
      </c>
      <c r="D302" s="1611" t="s">
        <v>1958</v>
      </c>
      <c r="E302" s="1619"/>
      <c r="F302" s="1604"/>
      <c r="G302" s="1611" t="s">
        <v>993</v>
      </c>
      <c r="H302" s="1618" t="s">
        <v>994</v>
      </c>
      <c r="I302" s="1618"/>
      <c r="J302" s="1611"/>
      <c r="K302" s="1611">
        <v>42681</v>
      </c>
      <c r="L302" s="1611" t="s">
        <v>990</v>
      </c>
      <c r="M302" s="1617" t="s">
        <v>2129</v>
      </c>
      <c r="N302" s="1611" t="s">
        <v>923</v>
      </c>
      <c r="O302" s="1604">
        <v>2016</v>
      </c>
      <c r="P302" s="1611" t="s">
        <v>1110</v>
      </c>
      <c r="Q302" s="1618">
        <v>8</v>
      </c>
      <c r="R302" s="1618"/>
      <c r="S302" s="1618">
        <v>8</v>
      </c>
      <c r="T302" s="1611"/>
      <c r="U302" s="1611" t="s">
        <v>864</v>
      </c>
      <c r="V302" s="1611"/>
      <c r="W302" s="1611" t="s">
        <v>851</v>
      </c>
      <c r="X302" s="1611" t="s">
        <v>1228</v>
      </c>
      <c r="Y302" s="1611"/>
      <c r="Z302" s="2983"/>
    </row>
    <row r="303" spans="1:26" customFormat="1" ht="69" hidden="1">
      <c r="A303" s="1611"/>
      <c r="B303" s="1611" t="s">
        <v>591</v>
      </c>
      <c r="C303" s="1611" t="s">
        <v>998</v>
      </c>
      <c r="D303" s="1611" t="s">
        <v>998</v>
      </c>
      <c r="E303" s="1619" t="s">
        <v>2131</v>
      </c>
      <c r="F303" s="1604"/>
      <c r="G303" s="1611" t="s">
        <v>2132</v>
      </c>
      <c r="H303" s="1618" t="s">
        <v>987</v>
      </c>
      <c r="I303" s="1618"/>
      <c r="J303" s="1611"/>
      <c r="K303" s="1611">
        <v>42725</v>
      </c>
      <c r="L303" s="1611" t="s">
        <v>990</v>
      </c>
      <c r="M303" s="1617" t="s">
        <v>2133</v>
      </c>
      <c r="N303" s="1611" t="s">
        <v>912</v>
      </c>
      <c r="O303" s="1604">
        <v>2016</v>
      </c>
      <c r="P303" s="1611" t="s">
        <v>1154</v>
      </c>
      <c r="Q303" s="1618">
        <v>8</v>
      </c>
      <c r="R303" s="1618"/>
      <c r="S303" s="1618">
        <v>8</v>
      </c>
      <c r="T303" s="1611" t="s">
        <v>2134</v>
      </c>
      <c r="U303" s="1611" t="s">
        <v>864</v>
      </c>
      <c r="V303" s="1611"/>
      <c r="W303" s="1611" t="s">
        <v>851</v>
      </c>
      <c r="X303" s="1611"/>
      <c r="Y303" s="1611"/>
      <c r="Z303" s="1611"/>
    </row>
    <row r="304" spans="1:26" customFormat="1" ht="27.6" hidden="1">
      <c r="A304" s="1611"/>
      <c r="B304" s="1611"/>
      <c r="C304" s="1611" t="s">
        <v>1223</v>
      </c>
      <c r="D304" s="1611" t="s">
        <v>1223</v>
      </c>
      <c r="E304" s="1619" t="s">
        <v>2135</v>
      </c>
      <c r="F304" s="1604"/>
      <c r="G304" s="1611" t="s">
        <v>993</v>
      </c>
      <c r="H304" s="1618" t="s">
        <v>994</v>
      </c>
      <c r="I304" s="1618"/>
      <c r="J304" s="1611"/>
      <c r="K304" s="1611">
        <v>42714</v>
      </c>
      <c r="L304" s="1611" t="s">
        <v>990</v>
      </c>
      <c r="M304" s="1617" t="s">
        <v>2136</v>
      </c>
      <c r="N304" s="1611" t="s">
        <v>929</v>
      </c>
      <c r="O304" s="1604">
        <v>2016</v>
      </c>
      <c r="P304" s="1611" t="s">
        <v>1154</v>
      </c>
      <c r="Q304" s="1618">
        <v>3</v>
      </c>
      <c r="R304" s="1618"/>
      <c r="S304" s="1618">
        <v>3</v>
      </c>
      <c r="T304" s="1611" t="s">
        <v>2137</v>
      </c>
      <c r="U304" s="1611" t="s">
        <v>1905</v>
      </c>
      <c r="V304" s="1611"/>
      <c r="W304" s="1611" t="s">
        <v>2138</v>
      </c>
      <c r="X304" s="1611" t="s">
        <v>1228</v>
      </c>
      <c r="Y304" s="1611"/>
      <c r="Z304" s="1611"/>
    </row>
    <row r="305" spans="1:26" customFormat="1" ht="110.4" hidden="1">
      <c r="A305" s="1611"/>
      <c r="B305" s="1611"/>
      <c r="C305" s="1611" t="s">
        <v>938</v>
      </c>
      <c r="D305" s="1611" t="s">
        <v>938</v>
      </c>
      <c r="E305" s="1619" t="s">
        <v>2139</v>
      </c>
      <c r="F305" s="1604"/>
      <c r="G305" s="1611" t="s">
        <v>2140</v>
      </c>
      <c r="H305" s="1618" t="s">
        <v>987</v>
      </c>
      <c r="I305" s="1618"/>
      <c r="J305" s="1611" t="s">
        <v>2141</v>
      </c>
      <c r="K305" s="1611">
        <v>42706</v>
      </c>
      <c r="L305" s="1611" t="s">
        <v>990</v>
      </c>
      <c r="M305" s="1617" t="s">
        <v>2142</v>
      </c>
      <c r="N305" s="1611" t="s">
        <v>912</v>
      </c>
      <c r="O305" s="1604">
        <v>2016</v>
      </c>
      <c r="P305" s="1611" t="s">
        <v>1154</v>
      </c>
      <c r="Q305" s="1618">
        <v>10</v>
      </c>
      <c r="R305" s="1618"/>
      <c r="S305" s="1618">
        <v>10</v>
      </c>
      <c r="T305" s="1611" t="s">
        <v>1097</v>
      </c>
      <c r="U305" s="1611" t="s">
        <v>934</v>
      </c>
      <c r="V305" s="1611"/>
      <c r="W305" s="1611" t="s">
        <v>851</v>
      </c>
      <c r="X305" s="1611"/>
      <c r="Y305" s="1611"/>
      <c r="Z305" s="1611"/>
    </row>
    <row r="306" spans="1:26" customFormat="1" ht="96.6" hidden="1">
      <c r="A306" s="1611"/>
      <c r="B306" s="1611"/>
      <c r="C306" s="1611" t="s">
        <v>938</v>
      </c>
      <c r="D306" s="1611" t="s">
        <v>938</v>
      </c>
      <c r="E306" s="1619" t="s">
        <v>2143</v>
      </c>
      <c r="F306" s="1604"/>
      <c r="G306" s="1611" t="s">
        <v>2144</v>
      </c>
      <c r="H306" s="1618" t="s">
        <v>987</v>
      </c>
      <c r="I306" s="1618"/>
      <c r="J306" s="1611" t="s">
        <v>2145</v>
      </c>
      <c r="K306" s="1611">
        <v>42725</v>
      </c>
      <c r="L306" s="1611" t="s">
        <v>990</v>
      </c>
      <c r="M306" s="1617" t="s">
        <v>2146</v>
      </c>
      <c r="N306" s="1611" t="s">
        <v>912</v>
      </c>
      <c r="O306" s="1604">
        <v>2016</v>
      </c>
      <c r="P306" s="1611" t="s">
        <v>1154</v>
      </c>
      <c r="Q306" s="1618">
        <v>19</v>
      </c>
      <c r="R306" s="1618"/>
      <c r="S306" s="1618">
        <v>19</v>
      </c>
      <c r="T306" s="1611" t="s">
        <v>1097</v>
      </c>
      <c r="U306" s="1611" t="s">
        <v>934</v>
      </c>
      <c r="V306" s="1611"/>
      <c r="W306" s="1611" t="s">
        <v>2147</v>
      </c>
      <c r="X306" s="1611"/>
      <c r="Y306" s="1611"/>
      <c r="Z306" s="1611"/>
    </row>
    <row r="307" spans="1:26" customFormat="1" hidden="1">
      <c r="A307" s="1611"/>
      <c r="B307" s="1611"/>
      <c r="C307" s="1611" t="s">
        <v>604</v>
      </c>
      <c r="D307" s="1611" t="s">
        <v>604</v>
      </c>
      <c r="E307" s="1619" t="s">
        <v>2148</v>
      </c>
      <c r="F307" s="1604">
        <v>22</v>
      </c>
      <c r="G307" s="1611" t="s">
        <v>993</v>
      </c>
      <c r="H307" s="1618" t="s">
        <v>987</v>
      </c>
      <c r="I307" s="1618"/>
      <c r="J307" s="1611"/>
      <c r="K307" s="1611">
        <v>42730</v>
      </c>
      <c r="L307" s="1611" t="s">
        <v>990</v>
      </c>
      <c r="M307" s="1617" t="s">
        <v>2154</v>
      </c>
      <c r="N307" s="1611" t="s">
        <v>912</v>
      </c>
      <c r="O307" s="1604">
        <v>2016</v>
      </c>
      <c r="P307" s="1611" t="s">
        <v>1154</v>
      </c>
      <c r="Q307" s="1618">
        <v>3</v>
      </c>
      <c r="R307" s="1618"/>
      <c r="S307" s="1618">
        <v>3</v>
      </c>
      <c r="T307" s="1611" t="s">
        <v>1360</v>
      </c>
      <c r="U307" s="1611" t="s">
        <v>821</v>
      </c>
      <c r="V307" s="1611"/>
      <c r="W307" s="1611" t="s">
        <v>851</v>
      </c>
      <c r="X307" s="1611" t="s">
        <v>2149</v>
      </c>
      <c r="Y307" s="1611"/>
      <c r="Z307" s="1611"/>
    </row>
    <row r="308" spans="1:26" customFormat="1" ht="27.6" hidden="1">
      <c r="A308" s="1611"/>
      <c r="B308" s="1611"/>
      <c r="C308" s="1611" t="s">
        <v>91</v>
      </c>
      <c r="D308" s="1611" t="s">
        <v>879</v>
      </c>
      <c r="E308" s="1619" t="s">
        <v>2151</v>
      </c>
      <c r="F308" s="1604"/>
      <c r="G308" s="1611" t="s">
        <v>2152</v>
      </c>
      <c r="H308" s="1618" t="s">
        <v>987</v>
      </c>
      <c r="I308" s="1618"/>
      <c r="J308" s="1611"/>
      <c r="K308" s="1611">
        <v>42732</v>
      </c>
      <c r="L308" s="1611" t="s">
        <v>990</v>
      </c>
      <c r="M308" s="1617" t="s">
        <v>2150</v>
      </c>
      <c r="N308" s="1611" t="s">
        <v>913</v>
      </c>
      <c r="O308" s="1604">
        <v>2016</v>
      </c>
      <c r="P308" s="1611" t="s">
        <v>1154</v>
      </c>
      <c r="Q308" s="1618">
        <v>4</v>
      </c>
      <c r="R308" s="1618"/>
      <c r="S308" s="1618">
        <v>4</v>
      </c>
      <c r="T308" s="1611" t="s">
        <v>2153</v>
      </c>
      <c r="U308" s="1611" t="s">
        <v>934</v>
      </c>
      <c r="V308" s="1611"/>
      <c r="W308" s="1611" t="s">
        <v>2147</v>
      </c>
      <c r="X308" s="1611"/>
      <c r="Y308" s="1611"/>
      <c r="Z308" s="1611"/>
    </row>
    <row r="309" spans="1:26" customFormat="1" ht="27.6" hidden="1">
      <c r="A309" s="1611"/>
      <c r="B309" s="1611" t="s">
        <v>91</v>
      </c>
      <c r="C309" s="1611" t="s">
        <v>91</v>
      </c>
      <c r="D309" s="1611" t="s">
        <v>879</v>
      </c>
      <c r="E309" s="1619" t="s">
        <v>2162</v>
      </c>
      <c r="F309" s="1604">
        <v>19</v>
      </c>
      <c r="G309" s="1611" t="s">
        <v>2163</v>
      </c>
      <c r="H309" s="1618" t="s">
        <v>994</v>
      </c>
      <c r="I309" s="1618" t="s">
        <v>2318</v>
      </c>
      <c r="J309" s="1611" t="s">
        <v>2466</v>
      </c>
      <c r="K309" s="1611">
        <v>42744</v>
      </c>
      <c r="L309" s="1611" t="s">
        <v>990</v>
      </c>
      <c r="M309" s="1617" t="s">
        <v>2164</v>
      </c>
      <c r="N309" s="1611" t="s">
        <v>912</v>
      </c>
      <c r="O309" s="1604">
        <v>2017</v>
      </c>
      <c r="P309" s="1611" t="s">
        <v>2165</v>
      </c>
      <c r="Q309" s="1618">
        <v>7</v>
      </c>
      <c r="R309" s="1618"/>
      <c r="S309" s="1618">
        <v>7</v>
      </c>
      <c r="T309" s="1611" t="s">
        <v>1241</v>
      </c>
      <c r="U309" s="1611" t="s">
        <v>864</v>
      </c>
      <c r="V309" s="1611"/>
      <c r="W309" s="1611" t="s">
        <v>849</v>
      </c>
      <c r="X309" s="1611"/>
      <c r="Y309" s="1611"/>
      <c r="Z309" s="1611"/>
    </row>
    <row r="310" spans="1:26" customFormat="1" ht="27.6" hidden="1">
      <c r="A310" s="1611"/>
      <c r="B310" s="1611" t="s">
        <v>1309</v>
      </c>
      <c r="C310" s="1611" t="s">
        <v>1309</v>
      </c>
      <c r="D310" s="1611" t="s">
        <v>879</v>
      </c>
      <c r="E310" s="1619" t="s">
        <v>2166</v>
      </c>
      <c r="F310" s="1604">
        <v>26</v>
      </c>
      <c r="G310" s="1611" t="s">
        <v>2167</v>
      </c>
      <c r="H310" s="1618" t="s">
        <v>994</v>
      </c>
      <c r="I310" s="1618" t="s">
        <v>2318</v>
      </c>
      <c r="J310" s="1611" t="s">
        <v>2168</v>
      </c>
      <c r="K310" s="1611">
        <v>42748</v>
      </c>
      <c r="L310" s="1611" t="s">
        <v>990</v>
      </c>
      <c r="M310" s="1617" t="s">
        <v>2223</v>
      </c>
      <c r="N310" s="1611" t="s">
        <v>912</v>
      </c>
      <c r="O310" s="1604">
        <v>2017</v>
      </c>
      <c r="P310" s="1611" t="s">
        <v>2165</v>
      </c>
      <c r="Q310" s="1618">
        <v>11</v>
      </c>
      <c r="R310" s="1618"/>
      <c r="S310" s="1618">
        <v>11</v>
      </c>
      <c r="T310" s="1611" t="s">
        <v>1097</v>
      </c>
      <c r="U310" s="1611" t="s">
        <v>864</v>
      </c>
      <c r="V310" s="1611"/>
      <c r="W310" s="1611" t="s">
        <v>849</v>
      </c>
      <c r="X310" s="1611"/>
      <c r="Y310" s="1611"/>
      <c r="Z310" s="1611"/>
    </row>
    <row r="311" spans="1:26" customFormat="1" hidden="1">
      <c r="A311" s="1611"/>
      <c r="B311" s="1611" t="s">
        <v>93</v>
      </c>
      <c r="C311" s="1611" t="s">
        <v>2161</v>
      </c>
      <c r="D311" s="1611" t="s">
        <v>431</v>
      </c>
      <c r="E311" s="1619" t="s">
        <v>2169</v>
      </c>
      <c r="F311" s="1604">
        <v>58</v>
      </c>
      <c r="G311" s="1611" t="s">
        <v>2511</v>
      </c>
      <c r="H311" s="1618" t="s">
        <v>987</v>
      </c>
      <c r="I311" s="1618" t="s">
        <v>2310</v>
      </c>
      <c r="J311" s="1611" t="s">
        <v>2494</v>
      </c>
      <c r="K311" s="2894">
        <v>42748</v>
      </c>
      <c r="L311" s="1611" t="s">
        <v>990</v>
      </c>
      <c r="M311" s="1617" t="s">
        <v>2170</v>
      </c>
      <c r="N311" s="1611" t="s">
        <v>923</v>
      </c>
      <c r="O311" s="1604">
        <v>2017</v>
      </c>
      <c r="P311" s="1611" t="s">
        <v>2165</v>
      </c>
      <c r="Q311" s="1618">
        <v>3</v>
      </c>
      <c r="R311" s="1618"/>
      <c r="S311" s="1618">
        <v>3</v>
      </c>
      <c r="T311" s="1611" t="s">
        <v>2224</v>
      </c>
      <c r="U311" s="1611" t="s">
        <v>1104</v>
      </c>
      <c r="V311" s="1611"/>
      <c r="W311" s="1611" t="s">
        <v>1370</v>
      </c>
      <c r="X311" s="1611" t="s">
        <v>1105</v>
      </c>
      <c r="Y311" s="1611"/>
      <c r="Z311" s="1611"/>
    </row>
    <row r="312" spans="1:26" customFormat="1" ht="27.6" hidden="1">
      <c r="A312" s="1611"/>
      <c r="B312" s="1611" t="s">
        <v>77</v>
      </c>
      <c r="C312" s="1611" t="s">
        <v>77</v>
      </c>
      <c r="D312" s="1611" t="s">
        <v>1338</v>
      </c>
      <c r="E312" s="1619" t="s">
        <v>2171</v>
      </c>
      <c r="F312" s="1604">
        <v>34</v>
      </c>
      <c r="G312" s="1611" t="s">
        <v>2172</v>
      </c>
      <c r="H312" s="1618" t="s">
        <v>987</v>
      </c>
      <c r="I312" s="1618" t="s">
        <v>2310</v>
      </c>
      <c r="J312" s="1611" t="s">
        <v>2491</v>
      </c>
      <c r="K312" s="2894">
        <v>42765</v>
      </c>
      <c r="L312" s="1611" t="s">
        <v>990</v>
      </c>
      <c r="M312" s="1617" t="s">
        <v>2173</v>
      </c>
      <c r="N312" s="1611" t="s">
        <v>915</v>
      </c>
      <c r="O312" s="1604">
        <v>2017</v>
      </c>
      <c r="P312" s="1611" t="s">
        <v>2165</v>
      </c>
      <c r="Q312" s="1618">
        <v>2</v>
      </c>
      <c r="R312" s="1618"/>
      <c r="S312" s="1618">
        <v>2</v>
      </c>
      <c r="T312" s="1611" t="s">
        <v>2225</v>
      </c>
      <c r="U312" s="1611" t="s">
        <v>821</v>
      </c>
      <c r="V312" s="1611"/>
      <c r="W312" s="1611" t="s">
        <v>850</v>
      </c>
      <c r="X312" s="1611"/>
      <c r="Y312" s="1611"/>
      <c r="Z312" s="1611"/>
    </row>
    <row r="313" spans="1:26" customFormat="1" ht="27.6" hidden="1">
      <c r="A313" s="1611"/>
      <c r="B313" s="1611" t="s">
        <v>1057</v>
      </c>
      <c r="C313" s="1611" t="s">
        <v>1057</v>
      </c>
      <c r="D313" s="1611" t="s">
        <v>1057</v>
      </c>
      <c r="E313" s="1619" t="s">
        <v>2174</v>
      </c>
      <c r="F313" s="1604">
        <v>45</v>
      </c>
      <c r="G313" s="1611" t="s">
        <v>2175</v>
      </c>
      <c r="H313" s="1618" t="s">
        <v>987</v>
      </c>
      <c r="I313" s="1618" t="s">
        <v>2310</v>
      </c>
      <c r="J313" s="1611" t="s">
        <v>2176</v>
      </c>
      <c r="K313" s="2894">
        <v>42748</v>
      </c>
      <c r="L313" s="1611" t="s">
        <v>990</v>
      </c>
      <c r="M313" s="1617" t="s">
        <v>2177</v>
      </c>
      <c r="N313" s="1611" t="s">
        <v>929</v>
      </c>
      <c r="O313" s="1604">
        <v>2017</v>
      </c>
      <c r="P313" s="1611" t="s">
        <v>2165</v>
      </c>
      <c r="Q313" s="1618">
        <v>1</v>
      </c>
      <c r="R313" s="1618"/>
      <c r="S313" s="1618">
        <v>1</v>
      </c>
      <c r="T313" s="1611" t="s">
        <v>2226</v>
      </c>
      <c r="U313" s="1611" t="s">
        <v>928</v>
      </c>
      <c r="V313" s="1611"/>
      <c r="W313" s="1611" t="s">
        <v>1635</v>
      </c>
      <c r="X313" s="1611" t="s">
        <v>2178</v>
      </c>
      <c r="Y313" s="1611"/>
      <c r="Z313" s="1611"/>
    </row>
    <row r="314" spans="1:26" customFormat="1" hidden="1">
      <c r="A314" s="1611"/>
      <c r="B314" s="1611" t="s">
        <v>93</v>
      </c>
      <c r="C314" s="1611" t="s">
        <v>2161</v>
      </c>
      <c r="D314" s="1611" t="s">
        <v>431</v>
      </c>
      <c r="E314" s="1619" t="s">
        <v>2179</v>
      </c>
      <c r="F314" s="1604"/>
      <c r="G314" s="1611" t="s">
        <v>2512</v>
      </c>
      <c r="H314" s="1618" t="s">
        <v>987</v>
      </c>
      <c r="I314" s="1618" t="s">
        <v>2310</v>
      </c>
      <c r="J314" s="1611" t="s">
        <v>2492</v>
      </c>
      <c r="K314" s="2894">
        <v>42773</v>
      </c>
      <c r="L314" s="1611" t="s">
        <v>990</v>
      </c>
      <c r="M314" s="1617" t="s">
        <v>2180</v>
      </c>
      <c r="N314" s="1611" t="s">
        <v>923</v>
      </c>
      <c r="O314" s="1604">
        <v>2017</v>
      </c>
      <c r="P314" s="1611" t="s">
        <v>896</v>
      </c>
      <c r="Q314" s="1618">
        <v>3</v>
      </c>
      <c r="R314" s="1618"/>
      <c r="S314" s="1618">
        <v>3</v>
      </c>
      <c r="T314" s="1611" t="s">
        <v>2224</v>
      </c>
      <c r="U314" s="1611" t="s">
        <v>1104</v>
      </c>
      <c r="V314" s="1611"/>
      <c r="W314" s="1611" t="s">
        <v>2236</v>
      </c>
      <c r="X314" s="1611" t="s">
        <v>2525</v>
      </c>
      <c r="Y314" s="1611"/>
      <c r="Z314" s="1611"/>
    </row>
    <row r="315" spans="1:26" customFormat="1" ht="27.6" hidden="1">
      <c r="A315" s="1611"/>
      <c r="B315" s="1611" t="s">
        <v>591</v>
      </c>
      <c r="C315" s="1611" t="s">
        <v>973</v>
      </c>
      <c r="D315" s="1611" t="s">
        <v>879</v>
      </c>
      <c r="E315" s="1619" t="s">
        <v>2181</v>
      </c>
      <c r="F315" s="1604">
        <v>48</v>
      </c>
      <c r="G315" s="1611" t="s">
        <v>2182</v>
      </c>
      <c r="H315" s="1618" t="s">
        <v>987</v>
      </c>
      <c r="I315" s="1618" t="s">
        <v>2318</v>
      </c>
      <c r="J315" s="1611" t="s">
        <v>2492</v>
      </c>
      <c r="K315" s="2894">
        <v>42775</v>
      </c>
      <c r="L315" s="1611" t="s">
        <v>990</v>
      </c>
      <c r="M315" s="1617" t="s">
        <v>2183</v>
      </c>
      <c r="N315" s="1611" t="s">
        <v>912</v>
      </c>
      <c r="O315" s="1604">
        <v>2017</v>
      </c>
      <c r="P315" s="1611" t="s">
        <v>896</v>
      </c>
      <c r="Q315" s="1618">
        <v>13</v>
      </c>
      <c r="R315" s="1618"/>
      <c r="S315" s="1618">
        <v>13</v>
      </c>
      <c r="T315" s="1611" t="s">
        <v>2227</v>
      </c>
      <c r="U315" s="1611" t="s">
        <v>864</v>
      </c>
      <c r="V315" s="1611"/>
      <c r="W315" s="1611" t="s">
        <v>851</v>
      </c>
      <c r="X315" s="1611"/>
      <c r="Y315" s="1611"/>
      <c r="Z315" s="1611"/>
    </row>
    <row r="316" spans="1:26" customFormat="1" ht="27.6" hidden="1">
      <c r="A316" s="1611"/>
      <c r="B316" s="1611" t="s">
        <v>1006</v>
      </c>
      <c r="C316" s="1611" t="s">
        <v>1006</v>
      </c>
      <c r="D316" s="1611" t="s">
        <v>998</v>
      </c>
      <c r="E316" s="1619" t="s">
        <v>2184</v>
      </c>
      <c r="F316" s="1604">
        <v>52</v>
      </c>
      <c r="G316" s="1611" t="s">
        <v>2185</v>
      </c>
      <c r="H316" s="1618" t="s">
        <v>987</v>
      </c>
      <c r="I316" s="1618" t="s">
        <v>2276</v>
      </c>
      <c r="J316" s="1611" t="s">
        <v>2493</v>
      </c>
      <c r="K316" s="2894">
        <v>42776</v>
      </c>
      <c r="L316" s="1611" t="s">
        <v>990</v>
      </c>
      <c r="M316" s="1617" t="s">
        <v>2186</v>
      </c>
      <c r="N316" s="1611" t="s">
        <v>912</v>
      </c>
      <c r="O316" s="1604">
        <v>2017</v>
      </c>
      <c r="P316" s="1611" t="s">
        <v>896</v>
      </c>
      <c r="Q316" s="1618">
        <v>3</v>
      </c>
      <c r="R316" s="1618"/>
      <c r="S316" s="1618">
        <v>3</v>
      </c>
      <c r="T316" s="1611" t="s">
        <v>2237</v>
      </c>
      <c r="U316" s="1611" t="s">
        <v>558</v>
      </c>
      <c r="V316" s="1611"/>
      <c r="W316" s="1611" t="s">
        <v>851</v>
      </c>
      <c r="X316" s="1611"/>
      <c r="Y316" s="1611"/>
      <c r="Z316" s="1611"/>
    </row>
    <row r="317" spans="1:26" customFormat="1" ht="27.6" hidden="1">
      <c r="A317" s="1611"/>
      <c r="B317" s="1611" t="s">
        <v>77</v>
      </c>
      <c r="C317" s="1611" t="s">
        <v>77</v>
      </c>
      <c r="D317" s="1611" t="s">
        <v>879</v>
      </c>
      <c r="E317" s="1619" t="s">
        <v>2187</v>
      </c>
      <c r="F317" s="1604">
        <v>21</v>
      </c>
      <c r="G317" s="1611" t="s">
        <v>2513</v>
      </c>
      <c r="H317" s="1618" t="s">
        <v>987</v>
      </c>
      <c r="I317" s="1618" t="s">
        <v>2276</v>
      </c>
      <c r="J317" s="1611" t="s">
        <v>2494</v>
      </c>
      <c r="K317" s="2894">
        <v>42780</v>
      </c>
      <c r="L317" s="1611" t="s">
        <v>990</v>
      </c>
      <c r="M317" s="1617" t="s">
        <v>2189</v>
      </c>
      <c r="N317" s="1611" t="s">
        <v>912</v>
      </c>
      <c r="O317" s="1604">
        <v>2017</v>
      </c>
      <c r="P317" s="1611" t="s">
        <v>896</v>
      </c>
      <c r="Q317" s="1618">
        <v>2</v>
      </c>
      <c r="R317" s="1618"/>
      <c r="S317" s="1618">
        <v>2</v>
      </c>
      <c r="T317" s="1611" t="s">
        <v>1241</v>
      </c>
      <c r="U317" s="1611" t="s">
        <v>864</v>
      </c>
      <c r="V317" s="1611"/>
      <c r="W317" s="1611" t="s">
        <v>849</v>
      </c>
      <c r="X317" s="1611"/>
      <c r="Y317" s="1611"/>
      <c r="Z317" s="1611"/>
    </row>
    <row r="318" spans="1:26" customFormat="1" hidden="1">
      <c r="A318" s="1611"/>
      <c r="B318" s="1611" t="s">
        <v>1223</v>
      </c>
      <c r="C318" s="1611" t="s">
        <v>1223</v>
      </c>
      <c r="D318" s="1611" t="s">
        <v>1223</v>
      </c>
      <c r="E318" s="1619" t="s">
        <v>2190</v>
      </c>
      <c r="F318" s="1604">
        <v>58</v>
      </c>
      <c r="G318" s="1611" t="s">
        <v>2191</v>
      </c>
      <c r="H318" s="1618" t="s">
        <v>987</v>
      </c>
      <c r="I318" s="1618" t="s">
        <v>2310</v>
      </c>
      <c r="J318" s="1611" t="s">
        <v>2192</v>
      </c>
      <c r="K318" s="2894">
        <v>42781</v>
      </c>
      <c r="L318" s="1611" t="s">
        <v>990</v>
      </c>
      <c r="M318" s="1617" t="s">
        <v>2193</v>
      </c>
      <c r="N318" s="1611" t="s">
        <v>917</v>
      </c>
      <c r="O318" s="1604">
        <v>2017</v>
      </c>
      <c r="P318" s="1611" t="s">
        <v>896</v>
      </c>
      <c r="Q318" s="1618">
        <v>3</v>
      </c>
      <c r="R318" s="1618"/>
      <c r="S318" s="1618">
        <v>3</v>
      </c>
      <c r="T318" s="1611" t="s">
        <v>2228</v>
      </c>
      <c r="U318" s="1611" t="s">
        <v>821</v>
      </c>
      <c r="V318" s="1611"/>
      <c r="W318" s="1611" t="s">
        <v>850</v>
      </c>
      <c r="X318" s="1611" t="s">
        <v>2194</v>
      </c>
      <c r="Y318" s="1611"/>
      <c r="Z318" s="1611"/>
    </row>
    <row r="319" spans="1:26" customFormat="1" ht="27.6" hidden="1">
      <c r="A319" s="1611"/>
      <c r="B319" s="1611" t="s">
        <v>1223</v>
      </c>
      <c r="C319" s="1611" t="s">
        <v>1223</v>
      </c>
      <c r="D319" s="1611" t="s">
        <v>1223</v>
      </c>
      <c r="E319" s="1619" t="s">
        <v>2195</v>
      </c>
      <c r="F319" s="1604">
        <v>54</v>
      </c>
      <c r="G319" s="1611" t="s">
        <v>2196</v>
      </c>
      <c r="H319" s="1618" t="s">
        <v>987</v>
      </c>
      <c r="I319" s="1618" t="s">
        <v>2276</v>
      </c>
      <c r="J319" s="1611" t="s">
        <v>2496</v>
      </c>
      <c r="K319" s="2894">
        <v>42782</v>
      </c>
      <c r="L319" s="1611" t="s">
        <v>990</v>
      </c>
      <c r="M319" s="1617" t="s">
        <v>2197</v>
      </c>
      <c r="N319" s="1611" t="s">
        <v>912</v>
      </c>
      <c r="O319" s="1604">
        <v>2017</v>
      </c>
      <c r="P319" s="1611" t="s">
        <v>896</v>
      </c>
      <c r="Q319" s="1618">
        <v>10</v>
      </c>
      <c r="R319" s="1618"/>
      <c r="S319" s="1618">
        <v>10</v>
      </c>
      <c r="T319" s="1611" t="s">
        <v>2232</v>
      </c>
      <c r="U319" s="1611" t="s">
        <v>1905</v>
      </c>
      <c r="V319" s="1611"/>
      <c r="W319" s="1611" t="s">
        <v>850</v>
      </c>
      <c r="X319" s="1611" t="s">
        <v>1228</v>
      </c>
      <c r="Y319" s="1611"/>
      <c r="Z319" s="1611"/>
    </row>
    <row r="320" spans="1:26" customFormat="1" ht="27.6" hidden="1">
      <c r="A320" s="1611"/>
      <c r="B320" s="1611" t="s">
        <v>694</v>
      </c>
      <c r="C320" s="1611" t="s">
        <v>694</v>
      </c>
      <c r="D320" s="1611" t="s">
        <v>879</v>
      </c>
      <c r="E320" s="1619" t="s">
        <v>2502</v>
      </c>
      <c r="F320" s="1604">
        <v>43</v>
      </c>
      <c r="G320" s="1611" t="s">
        <v>1157</v>
      </c>
      <c r="H320" s="1618" t="s">
        <v>987</v>
      </c>
      <c r="I320" s="1618" t="s">
        <v>2310</v>
      </c>
      <c r="J320" s="1611" t="s">
        <v>2514</v>
      </c>
      <c r="K320" s="2894">
        <v>42786</v>
      </c>
      <c r="L320" s="1611" t="s">
        <v>990</v>
      </c>
      <c r="M320" s="1617" t="s">
        <v>2198</v>
      </c>
      <c r="N320" s="1611" t="s">
        <v>912</v>
      </c>
      <c r="O320" s="1604">
        <v>2017</v>
      </c>
      <c r="P320" s="1611" t="s">
        <v>896</v>
      </c>
      <c r="Q320" s="1618">
        <v>5</v>
      </c>
      <c r="R320" s="1618"/>
      <c r="S320" s="1618">
        <v>5</v>
      </c>
      <c r="T320" s="1611" t="s">
        <v>2229</v>
      </c>
      <c r="U320" s="1611" t="s">
        <v>864</v>
      </c>
      <c r="V320" s="1611"/>
      <c r="W320" s="1611" t="s">
        <v>851</v>
      </c>
      <c r="X320" s="1611"/>
      <c r="Y320" s="1611"/>
      <c r="Z320" s="1611"/>
    </row>
    <row r="321" spans="1:26" customFormat="1" hidden="1">
      <c r="A321" s="1611"/>
      <c r="B321" s="1611" t="s">
        <v>918</v>
      </c>
      <c r="C321" s="1611" t="s">
        <v>918</v>
      </c>
      <c r="D321" s="1611" t="s">
        <v>918</v>
      </c>
      <c r="E321" s="1619" t="s">
        <v>2199</v>
      </c>
      <c r="F321" s="1604">
        <v>49</v>
      </c>
      <c r="G321" s="1611" t="s">
        <v>2531</v>
      </c>
      <c r="H321" s="1618" t="s">
        <v>994</v>
      </c>
      <c r="I321" s="1618" t="s">
        <v>2310</v>
      </c>
      <c r="J321" s="1611"/>
      <c r="K321" s="2894">
        <v>42787</v>
      </c>
      <c r="L321" s="1611" t="s">
        <v>990</v>
      </c>
      <c r="M321" s="1617" t="s">
        <v>2200</v>
      </c>
      <c r="N321" s="1611" t="s">
        <v>915</v>
      </c>
      <c r="O321" s="1604">
        <v>2017</v>
      </c>
      <c r="P321" s="1611" t="s">
        <v>896</v>
      </c>
      <c r="Q321" s="1618">
        <v>3</v>
      </c>
      <c r="R321" s="1618"/>
      <c r="S321" s="1618">
        <v>3</v>
      </c>
      <c r="T321" s="1611" t="s">
        <v>2233</v>
      </c>
      <c r="U321" s="1611" t="s">
        <v>1960</v>
      </c>
      <c r="V321" s="1611"/>
      <c r="W321" s="1611" t="s">
        <v>1370</v>
      </c>
      <c r="X321" s="1611" t="s">
        <v>2515</v>
      </c>
      <c r="Y321" s="1611"/>
      <c r="Z321" s="1611"/>
    </row>
    <row r="322" spans="1:26" customFormat="1" ht="27.6" hidden="1">
      <c r="A322" s="1611"/>
      <c r="B322" s="1611" t="s">
        <v>1958</v>
      </c>
      <c r="C322" s="1611" t="s">
        <v>1958</v>
      </c>
      <c r="D322" s="1611" t="s">
        <v>1958</v>
      </c>
      <c r="E322" s="1619" t="s">
        <v>2532</v>
      </c>
      <c r="F322" s="1604"/>
      <c r="G322" s="1611" t="s">
        <v>2196</v>
      </c>
      <c r="H322" s="1618" t="s">
        <v>987</v>
      </c>
      <c r="I322" s="1618" t="s">
        <v>2310</v>
      </c>
      <c r="J322" s="1611"/>
      <c r="K322" s="2894">
        <v>42790</v>
      </c>
      <c r="L322" s="1611" t="s">
        <v>990</v>
      </c>
      <c r="M322" s="1617" t="s">
        <v>2201</v>
      </c>
      <c r="N322" s="1611" t="s">
        <v>917</v>
      </c>
      <c r="O322" s="1604">
        <v>2017</v>
      </c>
      <c r="P322" s="1611" t="s">
        <v>896</v>
      </c>
      <c r="Q322" s="1618">
        <v>1</v>
      </c>
      <c r="R322" s="1618"/>
      <c r="S322" s="1618">
        <v>1</v>
      </c>
      <c r="T322" s="1611" t="s">
        <v>2233</v>
      </c>
      <c r="U322" s="1611" t="s">
        <v>1905</v>
      </c>
      <c r="V322" s="1611"/>
      <c r="W322" s="1611" t="s">
        <v>1370</v>
      </c>
      <c r="X322" s="1611" t="s">
        <v>1228</v>
      </c>
      <c r="Y322" s="1611"/>
      <c r="Z322" s="1611"/>
    </row>
    <row r="323" spans="1:26" customFormat="1" hidden="1">
      <c r="A323" s="1611"/>
      <c r="B323" s="1603" t="s">
        <v>1128</v>
      </c>
      <c r="C323" s="1611" t="s">
        <v>1128</v>
      </c>
      <c r="D323" s="1611" t="s">
        <v>879</v>
      </c>
      <c r="E323" s="1619" t="s">
        <v>2205</v>
      </c>
      <c r="F323" s="1604">
        <v>43</v>
      </c>
      <c r="G323" s="1611" t="s">
        <v>2206</v>
      </c>
      <c r="H323" s="1618" t="s">
        <v>987</v>
      </c>
      <c r="I323" s="1618" t="s">
        <v>2310</v>
      </c>
      <c r="J323" s="1611" t="s">
        <v>2495</v>
      </c>
      <c r="K323" s="2894">
        <v>42770</v>
      </c>
      <c r="L323" s="1611" t="s">
        <v>990</v>
      </c>
      <c r="M323" s="1617" t="s">
        <v>2207</v>
      </c>
      <c r="N323" s="1611" t="s">
        <v>2015</v>
      </c>
      <c r="O323" s="1604">
        <v>2017</v>
      </c>
      <c r="P323" s="1611" t="s">
        <v>896</v>
      </c>
      <c r="Q323" s="1618">
        <v>11</v>
      </c>
      <c r="R323" s="1618"/>
      <c r="S323" s="1618">
        <v>11</v>
      </c>
      <c r="T323" s="1611" t="s">
        <v>2230</v>
      </c>
      <c r="U323" s="1611" t="s">
        <v>864</v>
      </c>
      <c r="V323" s="1611"/>
      <c r="W323" s="1611" t="s">
        <v>2238</v>
      </c>
      <c r="X323" s="1611"/>
      <c r="Y323" s="1611"/>
      <c r="Z323" s="1611"/>
    </row>
    <row r="324" spans="1:26" customFormat="1" hidden="1">
      <c r="A324" s="1611"/>
      <c r="B324" s="1603" t="s">
        <v>77</v>
      </c>
      <c r="C324" s="1611" t="s">
        <v>77</v>
      </c>
      <c r="D324" s="1611" t="s">
        <v>879</v>
      </c>
      <c r="E324" s="1619" t="s">
        <v>2208</v>
      </c>
      <c r="F324" s="1604">
        <v>45</v>
      </c>
      <c r="G324" s="1611" t="s">
        <v>2209</v>
      </c>
      <c r="H324" s="1618" t="s">
        <v>987</v>
      </c>
      <c r="I324" s="1618" t="s">
        <v>2318</v>
      </c>
      <c r="J324" s="1611" t="s">
        <v>2496</v>
      </c>
      <c r="K324" s="2894">
        <v>42801</v>
      </c>
      <c r="L324" s="1611" t="s">
        <v>990</v>
      </c>
      <c r="M324" s="1617" t="s">
        <v>2210</v>
      </c>
      <c r="N324" s="1611" t="s">
        <v>915</v>
      </c>
      <c r="O324" s="1604">
        <v>2017</v>
      </c>
      <c r="P324" s="1611" t="s">
        <v>897</v>
      </c>
      <c r="Q324" s="1618">
        <v>22</v>
      </c>
      <c r="R324" s="1618"/>
      <c r="S324" s="1618">
        <v>22</v>
      </c>
      <c r="T324" s="1611" t="s">
        <v>2234</v>
      </c>
      <c r="U324" s="1611" t="s">
        <v>1960</v>
      </c>
      <c r="V324" s="1611"/>
      <c r="W324" s="1611" t="s">
        <v>2241</v>
      </c>
      <c r="X324" s="1611"/>
      <c r="Y324" s="1611"/>
      <c r="Z324" s="1611"/>
    </row>
    <row r="325" spans="1:26" customFormat="1" ht="27.6" hidden="1">
      <c r="A325" s="1611"/>
      <c r="B325" s="1611" t="s">
        <v>1010</v>
      </c>
      <c r="C325" s="1611" t="s">
        <v>1010</v>
      </c>
      <c r="D325" s="1611" t="s">
        <v>879</v>
      </c>
      <c r="E325" s="1619" t="s">
        <v>2211</v>
      </c>
      <c r="F325" s="1604">
        <v>42</v>
      </c>
      <c r="G325" s="1611" t="s">
        <v>2212</v>
      </c>
      <c r="H325" s="1618" t="s">
        <v>987</v>
      </c>
      <c r="I325" s="1618" t="s">
        <v>2276</v>
      </c>
      <c r="J325" s="1611" t="s">
        <v>2497</v>
      </c>
      <c r="K325" s="2894">
        <v>42801</v>
      </c>
      <c r="L325" s="1611" t="s">
        <v>990</v>
      </c>
      <c r="M325" s="1617" t="s">
        <v>2213</v>
      </c>
      <c r="N325" s="1611" t="s">
        <v>2015</v>
      </c>
      <c r="O325" s="1604">
        <v>2017</v>
      </c>
      <c r="P325" s="1611" t="s">
        <v>897</v>
      </c>
      <c r="Q325" s="1618">
        <v>9</v>
      </c>
      <c r="R325" s="1618"/>
      <c r="S325" s="1618">
        <v>9</v>
      </c>
      <c r="T325" s="1611" t="s">
        <v>2231</v>
      </c>
      <c r="U325" s="1611" t="s">
        <v>864</v>
      </c>
      <c r="V325" s="1611"/>
      <c r="W325" s="1611" t="s">
        <v>2238</v>
      </c>
      <c r="X325" s="1611"/>
      <c r="Y325" s="1611"/>
      <c r="Z325" s="1611"/>
    </row>
    <row r="326" spans="1:26" customFormat="1" ht="27.6" hidden="1">
      <c r="A326" s="1611"/>
      <c r="B326" s="1611" t="s">
        <v>1053</v>
      </c>
      <c r="C326" s="1611" t="s">
        <v>1049</v>
      </c>
      <c r="D326" s="1611" t="s">
        <v>1053</v>
      </c>
      <c r="E326" s="1619" t="s">
        <v>2214</v>
      </c>
      <c r="F326" s="1604">
        <v>32</v>
      </c>
      <c r="G326" s="1611" t="s">
        <v>2215</v>
      </c>
      <c r="H326" s="1618" t="s">
        <v>987</v>
      </c>
      <c r="I326" s="1618" t="s">
        <v>2310</v>
      </c>
      <c r="J326" s="1611" t="s">
        <v>2115</v>
      </c>
      <c r="K326" s="2894">
        <v>42798</v>
      </c>
      <c r="L326" s="1611" t="s">
        <v>990</v>
      </c>
      <c r="M326" s="1617" t="s">
        <v>2216</v>
      </c>
      <c r="N326" s="1611" t="s">
        <v>915</v>
      </c>
      <c r="O326" s="1604">
        <v>2017</v>
      </c>
      <c r="P326" s="1611" t="s">
        <v>897</v>
      </c>
      <c r="Q326" s="1618">
        <v>49</v>
      </c>
      <c r="R326" s="1618"/>
      <c r="S326" s="1618">
        <v>49</v>
      </c>
      <c r="T326" s="1611" t="s">
        <v>2235</v>
      </c>
      <c r="U326" s="1611" t="s">
        <v>558</v>
      </c>
      <c r="V326" s="1611"/>
      <c r="W326" s="1611" t="s">
        <v>883</v>
      </c>
      <c r="X326" s="1611"/>
      <c r="Y326" s="1611"/>
      <c r="Z326" s="1611"/>
    </row>
    <row r="327" spans="1:26" customFormat="1" hidden="1">
      <c r="A327" s="1611"/>
      <c r="B327" s="1603" t="s">
        <v>1128</v>
      </c>
      <c r="C327" s="1611" t="s">
        <v>1128</v>
      </c>
      <c r="D327" s="1611" t="s">
        <v>879</v>
      </c>
      <c r="E327" s="1619" t="s">
        <v>2217</v>
      </c>
      <c r="F327" s="1604">
        <v>41</v>
      </c>
      <c r="G327" s="1611" t="s">
        <v>2218</v>
      </c>
      <c r="H327" s="1618" t="s">
        <v>987</v>
      </c>
      <c r="I327" s="1618" t="s">
        <v>2276</v>
      </c>
      <c r="J327" s="1611" t="s">
        <v>2493</v>
      </c>
      <c r="K327" s="2894">
        <v>42808</v>
      </c>
      <c r="L327" s="1611" t="s">
        <v>990</v>
      </c>
      <c r="M327" s="1617" t="s">
        <v>2219</v>
      </c>
      <c r="N327" s="1611" t="s">
        <v>929</v>
      </c>
      <c r="O327" s="1604">
        <v>2017</v>
      </c>
      <c r="P327" s="1611" t="s">
        <v>897</v>
      </c>
      <c r="Q327" s="1618">
        <v>3</v>
      </c>
      <c r="R327" s="1618"/>
      <c r="S327" s="1618">
        <v>3</v>
      </c>
      <c r="T327" s="1611" t="s">
        <v>2227</v>
      </c>
      <c r="U327" s="1611" t="s">
        <v>863</v>
      </c>
      <c r="V327" s="1611"/>
      <c r="W327" s="1611" t="s">
        <v>850</v>
      </c>
      <c r="X327" s="1611"/>
      <c r="Y327" s="1611"/>
      <c r="Z327" s="1611"/>
    </row>
    <row r="328" spans="1:26" customFormat="1" hidden="1">
      <c r="A328" s="1611"/>
      <c r="B328" s="1611" t="s">
        <v>93</v>
      </c>
      <c r="C328" s="1611" t="s">
        <v>2220</v>
      </c>
      <c r="D328" s="1611" t="s">
        <v>431</v>
      </c>
      <c r="E328" s="1619"/>
      <c r="F328" s="1604">
        <v>34</v>
      </c>
      <c r="G328" s="1611" t="s">
        <v>2516</v>
      </c>
      <c r="H328" s="1618" t="s">
        <v>987</v>
      </c>
      <c r="I328" s="1618" t="s">
        <v>2276</v>
      </c>
      <c r="J328" s="1611" t="s">
        <v>2492</v>
      </c>
      <c r="K328" s="2894">
        <v>42817</v>
      </c>
      <c r="L328" s="1611" t="s">
        <v>990</v>
      </c>
      <c r="M328" s="1617" t="s">
        <v>2221</v>
      </c>
      <c r="N328" s="1611" t="s">
        <v>917</v>
      </c>
      <c r="O328" s="1604">
        <v>2017</v>
      </c>
      <c r="P328" s="1611" t="s">
        <v>897</v>
      </c>
      <c r="Q328" s="1618">
        <v>3</v>
      </c>
      <c r="R328" s="1618"/>
      <c r="S328" s="1618">
        <v>3</v>
      </c>
      <c r="T328" s="1611" t="s">
        <v>2224</v>
      </c>
      <c r="U328" s="1611" t="s">
        <v>1104</v>
      </c>
      <c r="V328" s="1611"/>
      <c r="W328" s="1611" t="s">
        <v>850</v>
      </c>
      <c r="X328" s="1611" t="s">
        <v>2517</v>
      </c>
      <c r="Y328" s="1611"/>
      <c r="Z328" s="1611"/>
    </row>
    <row r="329" spans="1:26" customFormat="1" ht="27.6" hidden="1">
      <c r="A329" s="1611"/>
      <c r="B329" s="1611" t="s">
        <v>591</v>
      </c>
      <c r="C329" s="1611" t="s">
        <v>974</v>
      </c>
      <c r="D329" s="1611" t="s">
        <v>879</v>
      </c>
      <c r="E329" s="1619" t="s">
        <v>2499</v>
      </c>
      <c r="F329" s="1604">
        <v>30</v>
      </c>
      <c r="G329" s="1611" t="s">
        <v>2500</v>
      </c>
      <c r="H329" s="1618" t="s">
        <v>987</v>
      </c>
      <c r="I329" s="1618" t="s">
        <v>2318</v>
      </c>
      <c r="J329" s="1611" t="s">
        <v>2498</v>
      </c>
      <c r="K329" s="2894">
        <v>42807</v>
      </c>
      <c r="L329" s="1611" t="s">
        <v>990</v>
      </c>
      <c r="M329" s="1617" t="s">
        <v>2222</v>
      </c>
      <c r="N329" s="1611" t="s">
        <v>912</v>
      </c>
      <c r="O329" s="1604">
        <v>2017</v>
      </c>
      <c r="P329" s="1611" t="s">
        <v>897</v>
      </c>
      <c r="Q329" s="1618">
        <v>3</v>
      </c>
      <c r="R329" s="1618"/>
      <c r="S329" s="1618">
        <v>3</v>
      </c>
      <c r="T329" s="1611" t="s">
        <v>2229</v>
      </c>
      <c r="U329" s="1611" t="s">
        <v>864</v>
      </c>
      <c r="V329" s="1611"/>
      <c r="W329" s="1611" t="s">
        <v>851</v>
      </c>
      <c r="X329" s="1611"/>
      <c r="Y329" s="1611"/>
      <c r="Z329" s="1611"/>
    </row>
    <row r="330" spans="1:26" customFormat="1" hidden="1">
      <c r="A330" s="1611"/>
      <c r="B330" s="1611" t="s">
        <v>938</v>
      </c>
      <c r="C330" s="1611" t="s">
        <v>938</v>
      </c>
      <c r="D330" s="1611" t="s">
        <v>938</v>
      </c>
      <c r="E330" s="1619" t="s">
        <v>2286</v>
      </c>
      <c r="F330" s="1604">
        <v>29</v>
      </c>
      <c r="G330" s="1611"/>
      <c r="H330" s="1618" t="s">
        <v>987</v>
      </c>
      <c r="I330" s="1618" t="s">
        <v>2310</v>
      </c>
      <c r="J330" s="1611" t="s">
        <v>1449</v>
      </c>
      <c r="K330" s="2894">
        <v>42796</v>
      </c>
      <c r="L330" s="1611" t="s">
        <v>990</v>
      </c>
      <c r="M330" s="1617" t="s">
        <v>2240</v>
      </c>
      <c r="N330" s="1611" t="s">
        <v>915</v>
      </c>
      <c r="O330" s="1604">
        <v>2017</v>
      </c>
      <c r="P330" s="1611" t="s">
        <v>897</v>
      </c>
      <c r="Q330" s="1618">
        <v>30</v>
      </c>
      <c r="R330" s="1618"/>
      <c r="S330" s="1618">
        <v>30</v>
      </c>
      <c r="T330" s="1611" t="s">
        <v>2239</v>
      </c>
      <c r="U330" s="1611" t="s">
        <v>864</v>
      </c>
      <c r="V330" s="1611"/>
      <c r="W330" s="1611" t="s">
        <v>883</v>
      </c>
      <c r="X330" s="1611" t="s">
        <v>2097</v>
      </c>
      <c r="Y330" s="1611"/>
      <c r="Z330" s="1611"/>
    </row>
    <row r="331" spans="1:26" customFormat="1" ht="27.6" hidden="1">
      <c r="A331" s="1611"/>
      <c r="B331" s="1611" t="s">
        <v>591</v>
      </c>
      <c r="C331" s="1611" t="s">
        <v>973</v>
      </c>
      <c r="D331" s="1611" t="s">
        <v>879</v>
      </c>
      <c r="E331" s="1619" t="s">
        <v>2251</v>
      </c>
      <c r="F331" s="1604">
        <v>35</v>
      </c>
      <c r="G331" s="1611" t="s">
        <v>986</v>
      </c>
      <c r="H331" s="1618" t="s">
        <v>987</v>
      </c>
      <c r="I331" s="1618" t="s">
        <v>2310</v>
      </c>
      <c r="J331" s="1611" t="s">
        <v>2501</v>
      </c>
      <c r="K331" s="2894">
        <v>42841</v>
      </c>
      <c r="L331" s="1611" t="s">
        <v>990</v>
      </c>
      <c r="M331" s="1617" t="s">
        <v>2242</v>
      </c>
      <c r="N331" s="1611" t="s">
        <v>915</v>
      </c>
      <c r="O331" s="1604">
        <v>2017</v>
      </c>
      <c r="P331" s="1611" t="s">
        <v>898</v>
      </c>
      <c r="Q331" s="1618">
        <v>162</v>
      </c>
      <c r="R331" s="1618"/>
      <c r="S331" s="1618">
        <v>162</v>
      </c>
      <c r="T331" s="1611" t="s">
        <v>2246</v>
      </c>
      <c r="U331" s="1611" t="s">
        <v>1104</v>
      </c>
      <c r="V331" s="1611"/>
      <c r="W331" s="1611" t="s">
        <v>883</v>
      </c>
      <c r="X331" s="1611"/>
      <c r="Y331" s="1611"/>
      <c r="Z331" s="1611"/>
    </row>
    <row r="332" spans="1:26" customFormat="1" hidden="1">
      <c r="A332" s="1611"/>
      <c r="B332" s="1611" t="s">
        <v>1223</v>
      </c>
      <c r="C332" s="1611" t="s">
        <v>1223</v>
      </c>
      <c r="D332" s="1611" t="s">
        <v>1223</v>
      </c>
      <c r="E332" s="1619" t="s">
        <v>2248</v>
      </c>
      <c r="F332" s="1604">
        <v>38</v>
      </c>
      <c r="G332" s="1611" t="s">
        <v>2249</v>
      </c>
      <c r="H332" s="1618" t="s">
        <v>994</v>
      </c>
      <c r="I332" s="1618" t="s">
        <v>2310</v>
      </c>
      <c r="J332" s="1611" t="s">
        <v>2250</v>
      </c>
      <c r="K332" s="2894">
        <v>42842</v>
      </c>
      <c r="L332" s="1611" t="s">
        <v>990</v>
      </c>
      <c r="M332" s="1617" t="s">
        <v>2518</v>
      </c>
      <c r="N332" s="1611" t="s">
        <v>917</v>
      </c>
      <c r="O332" s="1604">
        <v>2017</v>
      </c>
      <c r="P332" s="1611" t="s">
        <v>898</v>
      </c>
      <c r="Q332" s="1618">
        <v>2</v>
      </c>
      <c r="R332" s="1618"/>
      <c r="S332" s="1618">
        <v>2</v>
      </c>
      <c r="T332" s="1611" t="s">
        <v>2233</v>
      </c>
      <c r="U332" s="1611" t="s">
        <v>1960</v>
      </c>
      <c r="V332" s="1611"/>
      <c r="W332" s="1611" t="s">
        <v>850</v>
      </c>
      <c r="X332" s="1611"/>
      <c r="Y332" s="1611"/>
      <c r="Z332" s="1611"/>
    </row>
    <row r="333" spans="1:26" customFormat="1" hidden="1">
      <c r="A333" s="1611"/>
      <c r="B333" s="1611" t="s">
        <v>604</v>
      </c>
      <c r="C333" s="1611" t="s">
        <v>604</v>
      </c>
      <c r="D333" s="1611" t="s">
        <v>604</v>
      </c>
      <c r="E333" s="1619"/>
      <c r="F333" s="1604">
        <v>37</v>
      </c>
      <c r="G333" s="1611" t="s">
        <v>2519</v>
      </c>
      <c r="H333" s="1618" t="s">
        <v>987</v>
      </c>
      <c r="I333" s="1618" t="s">
        <v>2276</v>
      </c>
      <c r="J333" s="1611" t="s">
        <v>1047</v>
      </c>
      <c r="K333" s="2894">
        <v>42849</v>
      </c>
      <c r="L333" s="1611" t="s">
        <v>990</v>
      </c>
      <c r="M333" s="1617" t="s">
        <v>2243</v>
      </c>
      <c r="N333" s="1611" t="s">
        <v>912</v>
      </c>
      <c r="O333" s="1604">
        <v>2017</v>
      </c>
      <c r="P333" s="1611" t="s">
        <v>898</v>
      </c>
      <c r="Q333" s="1618">
        <v>3</v>
      </c>
      <c r="R333" s="1618"/>
      <c r="S333" s="1618">
        <v>3</v>
      </c>
      <c r="T333" s="1611" t="s">
        <v>2247</v>
      </c>
      <c r="U333" s="1611" t="s">
        <v>864</v>
      </c>
      <c r="V333" s="1611"/>
      <c r="W333" s="1611" t="s">
        <v>851</v>
      </c>
      <c r="X333" s="1611" t="s">
        <v>2255</v>
      </c>
      <c r="Y333" s="1611"/>
      <c r="Z333" s="1611"/>
    </row>
    <row r="334" spans="1:26" customFormat="1" ht="27.6" hidden="1">
      <c r="A334" s="1611"/>
      <c r="B334" s="1605" t="s">
        <v>93</v>
      </c>
      <c r="C334" s="1601" t="s">
        <v>431</v>
      </c>
      <c r="D334" s="1611" t="s">
        <v>431</v>
      </c>
      <c r="E334" s="1605" t="s">
        <v>2252</v>
      </c>
      <c r="F334" s="1604">
        <v>24</v>
      </c>
      <c r="G334" s="1601" t="s">
        <v>2188</v>
      </c>
      <c r="H334" s="1604" t="s">
        <v>987</v>
      </c>
      <c r="I334" s="1604" t="s">
        <v>2310</v>
      </c>
      <c r="J334" s="1601" t="s">
        <v>2253</v>
      </c>
      <c r="K334" s="1626">
        <v>42850</v>
      </c>
      <c r="L334" s="1601" t="s">
        <v>990</v>
      </c>
      <c r="M334" s="1617" t="s">
        <v>2244</v>
      </c>
      <c r="N334" s="1611" t="s">
        <v>917</v>
      </c>
      <c r="O334" s="1604">
        <v>2017</v>
      </c>
      <c r="P334" s="1611" t="s">
        <v>898</v>
      </c>
      <c r="Q334" s="1604">
        <v>4</v>
      </c>
      <c r="R334" s="1604"/>
      <c r="S334" s="1604">
        <v>4</v>
      </c>
      <c r="T334" s="1601" t="s">
        <v>1160</v>
      </c>
      <c r="U334" s="1601" t="s">
        <v>914</v>
      </c>
      <c r="V334" s="1601"/>
      <c r="W334" s="1601" t="s">
        <v>850</v>
      </c>
      <c r="X334" s="1611"/>
      <c r="Y334" s="1611"/>
      <c r="Z334" s="1611"/>
    </row>
    <row r="335" spans="1:26" customFormat="1" ht="27.6" hidden="1">
      <c r="A335" s="1611"/>
      <c r="B335" s="1611" t="s">
        <v>938</v>
      </c>
      <c r="C335" s="1611" t="s">
        <v>938</v>
      </c>
      <c r="D335" s="1611" t="s">
        <v>938</v>
      </c>
      <c r="E335" s="1619" t="s">
        <v>2287</v>
      </c>
      <c r="F335" s="1604">
        <v>32</v>
      </c>
      <c r="G335" s="1611" t="s">
        <v>2140</v>
      </c>
      <c r="H335" s="1618" t="s">
        <v>987</v>
      </c>
      <c r="I335" s="1618" t="s">
        <v>2318</v>
      </c>
      <c r="J335" s="1611" t="s">
        <v>2254</v>
      </c>
      <c r="K335" s="2894">
        <v>42850</v>
      </c>
      <c r="L335" s="1611" t="s">
        <v>990</v>
      </c>
      <c r="M335" s="1617" t="s">
        <v>2288</v>
      </c>
      <c r="N335" s="1611" t="s">
        <v>912</v>
      </c>
      <c r="O335" s="1604">
        <v>2017</v>
      </c>
      <c r="P335" s="1611" t="s">
        <v>898</v>
      </c>
      <c r="Q335" s="1618">
        <v>15</v>
      </c>
      <c r="R335" s="1618"/>
      <c r="S335" s="1618">
        <v>15</v>
      </c>
      <c r="T335" s="1611" t="s">
        <v>2227</v>
      </c>
      <c r="U335" s="1611" t="s">
        <v>934</v>
      </c>
      <c r="V335" s="1611"/>
      <c r="W335" s="1611" t="s">
        <v>849</v>
      </c>
      <c r="X335" s="1611"/>
      <c r="Y335" s="1611"/>
      <c r="Z335" s="1611"/>
    </row>
    <row r="336" spans="1:26" customFormat="1" hidden="1">
      <c r="A336" s="1611"/>
      <c r="B336" s="1611" t="s">
        <v>604</v>
      </c>
      <c r="C336" s="1611" t="s">
        <v>604</v>
      </c>
      <c r="D336" s="1611" t="s">
        <v>604</v>
      </c>
      <c r="E336" s="1619" t="s">
        <v>2520</v>
      </c>
      <c r="F336" s="1604">
        <v>38</v>
      </c>
      <c r="G336" s="1611" t="s">
        <v>2521</v>
      </c>
      <c r="H336" s="1618" t="s">
        <v>987</v>
      </c>
      <c r="I336" s="1618" t="s">
        <v>2310</v>
      </c>
      <c r="J336" s="1611"/>
      <c r="K336" s="2894">
        <v>42850</v>
      </c>
      <c r="L336" s="1611" t="s">
        <v>990</v>
      </c>
      <c r="M336" s="1617" t="s">
        <v>2245</v>
      </c>
      <c r="N336" s="1611" t="s">
        <v>917</v>
      </c>
      <c r="O336" s="1604">
        <v>2017</v>
      </c>
      <c r="P336" s="1611" t="s">
        <v>898</v>
      </c>
      <c r="Q336" s="1618">
        <v>2</v>
      </c>
      <c r="R336" s="1618"/>
      <c r="S336" s="1618">
        <v>2</v>
      </c>
      <c r="T336" s="1611" t="s">
        <v>2233</v>
      </c>
      <c r="U336" s="1611" t="s">
        <v>1960</v>
      </c>
      <c r="V336" s="1611"/>
      <c r="W336" s="1611" t="s">
        <v>850</v>
      </c>
      <c r="X336" s="1611" t="s">
        <v>2019</v>
      </c>
      <c r="Y336" s="1611"/>
      <c r="Z336" s="1611"/>
    </row>
    <row r="337" spans="1:26" customFormat="1" ht="27.6" hidden="1">
      <c r="A337" s="1611"/>
      <c r="B337" s="1611" t="s">
        <v>938</v>
      </c>
      <c r="C337" s="1611" t="s">
        <v>938</v>
      </c>
      <c r="D337" s="1611" t="s">
        <v>938</v>
      </c>
      <c r="E337" s="1619" t="s">
        <v>2256</v>
      </c>
      <c r="F337" s="1604">
        <v>45</v>
      </c>
      <c r="G337" s="1611" t="s">
        <v>2289</v>
      </c>
      <c r="H337" s="1618" t="s">
        <v>994</v>
      </c>
      <c r="I337" s="1618" t="s">
        <v>2318</v>
      </c>
      <c r="J337" s="1611" t="s">
        <v>1449</v>
      </c>
      <c r="K337" s="2894">
        <v>42844</v>
      </c>
      <c r="L337" s="1611" t="s">
        <v>990</v>
      </c>
      <c r="M337" s="1617" t="s">
        <v>2257</v>
      </c>
      <c r="N337" s="1611" t="s">
        <v>912</v>
      </c>
      <c r="O337" s="1604">
        <v>2017</v>
      </c>
      <c r="P337" s="1611" t="s">
        <v>898</v>
      </c>
      <c r="Q337" s="1618">
        <v>3</v>
      </c>
      <c r="R337" s="1618"/>
      <c r="S337" s="1618">
        <v>3</v>
      </c>
      <c r="T337" s="1611" t="s">
        <v>2258</v>
      </c>
      <c r="U337" s="1611" t="s">
        <v>864</v>
      </c>
      <c r="V337" s="1611"/>
      <c r="W337" s="1611" t="s">
        <v>850</v>
      </c>
      <c r="X337" s="1611" t="s">
        <v>2097</v>
      </c>
      <c r="Y337" s="1611"/>
      <c r="Z337" s="1611"/>
    </row>
    <row r="338" spans="1:26" customFormat="1" ht="27.6" hidden="1">
      <c r="A338" s="1611"/>
      <c r="B338" s="1611" t="s">
        <v>694</v>
      </c>
      <c r="C338" s="1611" t="s">
        <v>694</v>
      </c>
      <c r="D338" s="1611" t="s">
        <v>879</v>
      </c>
      <c r="E338" s="1619" t="s">
        <v>2436</v>
      </c>
      <c r="F338" s="1604">
        <v>44</v>
      </c>
      <c r="G338" s="1611" t="s">
        <v>2503</v>
      </c>
      <c r="H338" s="1618" t="s">
        <v>987</v>
      </c>
      <c r="I338" s="1618" t="s">
        <v>2318</v>
      </c>
      <c r="J338" s="1611" t="s">
        <v>1037</v>
      </c>
      <c r="K338" s="2894">
        <v>42863</v>
      </c>
      <c r="L338" s="1611" t="s">
        <v>2259</v>
      </c>
      <c r="M338" s="1617" t="s">
        <v>2260</v>
      </c>
      <c r="N338" s="1611" t="s">
        <v>912</v>
      </c>
      <c r="O338" s="1604">
        <v>2017</v>
      </c>
      <c r="P338" s="1611" t="s">
        <v>899</v>
      </c>
      <c r="Q338" s="1618">
        <v>176</v>
      </c>
      <c r="R338" s="1618"/>
      <c r="S338" s="1618">
        <v>176</v>
      </c>
      <c r="T338" s="1611" t="s">
        <v>2246</v>
      </c>
      <c r="U338" s="1611" t="s">
        <v>864</v>
      </c>
      <c r="V338" s="1611"/>
      <c r="W338" s="1611" t="s">
        <v>883</v>
      </c>
      <c r="X338" s="1611"/>
      <c r="Y338" s="1611"/>
      <c r="Z338" s="1611"/>
    </row>
    <row r="339" spans="1:26" customFormat="1" ht="27.6" hidden="1">
      <c r="A339" s="1611"/>
      <c r="B339" s="1611" t="s">
        <v>938</v>
      </c>
      <c r="C339" s="1611" t="s">
        <v>938</v>
      </c>
      <c r="D339" s="1611" t="s">
        <v>938</v>
      </c>
      <c r="E339" s="1619" t="s">
        <v>2290</v>
      </c>
      <c r="F339" s="1604">
        <v>36</v>
      </c>
      <c r="G339" s="1611"/>
      <c r="H339" s="1618" t="s">
        <v>987</v>
      </c>
      <c r="I339" s="1618" t="s">
        <v>2318</v>
      </c>
      <c r="J339" s="1611" t="s">
        <v>1648</v>
      </c>
      <c r="K339" s="2894">
        <v>42870</v>
      </c>
      <c r="L339" s="1611" t="s">
        <v>2259</v>
      </c>
      <c r="M339" s="1617" t="s">
        <v>2261</v>
      </c>
      <c r="N339" s="1611" t="s">
        <v>917</v>
      </c>
      <c r="O339" s="1604">
        <v>2017</v>
      </c>
      <c r="P339" s="1611" t="s">
        <v>899</v>
      </c>
      <c r="Q339" s="1618">
        <v>31</v>
      </c>
      <c r="R339" s="1618"/>
      <c r="S339" s="1618">
        <v>31</v>
      </c>
      <c r="T339" s="1611" t="s">
        <v>2262</v>
      </c>
      <c r="U339" s="1611" t="s">
        <v>1960</v>
      </c>
      <c r="V339" s="1611"/>
      <c r="W339" s="1611" t="s">
        <v>850</v>
      </c>
      <c r="X339" s="1611"/>
      <c r="Y339" s="1611"/>
      <c r="Z339" s="1611"/>
    </row>
    <row r="340" spans="1:26" customFormat="1" hidden="1">
      <c r="A340" s="1611"/>
      <c r="B340" s="1611" t="s">
        <v>918</v>
      </c>
      <c r="C340" s="1611" t="s">
        <v>2540</v>
      </c>
      <c r="D340" s="1611" t="s">
        <v>918</v>
      </c>
      <c r="E340" s="1619"/>
      <c r="F340" s="1604"/>
      <c r="G340" s="1611"/>
      <c r="H340" s="1618" t="s">
        <v>987</v>
      </c>
      <c r="I340" s="1618" t="s">
        <v>2310</v>
      </c>
      <c r="J340" s="1611"/>
      <c r="K340" s="2894">
        <v>42870</v>
      </c>
      <c r="L340" s="1611" t="s">
        <v>2259</v>
      </c>
      <c r="M340" s="1617" t="s">
        <v>2270</v>
      </c>
      <c r="N340" s="1611" t="s">
        <v>915</v>
      </c>
      <c r="O340" s="1604">
        <v>2017</v>
      </c>
      <c r="P340" s="1611" t="s">
        <v>899</v>
      </c>
      <c r="Q340" s="1618">
        <v>11</v>
      </c>
      <c r="R340" s="1618"/>
      <c r="S340" s="1618">
        <v>11</v>
      </c>
      <c r="T340" s="1611" t="s">
        <v>2234</v>
      </c>
      <c r="U340" s="1611" t="s">
        <v>1960</v>
      </c>
      <c r="V340" s="1611"/>
      <c r="W340" s="1611" t="s">
        <v>2241</v>
      </c>
      <c r="X340" s="1611"/>
      <c r="Y340" s="1611"/>
      <c r="Z340" s="1611"/>
    </row>
    <row r="341" spans="1:26" customFormat="1" ht="27.6" hidden="1">
      <c r="A341" s="1611"/>
      <c r="B341" s="1611" t="s">
        <v>918</v>
      </c>
      <c r="C341" s="1611" t="s">
        <v>2541</v>
      </c>
      <c r="D341" s="1611" t="s">
        <v>879</v>
      </c>
      <c r="E341" s="1619"/>
      <c r="F341" s="1604"/>
      <c r="G341" s="1611"/>
      <c r="H341" s="1618" t="s">
        <v>987</v>
      </c>
      <c r="I341" s="1618" t="s">
        <v>2310</v>
      </c>
      <c r="J341" s="1611"/>
      <c r="K341" s="2894">
        <v>42871</v>
      </c>
      <c r="L341" s="1611" t="s">
        <v>2259</v>
      </c>
      <c r="M341" s="1617" t="s">
        <v>2322</v>
      </c>
      <c r="N341" s="1611" t="s">
        <v>929</v>
      </c>
      <c r="O341" s="1604">
        <v>2017</v>
      </c>
      <c r="P341" s="1611" t="s">
        <v>899</v>
      </c>
      <c r="Q341" s="1618">
        <v>2</v>
      </c>
      <c r="R341" s="1618"/>
      <c r="S341" s="1618">
        <v>2</v>
      </c>
      <c r="T341" s="1611" t="s">
        <v>2263</v>
      </c>
      <c r="U341" s="1611" t="s">
        <v>1960</v>
      </c>
      <c r="V341" s="1611"/>
      <c r="W341" s="1611" t="s">
        <v>1635</v>
      </c>
      <c r="X341" s="1611"/>
      <c r="Y341" s="1611"/>
      <c r="Z341" s="1611"/>
    </row>
    <row r="342" spans="1:26" customFormat="1" hidden="1">
      <c r="A342" s="1611"/>
      <c r="B342" s="1611" t="s">
        <v>938</v>
      </c>
      <c r="C342" s="1611" t="s">
        <v>938</v>
      </c>
      <c r="D342" s="1611" t="s">
        <v>938</v>
      </c>
      <c r="E342" s="1619" t="s">
        <v>2291</v>
      </c>
      <c r="F342" s="1604">
        <v>18</v>
      </c>
      <c r="G342" s="1611"/>
      <c r="H342" s="1618" t="s">
        <v>987</v>
      </c>
      <c r="I342" s="1618" t="s">
        <v>2310</v>
      </c>
      <c r="J342" s="1611" t="s">
        <v>1601</v>
      </c>
      <c r="K342" s="2894">
        <v>42877</v>
      </c>
      <c r="L342" s="1611" t="s">
        <v>2259</v>
      </c>
      <c r="M342" s="1617" t="s">
        <v>2264</v>
      </c>
      <c r="N342" s="1611" t="s">
        <v>912</v>
      </c>
      <c r="O342" s="1604">
        <v>2017</v>
      </c>
      <c r="P342" s="1611" t="s">
        <v>899</v>
      </c>
      <c r="Q342" s="1618">
        <v>3</v>
      </c>
      <c r="R342" s="1618"/>
      <c r="S342" s="1618">
        <v>3</v>
      </c>
      <c r="T342" s="1611" t="s">
        <v>2265</v>
      </c>
      <c r="U342" s="1611" t="s">
        <v>864</v>
      </c>
      <c r="V342" s="1611"/>
      <c r="W342" s="1611" t="s">
        <v>850</v>
      </c>
      <c r="X342" s="1611" t="s">
        <v>2097</v>
      </c>
      <c r="Y342" s="1611"/>
      <c r="Z342" s="1611"/>
    </row>
    <row r="343" spans="1:26" customFormat="1" ht="27.6" hidden="1">
      <c r="A343" s="1611"/>
      <c r="B343" s="1605" t="s">
        <v>93</v>
      </c>
      <c r="C343" s="1601" t="s">
        <v>2161</v>
      </c>
      <c r="D343" s="1611" t="s">
        <v>431</v>
      </c>
      <c r="E343" s="1605" t="s">
        <v>2321</v>
      </c>
      <c r="F343" s="1604">
        <v>22</v>
      </c>
      <c r="G343" s="1601" t="s">
        <v>2188</v>
      </c>
      <c r="H343" s="1604" t="s">
        <v>987</v>
      </c>
      <c r="I343" s="1604" t="s">
        <v>2276</v>
      </c>
      <c r="J343" s="1601" t="s">
        <v>1396</v>
      </c>
      <c r="K343" s="1626">
        <v>42880</v>
      </c>
      <c r="L343" s="1601" t="s">
        <v>2259</v>
      </c>
      <c r="M343" s="1617" t="s">
        <v>2306</v>
      </c>
      <c r="N343" s="1611" t="s">
        <v>913</v>
      </c>
      <c r="O343" s="1604">
        <v>2017</v>
      </c>
      <c r="P343" s="1611" t="s">
        <v>899</v>
      </c>
      <c r="Q343" s="1604">
        <v>150</v>
      </c>
      <c r="R343" s="1604"/>
      <c r="S343" s="1604">
        <v>150</v>
      </c>
      <c r="T343" s="1601" t="s">
        <v>2266</v>
      </c>
      <c r="U343" s="1601" t="s">
        <v>914</v>
      </c>
      <c r="V343" s="1601"/>
      <c r="W343" s="1601" t="s">
        <v>883</v>
      </c>
      <c r="X343" s="1611"/>
      <c r="Y343" s="1611"/>
      <c r="Z343" s="1611"/>
    </row>
    <row r="344" spans="1:26" customFormat="1" hidden="1">
      <c r="A344" s="1611"/>
      <c r="B344" s="1611" t="s">
        <v>1053</v>
      </c>
      <c r="C344" s="1611" t="s">
        <v>1049</v>
      </c>
      <c r="D344" s="1611" t="s">
        <v>1053</v>
      </c>
      <c r="E344" s="1619" t="s">
        <v>2536</v>
      </c>
      <c r="F344" s="1604">
        <v>32</v>
      </c>
      <c r="G344" s="1611"/>
      <c r="H344" s="1618" t="s">
        <v>987</v>
      </c>
      <c r="I344" s="1618" t="s">
        <v>2310</v>
      </c>
      <c r="J344" s="1611" t="s">
        <v>2537</v>
      </c>
      <c r="K344" s="2894">
        <v>42884</v>
      </c>
      <c r="L344" s="1611" t="s">
        <v>2259</v>
      </c>
      <c r="M344" s="1617" t="s">
        <v>2267</v>
      </c>
      <c r="N344" s="1611" t="s">
        <v>912</v>
      </c>
      <c r="O344" s="1604">
        <v>2017</v>
      </c>
      <c r="P344" s="1611" t="s">
        <v>899</v>
      </c>
      <c r="Q344" s="1618">
        <v>20</v>
      </c>
      <c r="R344" s="1618"/>
      <c r="S344" s="1618">
        <v>20</v>
      </c>
      <c r="T344" s="1611" t="s">
        <v>2227</v>
      </c>
      <c r="U344" s="1611" t="s">
        <v>870</v>
      </c>
      <c r="V344" s="1611"/>
      <c r="W344" s="1611" t="s">
        <v>883</v>
      </c>
      <c r="X344" s="1611"/>
      <c r="Y344" s="1611"/>
      <c r="Z344" s="1611"/>
    </row>
    <row r="345" spans="1:26" customFormat="1" hidden="1">
      <c r="A345" s="1611"/>
      <c r="B345" s="1611" t="s">
        <v>1006</v>
      </c>
      <c r="C345" s="1611" t="s">
        <v>1006</v>
      </c>
      <c r="D345" s="1611" t="s">
        <v>879</v>
      </c>
      <c r="E345" s="1619" t="s">
        <v>2504</v>
      </c>
      <c r="F345" s="1604">
        <v>19</v>
      </c>
      <c r="G345" s="1611"/>
      <c r="H345" s="1618" t="s">
        <v>987</v>
      </c>
      <c r="I345" s="1618" t="s">
        <v>2318</v>
      </c>
      <c r="J345" s="1611" t="s">
        <v>1842</v>
      </c>
      <c r="K345" s="2894">
        <v>42879</v>
      </c>
      <c r="L345" s="1611" t="s">
        <v>2259</v>
      </c>
      <c r="M345" s="1617" t="s">
        <v>2271</v>
      </c>
      <c r="N345" s="1611" t="s">
        <v>912</v>
      </c>
      <c r="O345" s="1604">
        <v>2017</v>
      </c>
      <c r="P345" s="1611" t="s">
        <v>899</v>
      </c>
      <c r="Q345" s="1618">
        <v>14</v>
      </c>
      <c r="R345" s="1618"/>
      <c r="S345" s="1618">
        <v>14</v>
      </c>
      <c r="T345" s="1611" t="s">
        <v>2227</v>
      </c>
      <c r="U345" s="1611" t="s">
        <v>864</v>
      </c>
      <c r="V345" s="1611"/>
      <c r="W345" s="1611" t="s">
        <v>849</v>
      </c>
      <c r="X345" s="1611"/>
      <c r="Y345" s="1611"/>
      <c r="Z345" s="1611"/>
    </row>
    <row r="346" spans="1:26" customFormat="1" hidden="1">
      <c r="A346" s="1611"/>
      <c r="B346" s="1611" t="s">
        <v>938</v>
      </c>
      <c r="C346" s="1611" t="s">
        <v>938</v>
      </c>
      <c r="D346" s="1611" t="s">
        <v>938</v>
      </c>
      <c r="E346" s="1619" t="s">
        <v>2273</v>
      </c>
      <c r="F346" s="1604">
        <v>36</v>
      </c>
      <c r="G346" s="1611"/>
      <c r="H346" s="1618" t="s">
        <v>987</v>
      </c>
      <c r="I346" s="1618" t="s">
        <v>2272</v>
      </c>
      <c r="J346" s="1611" t="s">
        <v>1788</v>
      </c>
      <c r="K346" s="2894">
        <v>42888</v>
      </c>
      <c r="L346" s="1611" t="s">
        <v>990</v>
      </c>
      <c r="M346" s="1617" t="s">
        <v>2274</v>
      </c>
      <c r="N346" s="1611" t="s">
        <v>912</v>
      </c>
      <c r="O346" s="1604">
        <v>2017</v>
      </c>
      <c r="P346" s="1611" t="s">
        <v>900</v>
      </c>
      <c r="Q346" s="1618">
        <v>15</v>
      </c>
      <c r="R346" s="1618"/>
      <c r="S346" s="1618">
        <v>15</v>
      </c>
      <c r="T346" s="1611" t="s">
        <v>2227</v>
      </c>
      <c r="U346" s="1611" t="s">
        <v>864</v>
      </c>
      <c r="V346" s="1611"/>
      <c r="W346" s="1611" t="s">
        <v>2275</v>
      </c>
      <c r="X346" s="1611"/>
      <c r="Y346" s="1611"/>
      <c r="Z346" s="1611"/>
    </row>
    <row r="347" spans="1:26" customFormat="1" hidden="1">
      <c r="A347" s="1611"/>
      <c r="B347" s="1611" t="s">
        <v>938</v>
      </c>
      <c r="C347" s="1611" t="s">
        <v>938</v>
      </c>
      <c r="D347" s="1611" t="s">
        <v>938</v>
      </c>
      <c r="E347" s="1619" t="s">
        <v>2277</v>
      </c>
      <c r="F347" s="1604">
        <v>36</v>
      </c>
      <c r="G347" s="1611"/>
      <c r="H347" s="1618" t="s">
        <v>987</v>
      </c>
      <c r="I347" s="1618" t="s">
        <v>2276</v>
      </c>
      <c r="J347" s="1611" t="s">
        <v>2278</v>
      </c>
      <c r="K347" s="2894">
        <v>42907</v>
      </c>
      <c r="L347" s="1611" t="s">
        <v>990</v>
      </c>
      <c r="M347" s="1617" t="s">
        <v>2279</v>
      </c>
      <c r="N347" s="1611" t="s">
        <v>912</v>
      </c>
      <c r="O347" s="1604">
        <v>2017</v>
      </c>
      <c r="P347" s="1611" t="s">
        <v>900</v>
      </c>
      <c r="Q347" s="1618">
        <v>18</v>
      </c>
      <c r="R347" s="1618"/>
      <c r="S347" s="1618">
        <v>18</v>
      </c>
      <c r="T347" s="1611" t="s">
        <v>2227</v>
      </c>
      <c r="U347" s="1611" t="s">
        <v>864</v>
      </c>
      <c r="V347" s="1611"/>
      <c r="W347" s="1611" t="s">
        <v>2275</v>
      </c>
      <c r="X347" s="1611"/>
      <c r="Y347" s="1611"/>
      <c r="Z347" s="1611"/>
    </row>
    <row r="348" spans="1:26" customFormat="1" hidden="1">
      <c r="A348" s="1611"/>
      <c r="B348" s="1611" t="s">
        <v>938</v>
      </c>
      <c r="C348" s="1611" t="s">
        <v>938</v>
      </c>
      <c r="D348" s="1611" t="s">
        <v>938</v>
      </c>
      <c r="E348" s="1619" t="s">
        <v>2280</v>
      </c>
      <c r="F348" s="1604">
        <v>38</v>
      </c>
      <c r="G348" s="1611"/>
      <c r="H348" s="1618" t="s">
        <v>994</v>
      </c>
      <c r="I348" s="1618" t="s">
        <v>2272</v>
      </c>
      <c r="J348" s="1611" t="s">
        <v>2281</v>
      </c>
      <c r="K348" s="2894">
        <v>42909</v>
      </c>
      <c r="L348" s="1611" t="s">
        <v>990</v>
      </c>
      <c r="M348" s="1617" t="s">
        <v>2282</v>
      </c>
      <c r="N348" s="1611" t="s">
        <v>912</v>
      </c>
      <c r="O348" s="1604">
        <v>2017</v>
      </c>
      <c r="P348" s="1611" t="s">
        <v>900</v>
      </c>
      <c r="Q348" s="1618">
        <v>4</v>
      </c>
      <c r="R348" s="1618"/>
      <c r="S348" s="1618">
        <v>4</v>
      </c>
      <c r="T348" s="1611" t="s">
        <v>2227</v>
      </c>
      <c r="U348" s="1611" t="s">
        <v>1960</v>
      </c>
      <c r="V348" s="1611"/>
      <c r="W348" s="1611" t="s">
        <v>850</v>
      </c>
      <c r="X348" s="1611" t="s">
        <v>2097</v>
      </c>
      <c r="Y348" s="1611"/>
      <c r="Z348" s="1611"/>
    </row>
    <row r="349" spans="1:26" customFormat="1" hidden="1">
      <c r="A349" s="1611"/>
      <c r="B349" s="1611" t="s">
        <v>938</v>
      </c>
      <c r="C349" s="1611" t="s">
        <v>938</v>
      </c>
      <c r="D349" s="1611" t="s">
        <v>938</v>
      </c>
      <c r="E349" s="1619" t="s">
        <v>2283</v>
      </c>
      <c r="F349" s="1604">
        <v>44</v>
      </c>
      <c r="G349" s="1611"/>
      <c r="H349" s="1618" t="s">
        <v>994</v>
      </c>
      <c r="I349" s="1618" t="s">
        <v>2272</v>
      </c>
      <c r="J349" s="1611" t="s">
        <v>2284</v>
      </c>
      <c r="K349" s="2894">
        <v>42910</v>
      </c>
      <c r="L349" s="1611" t="s">
        <v>990</v>
      </c>
      <c r="M349" s="1617" t="s">
        <v>2285</v>
      </c>
      <c r="N349" s="1611" t="s">
        <v>912</v>
      </c>
      <c r="O349" s="1604">
        <v>2017</v>
      </c>
      <c r="P349" s="1611" t="s">
        <v>900</v>
      </c>
      <c r="Q349" s="1618">
        <v>15</v>
      </c>
      <c r="R349" s="1618"/>
      <c r="S349" s="1618">
        <v>15</v>
      </c>
      <c r="T349" s="1611" t="s">
        <v>2227</v>
      </c>
      <c r="U349" s="1611" t="s">
        <v>864</v>
      </c>
      <c r="V349" s="1611"/>
      <c r="W349" s="1611" t="s">
        <v>850</v>
      </c>
      <c r="X349" s="1611" t="s">
        <v>2097</v>
      </c>
      <c r="Y349" s="1611"/>
      <c r="Z349" s="1611"/>
    </row>
    <row r="350" spans="1:26" customFormat="1" ht="27.6" hidden="1">
      <c r="A350" s="1611"/>
      <c r="B350" s="1611" t="s">
        <v>694</v>
      </c>
      <c r="C350" s="1611" t="s">
        <v>694</v>
      </c>
      <c r="D350" s="1611" t="s">
        <v>879</v>
      </c>
      <c r="E350" s="1619" t="s">
        <v>2293</v>
      </c>
      <c r="F350" s="1604">
        <v>20</v>
      </c>
      <c r="G350" s="1611"/>
      <c r="H350" s="1618" t="s">
        <v>987</v>
      </c>
      <c r="I350" s="1618" t="s">
        <v>2276</v>
      </c>
      <c r="J350" s="1611" t="s">
        <v>2301</v>
      </c>
      <c r="K350" s="2894">
        <v>42890</v>
      </c>
      <c r="L350" s="1611" t="s">
        <v>990</v>
      </c>
      <c r="M350" s="1617" t="s">
        <v>2292</v>
      </c>
      <c r="N350" s="1611" t="s">
        <v>912</v>
      </c>
      <c r="O350" s="1604">
        <v>2017</v>
      </c>
      <c r="P350" s="1611" t="s">
        <v>900</v>
      </c>
      <c r="Q350" s="1618">
        <v>3</v>
      </c>
      <c r="R350" s="1618"/>
      <c r="S350" s="1618">
        <v>3</v>
      </c>
      <c r="T350" s="1611" t="s">
        <v>2294</v>
      </c>
      <c r="U350" s="1611" t="s">
        <v>821</v>
      </c>
      <c r="V350" s="1611"/>
      <c r="W350" s="1611" t="s">
        <v>2275</v>
      </c>
      <c r="X350" s="1611"/>
      <c r="Y350" s="1611"/>
      <c r="Z350" s="1611"/>
    </row>
    <row r="351" spans="1:26" customFormat="1" hidden="1">
      <c r="A351" s="1611"/>
      <c r="B351" s="1611" t="s">
        <v>93</v>
      </c>
      <c r="C351" s="1611" t="s">
        <v>2345</v>
      </c>
      <c r="D351" s="1611" t="s">
        <v>431</v>
      </c>
      <c r="E351" s="1619" t="s">
        <v>2297</v>
      </c>
      <c r="F351" s="1604">
        <v>22</v>
      </c>
      <c r="G351" s="1611" t="s">
        <v>2522</v>
      </c>
      <c r="H351" s="1618" t="s">
        <v>987</v>
      </c>
      <c r="I351" s="1618" t="s">
        <v>2276</v>
      </c>
      <c r="J351" s="1611" t="s">
        <v>2298</v>
      </c>
      <c r="K351" s="2894">
        <v>42899</v>
      </c>
      <c r="L351" s="1611" t="s">
        <v>990</v>
      </c>
      <c r="M351" s="1617" t="s">
        <v>2295</v>
      </c>
      <c r="N351" s="1611" t="s">
        <v>912</v>
      </c>
      <c r="O351" s="1604">
        <v>2017</v>
      </c>
      <c r="P351" s="1611" t="s">
        <v>900</v>
      </c>
      <c r="Q351" s="1618">
        <v>7</v>
      </c>
      <c r="R351" s="1618"/>
      <c r="S351" s="1618">
        <v>7</v>
      </c>
      <c r="T351" s="1611" t="s">
        <v>2296</v>
      </c>
      <c r="U351" s="1611" t="s">
        <v>864</v>
      </c>
      <c r="V351" s="1611"/>
      <c r="W351" s="1611" t="s">
        <v>849</v>
      </c>
      <c r="X351" s="1611"/>
      <c r="Y351" s="1611"/>
      <c r="Z351" s="1611"/>
    </row>
    <row r="352" spans="1:26" customFormat="1" hidden="1">
      <c r="A352" s="1611"/>
      <c r="B352" s="1611" t="s">
        <v>91</v>
      </c>
      <c r="C352" s="1611" t="s">
        <v>91</v>
      </c>
      <c r="D352" s="1611" t="s">
        <v>879</v>
      </c>
      <c r="E352" s="1619" t="s">
        <v>2299</v>
      </c>
      <c r="F352" s="1604">
        <v>28</v>
      </c>
      <c r="G352" s="1611"/>
      <c r="H352" s="1618" t="s">
        <v>987</v>
      </c>
      <c r="I352" s="1618" t="s">
        <v>2310</v>
      </c>
      <c r="J352" s="1611" t="s">
        <v>2523</v>
      </c>
      <c r="K352" s="2894">
        <v>42906</v>
      </c>
      <c r="L352" s="1611" t="s">
        <v>990</v>
      </c>
      <c r="M352" s="1617" t="s">
        <v>2300</v>
      </c>
      <c r="N352" s="1611" t="s">
        <v>915</v>
      </c>
      <c r="O352" s="1604">
        <v>2017</v>
      </c>
      <c r="P352" s="1611" t="s">
        <v>900</v>
      </c>
      <c r="Q352" s="1618">
        <v>3</v>
      </c>
      <c r="R352" s="1618"/>
      <c r="S352" s="1618">
        <v>3</v>
      </c>
      <c r="T352" s="1611" t="s">
        <v>2233</v>
      </c>
      <c r="U352" s="1611" t="s">
        <v>1905</v>
      </c>
      <c r="V352" s="1611"/>
      <c r="W352" s="1611" t="s">
        <v>2241</v>
      </c>
      <c r="X352" s="1611" t="s">
        <v>1228</v>
      </c>
      <c r="Y352" s="1611"/>
      <c r="Z352" s="1611"/>
    </row>
    <row r="353" spans="1:26" customFormat="1" hidden="1">
      <c r="A353" s="1611"/>
      <c r="B353" s="1611" t="s">
        <v>693</v>
      </c>
      <c r="C353" s="1611" t="s">
        <v>693</v>
      </c>
      <c r="D353" s="1611" t="s">
        <v>879</v>
      </c>
      <c r="E353" s="1619" t="s">
        <v>2302</v>
      </c>
      <c r="F353" s="1604">
        <v>48</v>
      </c>
      <c r="G353" s="1611" t="s">
        <v>2303</v>
      </c>
      <c r="H353" s="1618" t="s">
        <v>987</v>
      </c>
      <c r="I353" s="1618" t="s">
        <v>2310</v>
      </c>
      <c r="J353" s="1611" t="s">
        <v>2524</v>
      </c>
      <c r="K353" s="2894">
        <v>42910</v>
      </c>
      <c r="L353" s="1611" t="s">
        <v>990</v>
      </c>
      <c r="M353" s="1617" t="s">
        <v>2304</v>
      </c>
      <c r="N353" s="1611" t="s">
        <v>912</v>
      </c>
      <c r="O353" s="1604">
        <v>2017</v>
      </c>
      <c r="P353" s="1611" t="s">
        <v>900</v>
      </c>
      <c r="Q353" s="1618">
        <v>159</v>
      </c>
      <c r="R353" s="1618"/>
      <c r="S353" s="1618">
        <v>159</v>
      </c>
      <c r="T353" s="1611" t="s">
        <v>2227</v>
      </c>
      <c r="U353" s="1611" t="s">
        <v>864</v>
      </c>
      <c r="V353" s="1611"/>
      <c r="W353" s="1611" t="s">
        <v>2305</v>
      </c>
      <c r="X353" s="1611"/>
      <c r="Y353" s="1611"/>
      <c r="Z353" s="1611"/>
    </row>
    <row r="354" spans="1:26" customFormat="1" hidden="1">
      <c r="A354" s="1611"/>
      <c r="B354" s="1611" t="s">
        <v>693</v>
      </c>
      <c r="C354" s="1611" t="s">
        <v>693</v>
      </c>
      <c r="D354" s="1611" t="s">
        <v>879</v>
      </c>
      <c r="E354" s="1619" t="s">
        <v>2308</v>
      </c>
      <c r="F354" s="1604">
        <v>62</v>
      </c>
      <c r="G354" s="1611" t="s">
        <v>2309</v>
      </c>
      <c r="H354" s="1618" t="s">
        <v>987</v>
      </c>
      <c r="I354" s="1618" t="s">
        <v>2310</v>
      </c>
      <c r="J354" s="1611" t="s">
        <v>2311</v>
      </c>
      <c r="K354" s="2894">
        <v>42918</v>
      </c>
      <c r="L354" s="1611" t="s">
        <v>2259</v>
      </c>
      <c r="M354" s="1617" t="s">
        <v>2312</v>
      </c>
      <c r="N354" s="1611" t="s">
        <v>913</v>
      </c>
      <c r="O354" s="1604">
        <v>2017</v>
      </c>
      <c r="P354" s="1611" t="s">
        <v>901</v>
      </c>
      <c r="Q354" s="1618">
        <v>41</v>
      </c>
      <c r="R354" s="1618"/>
      <c r="S354" s="1618">
        <v>41</v>
      </c>
      <c r="T354" s="1611" t="s">
        <v>2227</v>
      </c>
      <c r="U354" s="1611" t="s">
        <v>864</v>
      </c>
      <c r="V354" s="1611"/>
      <c r="W354" s="1611" t="s">
        <v>850</v>
      </c>
      <c r="X354" s="1611"/>
      <c r="Y354" s="1611"/>
      <c r="Z354" s="1611"/>
    </row>
    <row r="355" spans="1:26" customFormat="1" ht="27.6" hidden="1">
      <c r="A355" s="1611"/>
      <c r="B355" s="1611" t="s">
        <v>1309</v>
      </c>
      <c r="C355" s="1611" t="s">
        <v>1309</v>
      </c>
      <c r="D355" s="1611" t="s">
        <v>998</v>
      </c>
      <c r="E355" s="1619" t="s">
        <v>2313</v>
      </c>
      <c r="F355" s="1604">
        <v>37</v>
      </c>
      <c r="G355" s="1611" t="s">
        <v>1113</v>
      </c>
      <c r="H355" s="1618" t="s">
        <v>987</v>
      </c>
      <c r="I355" s="1618" t="s">
        <v>2310</v>
      </c>
      <c r="J355" s="1611" t="s">
        <v>2314</v>
      </c>
      <c r="K355" s="2894">
        <v>42923</v>
      </c>
      <c r="L355" s="1611" t="s">
        <v>2259</v>
      </c>
      <c r="M355" s="1617" t="s">
        <v>2315</v>
      </c>
      <c r="N355" s="1611" t="s">
        <v>925</v>
      </c>
      <c r="O355" s="1604">
        <v>2017</v>
      </c>
      <c r="P355" s="1611" t="s">
        <v>901</v>
      </c>
      <c r="Q355" s="1618">
        <v>115</v>
      </c>
      <c r="R355" s="1618"/>
      <c r="S355" s="1618">
        <v>115</v>
      </c>
      <c r="T355" s="1611" t="s">
        <v>2316</v>
      </c>
      <c r="U355" s="1611" t="s">
        <v>558</v>
      </c>
      <c r="V355" s="1611"/>
      <c r="W355" s="1611" t="s">
        <v>850</v>
      </c>
      <c r="X355" s="1611"/>
      <c r="Y355" s="1611"/>
      <c r="Z355" s="1611"/>
    </row>
    <row r="356" spans="1:26" customFormat="1" hidden="1">
      <c r="A356" s="1611"/>
      <c r="B356" s="1611" t="s">
        <v>1309</v>
      </c>
      <c r="C356" s="1611" t="s">
        <v>1309</v>
      </c>
      <c r="D356" s="1611" t="s">
        <v>879</v>
      </c>
      <c r="E356" s="1619" t="s">
        <v>2317</v>
      </c>
      <c r="F356" s="1604">
        <v>25</v>
      </c>
      <c r="G356" s="1611" t="s">
        <v>1090</v>
      </c>
      <c r="H356" s="1618" t="s">
        <v>987</v>
      </c>
      <c r="I356" s="1618" t="s">
        <v>2318</v>
      </c>
      <c r="J356" s="1611" t="s">
        <v>2168</v>
      </c>
      <c r="K356" s="2894">
        <v>42942</v>
      </c>
      <c r="L356" s="1611" t="s">
        <v>2259</v>
      </c>
      <c r="M356" s="1617" t="s">
        <v>2319</v>
      </c>
      <c r="N356" s="1611" t="s">
        <v>2320</v>
      </c>
      <c r="O356" s="1604">
        <v>2017</v>
      </c>
      <c r="P356" s="1611" t="s">
        <v>901</v>
      </c>
      <c r="Q356" s="1618">
        <v>2</v>
      </c>
      <c r="R356" s="1618"/>
      <c r="S356" s="1618">
        <v>2</v>
      </c>
      <c r="T356" s="1611" t="s">
        <v>2227</v>
      </c>
      <c r="U356" s="1611" t="s">
        <v>864</v>
      </c>
      <c r="V356" s="1611"/>
      <c r="W356" s="1611" t="s">
        <v>849</v>
      </c>
      <c r="X356" s="1611"/>
      <c r="Y356" s="1611"/>
      <c r="Z356" s="1611"/>
    </row>
    <row r="357" spans="1:26" customFormat="1" hidden="1">
      <c r="A357" s="1611"/>
      <c r="B357" s="1611" t="s">
        <v>1223</v>
      </c>
      <c r="C357" s="1611" t="s">
        <v>1223</v>
      </c>
      <c r="D357" s="1611" t="s">
        <v>1223</v>
      </c>
      <c r="E357" s="1619" t="s">
        <v>2324</v>
      </c>
      <c r="F357" s="1604">
        <v>25</v>
      </c>
      <c r="G357" s="1611" t="s">
        <v>2196</v>
      </c>
      <c r="H357" s="1618" t="s">
        <v>987</v>
      </c>
      <c r="I357" s="1618" t="s">
        <v>2310</v>
      </c>
      <c r="J357" s="1611" t="s">
        <v>2325</v>
      </c>
      <c r="K357" s="2894">
        <v>42960</v>
      </c>
      <c r="L357" s="1611" t="s">
        <v>2259</v>
      </c>
      <c r="M357" s="1617" t="s">
        <v>2326</v>
      </c>
      <c r="N357" s="1611" t="s">
        <v>915</v>
      </c>
      <c r="O357" s="1604">
        <v>2017</v>
      </c>
      <c r="P357" s="1611" t="s">
        <v>902</v>
      </c>
      <c r="Q357" s="1618">
        <v>10</v>
      </c>
      <c r="R357" s="1618"/>
      <c r="S357" s="1618">
        <v>10</v>
      </c>
      <c r="T357" s="1611" t="s">
        <v>2233</v>
      </c>
      <c r="U357" s="1611" t="s">
        <v>1905</v>
      </c>
      <c r="V357" s="1611"/>
      <c r="W357" s="1611" t="s">
        <v>1555</v>
      </c>
      <c r="X357" s="1611" t="s">
        <v>1228</v>
      </c>
      <c r="Y357" s="1611"/>
      <c r="Z357" s="1611"/>
    </row>
    <row r="358" spans="1:26" customFormat="1" hidden="1">
      <c r="A358" s="1611"/>
      <c r="B358" s="1611" t="s">
        <v>694</v>
      </c>
      <c r="C358" s="1611" t="s">
        <v>694</v>
      </c>
      <c r="D358" s="1611" t="s">
        <v>879</v>
      </c>
      <c r="E358" s="1619" t="s">
        <v>2327</v>
      </c>
      <c r="F358" s="1604">
        <v>44</v>
      </c>
      <c r="G358" s="1611" t="s">
        <v>2309</v>
      </c>
      <c r="H358" s="1618" t="s">
        <v>987</v>
      </c>
      <c r="I358" s="1618" t="s">
        <v>2318</v>
      </c>
      <c r="J358" s="1611" t="s">
        <v>2328</v>
      </c>
      <c r="K358" s="2894">
        <v>42961</v>
      </c>
      <c r="L358" s="1611" t="s">
        <v>2259</v>
      </c>
      <c r="M358" s="1617" t="s">
        <v>2329</v>
      </c>
      <c r="N358" s="1611" t="s">
        <v>2320</v>
      </c>
      <c r="O358" s="1604">
        <v>2017</v>
      </c>
      <c r="P358" s="1611" t="s">
        <v>902</v>
      </c>
      <c r="Q358" s="1618">
        <v>123</v>
      </c>
      <c r="R358" s="1618"/>
      <c r="S358" s="1618">
        <v>123</v>
      </c>
      <c r="T358" s="1611" t="s">
        <v>2330</v>
      </c>
      <c r="U358" s="1611" t="s">
        <v>864</v>
      </c>
      <c r="V358" s="1611"/>
      <c r="W358" s="1611" t="s">
        <v>2275</v>
      </c>
      <c r="X358" s="1611"/>
      <c r="Y358" s="1611"/>
      <c r="Z358" s="1611"/>
    </row>
    <row r="359" spans="1:26" customFormat="1" hidden="1">
      <c r="A359" s="1611"/>
      <c r="B359" s="1611" t="s">
        <v>591</v>
      </c>
      <c r="C359" s="1611" t="s">
        <v>3654</v>
      </c>
      <c r="D359" s="1611" t="s">
        <v>879</v>
      </c>
      <c r="E359" s="1619" t="s">
        <v>2331</v>
      </c>
      <c r="F359" s="1604">
        <v>46</v>
      </c>
      <c r="G359" s="1611" t="s">
        <v>2332</v>
      </c>
      <c r="H359" s="1618" t="s">
        <v>987</v>
      </c>
      <c r="I359" s="1618" t="s">
        <v>2310</v>
      </c>
      <c r="J359" s="1611" t="s">
        <v>2505</v>
      </c>
      <c r="K359" s="2894">
        <v>42961</v>
      </c>
      <c r="L359" s="1611" t="s">
        <v>2259</v>
      </c>
      <c r="M359" s="1617" t="s">
        <v>2333</v>
      </c>
      <c r="N359" s="1611" t="s">
        <v>923</v>
      </c>
      <c r="O359" s="1604">
        <v>2017</v>
      </c>
      <c r="P359" s="1611" t="s">
        <v>902</v>
      </c>
      <c r="Q359" s="1618">
        <v>5</v>
      </c>
      <c r="R359" s="1618"/>
      <c r="S359" s="1618">
        <v>5</v>
      </c>
      <c r="T359" s="1611" t="s">
        <v>2334</v>
      </c>
      <c r="U359" s="1611" t="s">
        <v>1960</v>
      </c>
      <c r="V359" s="1611"/>
      <c r="W359" s="1611" t="s">
        <v>850</v>
      </c>
      <c r="X359" s="1611"/>
      <c r="Y359" s="1611"/>
      <c r="Z359" s="1611"/>
    </row>
    <row r="360" spans="1:26" customFormat="1" hidden="1">
      <c r="A360" s="1611"/>
      <c r="B360" s="1611" t="s">
        <v>1006</v>
      </c>
      <c r="C360" s="1611" t="s">
        <v>2323</v>
      </c>
      <c r="D360" s="1611" t="s">
        <v>879</v>
      </c>
      <c r="E360" s="1619" t="s">
        <v>2335</v>
      </c>
      <c r="F360" s="1604">
        <v>61</v>
      </c>
      <c r="G360" s="1611" t="s">
        <v>1090</v>
      </c>
      <c r="H360" s="1618" t="s">
        <v>987</v>
      </c>
      <c r="I360" s="1618" t="s">
        <v>2310</v>
      </c>
      <c r="J360" s="1611" t="s">
        <v>1408</v>
      </c>
      <c r="K360" s="2894">
        <v>42963</v>
      </c>
      <c r="L360" s="1611" t="s">
        <v>2259</v>
      </c>
      <c r="M360" s="1617" t="s">
        <v>2336</v>
      </c>
      <c r="N360" s="1611" t="s">
        <v>2320</v>
      </c>
      <c r="O360" s="1604">
        <v>2017</v>
      </c>
      <c r="P360" s="1611" t="s">
        <v>902</v>
      </c>
      <c r="Q360" s="1618">
        <v>5</v>
      </c>
      <c r="R360" s="1618"/>
      <c r="S360" s="1618">
        <v>5</v>
      </c>
      <c r="T360" s="1611" t="s">
        <v>2227</v>
      </c>
      <c r="U360" s="1611" t="s">
        <v>864</v>
      </c>
      <c r="V360" s="1611"/>
      <c r="W360" s="1611" t="s">
        <v>849</v>
      </c>
      <c r="X360" s="1611"/>
      <c r="Y360" s="1611"/>
      <c r="Z360" s="1611"/>
    </row>
    <row r="361" spans="1:26" customFormat="1" hidden="1">
      <c r="A361" s="1611"/>
      <c r="B361" s="1611" t="s">
        <v>1053</v>
      </c>
      <c r="C361" s="1611" t="s">
        <v>1049</v>
      </c>
      <c r="D361" s="1611" t="s">
        <v>1053</v>
      </c>
      <c r="E361" s="1619" t="s">
        <v>2337</v>
      </c>
      <c r="F361" s="1604">
        <v>30</v>
      </c>
      <c r="G361" s="1611" t="s">
        <v>993</v>
      </c>
      <c r="H361" s="1618" t="s">
        <v>987</v>
      </c>
      <c r="I361" s="1618" t="s">
        <v>2276</v>
      </c>
      <c r="J361" s="1611" t="s">
        <v>1197</v>
      </c>
      <c r="K361" s="2894">
        <v>42976</v>
      </c>
      <c r="L361" s="1611" t="s">
        <v>2259</v>
      </c>
      <c r="M361" s="1617" t="s">
        <v>2338</v>
      </c>
      <c r="N361" s="1611" t="s">
        <v>915</v>
      </c>
      <c r="O361" s="1604">
        <v>2017</v>
      </c>
      <c r="P361" s="1611" t="s">
        <v>902</v>
      </c>
      <c r="Q361" s="1618">
        <v>83</v>
      </c>
      <c r="R361" s="1618"/>
      <c r="S361" s="1618">
        <v>83</v>
      </c>
      <c r="T361" s="1611" t="s">
        <v>2339</v>
      </c>
      <c r="U361" s="1611" t="s">
        <v>1057</v>
      </c>
      <c r="V361" s="1611"/>
      <c r="W361" s="1611" t="s">
        <v>2340</v>
      </c>
      <c r="X361" s="1611" t="s">
        <v>2526</v>
      </c>
      <c r="Y361" s="1611"/>
      <c r="Z361" s="1611"/>
    </row>
    <row r="362" spans="1:26" customFormat="1" hidden="1">
      <c r="A362" s="1611"/>
      <c r="B362" s="1611" t="s">
        <v>938</v>
      </c>
      <c r="C362" s="1611" t="s">
        <v>938</v>
      </c>
      <c r="D362" s="1611" t="s">
        <v>938</v>
      </c>
      <c r="E362" s="1619" t="s">
        <v>2341</v>
      </c>
      <c r="F362" s="1604">
        <v>41</v>
      </c>
      <c r="G362" s="1611" t="s">
        <v>2342</v>
      </c>
      <c r="H362" s="1618" t="s">
        <v>987</v>
      </c>
      <c r="I362" s="1618" t="s">
        <v>2310</v>
      </c>
      <c r="J362" s="1611" t="s">
        <v>2343</v>
      </c>
      <c r="K362" s="2894">
        <v>42977</v>
      </c>
      <c r="L362" s="1611" t="s">
        <v>2259</v>
      </c>
      <c r="M362" s="1617" t="s">
        <v>2344</v>
      </c>
      <c r="N362" s="1611" t="s">
        <v>2320</v>
      </c>
      <c r="O362" s="1604">
        <v>2017</v>
      </c>
      <c r="P362" s="1611" t="s">
        <v>902</v>
      </c>
      <c r="Q362" s="1618">
        <v>2</v>
      </c>
      <c r="R362" s="1618"/>
      <c r="S362" s="1618">
        <v>2</v>
      </c>
      <c r="T362" s="1611" t="s">
        <v>2227</v>
      </c>
      <c r="U362" s="1611" t="s">
        <v>934</v>
      </c>
      <c r="V362" s="1611"/>
      <c r="W362" s="1611" t="s">
        <v>850</v>
      </c>
      <c r="X362" s="1611"/>
      <c r="Y362" s="1611"/>
      <c r="Z362" s="1611"/>
    </row>
    <row r="363" spans="1:26" customFormat="1" hidden="1">
      <c r="A363" s="1611"/>
      <c r="B363" s="1611" t="s">
        <v>693</v>
      </c>
      <c r="C363" s="1611" t="s">
        <v>693</v>
      </c>
      <c r="D363" s="1611" t="s">
        <v>879</v>
      </c>
      <c r="E363" s="1619" t="s">
        <v>2424</v>
      </c>
      <c r="F363" s="1604">
        <v>30</v>
      </c>
      <c r="G363" s="1611" t="s">
        <v>1090</v>
      </c>
      <c r="H363" s="1618" t="s">
        <v>987</v>
      </c>
      <c r="I363" s="1618" t="s">
        <v>2310</v>
      </c>
      <c r="J363" s="1611" t="s">
        <v>2506</v>
      </c>
      <c r="K363" s="2894">
        <v>42982</v>
      </c>
      <c r="L363" s="1611" t="s">
        <v>2259</v>
      </c>
      <c r="M363" s="1617" t="s">
        <v>2425</v>
      </c>
      <c r="N363" s="1611" t="s">
        <v>923</v>
      </c>
      <c r="O363" s="1604">
        <v>2017</v>
      </c>
      <c r="P363" s="1611" t="s">
        <v>2426</v>
      </c>
      <c r="Q363" s="1618">
        <v>2</v>
      </c>
      <c r="R363" s="1618"/>
      <c r="S363" s="1618">
        <v>2</v>
      </c>
      <c r="T363" s="1611" t="s">
        <v>2227</v>
      </c>
      <c r="U363" s="1611" t="s">
        <v>864</v>
      </c>
      <c r="V363" s="1611"/>
      <c r="W363" s="1611" t="s">
        <v>850</v>
      </c>
      <c r="X363" s="1611"/>
      <c r="Y363" s="1611"/>
      <c r="Z363" s="1611"/>
    </row>
    <row r="364" spans="1:26" customFormat="1" hidden="1">
      <c r="A364" s="1611"/>
      <c r="B364" s="1611" t="s">
        <v>93</v>
      </c>
      <c r="C364" s="1611" t="s">
        <v>1066</v>
      </c>
      <c r="D364" s="1611" t="s">
        <v>431</v>
      </c>
      <c r="E364" s="1619" t="s">
        <v>2427</v>
      </c>
      <c r="F364" s="1604"/>
      <c r="G364" s="1611" t="s">
        <v>2428</v>
      </c>
      <c r="H364" s="1618" t="s">
        <v>987</v>
      </c>
      <c r="I364" s="1618" t="s">
        <v>2310</v>
      </c>
      <c r="J364" s="1611"/>
      <c r="K364" s="2894">
        <v>42985</v>
      </c>
      <c r="L364" s="1611" t="s">
        <v>2259</v>
      </c>
      <c r="M364" s="1617" t="s">
        <v>2429</v>
      </c>
      <c r="N364" s="1611" t="s">
        <v>915</v>
      </c>
      <c r="O364" s="1604">
        <v>2017</v>
      </c>
      <c r="P364" s="1611" t="s">
        <v>2426</v>
      </c>
      <c r="Q364" s="1618">
        <v>93</v>
      </c>
      <c r="R364" s="1618"/>
      <c r="S364" s="1618">
        <v>93</v>
      </c>
      <c r="T364" s="1611" t="s">
        <v>2224</v>
      </c>
      <c r="U364" s="1611" t="s">
        <v>1104</v>
      </c>
      <c r="V364" s="1611"/>
      <c r="W364" s="1611" t="s">
        <v>2241</v>
      </c>
      <c r="X364" s="1611" t="s">
        <v>2527</v>
      </c>
      <c r="Y364" s="1611"/>
      <c r="Z364" s="1611"/>
    </row>
    <row r="365" spans="1:26" customFormat="1" hidden="1">
      <c r="A365" s="1611"/>
      <c r="B365" s="1611" t="s">
        <v>694</v>
      </c>
      <c r="C365" s="1611" t="s">
        <v>694</v>
      </c>
      <c r="D365" s="1611" t="s">
        <v>879</v>
      </c>
      <c r="E365" s="1619" t="s">
        <v>2430</v>
      </c>
      <c r="F365" s="1604">
        <v>20</v>
      </c>
      <c r="G365" s="1611" t="s">
        <v>1157</v>
      </c>
      <c r="H365" s="1618" t="s">
        <v>987</v>
      </c>
      <c r="I365" s="1618" t="s">
        <v>2310</v>
      </c>
      <c r="J365" s="1611" t="s">
        <v>2281</v>
      </c>
      <c r="K365" s="2894">
        <v>43000</v>
      </c>
      <c r="L365" s="1611" t="s">
        <v>2259</v>
      </c>
      <c r="M365" s="1617" t="s">
        <v>2431</v>
      </c>
      <c r="N365" s="1611" t="s">
        <v>2320</v>
      </c>
      <c r="O365" s="1604">
        <v>2017</v>
      </c>
      <c r="P365" s="1611" t="s">
        <v>2426</v>
      </c>
      <c r="Q365" s="1618">
        <v>54</v>
      </c>
      <c r="R365" s="1618"/>
      <c r="S365" s="1618">
        <v>54</v>
      </c>
      <c r="T365" s="1611" t="s">
        <v>2432</v>
      </c>
      <c r="U365" s="1611" t="s">
        <v>864</v>
      </c>
      <c r="V365" s="1611"/>
      <c r="W365" s="1611" t="s">
        <v>2340</v>
      </c>
      <c r="X365" s="1611"/>
      <c r="Y365" s="1611"/>
      <c r="Z365" s="1611"/>
    </row>
    <row r="366" spans="1:26" customFormat="1" ht="27.6" hidden="1">
      <c r="A366" s="1611"/>
      <c r="B366" s="1611" t="s">
        <v>1958</v>
      </c>
      <c r="C366" s="1611" t="s">
        <v>1958</v>
      </c>
      <c r="D366" s="1611" t="s">
        <v>1958</v>
      </c>
      <c r="E366" s="1619" t="s">
        <v>2533</v>
      </c>
      <c r="F366" s="1604">
        <v>21</v>
      </c>
      <c r="G366" s="1611" t="s">
        <v>2534</v>
      </c>
      <c r="H366" s="1618" t="s">
        <v>987</v>
      </c>
      <c r="I366" s="1618" t="s">
        <v>2310</v>
      </c>
      <c r="J366" s="1611" t="s">
        <v>2535</v>
      </c>
      <c r="K366" s="2894">
        <v>42986</v>
      </c>
      <c r="L366" s="1611" t="s">
        <v>2259</v>
      </c>
      <c r="M366" s="1617" t="s">
        <v>2433</v>
      </c>
      <c r="N366" s="1611" t="s">
        <v>2320</v>
      </c>
      <c r="O366" s="1604">
        <v>2017</v>
      </c>
      <c r="P366" s="1611" t="s">
        <v>2426</v>
      </c>
      <c r="Q366" s="1618">
        <v>3</v>
      </c>
      <c r="R366" s="1618"/>
      <c r="S366" s="1618">
        <v>3</v>
      </c>
      <c r="T366" s="1611" t="s">
        <v>2227</v>
      </c>
      <c r="U366" s="1611" t="s">
        <v>864</v>
      </c>
      <c r="V366" s="1611"/>
      <c r="W366" s="1611" t="s">
        <v>850</v>
      </c>
      <c r="X366" s="1611"/>
      <c r="Y366" s="1611"/>
      <c r="Z366" s="1611"/>
    </row>
    <row r="367" spans="1:26" customFormat="1" hidden="1">
      <c r="A367" s="1611"/>
      <c r="B367" s="1611" t="s">
        <v>591</v>
      </c>
      <c r="C367" s="1611" t="s">
        <v>974</v>
      </c>
      <c r="D367" s="1611" t="s">
        <v>879</v>
      </c>
      <c r="E367" s="1619" t="s">
        <v>2434</v>
      </c>
      <c r="F367" s="1604">
        <v>40</v>
      </c>
      <c r="G367" s="1611" t="s">
        <v>1118</v>
      </c>
      <c r="H367" s="1618" t="s">
        <v>987</v>
      </c>
      <c r="I367" s="1618" t="s">
        <v>2276</v>
      </c>
      <c r="J367" s="1611" t="s">
        <v>1601</v>
      </c>
      <c r="K367" s="2894">
        <v>43006</v>
      </c>
      <c r="L367" s="1611" t="s">
        <v>2259</v>
      </c>
      <c r="M367" s="1617" t="s">
        <v>2435</v>
      </c>
      <c r="N367" s="1611" t="s">
        <v>2320</v>
      </c>
      <c r="O367" s="1604">
        <v>2017</v>
      </c>
      <c r="P367" s="1611" t="s">
        <v>2426</v>
      </c>
      <c r="Q367" s="1618">
        <v>9</v>
      </c>
      <c r="R367" s="1618"/>
      <c r="S367" s="1618">
        <v>9</v>
      </c>
      <c r="T367" s="1611" t="s">
        <v>2227</v>
      </c>
      <c r="U367" s="1611" t="s">
        <v>864</v>
      </c>
      <c r="V367" s="1611"/>
      <c r="W367" s="1611" t="s">
        <v>850</v>
      </c>
      <c r="X367" s="1611"/>
      <c r="Y367" s="1611"/>
      <c r="Z367" s="1611"/>
    </row>
    <row r="368" spans="1:26" customFormat="1" ht="27.6" hidden="1">
      <c r="A368" s="1611"/>
      <c r="B368" s="1611" t="s">
        <v>1223</v>
      </c>
      <c r="C368" s="1611" t="s">
        <v>598</v>
      </c>
      <c r="D368" s="1611" t="s">
        <v>2438</v>
      </c>
      <c r="E368" s="1619"/>
      <c r="F368" s="1604"/>
      <c r="G368" s="1611" t="s">
        <v>2439</v>
      </c>
      <c r="H368" s="1618" t="s">
        <v>987</v>
      </c>
      <c r="I368" s="1618" t="s">
        <v>2310</v>
      </c>
      <c r="J368" s="1611"/>
      <c r="K368" s="2894">
        <v>43012</v>
      </c>
      <c r="L368" s="1611" t="s">
        <v>2259</v>
      </c>
      <c r="M368" s="1617" t="s">
        <v>2440</v>
      </c>
      <c r="N368" s="1611" t="s">
        <v>917</v>
      </c>
      <c r="O368" s="1604">
        <v>2017</v>
      </c>
      <c r="P368" s="1611" t="s">
        <v>904</v>
      </c>
      <c r="Q368" s="1618">
        <v>4</v>
      </c>
      <c r="R368" s="1618"/>
      <c r="S368" s="1618">
        <v>4</v>
      </c>
      <c r="T368" s="1611" t="s">
        <v>2441</v>
      </c>
      <c r="U368" s="1611" t="s">
        <v>864</v>
      </c>
      <c r="V368" s="1611"/>
      <c r="W368" s="1611" t="s">
        <v>2238</v>
      </c>
      <c r="X368" s="1611" t="s">
        <v>2528</v>
      </c>
      <c r="Y368" s="1611"/>
      <c r="Z368" s="1611"/>
    </row>
    <row r="369" spans="1:26" customFormat="1" hidden="1">
      <c r="A369" s="1611"/>
      <c r="B369" s="1611" t="s">
        <v>604</v>
      </c>
      <c r="C369" s="1611" t="s">
        <v>604</v>
      </c>
      <c r="D369" s="1611" t="s">
        <v>604</v>
      </c>
      <c r="E369" s="1619" t="s">
        <v>2442</v>
      </c>
      <c r="F369" s="1604">
        <v>28</v>
      </c>
      <c r="G369" s="1611" t="s">
        <v>2443</v>
      </c>
      <c r="H369" s="1618" t="s">
        <v>994</v>
      </c>
      <c r="I369" s="1618" t="s">
        <v>2310</v>
      </c>
      <c r="J369" s="1611"/>
      <c r="K369" s="2894">
        <v>43028</v>
      </c>
      <c r="L369" s="1611" t="s">
        <v>2259</v>
      </c>
      <c r="M369" s="1617" t="s">
        <v>2444</v>
      </c>
      <c r="N369" s="1611" t="s">
        <v>2320</v>
      </c>
      <c r="O369" s="1604">
        <v>2017</v>
      </c>
      <c r="P369" s="1611" t="s">
        <v>904</v>
      </c>
      <c r="Q369" s="1618">
        <v>7</v>
      </c>
      <c r="R369" s="1618"/>
      <c r="S369" s="1618">
        <v>7</v>
      </c>
      <c r="T369" s="1611" t="s">
        <v>2247</v>
      </c>
      <c r="U369" s="1611" t="s">
        <v>864</v>
      </c>
      <c r="V369" s="1611"/>
      <c r="W369" s="1611" t="s">
        <v>2445</v>
      </c>
      <c r="X369" s="1611" t="s">
        <v>2446</v>
      </c>
      <c r="Y369" s="1611"/>
      <c r="Z369" s="1611"/>
    </row>
    <row r="370" spans="1:26" customFormat="1" ht="27.6" hidden="1">
      <c r="A370" s="1611"/>
      <c r="B370" s="1611" t="s">
        <v>2545</v>
      </c>
      <c r="C370" s="1611" t="s">
        <v>2437</v>
      </c>
      <c r="D370" s="1611" t="s">
        <v>2423</v>
      </c>
      <c r="E370" s="1619" t="s">
        <v>2447</v>
      </c>
      <c r="F370" s="1604">
        <v>53</v>
      </c>
      <c r="G370" s="1611" t="s">
        <v>2448</v>
      </c>
      <c r="H370" s="1618" t="s">
        <v>987</v>
      </c>
      <c r="I370" s="1618" t="s">
        <v>2310</v>
      </c>
      <c r="J370" s="1611"/>
      <c r="K370" s="2894">
        <v>43031</v>
      </c>
      <c r="L370" s="1611" t="s">
        <v>2259</v>
      </c>
      <c r="M370" s="1617" t="s">
        <v>2449</v>
      </c>
      <c r="N370" s="1611" t="s">
        <v>2320</v>
      </c>
      <c r="O370" s="1604">
        <v>2017</v>
      </c>
      <c r="P370" s="1611" t="s">
        <v>904</v>
      </c>
      <c r="Q370" s="1618">
        <v>20</v>
      </c>
      <c r="R370" s="1618"/>
      <c r="S370" s="1618">
        <v>20</v>
      </c>
      <c r="T370" s="1611" t="s">
        <v>2224</v>
      </c>
      <c r="U370" s="1611" t="s">
        <v>1104</v>
      </c>
      <c r="V370" s="1611"/>
      <c r="W370" s="1611" t="s">
        <v>2340</v>
      </c>
      <c r="X370" s="1611" t="s">
        <v>1105</v>
      </c>
      <c r="Y370" s="1611"/>
      <c r="Z370" s="1611"/>
    </row>
    <row r="371" spans="1:26" customFormat="1" ht="55.2" hidden="1">
      <c r="A371" s="1611"/>
      <c r="B371" s="1611" t="s">
        <v>938</v>
      </c>
      <c r="C371" s="1611" t="s">
        <v>938</v>
      </c>
      <c r="D371" s="1611" t="s">
        <v>938</v>
      </c>
      <c r="E371" s="1619" t="s">
        <v>2451</v>
      </c>
      <c r="F371" s="1604">
        <v>26</v>
      </c>
      <c r="G371" s="1611" t="s">
        <v>2450</v>
      </c>
      <c r="H371" s="1618" t="s">
        <v>987</v>
      </c>
      <c r="I371" s="1618" t="s">
        <v>2310</v>
      </c>
      <c r="J371" s="1611" t="s">
        <v>1601</v>
      </c>
      <c r="K371" s="2894">
        <v>43037</v>
      </c>
      <c r="L371" s="1611" t="s">
        <v>990</v>
      </c>
      <c r="M371" s="1617" t="s">
        <v>2454</v>
      </c>
      <c r="N371" s="1611" t="s">
        <v>2320</v>
      </c>
      <c r="O371" s="1604">
        <v>2017</v>
      </c>
      <c r="P371" s="1611" t="s">
        <v>904</v>
      </c>
      <c r="Q371" s="1618">
        <v>5</v>
      </c>
      <c r="R371" s="1618"/>
      <c r="S371" s="1618">
        <v>5</v>
      </c>
      <c r="T371" s="1611" t="s">
        <v>2452</v>
      </c>
      <c r="U371" s="1611" t="s">
        <v>934</v>
      </c>
      <c r="V371" s="1611"/>
      <c r="W371" s="1611" t="s">
        <v>2453</v>
      </c>
      <c r="X371" s="1611"/>
      <c r="Y371" s="1611"/>
      <c r="Z371" s="1611"/>
    </row>
    <row r="372" spans="1:26" customFormat="1" ht="27.6" hidden="1">
      <c r="A372" s="1611"/>
      <c r="B372" s="1611" t="s">
        <v>588</v>
      </c>
      <c r="C372" s="1611" t="s">
        <v>588</v>
      </c>
      <c r="D372" s="1611" t="s">
        <v>879</v>
      </c>
      <c r="E372" s="1619" t="s">
        <v>2456</v>
      </c>
      <c r="F372" s="1604">
        <v>52</v>
      </c>
      <c r="G372" s="1611" t="s">
        <v>2457</v>
      </c>
      <c r="H372" s="1618" t="s">
        <v>987</v>
      </c>
      <c r="I372" s="1618" t="s">
        <v>2310</v>
      </c>
      <c r="J372" s="1611" t="s">
        <v>2507</v>
      </c>
      <c r="K372" s="2894">
        <v>43042</v>
      </c>
      <c r="L372" s="1611" t="s">
        <v>990</v>
      </c>
      <c r="M372" s="1617" t="s">
        <v>2458</v>
      </c>
      <c r="N372" s="1611" t="s">
        <v>913</v>
      </c>
      <c r="O372" s="1604">
        <v>2017</v>
      </c>
      <c r="P372" s="1611" t="s">
        <v>905</v>
      </c>
      <c r="Q372" s="1618">
        <v>60</v>
      </c>
      <c r="R372" s="1618"/>
      <c r="S372" s="1618">
        <v>60</v>
      </c>
      <c r="T372" s="1611" t="s">
        <v>2234</v>
      </c>
      <c r="U372" s="1611" t="s">
        <v>934</v>
      </c>
      <c r="V372" s="1611"/>
      <c r="W372" s="1611" t="s">
        <v>2340</v>
      </c>
      <c r="X372" s="1611"/>
      <c r="Y372" s="1611"/>
      <c r="Z372" s="1611"/>
    </row>
    <row r="373" spans="1:26" customFormat="1" ht="41.4" hidden="1">
      <c r="A373" s="1611"/>
      <c r="B373" s="1611" t="s">
        <v>93</v>
      </c>
      <c r="C373" s="1611" t="s">
        <v>93</v>
      </c>
      <c r="D373" s="1611" t="s">
        <v>2423</v>
      </c>
      <c r="E373" s="1619" t="s">
        <v>2459</v>
      </c>
      <c r="F373" s="1604">
        <v>26</v>
      </c>
      <c r="G373" s="1611" t="s">
        <v>2509</v>
      </c>
      <c r="H373" s="1618" t="s">
        <v>987</v>
      </c>
      <c r="I373" s="1618" t="s">
        <v>2318</v>
      </c>
      <c r="J373" s="1611" t="s">
        <v>2508</v>
      </c>
      <c r="K373" s="2894">
        <v>43058</v>
      </c>
      <c r="L373" s="1611" t="s">
        <v>990</v>
      </c>
      <c r="M373" s="1617" t="s">
        <v>2460</v>
      </c>
      <c r="N373" s="1611" t="s">
        <v>917</v>
      </c>
      <c r="O373" s="1604">
        <v>2017</v>
      </c>
      <c r="P373" s="1611" t="s">
        <v>905</v>
      </c>
      <c r="Q373" s="1618">
        <v>9</v>
      </c>
      <c r="R373" s="1618"/>
      <c r="S373" s="1618">
        <v>9</v>
      </c>
      <c r="T373" s="1611" t="s">
        <v>2461</v>
      </c>
      <c r="U373" s="1611" t="s">
        <v>864</v>
      </c>
      <c r="V373" s="1611"/>
      <c r="W373" s="1611" t="s">
        <v>850</v>
      </c>
      <c r="X373" s="1611"/>
      <c r="Y373" s="1611"/>
      <c r="Z373" s="1611"/>
    </row>
    <row r="374" spans="1:26" customFormat="1" hidden="1">
      <c r="A374" s="1611"/>
      <c r="B374" s="1611" t="s">
        <v>591</v>
      </c>
      <c r="C374" s="1611" t="s">
        <v>3654</v>
      </c>
      <c r="D374" s="1611" t="s">
        <v>879</v>
      </c>
      <c r="E374" s="1619" t="s">
        <v>2462</v>
      </c>
      <c r="F374" s="1604">
        <v>34</v>
      </c>
      <c r="G374" s="1611" t="s">
        <v>2463</v>
      </c>
      <c r="H374" s="1618" t="s">
        <v>987</v>
      </c>
      <c r="I374" s="1618" t="s">
        <v>2318</v>
      </c>
      <c r="J374" s="1611" t="s">
        <v>2496</v>
      </c>
      <c r="K374" s="2894">
        <v>43058</v>
      </c>
      <c r="L374" s="1611" t="s">
        <v>990</v>
      </c>
      <c r="M374" s="1617" t="s">
        <v>2464</v>
      </c>
      <c r="N374" s="1611" t="s">
        <v>2320</v>
      </c>
      <c r="O374" s="1604">
        <v>2017</v>
      </c>
      <c r="P374" s="1611" t="s">
        <v>905</v>
      </c>
      <c r="Q374" s="1618">
        <v>12</v>
      </c>
      <c r="R374" s="1618"/>
      <c r="S374" s="1618">
        <v>12</v>
      </c>
      <c r="T374" s="1611" t="s">
        <v>2232</v>
      </c>
      <c r="U374" s="1611" t="s">
        <v>864</v>
      </c>
      <c r="V374" s="1611"/>
      <c r="W374" s="1611" t="s">
        <v>850</v>
      </c>
      <c r="X374" s="1611"/>
      <c r="Y374" s="1611"/>
      <c r="Z374" s="1611"/>
    </row>
    <row r="375" spans="1:26" customFormat="1" ht="27.6" hidden="1">
      <c r="A375" s="1611"/>
      <c r="B375" s="1603" t="s">
        <v>77</v>
      </c>
      <c r="C375" s="1611" t="s">
        <v>77</v>
      </c>
      <c r="D375" s="1611" t="s">
        <v>879</v>
      </c>
      <c r="E375" s="1619" t="s">
        <v>2465</v>
      </c>
      <c r="F375" s="1604">
        <v>22</v>
      </c>
      <c r="G375" s="1611"/>
      <c r="H375" s="1618" t="s">
        <v>987</v>
      </c>
      <c r="I375" s="1618" t="s">
        <v>2318</v>
      </c>
      <c r="J375" s="1611" t="s">
        <v>2466</v>
      </c>
      <c r="K375" s="2894">
        <v>43064</v>
      </c>
      <c r="L375" s="1611" t="s">
        <v>990</v>
      </c>
      <c r="M375" s="1617" t="s">
        <v>2467</v>
      </c>
      <c r="N375" s="1611" t="s">
        <v>2320</v>
      </c>
      <c r="O375" s="1604">
        <v>2017</v>
      </c>
      <c r="P375" s="1611" t="s">
        <v>905</v>
      </c>
      <c r="Q375" s="1618">
        <v>21</v>
      </c>
      <c r="R375" s="1618"/>
      <c r="S375" s="1618">
        <v>21</v>
      </c>
      <c r="T375" s="1611" t="s">
        <v>2432</v>
      </c>
      <c r="U375" s="1611" t="s">
        <v>864</v>
      </c>
      <c r="V375" s="1611"/>
      <c r="W375" s="1611" t="s">
        <v>2340</v>
      </c>
      <c r="X375" s="1611"/>
      <c r="Y375" s="1611"/>
      <c r="Z375" s="1611"/>
    </row>
    <row r="376" spans="1:26" customFormat="1" hidden="1">
      <c r="A376" s="1611"/>
      <c r="B376" s="1611" t="s">
        <v>938</v>
      </c>
      <c r="C376" s="1611" t="s">
        <v>938</v>
      </c>
      <c r="D376" s="1611" t="s">
        <v>938</v>
      </c>
      <c r="E376" s="1619" t="s">
        <v>2468</v>
      </c>
      <c r="F376" s="1604">
        <v>39</v>
      </c>
      <c r="G376" s="1611" t="s">
        <v>2469</v>
      </c>
      <c r="H376" s="1618" t="s">
        <v>987</v>
      </c>
      <c r="I376" s="1618" t="s">
        <v>2318</v>
      </c>
      <c r="J376" s="1611" t="s">
        <v>2510</v>
      </c>
      <c r="K376" s="2894">
        <v>43048</v>
      </c>
      <c r="L376" s="1611" t="s">
        <v>990</v>
      </c>
      <c r="M376" s="1617" t="s">
        <v>2470</v>
      </c>
      <c r="N376" s="1611" t="s">
        <v>2320</v>
      </c>
      <c r="O376" s="1604">
        <v>2017</v>
      </c>
      <c r="P376" s="1611" t="s">
        <v>905</v>
      </c>
      <c r="Q376" s="1618">
        <v>5</v>
      </c>
      <c r="R376" s="1618"/>
      <c r="S376" s="1618">
        <v>5</v>
      </c>
      <c r="T376" s="1611" t="s">
        <v>2471</v>
      </c>
      <c r="U376" s="1611" t="s">
        <v>864</v>
      </c>
      <c r="V376" s="1611"/>
      <c r="W376" s="1611" t="s">
        <v>850</v>
      </c>
      <c r="X376" s="1611" t="s">
        <v>2097</v>
      </c>
      <c r="Y376" s="1611"/>
      <c r="Z376" s="1611"/>
    </row>
    <row r="377" spans="1:26" customFormat="1" ht="27.6" hidden="1">
      <c r="A377" s="1611"/>
      <c r="B377" s="1611" t="s">
        <v>91</v>
      </c>
      <c r="C377" s="1611" t="s">
        <v>91</v>
      </c>
      <c r="D377" s="1611" t="s">
        <v>879</v>
      </c>
      <c r="E377" s="1619" t="s">
        <v>2472</v>
      </c>
      <c r="F377" s="1604"/>
      <c r="G377" s="1611" t="s">
        <v>2487</v>
      </c>
      <c r="H377" s="1618" t="s">
        <v>987</v>
      </c>
      <c r="I377" s="1618" t="s">
        <v>2318</v>
      </c>
      <c r="J377" s="1611" t="s">
        <v>2488</v>
      </c>
      <c r="K377" s="2894">
        <v>43092</v>
      </c>
      <c r="L377" s="1611" t="s">
        <v>990</v>
      </c>
      <c r="M377" s="1617" t="s">
        <v>2473</v>
      </c>
      <c r="N377" s="1611" t="s">
        <v>923</v>
      </c>
      <c r="O377" s="1604">
        <v>2017</v>
      </c>
      <c r="P377" s="1611" t="s">
        <v>906</v>
      </c>
      <c r="Q377" s="1618">
        <v>2</v>
      </c>
      <c r="R377" s="1618"/>
      <c r="S377" s="1618">
        <v>2</v>
      </c>
      <c r="T377" s="1611" t="s">
        <v>2227</v>
      </c>
      <c r="U377" s="1611" t="s">
        <v>864</v>
      </c>
      <c r="V377" s="1611"/>
      <c r="W377" s="1611" t="s">
        <v>850</v>
      </c>
      <c r="X377" s="1611"/>
      <c r="Y377" s="1611"/>
      <c r="Z377" s="1611"/>
    </row>
    <row r="378" spans="1:26" customFormat="1" ht="27.6" hidden="1">
      <c r="A378" s="1611"/>
      <c r="B378" s="1603" t="s">
        <v>1128</v>
      </c>
      <c r="C378" s="1611" t="s">
        <v>1128</v>
      </c>
      <c r="D378" s="1611" t="s">
        <v>879</v>
      </c>
      <c r="E378" s="1619" t="s">
        <v>2484</v>
      </c>
      <c r="F378" s="1604">
        <v>40</v>
      </c>
      <c r="G378" s="1611" t="s">
        <v>1014</v>
      </c>
      <c r="H378" s="1618" t="s">
        <v>987</v>
      </c>
      <c r="I378" s="1618" t="s">
        <v>2318</v>
      </c>
      <c r="J378" s="1611" t="s">
        <v>2489</v>
      </c>
      <c r="K378" s="2894" t="s">
        <v>2485</v>
      </c>
      <c r="L378" s="1611" t="s">
        <v>990</v>
      </c>
      <c r="M378" s="1617" t="s">
        <v>2486</v>
      </c>
      <c r="N378" s="1611" t="s">
        <v>2320</v>
      </c>
      <c r="O378" s="1604">
        <v>2017</v>
      </c>
      <c r="P378" s="1611" t="s">
        <v>906</v>
      </c>
      <c r="Q378" s="1618">
        <v>16</v>
      </c>
      <c r="R378" s="1618"/>
      <c r="S378" s="1618">
        <v>16</v>
      </c>
      <c r="T378" s="1611" t="s">
        <v>2233</v>
      </c>
      <c r="U378" s="1611" t="s">
        <v>1960</v>
      </c>
      <c r="V378" s="1611"/>
      <c r="W378" s="1611" t="s">
        <v>850</v>
      </c>
      <c r="X378" s="1611"/>
      <c r="Y378" s="1611"/>
      <c r="Z378" s="1611"/>
    </row>
    <row r="379" spans="1:26" customFormat="1" ht="41.4" hidden="1">
      <c r="A379" s="1611"/>
      <c r="B379" s="1611" t="s">
        <v>693</v>
      </c>
      <c r="C379" s="1611" t="s">
        <v>693</v>
      </c>
      <c r="D379" s="1611" t="s">
        <v>879</v>
      </c>
      <c r="E379" s="1619" t="s">
        <v>2481</v>
      </c>
      <c r="F379" s="1604">
        <v>44</v>
      </c>
      <c r="G379" s="1611" t="s">
        <v>2480</v>
      </c>
      <c r="H379" s="1618" t="s">
        <v>987</v>
      </c>
      <c r="I379" s="1618" t="s">
        <v>2318</v>
      </c>
      <c r="J379" s="1611" t="s">
        <v>1724</v>
      </c>
      <c r="K379" s="2894">
        <v>43099</v>
      </c>
      <c r="L379" s="1611" t="s">
        <v>990</v>
      </c>
      <c r="M379" s="1617" t="s">
        <v>2483</v>
      </c>
      <c r="N379" s="1611" t="s">
        <v>913</v>
      </c>
      <c r="O379" s="1604">
        <v>2017</v>
      </c>
      <c r="P379" s="1611" t="s">
        <v>906</v>
      </c>
      <c r="Q379" s="1618">
        <v>3</v>
      </c>
      <c r="R379" s="1618"/>
      <c r="S379" s="1618">
        <v>3</v>
      </c>
      <c r="T379" s="1611" t="s">
        <v>2477</v>
      </c>
      <c r="U379" s="1611" t="s">
        <v>864</v>
      </c>
      <c r="V379" s="1611"/>
      <c r="W379" s="1611" t="s">
        <v>2482</v>
      </c>
      <c r="X379" s="1611"/>
      <c r="Y379" s="1611"/>
      <c r="Z379" s="1611"/>
    </row>
    <row r="380" spans="1:26" customFormat="1" ht="82.8" hidden="1">
      <c r="A380" s="1611"/>
      <c r="B380" s="1611" t="s">
        <v>591</v>
      </c>
      <c r="C380" s="1611" t="s">
        <v>3653</v>
      </c>
      <c r="D380" s="1611" t="s">
        <v>879</v>
      </c>
      <c r="E380" s="1619" t="s">
        <v>2479</v>
      </c>
      <c r="F380" s="1604">
        <v>35</v>
      </c>
      <c r="G380" s="1611" t="s">
        <v>2478</v>
      </c>
      <c r="H380" s="1618" t="s">
        <v>987</v>
      </c>
      <c r="I380" s="1618" t="s">
        <v>2310</v>
      </c>
      <c r="J380" s="1611" t="s">
        <v>2539</v>
      </c>
      <c r="K380" s="2894">
        <v>43099</v>
      </c>
      <c r="L380" s="1611" t="s">
        <v>990</v>
      </c>
      <c r="M380" s="1617" t="s">
        <v>2490</v>
      </c>
      <c r="N380" s="1611" t="s">
        <v>917</v>
      </c>
      <c r="O380" s="1604">
        <v>2017</v>
      </c>
      <c r="P380" s="1611" t="s">
        <v>906</v>
      </c>
      <c r="Q380" s="1618">
        <v>10</v>
      </c>
      <c r="R380" s="1618"/>
      <c r="S380" s="1618">
        <v>10</v>
      </c>
      <c r="T380" s="1611" t="s">
        <v>2452</v>
      </c>
      <c r="U380" s="1611" t="s">
        <v>864</v>
      </c>
      <c r="V380" s="1611"/>
      <c r="W380" s="1611" t="s">
        <v>2238</v>
      </c>
      <c r="X380" s="1611"/>
      <c r="Y380" s="1611"/>
      <c r="Z380" s="1611"/>
    </row>
    <row r="381" spans="1:26" customFormat="1" ht="27.6" hidden="1">
      <c r="A381" s="1611"/>
      <c r="B381" s="1611" t="s">
        <v>1049</v>
      </c>
      <c r="C381" s="1611" t="s">
        <v>1049</v>
      </c>
      <c r="D381" s="1611" t="s">
        <v>998</v>
      </c>
      <c r="E381" s="1619" t="s">
        <v>2547</v>
      </c>
      <c r="F381" s="1604">
        <v>36</v>
      </c>
      <c r="G381" s="1611" t="s">
        <v>2548</v>
      </c>
      <c r="H381" s="1618" t="s">
        <v>987</v>
      </c>
      <c r="I381" s="1618" t="s">
        <v>2549</v>
      </c>
      <c r="J381" s="1611" t="s">
        <v>2550</v>
      </c>
      <c r="K381" s="2894">
        <v>43106</v>
      </c>
      <c r="L381" s="1611" t="s">
        <v>990</v>
      </c>
      <c r="M381" s="1617" t="s">
        <v>2551</v>
      </c>
      <c r="N381" s="1611" t="s">
        <v>925</v>
      </c>
      <c r="O381" s="1604">
        <v>2018</v>
      </c>
      <c r="P381" s="1618" t="s">
        <v>2165</v>
      </c>
      <c r="Q381" s="1618">
        <v>1</v>
      </c>
      <c r="R381" s="1618"/>
      <c r="S381" s="1618">
        <v>1</v>
      </c>
      <c r="T381" s="1611" t="s">
        <v>2552</v>
      </c>
      <c r="U381" s="1611" t="s">
        <v>558</v>
      </c>
      <c r="V381" s="1611"/>
      <c r="W381" s="1611" t="s">
        <v>2238</v>
      </c>
      <c r="X381" s="1611"/>
      <c r="Y381" s="1611"/>
      <c r="Z381" s="1611"/>
    </row>
    <row r="382" spans="1:26" customFormat="1" hidden="1">
      <c r="A382" s="1611"/>
      <c r="B382" s="1611" t="s">
        <v>1049</v>
      </c>
      <c r="C382" s="1611" t="s">
        <v>1049</v>
      </c>
      <c r="D382" s="1611" t="s">
        <v>879</v>
      </c>
      <c r="E382" s="1619" t="s">
        <v>2553</v>
      </c>
      <c r="F382" s="1604">
        <v>36</v>
      </c>
      <c r="G382" s="1611" t="s">
        <v>2554</v>
      </c>
      <c r="H382" s="1618" t="s">
        <v>987</v>
      </c>
      <c r="I382" s="1618" t="s">
        <v>2310</v>
      </c>
      <c r="J382" s="1611" t="s">
        <v>2555</v>
      </c>
      <c r="K382" s="2894">
        <v>43110</v>
      </c>
      <c r="L382" s="1611" t="s">
        <v>990</v>
      </c>
      <c r="M382" s="1617" t="s">
        <v>2556</v>
      </c>
      <c r="N382" s="1611" t="s">
        <v>2320</v>
      </c>
      <c r="O382" s="1604">
        <v>2018</v>
      </c>
      <c r="P382" s="1618" t="s">
        <v>2165</v>
      </c>
      <c r="Q382" s="1618">
        <v>4</v>
      </c>
      <c r="R382" s="1618"/>
      <c r="S382" s="1618">
        <v>4</v>
      </c>
      <c r="T382" s="1611" t="s">
        <v>2227</v>
      </c>
      <c r="U382" s="1611" t="s">
        <v>934</v>
      </c>
      <c r="V382" s="1611"/>
      <c r="W382" s="1611" t="s">
        <v>2275</v>
      </c>
      <c r="X382" s="1611"/>
      <c r="Y382" s="1611"/>
      <c r="Z382" s="1611"/>
    </row>
    <row r="383" spans="1:26" customFormat="1" hidden="1">
      <c r="A383" s="1611"/>
      <c r="B383" s="1603" t="s">
        <v>1128</v>
      </c>
      <c r="C383" s="1611" t="s">
        <v>1128</v>
      </c>
      <c r="D383" s="1611" t="s">
        <v>879</v>
      </c>
      <c r="E383" s="1619" t="s">
        <v>2557</v>
      </c>
      <c r="F383" s="1604">
        <v>45</v>
      </c>
      <c r="G383" s="1611" t="s">
        <v>2558</v>
      </c>
      <c r="H383" s="1618" t="s">
        <v>987</v>
      </c>
      <c r="I383" s="1618" t="s">
        <v>2310</v>
      </c>
      <c r="J383" s="1611" t="s">
        <v>2761</v>
      </c>
      <c r="K383" s="2894">
        <v>43113</v>
      </c>
      <c r="L383" s="1611" t="s">
        <v>990</v>
      </c>
      <c r="M383" s="1617" t="s">
        <v>2791</v>
      </c>
      <c r="N383" s="1611" t="s">
        <v>925</v>
      </c>
      <c r="O383" s="1604">
        <v>2018</v>
      </c>
      <c r="P383" s="1618" t="s">
        <v>2165</v>
      </c>
      <c r="Q383" s="1618">
        <v>71</v>
      </c>
      <c r="R383" s="1618"/>
      <c r="S383" s="1618">
        <v>71</v>
      </c>
      <c r="T383" s="1611" t="s">
        <v>2559</v>
      </c>
      <c r="U383" s="1611" t="s">
        <v>1960</v>
      </c>
      <c r="V383" s="1611"/>
      <c r="W383" s="1611" t="s">
        <v>2340</v>
      </c>
      <c r="X383" s="1611"/>
      <c r="Y383" s="1611"/>
      <c r="Z383" s="1611"/>
    </row>
    <row r="384" spans="1:26" customFormat="1" ht="27.6" hidden="1">
      <c r="A384" s="1611"/>
      <c r="B384" s="1603" t="s">
        <v>1128</v>
      </c>
      <c r="C384" s="1611" t="s">
        <v>1128</v>
      </c>
      <c r="D384" s="1611" t="s">
        <v>879</v>
      </c>
      <c r="E384" s="1619" t="s">
        <v>2560</v>
      </c>
      <c r="F384" s="1604">
        <v>22</v>
      </c>
      <c r="G384" s="1611" t="s">
        <v>2676</v>
      </c>
      <c r="H384" s="1618" t="s">
        <v>994</v>
      </c>
      <c r="I384" s="1618" t="s">
        <v>2318</v>
      </c>
      <c r="J384" s="1611" t="s">
        <v>2561</v>
      </c>
      <c r="K384" s="2894">
        <v>43116</v>
      </c>
      <c r="L384" s="1611" t="s">
        <v>990</v>
      </c>
      <c r="M384" s="1617" t="s">
        <v>2562</v>
      </c>
      <c r="N384" s="1611" t="s">
        <v>917</v>
      </c>
      <c r="O384" s="1604">
        <v>2018</v>
      </c>
      <c r="P384" s="1618" t="s">
        <v>2165</v>
      </c>
      <c r="Q384" s="1618">
        <v>2</v>
      </c>
      <c r="R384" s="1618"/>
      <c r="S384" s="1618">
        <v>2</v>
      </c>
      <c r="T384" s="1611" t="s">
        <v>2563</v>
      </c>
      <c r="U384" s="1611" t="s">
        <v>864</v>
      </c>
      <c r="V384" s="1611"/>
      <c r="W384" s="1611" t="s">
        <v>2564</v>
      </c>
      <c r="X384" s="1611"/>
      <c r="Y384" s="1611"/>
      <c r="Z384" s="1611"/>
    </row>
    <row r="385" spans="1:26" customFormat="1" ht="27.6" hidden="1">
      <c r="A385" s="1611"/>
      <c r="B385" s="1611" t="s">
        <v>1223</v>
      </c>
      <c r="C385" s="1611" t="s">
        <v>693</v>
      </c>
      <c r="D385" s="1611" t="s">
        <v>879</v>
      </c>
      <c r="E385" s="1619" t="s">
        <v>2565</v>
      </c>
      <c r="F385" s="1604"/>
      <c r="G385" s="1611" t="s">
        <v>993</v>
      </c>
      <c r="H385" s="1618" t="s">
        <v>987</v>
      </c>
      <c r="I385" s="1618" t="s">
        <v>2310</v>
      </c>
      <c r="J385" s="1611" t="s">
        <v>2494</v>
      </c>
      <c r="K385" s="2894" t="s">
        <v>2566</v>
      </c>
      <c r="L385" s="1611" t="s">
        <v>990</v>
      </c>
      <c r="M385" s="1617" t="s">
        <v>2567</v>
      </c>
      <c r="N385" s="1611" t="s">
        <v>913</v>
      </c>
      <c r="O385" s="1604">
        <v>2018</v>
      </c>
      <c r="P385" s="1618" t="s">
        <v>2165</v>
      </c>
      <c r="Q385" s="1618">
        <v>31</v>
      </c>
      <c r="R385" s="1618"/>
      <c r="S385" s="1618">
        <v>31</v>
      </c>
      <c r="T385" s="1611" t="s">
        <v>2568</v>
      </c>
      <c r="U385" s="1611" t="s">
        <v>1960</v>
      </c>
      <c r="V385" s="1611"/>
      <c r="W385" s="1611" t="s">
        <v>2564</v>
      </c>
      <c r="X385" s="1611" t="s">
        <v>1228</v>
      </c>
      <c r="Y385" s="1611"/>
      <c r="Z385" s="1611"/>
    </row>
    <row r="386" spans="1:26" customFormat="1" ht="27.6" hidden="1">
      <c r="A386" s="1611"/>
      <c r="B386" s="1611" t="s">
        <v>938</v>
      </c>
      <c r="C386" s="1611" t="s">
        <v>938</v>
      </c>
      <c r="D386" s="1611" t="s">
        <v>938</v>
      </c>
      <c r="E386" s="1619" t="s">
        <v>2569</v>
      </c>
      <c r="F386" s="1604"/>
      <c r="G386" s="1611" t="s">
        <v>2097</v>
      </c>
      <c r="H386" s="1618" t="s">
        <v>987</v>
      </c>
      <c r="I386" s="1618" t="s">
        <v>2310</v>
      </c>
      <c r="J386" s="1611" t="s">
        <v>2570</v>
      </c>
      <c r="K386" s="2894">
        <v>43124</v>
      </c>
      <c r="L386" s="1611" t="s">
        <v>990</v>
      </c>
      <c r="M386" s="1617" t="s">
        <v>2571</v>
      </c>
      <c r="N386" s="1611" t="s">
        <v>2320</v>
      </c>
      <c r="O386" s="1604">
        <v>2018</v>
      </c>
      <c r="P386" s="1618" t="s">
        <v>2165</v>
      </c>
      <c r="Q386" s="1618">
        <v>2</v>
      </c>
      <c r="R386" s="1618"/>
      <c r="S386" s="1618">
        <v>2</v>
      </c>
      <c r="T386" s="1611" t="s">
        <v>2572</v>
      </c>
      <c r="U386" s="1611" t="s">
        <v>864</v>
      </c>
      <c r="V386" s="1611"/>
      <c r="W386" s="1611" t="s">
        <v>2564</v>
      </c>
      <c r="X386" s="1611" t="s">
        <v>2097</v>
      </c>
      <c r="Y386" s="1611"/>
      <c r="Z386" s="1611"/>
    </row>
    <row r="387" spans="1:26" customFormat="1" ht="27.6" hidden="1">
      <c r="A387" s="1611"/>
      <c r="B387" s="1611" t="s">
        <v>91</v>
      </c>
      <c r="C387" s="1611" t="s">
        <v>2867</v>
      </c>
      <c r="D387" s="1611" t="s">
        <v>879</v>
      </c>
      <c r="E387" s="1619" t="s">
        <v>2573</v>
      </c>
      <c r="F387" s="1604">
        <v>49</v>
      </c>
      <c r="G387" s="1611" t="s">
        <v>2574</v>
      </c>
      <c r="H387" s="1618" t="s">
        <v>987</v>
      </c>
      <c r="I387" s="1618" t="s">
        <v>2310</v>
      </c>
      <c r="J387" s="1611" t="s">
        <v>2575</v>
      </c>
      <c r="K387" s="2894">
        <v>43111</v>
      </c>
      <c r="L387" s="1611" t="s">
        <v>990</v>
      </c>
      <c r="M387" s="1617" t="s">
        <v>2576</v>
      </c>
      <c r="N387" s="1611" t="s">
        <v>2320</v>
      </c>
      <c r="O387" s="1604">
        <v>2018</v>
      </c>
      <c r="P387" s="1618" t="s">
        <v>2165</v>
      </c>
      <c r="Q387" s="1618">
        <v>15</v>
      </c>
      <c r="R387" s="1618"/>
      <c r="S387" s="1618">
        <v>15</v>
      </c>
      <c r="T387" s="1611" t="s">
        <v>2227</v>
      </c>
      <c r="U387" s="1611" t="s">
        <v>934</v>
      </c>
      <c r="V387" s="1611"/>
      <c r="W387" s="1611" t="s">
        <v>2340</v>
      </c>
      <c r="X387" s="1611"/>
      <c r="Y387" s="1611"/>
      <c r="Z387" s="1611"/>
    </row>
    <row r="388" spans="1:26" customFormat="1" hidden="1">
      <c r="A388" s="1611"/>
      <c r="B388" s="1611" t="s">
        <v>918</v>
      </c>
      <c r="C388" s="1611" t="s">
        <v>918</v>
      </c>
      <c r="D388" s="1611" t="s">
        <v>918</v>
      </c>
      <c r="E388" s="1619" t="s">
        <v>2577</v>
      </c>
      <c r="F388" s="1604">
        <v>33</v>
      </c>
      <c r="G388" s="1611" t="s">
        <v>993</v>
      </c>
      <c r="H388" s="1618" t="s">
        <v>987</v>
      </c>
      <c r="I388" s="1618" t="s">
        <v>2310</v>
      </c>
      <c r="J388" s="1611"/>
      <c r="K388" s="2894">
        <v>43130</v>
      </c>
      <c r="L388" s="1611" t="s">
        <v>990</v>
      </c>
      <c r="M388" s="1617" t="s">
        <v>2578</v>
      </c>
      <c r="N388" s="1611" t="s">
        <v>2320</v>
      </c>
      <c r="O388" s="1604">
        <v>2018</v>
      </c>
      <c r="P388" s="1618" t="s">
        <v>2165</v>
      </c>
      <c r="Q388" s="1618">
        <v>3</v>
      </c>
      <c r="R388" s="1618"/>
      <c r="S388" s="1618">
        <v>3</v>
      </c>
      <c r="T388" s="1611" t="s">
        <v>2579</v>
      </c>
      <c r="U388" s="1611" t="s">
        <v>918</v>
      </c>
      <c r="V388" s="1611"/>
      <c r="W388" s="1611" t="s">
        <v>2275</v>
      </c>
      <c r="X388" s="1611" t="s">
        <v>2580</v>
      </c>
      <c r="Y388" s="1611"/>
      <c r="Z388" s="1611"/>
    </row>
    <row r="389" spans="1:26" customFormat="1" hidden="1">
      <c r="A389" s="1611"/>
      <c r="B389" s="1611" t="s">
        <v>604</v>
      </c>
      <c r="C389" s="1611" t="s">
        <v>604</v>
      </c>
      <c r="D389" s="1611" t="s">
        <v>604</v>
      </c>
      <c r="E389" s="1619" t="s">
        <v>2581</v>
      </c>
      <c r="F389" s="1604">
        <v>57</v>
      </c>
      <c r="G389" s="1611" t="s">
        <v>993</v>
      </c>
      <c r="H389" s="1618" t="s">
        <v>994</v>
      </c>
      <c r="I389" s="1618" t="s">
        <v>2276</v>
      </c>
      <c r="J389" s="1611"/>
      <c r="K389" s="2894">
        <v>43123</v>
      </c>
      <c r="L389" s="1611" t="s">
        <v>990</v>
      </c>
      <c r="M389" s="1617" t="s">
        <v>2582</v>
      </c>
      <c r="N389" s="1611" t="s">
        <v>915</v>
      </c>
      <c r="O389" s="1604">
        <v>2018</v>
      </c>
      <c r="P389" s="1618" t="s">
        <v>2165</v>
      </c>
      <c r="Q389" s="1618">
        <v>1</v>
      </c>
      <c r="R389" s="1618"/>
      <c r="S389" s="1618">
        <v>1</v>
      </c>
      <c r="T389" s="1611" t="s">
        <v>2583</v>
      </c>
      <c r="U389" s="1611" t="s">
        <v>1960</v>
      </c>
      <c r="V389" s="1611"/>
      <c r="W389" s="1611" t="s">
        <v>2584</v>
      </c>
      <c r="X389" s="1611" t="s">
        <v>2585</v>
      </c>
      <c r="Y389" s="1611"/>
      <c r="Z389" s="1611"/>
    </row>
    <row r="390" spans="1:26" customFormat="1" ht="27.6" hidden="1">
      <c r="A390" s="1611"/>
      <c r="B390" s="1611" t="s">
        <v>91</v>
      </c>
      <c r="C390" s="1611" t="s">
        <v>91</v>
      </c>
      <c r="D390" s="1611" t="s">
        <v>998</v>
      </c>
      <c r="E390" s="1619" t="s">
        <v>2589</v>
      </c>
      <c r="F390" s="1604">
        <v>55</v>
      </c>
      <c r="G390" s="1611" t="s">
        <v>2590</v>
      </c>
      <c r="H390" s="1618" t="s">
        <v>987</v>
      </c>
      <c r="I390" s="1618" t="s">
        <v>2276</v>
      </c>
      <c r="J390" s="1611" t="s">
        <v>2591</v>
      </c>
      <c r="K390" s="2894">
        <v>43132</v>
      </c>
      <c r="L390" s="1611" t="s">
        <v>990</v>
      </c>
      <c r="M390" s="1617" t="s">
        <v>2592</v>
      </c>
      <c r="N390" s="1611" t="s">
        <v>2320</v>
      </c>
      <c r="O390" s="1604">
        <v>2018</v>
      </c>
      <c r="P390" s="1618" t="s">
        <v>896</v>
      </c>
      <c r="Q390" s="1618">
        <v>35</v>
      </c>
      <c r="R390" s="1618"/>
      <c r="S390" s="1618">
        <v>35</v>
      </c>
      <c r="T390" s="1611" t="s">
        <v>2227</v>
      </c>
      <c r="U390" s="1611" t="s">
        <v>558</v>
      </c>
      <c r="V390" s="1611"/>
      <c r="W390" s="1611" t="s">
        <v>2340</v>
      </c>
      <c r="X390" s="1611"/>
      <c r="Y390" s="1611"/>
      <c r="Z390" s="1611"/>
    </row>
    <row r="391" spans="1:26" customFormat="1" hidden="1">
      <c r="A391" s="1611"/>
      <c r="B391" s="1611" t="s">
        <v>2609</v>
      </c>
      <c r="C391" s="1611" t="s">
        <v>2608</v>
      </c>
      <c r="D391" s="1611" t="s">
        <v>2609</v>
      </c>
      <c r="E391" s="1619" t="s">
        <v>2593</v>
      </c>
      <c r="F391" s="1604">
        <v>30</v>
      </c>
      <c r="G391" s="1611" t="s">
        <v>2755</v>
      </c>
      <c r="H391" s="1618" t="s">
        <v>987</v>
      </c>
      <c r="I391" s="1618" t="s">
        <v>2318</v>
      </c>
      <c r="J391" s="1611" t="s">
        <v>2301</v>
      </c>
      <c r="K391" s="2894">
        <v>43133</v>
      </c>
      <c r="L391" s="1611" t="s">
        <v>990</v>
      </c>
      <c r="M391" s="1617" t="s">
        <v>2594</v>
      </c>
      <c r="N391" s="1611" t="s">
        <v>2320</v>
      </c>
      <c r="O391" s="1604">
        <v>2018</v>
      </c>
      <c r="P391" s="1618" t="s">
        <v>896</v>
      </c>
      <c r="Q391" s="1618">
        <v>96</v>
      </c>
      <c r="R391" s="1618"/>
      <c r="S391" s="1618">
        <v>96</v>
      </c>
      <c r="T391" s="1611" t="s">
        <v>2595</v>
      </c>
      <c r="U391" s="1611" t="s">
        <v>864</v>
      </c>
      <c r="V391" s="1611"/>
      <c r="W391" s="1611" t="s">
        <v>2340</v>
      </c>
      <c r="X391" s="1611"/>
      <c r="Y391" s="1611"/>
      <c r="Z391" s="1611"/>
    </row>
    <row r="392" spans="1:26" customFormat="1" ht="27.6" hidden="1">
      <c r="A392" s="1611"/>
      <c r="B392" s="1611" t="s">
        <v>938</v>
      </c>
      <c r="C392" s="1611" t="s">
        <v>938</v>
      </c>
      <c r="D392" s="1611" t="s">
        <v>938</v>
      </c>
      <c r="E392" s="1619" t="s">
        <v>2596</v>
      </c>
      <c r="F392" s="1604">
        <v>21</v>
      </c>
      <c r="G392" s="1611" t="s">
        <v>2752</v>
      </c>
      <c r="H392" s="1618" t="s">
        <v>987</v>
      </c>
      <c r="I392" s="1618" t="s">
        <v>2318</v>
      </c>
      <c r="J392" s="1611" t="s">
        <v>2301</v>
      </c>
      <c r="K392" s="2894">
        <v>43134</v>
      </c>
      <c r="L392" s="1611" t="s">
        <v>990</v>
      </c>
      <c r="M392" s="1617" t="s">
        <v>2597</v>
      </c>
      <c r="N392" s="1611" t="s">
        <v>923</v>
      </c>
      <c r="O392" s="1604">
        <v>2018</v>
      </c>
      <c r="P392" s="1618" t="s">
        <v>896</v>
      </c>
      <c r="Q392" s="1618">
        <v>4</v>
      </c>
      <c r="R392" s="1618"/>
      <c r="S392" s="1618">
        <v>4</v>
      </c>
      <c r="T392" s="1611" t="s">
        <v>2262</v>
      </c>
      <c r="U392" s="1611" t="s">
        <v>934</v>
      </c>
      <c r="V392" s="1611"/>
      <c r="W392" s="1611" t="s">
        <v>2564</v>
      </c>
      <c r="X392" s="1611" t="s">
        <v>2097</v>
      </c>
      <c r="Y392" s="1611"/>
      <c r="Z392" s="1611"/>
    </row>
    <row r="393" spans="1:26" customFormat="1" ht="27.6" hidden="1">
      <c r="A393" s="1611"/>
      <c r="B393" s="1603" t="s">
        <v>1128</v>
      </c>
      <c r="C393" s="1611" t="s">
        <v>1128</v>
      </c>
      <c r="D393" s="1611" t="s">
        <v>879</v>
      </c>
      <c r="E393" s="1619" t="s">
        <v>2598</v>
      </c>
      <c r="F393" s="1604">
        <v>53</v>
      </c>
      <c r="G393" s="1611" t="s">
        <v>2599</v>
      </c>
      <c r="H393" s="1618" t="s">
        <v>987</v>
      </c>
      <c r="I393" s="1618" t="s">
        <v>2318</v>
      </c>
      <c r="J393" s="1611" t="s">
        <v>1169</v>
      </c>
      <c r="K393" s="2894">
        <v>43143</v>
      </c>
      <c r="L393" s="1611" t="s">
        <v>990</v>
      </c>
      <c r="M393" s="1617" t="s">
        <v>2600</v>
      </c>
      <c r="N393" s="1611" t="s">
        <v>913</v>
      </c>
      <c r="O393" s="1604">
        <v>2018</v>
      </c>
      <c r="P393" s="1618" t="s">
        <v>896</v>
      </c>
      <c r="Q393" s="1618">
        <v>2</v>
      </c>
      <c r="R393" s="1618"/>
      <c r="S393" s="1618">
        <v>2</v>
      </c>
      <c r="T393" s="1611" t="s">
        <v>2227</v>
      </c>
      <c r="U393" s="1611" t="s">
        <v>864</v>
      </c>
      <c r="V393" s="1611"/>
      <c r="W393" s="1611" t="s">
        <v>2564</v>
      </c>
      <c r="X393" s="1611"/>
      <c r="Y393" s="1611"/>
      <c r="Z393" s="1611"/>
    </row>
    <row r="394" spans="1:26" customFormat="1" ht="27.6" hidden="1">
      <c r="A394" s="1611"/>
      <c r="B394" s="1603" t="s">
        <v>1128</v>
      </c>
      <c r="C394" s="1611" t="s">
        <v>1128</v>
      </c>
      <c r="D394" s="1611" t="s">
        <v>879</v>
      </c>
      <c r="E394" s="1619" t="s">
        <v>2601</v>
      </c>
      <c r="F394" s="1604">
        <v>22</v>
      </c>
      <c r="G394" s="1611" t="s">
        <v>2676</v>
      </c>
      <c r="H394" s="1618" t="s">
        <v>987</v>
      </c>
      <c r="I394" s="1618" t="s">
        <v>2318</v>
      </c>
      <c r="J394" s="1611" t="s">
        <v>2602</v>
      </c>
      <c r="K394" s="2894">
        <v>43149</v>
      </c>
      <c r="L394" s="1611" t="s">
        <v>990</v>
      </c>
      <c r="M394" s="1617" t="s">
        <v>2603</v>
      </c>
      <c r="N394" s="1611" t="s">
        <v>2320</v>
      </c>
      <c r="O394" s="1604">
        <v>2018</v>
      </c>
      <c r="P394" s="1618" t="s">
        <v>896</v>
      </c>
      <c r="Q394" s="1618">
        <v>9</v>
      </c>
      <c r="R394" s="1618"/>
      <c r="S394" s="1618">
        <v>9</v>
      </c>
      <c r="T394" s="1611" t="s">
        <v>2227</v>
      </c>
      <c r="U394" s="1611" t="s">
        <v>864</v>
      </c>
      <c r="V394" s="1611"/>
      <c r="W394" s="1611" t="s">
        <v>2275</v>
      </c>
      <c r="X394" s="1611"/>
      <c r="Y394" s="1611"/>
      <c r="Z394" s="1611"/>
    </row>
    <row r="395" spans="1:26" customFormat="1" hidden="1">
      <c r="A395" s="1611"/>
      <c r="B395" s="1611" t="s">
        <v>938</v>
      </c>
      <c r="C395" s="1611" t="s">
        <v>938</v>
      </c>
      <c r="D395" s="1611" t="s">
        <v>938</v>
      </c>
      <c r="E395" s="1619" t="s">
        <v>2604</v>
      </c>
      <c r="F395" s="1604">
        <v>19</v>
      </c>
      <c r="G395" s="1611" t="s">
        <v>2097</v>
      </c>
      <c r="H395" s="1618" t="s">
        <v>987</v>
      </c>
      <c r="I395" s="1618" t="s">
        <v>2310</v>
      </c>
      <c r="J395" s="1611" t="s">
        <v>2605</v>
      </c>
      <c r="K395" s="2894">
        <v>43159</v>
      </c>
      <c r="L395" s="1611" t="s">
        <v>990</v>
      </c>
      <c r="M395" s="1617" t="s">
        <v>2606</v>
      </c>
      <c r="N395" s="1611" t="s">
        <v>2320</v>
      </c>
      <c r="O395" s="1604">
        <v>2018</v>
      </c>
      <c r="P395" s="1618" t="s">
        <v>896</v>
      </c>
      <c r="Q395" s="1618">
        <v>4</v>
      </c>
      <c r="R395" s="1618"/>
      <c r="S395" s="1618">
        <v>4</v>
      </c>
      <c r="T395" s="1611" t="s">
        <v>2227</v>
      </c>
      <c r="U395" s="1611" t="s">
        <v>864</v>
      </c>
      <c r="V395" s="1611"/>
      <c r="W395" s="1611" t="s">
        <v>2607</v>
      </c>
      <c r="X395" s="1611" t="s">
        <v>2097</v>
      </c>
      <c r="Y395" s="1611"/>
      <c r="Z395" s="1611"/>
    </row>
    <row r="396" spans="1:26" customFormat="1" ht="27.6" hidden="1">
      <c r="A396" s="1611"/>
      <c r="B396" s="1611" t="s">
        <v>918</v>
      </c>
      <c r="C396" s="1611" t="s">
        <v>918</v>
      </c>
      <c r="D396" s="1611" t="s">
        <v>918</v>
      </c>
      <c r="E396" s="1619" t="s">
        <v>2633</v>
      </c>
      <c r="F396" s="1604"/>
      <c r="G396" s="1611" t="s">
        <v>999</v>
      </c>
      <c r="H396" s="1618" t="s">
        <v>994</v>
      </c>
      <c r="I396" s="1618" t="s">
        <v>2310</v>
      </c>
      <c r="J396" s="1611"/>
      <c r="K396" s="2894">
        <v>43158</v>
      </c>
      <c r="L396" s="1611" t="s">
        <v>990</v>
      </c>
      <c r="M396" s="1617" t="s">
        <v>2634</v>
      </c>
      <c r="N396" s="1611" t="s">
        <v>913</v>
      </c>
      <c r="O396" s="1604">
        <v>2018</v>
      </c>
      <c r="P396" s="1618" t="s">
        <v>896</v>
      </c>
      <c r="Q396" s="1618">
        <v>10</v>
      </c>
      <c r="R396" s="1618"/>
      <c r="S396" s="1618">
        <v>10</v>
      </c>
      <c r="T396" s="1611" t="s">
        <v>2636</v>
      </c>
      <c r="U396" s="1611" t="s">
        <v>1960</v>
      </c>
      <c r="V396" s="1611"/>
      <c r="W396" s="1611" t="s">
        <v>2607</v>
      </c>
      <c r="X396" s="1611" t="s">
        <v>2635</v>
      </c>
      <c r="Y396" s="1611"/>
      <c r="Z396" s="1611"/>
    </row>
    <row r="397" spans="1:26" customFormat="1" ht="27.6" hidden="1">
      <c r="A397" s="1611"/>
      <c r="B397" s="1611" t="s">
        <v>938</v>
      </c>
      <c r="C397" s="1611" t="s">
        <v>938</v>
      </c>
      <c r="D397" s="1611" t="s">
        <v>938</v>
      </c>
      <c r="E397" s="1619" t="s">
        <v>2619</v>
      </c>
      <c r="F397" s="1604"/>
      <c r="G397" s="1611" t="s">
        <v>2097</v>
      </c>
      <c r="H397" s="1618" t="s">
        <v>987</v>
      </c>
      <c r="I397" s="1618" t="s">
        <v>2276</v>
      </c>
      <c r="J397" s="1611" t="s">
        <v>2620</v>
      </c>
      <c r="K397" s="2894">
        <v>43161</v>
      </c>
      <c r="L397" s="1611" t="s">
        <v>990</v>
      </c>
      <c r="M397" s="1617" t="s">
        <v>2621</v>
      </c>
      <c r="N397" s="1611" t="s">
        <v>2320</v>
      </c>
      <c r="O397" s="1604">
        <v>2018</v>
      </c>
      <c r="P397" s="1618" t="s">
        <v>897</v>
      </c>
      <c r="Q397" s="1618">
        <v>2</v>
      </c>
      <c r="R397" s="1618"/>
      <c r="S397" s="1618">
        <v>2</v>
      </c>
      <c r="T397" s="1611" t="s">
        <v>2227</v>
      </c>
      <c r="U397" s="1611" t="s">
        <v>864</v>
      </c>
      <c r="V397" s="1611"/>
      <c r="W397" s="1611" t="s">
        <v>2564</v>
      </c>
      <c r="X397" s="1611" t="s">
        <v>2097</v>
      </c>
      <c r="Y397" s="1611"/>
      <c r="Z397" s="1611"/>
    </row>
    <row r="398" spans="1:26" customFormat="1" ht="27.6" hidden="1">
      <c r="A398" s="1611"/>
      <c r="B398" s="1603" t="s">
        <v>1128</v>
      </c>
      <c r="C398" s="1611" t="s">
        <v>1128</v>
      </c>
      <c r="D398" s="1611" t="s">
        <v>879</v>
      </c>
      <c r="E398" s="1619" t="s">
        <v>2622</v>
      </c>
      <c r="F398" s="1604">
        <v>63</v>
      </c>
      <c r="G398" s="1611" t="s">
        <v>2623</v>
      </c>
      <c r="H398" s="1618" t="s">
        <v>987</v>
      </c>
      <c r="I398" s="1618" t="s">
        <v>2624</v>
      </c>
      <c r="J398" s="1611" t="s">
        <v>2873</v>
      </c>
      <c r="K398" s="2894">
        <v>43163</v>
      </c>
      <c r="L398" s="1611" t="s">
        <v>990</v>
      </c>
      <c r="M398" s="1617" t="s">
        <v>2625</v>
      </c>
      <c r="N398" s="1611" t="s">
        <v>2320</v>
      </c>
      <c r="O398" s="1604">
        <v>2018</v>
      </c>
      <c r="P398" s="1618" t="s">
        <v>897</v>
      </c>
      <c r="Q398" s="1618">
        <v>61</v>
      </c>
      <c r="R398" s="1618"/>
      <c r="S398" s="1618">
        <v>61</v>
      </c>
      <c r="T398" s="1611" t="s">
        <v>2626</v>
      </c>
      <c r="U398" s="1611" t="s">
        <v>934</v>
      </c>
      <c r="V398" s="1611"/>
      <c r="W398" s="1611" t="s">
        <v>849</v>
      </c>
      <c r="X398" s="1611"/>
      <c r="Y398" s="1611"/>
      <c r="Z398" s="1611"/>
    </row>
    <row r="399" spans="1:26" customFormat="1" ht="41.4" hidden="1">
      <c r="A399" s="1611"/>
      <c r="B399" s="1611" t="s">
        <v>591</v>
      </c>
      <c r="C399" s="1603" t="s">
        <v>974</v>
      </c>
      <c r="D399" s="1611" t="s">
        <v>879</v>
      </c>
      <c r="E399" s="1619" t="s">
        <v>2627</v>
      </c>
      <c r="F399" s="1604">
        <v>27</v>
      </c>
      <c r="G399" s="1611" t="s">
        <v>2760</v>
      </c>
      <c r="H399" s="1618" t="s">
        <v>987</v>
      </c>
      <c r="I399" s="1618" t="s">
        <v>2624</v>
      </c>
      <c r="J399" s="1611" t="s">
        <v>1391</v>
      </c>
      <c r="K399" s="2894">
        <v>43175</v>
      </c>
      <c r="L399" s="1611" t="s">
        <v>990</v>
      </c>
      <c r="M399" s="1617" t="s">
        <v>2628</v>
      </c>
      <c r="N399" s="1611" t="s">
        <v>2320</v>
      </c>
      <c r="O399" s="1604">
        <v>2018</v>
      </c>
      <c r="P399" s="1618" t="s">
        <v>897</v>
      </c>
      <c r="Q399" s="1618">
        <v>110</v>
      </c>
      <c r="R399" s="1618"/>
      <c r="S399" s="1618">
        <v>110</v>
      </c>
      <c r="T399" s="1611" t="s">
        <v>2629</v>
      </c>
      <c r="U399" s="1611" t="s">
        <v>864</v>
      </c>
      <c r="V399" s="1611"/>
      <c r="W399" s="1611" t="s">
        <v>2340</v>
      </c>
      <c r="X399" s="1611"/>
      <c r="Y399" s="1611"/>
      <c r="Z399" s="1611"/>
    </row>
    <row r="400" spans="1:26" customFormat="1" ht="27.6" hidden="1">
      <c r="A400" s="1611"/>
      <c r="B400" s="1611" t="s">
        <v>1057</v>
      </c>
      <c r="C400" s="1611" t="s">
        <v>1057</v>
      </c>
      <c r="D400" s="1611" t="s">
        <v>1057</v>
      </c>
      <c r="E400" s="1619" t="s">
        <v>2630</v>
      </c>
      <c r="F400" s="1604">
        <v>48</v>
      </c>
      <c r="G400" s="1611" t="s">
        <v>993</v>
      </c>
      <c r="H400" s="1618" t="s">
        <v>987</v>
      </c>
      <c r="I400" s="1618" t="s">
        <v>2310</v>
      </c>
      <c r="J400" s="1611" t="s">
        <v>2872</v>
      </c>
      <c r="K400" s="2894">
        <v>43187</v>
      </c>
      <c r="L400" s="1611" t="s">
        <v>990</v>
      </c>
      <c r="M400" s="1617" t="s">
        <v>2631</v>
      </c>
      <c r="N400" s="1611" t="s">
        <v>2320</v>
      </c>
      <c r="O400" s="1604">
        <v>2018</v>
      </c>
      <c r="P400" s="1618" t="s">
        <v>897</v>
      </c>
      <c r="Q400" s="1618">
        <v>30</v>
      </c>
      <c r="R400" s="1618"/>
      <c r="S400" s="1618">
        <v>30</v>
      </c>
      <c r="T400" s="1611" t="s">
        <v>2227</v>
      </c>
      <c r="U400" s="1611" t="s">
        <v>1057</v>
      </c>
      <c r="V400" s="1611"/>
      <c r="W400" s="1611" t="s">
        <v>849</v>
      </c>
      <c r="X400" s="1611" t="s">
        <v>2632</v>
      </c>
      <c r="Y400" s="1611"/>
      <c r="Z400" s="1611"/>
    </row>
    <row r="401" spans="1:26" customFormat="1" ht="27.6" hidden="1">
      <c r="A401" s="1611"/>
      <c r="B401" s="1611" t="s">
        <v>1049</v>
      </c>
      <c r="C401" s="1611" t="s">
        <v>1049</v>
      </c>
      <c r="D401" s="1611" t="s">
        <v>879</v>
      </c>
      <c r="E401" s="1619" t="s">
        <v>2640</v>
      </c>
      <c r="F401" s="1604">
        <v>39</v>
      </c>
      <c r="G401" s="1611" t="s">
        <v>2554</v>
      </c>
      <c r="H401" s="1618" t="s">
        <v>987</v>
      </c>
      <c r="I401" s="1618" t="s">
        <v>2310</v>
      </c>
      <c r="J401" s="1611" t="s">
        <v>2871</v>
      </c>
      <c r="K401" s="2894">
        <v>43207</v>
      </c>
      <c r="L401" s="1611" t="s">
        <v>990</v>
      </c>
      <c r="M401" s="1617" t="s">
        <v>2638</v>
      </c>
      <c r="N401" s="1611" t="s">
        <v>923</v>
      </c>
      <c r="O401" s="1604">
        <v>2018</v>
      </c>
      <c r="P401" s="1618" t="s">
        <v>898</v>
      </c>
      <c r="Q401" s="1618">
        <v>1</v>
      </c>
      <c r="R401" s="1618"/>
      <c r="S401" s="1618">
        <v>1</v>
      </c>
      <c r="T401" s="1611" t="s">
        <v>2227</v>
      </c>
      <c r="U401" s="1611" t="s">
        <v>864</v>
      </c>
      <c r="V401" s="1611"/>
      <c r="W401" s="1611" t="s">
        <v>2564</v>
      </c>
      <c r="X401" s="1611"/>
      <c r="Y401" s="1611"/>
      <c r="Z401" s="1611"/>
    </row>
    <row r="402" spans="1:26" customFormat="1" hidden="1">
      <c r="A402" s="1611"/>
      <c r="B402" s="1603" t="s">
        <v>77</v>
      </c>
      <c r="C402" s="1611" t="s">
        <v>77</v>
      </c>
      <c r="D402" s="1611" t="s">
        <v>879</v>
      </c>
      <c r="E402" s="1619" t="s">
        <v>2642</v>
      </c>
      <c r="F402" s="1604">
        <v>37</v>
      </c>
      <c r="G402" s="1611" t="s">
        <v>2641</v>
      </c>
      <c r="H402" s="1618" t="s">
        <v>987</v>
      </c>
      <c r="I402" s="1618" t="s">
        <v>2276</v>
      </c>
      <c r="J402" s="1611" t="s">
        <v>2644</v>
      </c>
      <c r="K402" s="2894" t="s">
        <v>2643</v>
      </c>
      <c r="L402" s="1611" t="s">
        <v>990</v>
      </c>
      <c r="M402" s="1617" t="s">
        <v>2639</v>
      </c>
      <c r="N402" s="1611" t="s">
        <v>2320</v>
      </c>
      <c r="O402" s="1604">
        <v>2018</v>
      </c>
      <c r="P402" s="1618" t="s">
        <v>898</v>
      </c>
      <c r="Q402" s="1618">
        <v>7</v>
      </c>
      <c r="R402" s="1618"/>
      <c r="S402" s="1618">
        <v>7</v>
      </c>
      <c r="T402" s="1611" t="s">
        <v>2227</v>
      </c>
      <c r="U402" s="1611" t="s">
        <v>864</v>
      </c>
      <c r="V402" s="1611"/>
      <c r="W402" s="1611" t="s">
        <v>849</v>
      </c>
      <c r="X402" s="1611"/>
      <c r="Y402" s="1611"/>
      <c r="Z402" s="1611"/>
    </row>
    <row r="403" spans="1:26" customFormat="1" hidden="1">
      <c r="A403" s="1611"/>
      <c r="B403" s="1611" t="s">
        <v>2609</v>
      </c>
      <c r="C403" s="1611" t="s">
        <v>2691</v>
      </c>
      <c r="D403" s="1611" t="s">
        <v>2609</v>
      </c>
      <c r="E403" s="1619" t="s">
        <v>2648</v>
      </c>
      <c r="F403" s="1604">
        <v>36</v>
      </c>
      <c r="G403" s="1611" t="s">
        <v>993</v>
      </c>
      <c r="H403" s="1618" t="s">
        <v>987</v>
      </c>
      <c r="I403" s="1618" t="s">
        <v>2318</v>
      </c>
      <c r="J403" s="1611" t="s">
        <v>2496</v>
      </c>
      <c r="K403" s="2894">
        <v>43223</v>
      </c>
      <c r="L403" s="1611" t="s">
        <v>990</v>
      </c>
      <c r="M403" s="1617" t="s">
        <v>2690</v>
      </c>
      <c r="N403" s="1611" t="s">
        <v>913</v>
      </c>
      <c r="O403" s="1604">
        <v>2018</v>
      </c>
      <c r="P403" s="1618" t="s">
        <v>899</v>
      </c>
      <c r="Q403" s="1618">
        <v>90</v>
      </c>
      <c r="R403" s="1618"/>
      <c r="S403" s="1618">
        <v>90</v>
      </c>
      <c r="T403" s="1611" t="s">
        <v>2649</v>
      </c>
      <c r="U403" s="1611" t="s">
        <v>1960</v>
      </c>
      <c r="V403" s="1611"/>
      <c r="W403" s="1611" t="s">
        <v>2650</v>
      </c>
      <c r="X403" s="1611" t="s">
        <v>1105</v>
      </c>
      <c r="Y403" s="1611"/>
      <c r="Z403" s="1611"/>
    </row>
    <row r="404" spans="1:26" customFormat="1" hidden="1">
      <c r="A404" s="1611"/>
      <c r="B404" s="1603" t="s">
        <v>1128</v>
      </c>
      <c r="C404" s="1611" t="s">
        <v>1128</v>
      </c>
      <c r="D404" s="1611" t="s">
        <v>879</v>
      </c>
      <c r="E404" s="1619" t="s">
        <v>2655</v>
      </c>
      <c r="F404" s="1604">
        <v>36</v>
      </c>
      <c r="G404" s="1611" t="s">
        <v>2534</v>
      </c>
      <c r="H404" s="1618" t="s">
        <v>987</v>
      </c>
      <c r="I404" s="1618" t="s">
        <v>2624</v>
      </c>
      <c r="J404" s="1611" t="s">
        <v>2492</v>
      </c>
      <c r="K404" s="2894">
        <v>43232</v>
      </c>
      <c r="L404" s="1611" t="s">
        <v>990</v>
      </c>
      <c r="M404" s="1617" t="s">
        <v>2652</v>
      </c>
      <c r="N404" s="1611" t="s">
        <v>923</v>
      </c>
      <c r="O404" s="1604">
        <v>2018</v>
      </c>
      <c r="P404" s="1618" t="s">
        <v>899</v>
      </c>
      <c r="Q404" s="1618">
        <v>3</v>
      </c>
      <c r="R404" s="1618"/>
      <c r="S404" s="1618">
        <v>3</v>
      </c>
      <c r="T404" s="1611" t="s">
        <v>2653</v>
      </c>
      <c r="U404" s="1611" t="s">
        <v>864</v>
      </c>
      <c r="V404" s="1611"/>
      <c r="W404" s="1611" t="s">
        <v>2654</v>
      </c>
      <c r="X404" s="1611"/>
      <c r="Y404" s="1611"/>
      <c r="Z404" s="1611"/>
    </row>
    <row r="405" spans="1:26" customFormat="1" hidden="1">
      <c r="A405" s="1611"/>
      <c r="B405" s="1603" t="s">
        <v>1128</v>
      </c>
      <c r="C405" s="1611" t="s">
        <v>1128</v>
      </c>
      <c r="D405" s="1611" t="s">
        <v>879</v>
      </c>
      <c r="E405" s="1619" t="s">
        <v>2651</v>
      </c>
      <c r="F405" s="1604">
        <v>19</v>
      </c>
      <c r="G405" s="1611" t="s">
        <v>2676</v>
      </c>
      <c r="H405" s="1618" t="s">
        <v>987</v>
      </c>
      <c r="I405" s="1618" t="s">
        <v>2318</v>
      </c>
      <c r="J405" s="1611" t="s">
        <v>2869</v>
      </c>
      <c r="K405" s="2894">
        <v>43233</v>
      </c>
      <c r="L405" s="1611" t="s">
        <v>990</v>
      </c>
      <c r="M405" s="1617" t="s">
        <v>2656</v>
      </c>
      <c r="N405" s="1611" t="s">
        <v>923</v>
      </c>
      <c r="O405" s="1604">
        <v>2018</v>
      </c>
      <c r="P405" s="1618" t="s">
        <v>899</v>
      </c>
      <c r="Q405" s="1618">
        <v>4</v>
      </c>
      <c r="R405" s="1618"/>
      <c r="S405" s="1618">
        <v>4</v>
      </c>
      <c r="T405" s="1611" t="s">
        <v>2227</v>
      </c>
      <c r="U405" s="1611" t="s">
        <v>864</v>
      </c>
      <c r="V405" s="1611"/>
      <c r="W405" s="1611" t="s">
        <v>2275</v>
      </c>
      <c r="X405" s="1611"/>
      <c r="Y405" s="1611"/>
      <c r="Z405" s="1611"/>
    </row>
    <row r="406" spans="1:26" customFormat="1" ht="27.6" hidden="1">
      <c r="A406" s="1611"/>
      <c r="B406" s="1611" t="s">
        <v>1006</v>
      </c>
      <c r="C406" s="1611" t="s">
        <v>1006</v>
      </c>
      <c r="D406" s="1611" t="s">
        <v>879</v>
      </c>
      <c r="E406" s="1619" t="s">
        <v>2657</v>
      </c>
      <c r="F406" s="1604">
        <v>39</v>
      </c>
      <c r="G406" s="1611" t="s">
        <v>1014</v>
      </c>
      <c r="H406" s="1618" t="s">
        <v>987</v>
      </c>
      <c r="I406" s="1618" t="s">
        <v>2276</v>
      </c>
      <c r="J406" s="1611" t="s">
        <v>2644</v>
      </c>
      <c r="K406" s="2894">
        <v>43239</v>
      </c>
      <c r="L406" s="1611" t="s">
        <v>990</v>
      </c>
      <c r="M406" s="1617" t="s">
        <v>2658</v>
      </c>
      <c r="N406" s="1611" t="s">
        <v>2320</v>
      </c>
      <c r="O406" s="1604">
        <v>2018</v>
      </c>
      <c r="P406" s="1618" t="s">
        <v>899</v>
      </c>
      <c r="Q406" s="1618">
        <v>16</v>
      </c>
      <c r="R406" s="1618"/>
      <c r="S406" s="1618">
        <v>16</v>
      </c>
      <c r="T406" s="1611" t="s">
        <v>2227</v>
      </c>
      <c r="U406" s="1611" t="s">
        <v>864</v>
      </c>
      <c r="V406" s="1611"/>
      <c r="W406" s="1611" t="s">
        <v>849</v>
      </c>
      <c r="X406" s="1611"/>
      <c r="Y406" s="1611"/>
      <c r="Z406" s="1611"/>
    </row>
    <row r="407" spans="1:26" customFormat="1" hidden="1">
      <c r="A407" s="1611"/>
      <c r="B407" s="1603" t="s">
        <v>1128</v>
      </c>
      <c r="C407" s="1611" t="s">
        <v>1128</v>
      </c>
      <c r="D407" s="1611" t="s">
        <v>879</v>
      </c>
      <c r="E407" s="1619" t="s">
        <v>2659</v>
      </c>
      <c r="F407" s="1604">
        <v>53</v>
      </c>
      <c r="G407" s="1611" t="s">
        <v>1014</v>
      </c>
      <c r="H407" s="1618" t="s">
        <v>987</v>
      </c>
      <c r="I407" s="1618" t="s">
        <v>2318</v>
      </c>
      <c r="J407" s="1611" t="s">
        <v>2660</v>
      </c>
      <c r="K407" s="2894">
        <v>43239</v>
      </c>
      <c r="L407" s="1611" t="s">
        <v>990</v>
      </c>
      <c r="M407" s="1617" t="s">
        <v>2661</v>
      </c>
      <c r="N407" s="1611" t="s">
        <v>917</v>
      </c>
      <c r="O407" s="1604">
        <v>2018</v>
      </c>
      <c r="P407" s="1618" t="s">
        <v>899</v>
      </c>
      <c r="Q407" s="1618">
        <v>3</v>
      </c>
      <c r="R407" s="1618"/>
      <c r="S407" s="1618">
        <v>3</v>
      </c>
      <c r="T407" s="1611" t="s">
        <v>2233</v>
      </c>
      <c r="U407" s="1611" t="s">
        <v>1960</v>
      </c>
      <c r="V407" s="1611"/>
      <c r="W407" s="1611" t="s">
        <v>2564</v>
      </c>
      <c r="X407" s="1611"/>
      <c r="Y407" s="1611"/>
      <c r="Z407" s="1611"/>
    </row>
    <row r="408" spans="1:26" customFormat="1" hidden="1">
      <c r="A408" s="1611"/>
      <c r="B408" s="1611" t="s">
        <v>91</v>
      </c>
      <c r="C408" s="1611" t="s">
        <v>2844</v>
      </c>
      <c r="D408" s="1611" t="s">
        <v>879</v>
      </c>
      <c r="E408" s="1619" t="s">
        <v>2662</v>
      </c>
      <c r="F408" s="1604">
        <v>19</v>
      </c>
      <c r="G408" s="1611" t="s">
        <v>2756</v>
      </c>
      <c r="H408" s="1618" t="s">
        <v>987</v>
      </c>
      <c r="I408" s="1618" t="s">
        <v>2276</v>
      </c>
      <c r="J408" s="1611" t="s">
        <v>2663</v>
      </c>
      <c r="K408" s="2894">
        <v>43241</v>
      </c>
      <c r="L408" s="1611" t="s">
        <v>990</v>
      </c>
      <c r="M408" s="1617" t="s">
        <v>2664</v>
      </c>
      <c r="N408" s="1611" t="s">
        <v>913</v>
      </c>
      <c r="O408" s="1604">
        <v>2018</v>
      </c>
      <c r="P408" s="1618" t="s">
        <v>899</v>
      </c>
      <c r="Q408" s="1618">
        <v>14</v>
      </c>
      <c r="R408" s="1618"/>
      <c r="S408" s="1618">
        <v>14</v>
      </c>
      <c r="T408" s="1611" t="s">
        <v>2227</v>
      </c>
      <c r="U408" s="1611" t="s">
        <v>864</v>
      </c>
      <c r="V408" s="1611"/>
      <c r="W408" s="1611" t="s">
        <v>2564</v>
      </c>
      <c r="X408" s="1611"/>
      <c r="Y408" s="1611"/>
      <c r="Z408" s="1611"/>
    </row>
    <row r="409" spans="1:26" customFormat="1" ht="27.6" hidden="1">
      <c r="A409" s="1611"/>
      <c r="B409" s="1611" t="s">
        <v>602</v>
      </c>
      <c r="C409" s="1611" t="s">
        <v>2647</v>
      </c>
      <c r="D409" s="1611" t="s">
        <v>431</v>
      </c>
      <c r="E409" s="1619" t="s">
        <v>2665</v>
      </c>
      <c r="F409" s="1604">
        <v>36</v>
      </c>
      <c r="G409" s="1611" t="s">
        <v>2666</v>
      </c>
      <c r="H409" s="1618" t="s">
        <v>987</v>
      </c>
      <c r="I409" s="1618" t="s">
        <v>2276</v>
      </c>
      <c r="J409" s="1611" t="s">
        <v>2667</v>
      </c>
      <c r="K409" s="2894">
        <v>43242</v>
      </c>
      <c r="L409" s="1611" t="s">
        <v>990</v>
      </c>
      <c r="M409" s="1617" t="s">
        <v>2668</v>
      </c>
      <c r="N409" s="1611" t="s">
        <v>923</v>
      </c>
      <c r="O409" s="1604">
        <v>2018</v>
      </c>
      <c r="P409" s="1618" t="s">
        <v>899</v>
      </c>
      <c r="Q409" s="1618">
        <v>1</v>
      </c>
      <c r="R409" s="1618"/>
      <c r="S409" s="1618">
        <v>1</v>
      </c>
      <c r="T409" s="1611" t="s">
        <v>2224</v>
      </c>
      <c r="U409" s="1611" t="s">
        <v>864</v>
      </c>
      <c r="V409" s="1611"/>
      <c r="W409" s="1611" t="s">
        <v>2564</v>
      </c>
      <c r="X409" s="1611" t="s">
        <v>2669</v>
      </c>
      <c r="Y409" s="1611"/>
      <c r="Z409" s="1611"/>
    </row>
    <row r="410" spans="1:26" customFormat="1" hidden="1">
      <c r="A410" s="1611"/>
      <c r="B410" s="1603" t="s">
        <v>77</v>
      </c>
      <c r="C410" s="1611" t="s">
        <v>77</v>
      </c>
      <c r="D410" s="1611" t="s">
        <v>879</v>
      </c>
      <c r="E410" s="1619" t="s">
        <v>2670</v>
      </c>
      <c r="F410" s="1604">
        <v>22</v>
      </c>
      <c r="G410" s="1611" t="s">
        <v>2757</v>
      </c>
      <c r="H410" s="1618" t="s">
        <v>987</v>
      </c>
      <c r="I410" s="1618" t="s">
        <v>2318</v>
      </c>
      <c r="J410" s="1611" t="s">
        <v>2868</v>
      </c>
      <c r="K410" s="2894">
        <v>43243</v>
      </c>
      <c r="L410" s="1611" t="s">
        <v>990</v>
      </c>
      <c r="M410" s="1617" t="s">
        <v>2671</v>
      </c>
      <c r="N410" s="1611" t="s">
        <v>913</v>
      </c>
      <c r="O410" s="1604">
        <v>2018</v>
      </c>
      <c r="P410" s="1618" t="s">
        <v>899</v>
      </c>
      <c r="Q410" s="1618">
        <v>17</v>
      </c>
      <c r="R410" s="1618"/>
      <c r="S410" s="1618">
        <v>17</v>
      </c>
      <c r="T410" s="1611" t="s">
        <v>2266</v>
      </c>
      <c r="U410" s="1611" t="s">
        <v>864</v>
      </c>
      <c r="V410" s="1611"/>
      <c r="W410" s="1611" t="s">
        <v>850</v>
      </c>
      <c r="X410" s="1611"/>
      <c r="Y410" s="1611"/>
      <c r="Z410" s="1611"/>
    </row>
    <row r="411" spans="1:26" customFormat="1" ht="27.6" hidden="1">
      <c r="A411" s="1611"/>
      <c r="B411" s="1603" t="s">
        <v>1128</v>
      </c>
      <c r="C411" s="1611" t="s">
        <v>1128</v>
      </c>
      <c r="D411" s="1611" t="s">
        <v>879</v>
      </c>
      <c r="E411" s="1619" t="s">
        <v>2672</v>
      </c>
      <c r="F411" s="1604">
        <v>24</v>
      </c>
      <c r="G411" s="1611" t="s">
        <v>2756</v>
      </c>
      <c r="H411" s="1618" t="s">
        <v>987</v>
      </c>
      <c r="I411" s="1618" t="s">
        <v>2318</v>
      </c>
      <c r="J411" s="1611" t="s">
        <v>2870</v>
      </c>
      <c r="K411" s="2894">
        <v>43245</v>
      </c>
      <c r="L411" s="1611" t="s">
        <v>990</v>
      </c>
      <c r="M411" s="1617" t="s">
        <v>2674</v>
      </c>
      <c r="N411" s="1611" t="s">
        <v>917</v>
      </c>
      <c r="O411" s="1604">
        <v>2018</v>
      </c>
      <c r="P411" s="1618" t="s">
        <v>899</v>
      </c>
      <c r="Q411" s="1618">
        <v>55</v>
      </c>
      <c r="R411" s="1618"/>
      <c r="S411" s="1618">
        <v>55</v>
      </c>
      <c r="T411" s="1611" t="s">
        <v>2233</v>
      </c>
      <c r="U411" s="1611" t="s">
        <v>864</v>
      </c>
      <c r="V411" s="1611"/>
      <c r="W411" s="1611" t="s">
        <v>850</v>
      </c>
      <c r="X411" s="1611"/>
      <c r="Y411" s="1611"/>
      <c r="Z411" s="1611"/>
    </row>
    <row r="412" spans="1:26" customFormat="1" ht="41.4" hidden="1">
      <c r="A412" s="1611"/>
      <c r="B412" s="1611" t="s">
        <v>91</v>
      </c>
      <c r="C412" s="1611" t="s">
        <v>91</v>
      </c>
      <c r="D412" s="1611" t="s">
        <v>998</v>
      </c>
      <c r="E412" s="1619" t="s">
        <v>2679</v>
      </c>
      <c r="F412" s="1604"/>
      <c r="G412" s="1611" t="s">
        <v>2680</v>
      </c>
      <c r="H412" s="1618" t="s">
        <v>987</v>
      </c>
      <c r="I412" s="1618" t="s">
        <v>2318</v>
      </c>
      <c r="J412" s="1611" t="s">
        <v>2681</v>
      </c>
      <c r="K412" s="2894">
        <v>43247</v>
      </c>
      <c r="L412" s="1611" t="s">
        <v>990</v>
      </c>
      <c r="M412" s="1617" t="s">
        <v>2677</v>
      </c>
      <c r="N412" s="1611" t="s">
        <v>2320</v>
      </c>
      <c r="O412" s="1604">
        <v>2018</v>
      </c>
      <c r="P412" s="1618" t="s">
        <v>899</v>
      </c>
      <c r="Q412" s="1618">
        <v>30</v>
      </c>
      <c r="R412" s="1618"/>
      <c r="S412" s="1618">
        <v>30</v>
      </c>
      <c r="T412" s="1611" t="s">
        <v>2227</v>
      </c>
      <c r="U412" s="1611" t="s">
        <v>558</v>
      </c>
      <c r="V412" s="1611"/>
      <c r="W412" s="1611" t="s">
        <v>2678</v>
      </c>
      <c r="X412" s="1611"/>
      <c r="Y412" s="1611"/>
      <c r="Z412" s="2982"/>
    </row>
    <row r="413" spans="1:26" customFormat="1" hidden="1">
      <c r="A413" s="1611"/>
      <c r="B413" s="1611" t="s">
        <v>91</v>
      </c>
      <c r="C413" s="1611" t="s">
        <v>2867</v>
      </c>
      <c r="D413" s="1611" t="s">
        <v>879</v>
      </c>
      <c r="E413" s="1619" t="s">
        <v>2688</v>
      </c>
      <c r="F413" s="1604">
        <v>18</v>
      </c>
      <c r="G413" s="1611" t="s">
        <v>2686</v>
      </c>
      <c r="H413" s="1618" t="s">
        <v>987</v>
      </c>
      <c r="I413" s="1618" t="s">
        <v>2310</v>
      </c>
      <c r="J413" s="1611" t="s">
        <v>2687</v>
      </c>
      <c r="K413" s="2894">
        <v>43277</v>
      </c>
      <c r="L413" s="1611" t="s">
        <v>990</v>
      </c>
      <c r="M413" s="1617" t="s">
        <v>2682</v>
      </c>
      <c r="N413" s="1611" t="s">
        <v>925</v>
      </c>
      <c r="O413" s="1604">
        <v>2018</v>
      </c>
      <c r="P413" s="1618" t="s">
        <v>900</v>
      </c>
      <c r="Q413" s="1618">
        <v>8</v>
      </c>
      <c r="R413" s="1618"/>
      <c r="S413" s="1618">
        <v>8</v>
      </c>
      <c r="T413" s="1611" t="s">
        <v>2689</v>
      </c>
      <c r="U413" s="1611" t="s">
        <v>918</v>
      </c>
      <c r="V413" s="1611"/>
      <c r="W413" s="1611" t="s">
        <v>2607</v>
      </c>
      <c r="X413" s="1611"/>
      <c r="Y413" s="1611"/>
      <c r="Z413" s="1618" t="s">
        <v>1448</v>
      </c>
    </row>
    <row r="414" spans="1:26" customFormat="1" ht="27.6" hidden="1">
      <c r="A414" s="1611"/>
      <c r="B414" s="1603" t="s">
        <v>1128</v>
      </c>
      <c r="C414" s="1611" t="s">
        <v>1128</v>
      </c>
      <c r="D414" s="1611" t="s">
        <v>879</v>
      </c>
      <c r="E414" s="1619" t="s">
        <v>2684</v>
      </c>
      <c r="F414" s="1604">
        <v>30</v>
      </c>
      <c r="G414" s="1611" t="s">
        <v>2685</v>
      </c>
      <c r="H414" s="1618" t="s">
        <v>987</v>
      </c>
      <c r="I414" s="1618" t="s">
        <v>2318</v>
      </c>
      <c r="J414" s="1611" t="s">
        <v>2762</v>
      </c>
      <c r="K414" s="2894">
        <v>43278</v>
      </c>
      <c r="L414" s="1611" t="s">
        <v>990</v>
      </c>
      <c r="M414" s="1617" t="s">
        <v>2683</v>
      </c>
      <c r="N414" s="1611" t="s">
        <v>2320</v>
      </c>
      <c r="O414" s="1604">
        <v>2018</v>
      </c>
      <c r="P414" s="1618" t="s">
        <v>900</v>
      </c>
      <c r="Q414" s="1618">
        <v>81</v>
      </c>
      <c r="R414" s="1618"/>
      <c r="S414" s="1618">
        <v>81</v>
      </c>
      <c r="T414" s="1611" t="s">
        <v>2227</v>
      </c>
      <c r="U414" s="1611" t="s">
        <v>864</v>
      </c>
      <c r="V414" s="1611"/>
      <c r="W414" s="1611" t="s">
        <v>2708</v>
      </c>
      <c r="X414" s="1611"/>
      <c r="Y414" s="1611"/>
      <c r="Z414" s="2983"/>
    </row>
    <row r="415" spans="1:26" customFormat="1" ht="41.4" hidden="1">
      <c r="A415" s="1611"/>
      <c r="B415" s="1603" t="s">
        <v>1128</v>
      </c>
      <c r="C415" s="1611" t="s">
        <v>1128</v>
      </c>
      <c r="D415" s="1611" t="s">
        <v>879</v>
      </c>
      <c r="E415" s="1619" t="s">
        <v>2692</v>
      </c>
      <c r="F415" s="1604">
        <v>51</v>
      </c>
      <c r="G415" s="1611" t="s">
        <v>2693</v>
      </c>
      <c r="H415" s="1618" t="s">
        <v>987</v>
      </c>
      <c r="I415" s="1618" t="s">
        <v>2276</v>
      </c>
      <c r="J415" s="1611" t="s">
        <v>2681</v>
      </c>
      <c r="K415" s="2894">
        <v>43276</v>
      </c>
      <c r="L415" s="1611" t="s">
        <v>990</v>
      </c>
      <c r="M415" s="1617" t="s">
        <v>2694</v>
      </c>
      <c r="N415" s="1611" t="s">
        <v>913</v>
      </c>
      <c r="O415" s="1604">
        <v>2018</v>
      </c>
      <c r="P415" s="1618" t="s">
        <v>900</v>
      </c>
      <c r="Q415" s="1618">
        <v>13</v>
      </c>
      <c r="R415" s="1618"/>
      <c r="S415" s="1618">
        <v>13</v>
      </c>
      <c r="T415" s="1611" t="s">
        <v>2695</v>
      </c>
      <c r="U415" s="1611" t="s">
        <v>864</v>
      </c>
      <c r="V415" s="1611"/>
      <c r="W415" s="1611" t="s">
        <v>1946</v>
      </c>
      <c r="X415" s="1611"/>
      <c r="Y415" s="1611"/>
      <c r="Z415" s="1611"/>
    </row>
    <row r="416" spans="1:26" customFormat="1" hidden="1">
      <c r="A416" s="1611"/>
      <c r="B416" s="1611" t="s">
        <v>938</v>
      </c>
      <c r="C416" s="1611" t="s">
        <v>938</v>
      </c>
      <c r="D416" s="1611" t="s">
        <v>938</v>
      </c>
      <c r="E416" s="1619" t="s">
        <v>2720</v>
      </c>
      <c r="F416" s="1604">
        <v>52</v>
      </c>
      <c r="G416" s="1611" t="s">
        <v>2097</v>
      </c>
      <c r="H416" s="1618" t="s">
        <v>987</v>
      </c>
      <c r="I416" s="1618" t="s">
        <v>2549</v>
      </c>
      <c r="J416" s="1611" t="s">
        <v>2721</v>
      </c>
      <c r="K416" s="2894">
        <v>43234</v>
      </c>
      <c r="L416" s="1611" t="s">
        <v>990</v>
      </c>
      <c r="M416" s="1617" t="s">
        <v>2722</v>
      </c>
      <c r="N416" s="1611" t="s">
        <v>925</v>
      </c>
      <c r="O416" s="1604">
        <v>2018</v>
      </c>
      <c r="P416" s="1618" t="s">
        <v>899</v>
      </c>
      <c r="Q416" s="1618">
        <v>2</v>
      </c>
      <c r="R416" s="1618"/>
      <c r="S416" s="1618">
        <v>2</v>
      </c>
      <c r="T416" s="1611" t="s">
        <v>2724</v>
      </c>
      <c r="U416" s="1611" t="s">
        <v>864</v>
      </c>
      <c r="V416" s="1611"/>
      <c r="W416" s="1611" t="s">
        <v>2564</v>
      </c>
      <c r="X416" s="1611" t="s">
        <v>2723</v>
      </c>
      <c r="Y416" s="1611"/>
      <c r="Z416" s="1611"/>
    </row>
    <row r="417" spans="1:26" customFormat="1" ht="41.4" hidden="1">
      <c r="A417" s="1611"/>
      <c r="B417" s="1611" t="s">
        <v>918</v>
      </c>
      <c r="C417" s="1611" t="s">
        <v>918</v>
      </c>
      <c r="D417" s="1611" t="s">
        <v>2699</v>
      </c>
      <c r="E417" s="1619" t="s">
        <v>2700</v>
      </c>
      <c r="F417" s="1604">
        <v>32</v>
      </c>
      <c r="G417" s="1611" t="s">
        <v>2866</v>
      </c>
      <c r="H417" s="1618" t="s">
        <v>987</v>
      </c>
      <c r="I417" s="1618" t="s">
        <v>2549</v>
      </c>
      <c r="J417" s="1611" t="s">
        <v>2701</v>
      </c>
      <c r="K417" s="2894">
        <v>43283</v>
      </c>
      <c r="L417" s="1611" t="s">
        <v>990</v>
      </c>
      <c r="M417" s="1617" t="s">
        <v>2702</v>
      </c>
      <c r="N417" s="1611" t="s">
        <v>2320</v>
      </c>
      <c r="O417" s="1604">
        <v>2018</v>
      </c>
      <c r="P417" s="1618" t="s">
        <v>901</v>
      </c>
      <c r="Q417" s="1618">
        <v>45</v>
      </c>
      <c r="R417" s="1618"/>
      <c r="S417" s="1618">
        <v>45</v>
      </c>
      <c r="T417" s="1611" t="s">
        <v>2227</v>
      </c>
      <c r="U417" s="1611" t="s">
        <v>864</v>
      </c>
      <c r="V417" s="1611"/>
      <c r="W417" s="1611" t="s">
        <v>2703</v>
      </c>
      <c r="X417" s="1611" t="s">
        <v>2699</v>
      </c>
      <c r="Y417" s="1611"/>
      <c r="Z417" s="1611"/>
    </row>
    <row r="418" spans="1:26" customFormat="1" hidden="1">
      <c r="A418" s="1611"/>
      <c r="B418" s="1603" t="s">
        <v>77</v>
      </c>
      <c r="C418" s="1611" t="s">
        <v>77</v>
      </c>
      <c r="D418" s="1611" t="s">
        <v>2705</v>
      </c>
      <c r="E418" s="1619" t="s">
        <v>2704</v>
      </c>
      <c r="F418" s="1604">
        <v>26</v>
      </c>
      <c r="G418" s="1611" t="s">
        <v>2757</v>
      </c>
      <c r="H418" s="1618" t="s">
        <v>987</v>
      </c>
      <c r="I418" s="1618" t="s">
        <v>2318</v>
      </c>
      <c r="J418" s="1611" t="s">
        <v>2706</v>
      </c>
      <c r="K418" s="2894">
        <v>43288</v>
      </c>
      <c r="L418" s="1611" t="s">
        <v>990</v>
      </c>
      <c r="M418" s="1617" t="s">
        <v>2707</v>
      </c>
      <c r="N418" s="1611" t="s">
        <v>925</v>
      </c>
      <c r="O418" s="1604">
        <v>2018</v>
      </c>
      <c r="P418" s="1618" t="s">
        <v>901</v>
      </c>
      <c r="Q418" s="1618">
        <v>82</v>
      </c>
      <c r="R418" s="1618"/>
      <c r="S418" s="1618">
        <v>82</v>
      </c>
      <c r="T418" s="1611" t="s">
        <v>2266</v>
      </c>
      <c r="U418" s="1611" t="s">
        <v>864</v>
      </c>
      <c r="V418" s="1611"/>
      <c r="W418" s="1611" t="s">
        <v>2708</v>
      </c>
      <c r="X418" s="1611"/>
      <c r="Y418" s="1611"/>
      <c r="Z418" s="1611"/>
    </row>
    <row r="419" spans="1:26" customFormat="1" hidden="1">
      <c r="A419" s="1611"/>
      <c r="B419" s="1603" t="s">
        <v>77</v>
      </c>
      <c r="C419" s="1611" t="s">
        <v>77</v>
      </c>
      <c r="D419" s="1611" t="s">
        <v>2705</v>
      </c>
      <c r="E419" s="1619" t="s">
        <v>2709</v>
      </c>
      <c r="F419" s="1604">
        <v>22</v>
      </c>
      <c r="G419" s="1611" t="s">
        <v>2758</v>
      </c>
      <c r="H419" s="1618" t="s">
        <v>987</v>
      </c>
      <c r="I419" s="1618" t="s">
        <v>2318</v>
      </c>
      <c r="J419" s="1611" t="s">
        <v>2710</v>
      </c>
      <c r="K419" s="2894">
        <v>43288</v>
      </c>
      <c r="L419" s="1611" t="s">
        <v>990</v>
      </c>
      <c r="M419" s="1617" t="s">
        <v>2711</v>
      </c>
      <c r="N419" s="1611" t="s">
        <v>925</v>
      </c>
      <c r="O419" s="1604">
        <v>2018</v>
      </c>
      <c r="P419" s="1618" t="s">
        <v>901</v>
      </c>
      <c r="Q419" s="1618">
        <v>5</v>
      </c>
      <c r="R419" s="1618"/>
      <c r="S419" s="1618">
        <v>5</v>
      </c>
      <c r="T419" s="1611" t="s">
        <v>2695</v>
      </c>
      <c r="U419" s="1611" t="s">
        <v>1960</v>
      </c>
      <c r="V419" s="1611"/>
      <c r="W419" s="1611" t="s">
        <v>2712</v>
      </c>
      <c r="X419" s="1611"/>
      <c r="Y419" s="1611"/>
      <c r="Z419" s="1611"/>
    </row>
    <row r="420" spans="1:26" customFormat="1" hidden="1">
      <c r="A420" s="1611"/>
      <c r="B420" s="1603" t="s">
        <v>1128</v>
      </c>
      <c r="C420" s="1611" t="s">
        <v>1128</v>
      </c>
      <c r="D420" s="1611" t="s">
        <v>2705</v>
      </c>
      <c r="E420" s="1619" t="s">
        <v>2714</v>
      </c>
      <c r="F420" s="1604">
        <v>40</v>
      </c>
      <c r="G420" s="1611" t="s">
        <v>2713</v>
      </c>
      <c r="H420" s="1618" t="s">
        <v>987</v>
      </c>
      <c r="I420" s="1618" t="s">
        <v>2549</v>
      </c>
      <c r="J420" s="1611" t="s">
        <v>2575</v>
      </c>
      <c r="K420" s="2894">
        <v>43291</v>
      </c>
      <c r="L420" s="1611" t="s">
        <v>990</v>
      </c>
      <c r="M420" s="1617" t="s">
        <v>2716</v>
      </c>
      <c r="N420" s="1611" t="s">
        <v>923</v>
      </c>
      <c r="O420" s="1604">
        <v>2018</v>
      </c>
      <c r="P420" s="1618" t="s">
        <v>901</v>
      </c>
      <c r="Q420" s="1618">
        <v>3</v>
      </c>
      <c r="R420" s="1618"/>
      <c r="S420" s="1618">
        <v>3</v>
      </c>
      <c r="T420" s="1611" t="s">
        <v>2258</v>
      </c>
      <c r="U420" s="1611" t="s">
        <v>864</v>
      </c>
      <c r="V420" s="1611"/>
      <c r="W420" s="1611" t="s">
        <v>1946</v>
      </c>
      <c r="X420" s="1611"/>
      <c r="Y420" s="1611"/>
      <c r="Z420" s="1611"/>
    </row>
    <row r="421" spans="1:26" customFormat="1" ht="41.4" hidden="1">
      <c r="A421" s="1611"/>
      <c r="B421" s="1611" t="s">
        <v>91</v>
      </c>
      <c r="C421" s="1611" t="s">
        <v>2844</v>
      </c>
      <c r="D421" s="1611" t="s">
        <v>2705</v>
      </c>
      <c r="E421" s="1619" t="s">
        <v>2717</v>
      </c>
      <c r="F421" s="1604">
        <v>19</v>
      </c>
      <c r="G421" s="1611" t="s">
        <v>2756</v>
      </c>
      <c r="H421" s="1618" t="s">
        <v>987</v>
      </c>
      <c r="I421" s="1618" t="s">
        <v>2549</v>
      </c>
      <c r="J421" s="1611" t="s">
        <v>2710</v>
      </c>
      <c r="K421" s="2894">
        <v>43297</v>
      </c>
      <c r="L421" s="1611" t="s">
        <v>990</v>
      </c>
      <c r="M421" s="1617" t="s">
        <v>2718</v>
      </c>
      <c r="N421" s="1611" t="s">
        <v>923</v>
      </c>
      <c r="O421" s="1604">
        <v>2018</v>
      </c>
      <c r="P421" s="1618" t="s">
        <v>901</v>
      </c>
      <c r="Q421" s="1618">
        <v>60</v>
      </c>
      <c r="R421" s="1618"/>
      <c r="S421" s="1618">
        <v>60</v>
      </c>
      <c r="T421" s="1611" t="s">
        <v>2719</v>
      </c>
      <c r="U421" s="1611" t="s">
        <v>864</v>
      </c>
      <c r="V421" s="1611"/>
      <c r="W421" s="1611" t="s">
        <v>2238</v>
      </c>
      <c r="X421" s="1611"/>
      <c r="Y421" s="1611"/>
      <c r="Z421" s="1611"/>
    </row>
    <row r="422" spans="1:26" customFormat="1" ht="27.6" hidden="1">
      <c r="A422" s="1611"/>
      <c r="B422" s="1611" t="s">
        <v>938</v>
      </c>
      <c r="C422" s="1611" t="s">
        <v>938</v>
      </c>
      <c r="D422" s="1611" t="s">
        <v>938</v>
      </c>
      <c r="E422" s="1619" t="s">
        <v>2725</v>
      </c>
      <c r="F422" s="1604"/>
      <c r="G422" s="1611" t="s">
        <v>2759</v>
      </c>
      <c r="H422" s="1618" t="s">
        <v>987</v>
      </c>
      <c r="I422" s="1618" t="s">
        <v>2549</v>
      </c>
      <c r="J422" s="1611" t="s">
        <v>1683</v>
      </c>
      <c r="K422" s="2894">
        <v>43309</v>
      </c>
      <c r="L422" s="1611" t="s">
        <v>990</v>
      </c>
      <c r="M422" s="1617" t="s">
        <v>2726</v>
      </c>
      <c r="N422" s="1611" t="s">
        <v>2320</v>
      </c>
      <c r="O422" s="1604">
        <v>2018</v>
      </c>
      <c r="P422" s="1618" t="s">
        <v>901</v>
      </c>
      <c r="Q422" s="1618">
        <v>8</v>
      </c>
      <c r="R422" s="1618"/>
      <c r="S422" s="1618">
        <v>8</v>
      </c>
      <c r="T422" s="1611" t="s">
        <v>2258</v>
      </c>
      <c r="U422" s="1611" t="s">
        <v>864</v>
      </c>
      <c r="V422" s="1611"/>
      <c r="W422" s="1611" t="s">
        <v>1946</v>
      </c>
      <c r="X422" s="1611" t="s">
        <v>2723</v>
      </c>
      <c r="Y422" s="1611"/>
      <c r="Z422" s="1611"/>
    </row>
    <row r="423" spans="1:26" customFormat="1" ht="27.6" hidden="1">
      <c r="A423" s="1611"/>
      <c r="B423" s="1603" t="s">
        <v>1128</v>
      </c>
      <c r="C423" s="1611" t="s">
        <v>1128</v>
      </c>
      <c r="D423" s="1611" t="s">
        <v>2705</v>
      </c>
      <c r="E423" s="1619" t="s">
        <v>2728</v>
      </c>
      <c r="F423" s="1604"/>
      <c r="G423" s="1611" t="s">
        <v>2727</v>
      </c>
      <c r="H423" s="1618" t="s">
        <v>987</v>
      </c>
      <c r="I423" s="1618" t="s">
        <v>2549</v>
      </c>
      <c r="J423" s="1611" t="s">
        <v>2715</v>
      </c>
      <c r="K423" s="2894">
        <v>43283</v>
      </c>
      <c r="L423" s="1611" t="s">
        <v>990</v>
      </c>
      <c r="M423" s="1617" t="s">
        <v>2729</v>
      </c>
      <c r="N423" s="1611" t="s">
        <v>2320</v>
      </c>
      <c r="O423" s="1604">
        <v>2018</v>
      </c>
      <c r="P423" s="1618" t="s">
        <v>901</v>
      </c>
      <c r="Q423" s="1618">
        <v>2</v>
      </c>
      <c r="R423" s="1618"/>
      <c r="S423" s="1618">
        <v>2</v>
      </c>
      <c r="T423" s="1611" t="s">
        <v>2258</v>
      </c>
      <c r="U423" s="1611" t="s">
        <v>864</v>
      </c>
      <c r="V423" s="1611"/>
      <c r="W423" s="1611" t="s">
        <v>2445</v>
      </c>
      <c r="X423" s="1611"/>
      <c r="Y423" s="1611"/>
      <c r="Z423" s="1611"/>
    </row>
    <row r="424" spans="1:26" customFormat="1" ht="27.6" hidden="1">
      <c r="A424" s="1611"/>
      <c r="B424" s="1611" t="s">
        <v>91</v>
      </c>
      <c r="C424" s="1611" t="s">
        <v>2867</v>
      </c>
      <c r="D424" s="1611" t="s">
        <v>2705</v>
      </c>
      <c r="E424" s="1619" t="s">
        <v>2739</v>
      </c>
      <c r="F424" s="1604">
        <v>19</v>
      </c>
      <c r="G424" s="1611" t="s">
        <v>2790</v>
      </c>
      <c r="H424" s="1618" t="s">
        <v>994</v>
      </c>
      <c r="I424" s="1618" t="s">
        <v>2318</v>
      </c>
      <c r="J424" s="1611" t="s">
        <v>2301</v>
      </c>
      <c r="K424" s="2894">
        <v>43320</v>
      </c>
      <c r="L424" s="1611" t="s">
        <v>990</v>
      </c>
      <c r="M424" s="1617" t="s">
        <v>2730</v>
      </c>
      <c r="N424" s="1611" t="s">
        <v>2320</v>
      </c>
      <c r="O424" s="1604">
        <v>2018</v>
      </c>
      <c r="P424" s="1618" t="s">
        <v>902</v>
      </c>
      <c r="Q424" s="1618">
        <v>8</v>
      </c>
      <c r="R424" s="1618"/>
      <c r="S424" s="1618">
        <v>8</v>
      </c>
      <c r="T424" s="1611" t="s">
        <v>2740</v>
      </c>
      <c r="U424" s="1611" t="s">
        <v>864</v>
      </c>
      <c r="V424" s="1611"/>
      <c r="W424" s="1611" t="s">
        <v>849</v>
      </c>
      <c r="X424" s="1611"/>
      <c r="Y424" s="1611"/>
      <c r="Z424" s="1611"/>
    </row>
    <row r="425" spans="1:26" customFormat="1" hidden="1">
      <c r="A425" s="1611"/>
      <c r="B425" s="1611" t="s">
        <v>938</v>
      </c>
      <c r="C425" s="1611" t="s">
        <v>2736</v>
      </c>
      <c r="D425" s="1611" t="s">
        <v>938</v>
      </c>
      <c r="E425" s="1619" t="s">
        <v>2742</v>
      </c>
      <c r="F425" s="1604">
        <v>40</v>
      </c>
      <c r="G425" s="1611" t="s">
        <v>993</v>
      </c>
      <c r="H425" s="1618" t="s">
        <v>994</v>
      </c>
      <c r="I425" s="1618" t="s">
        <v>2310</v>
      </c>
      <c r="J425" s="1611" t="s">
        <v>1788</v>
      </c>
      <c r="K425" s="2894">
        <v>43321</v>
      </c>
      <c r="L425" s="1611" t="s">
        <v>990</v>
      </c>
      <c r="M425" s="1617" t="s">
        <v>2731</v>
      </c>
      <c r="N425" s="1611" t="s">
        <v>923</v>
      </c>
      <c r="O425" s="1604">
        <v>2018</v>
      </c>
      <c r="P425" s="1618" t="s">
        <v>902</v>
      </c>
      <c r="Q425" s="1618">
        <v>9</v>
      </c>
      <c r="R425" s="1618"/>
      <c r="S425" s="1618">
        <v>9</v>
      </c>
      <c r="T425" s="1611" t="s">
        <v>2741</v>
      </c>
      <c r="U425" s="1611" t="s">
        <v>558</v>
      </c>
      <c r="V425" s="1611"/>
      <c r="W425" s="1611" t="s">
        <v>2445</v>
      </c>
      <c r="X425" s="1611" t="s">
        <v>993</v>
      </c>
      <c r="Y425" s="1611"/>
      <c r="Z425" s="2982"/>
    </row>
    <row r="426" spans="1:26" customFormat="1" ht="27.6" hidden="1">
      <c r="A426" s="1611"/>
      <c r="B426" s="1611" t="s">
        <v>602</v>
      </c>
      <c r="C426" s="1611" t="s">
        <v>93</v>
      </c>
      <c r="D426" s="1611" t="s">
        <v>689</v>
      </c>
      <c r="E426" s="1619" t="s">
        <v>2743</v>
      </c>
      <c r="F426" s="1604">
        <v>18</v>
      </c>
      <c r="G426" s="1611" t="s">
        <v>2744</v>
      </c>
      <c r="H426" s="1618" t="s">
        <v>987</v>
      </c>
      <c r="I426" s="1618" t="s">
        <v>2318</v>
      </c>
      <c r="J426" s="1611" t="s">
        <v>2168</v>
      </c>
      <c r="K426" s="2894">
        <v>43324</v>
      </c>
      <c r="L426" s="1611" t="s">
        <v>990</v>
      </c>
      <c r="M426" s="1617" t="s">
        <v>2732</v>
      </c>
      <c r="N426" s="1611" t="s">
        <v>915</v>
      </c>
      <c r="O426" s="1604">
        <v>2018</v>
      </c>
      <c r="P426" s="1618" t="s">
        <v>902</v>
      </c>
      <c r="Q426" s="1618">
        <v>2</v>
      </c>
      <c r="R426" s="1618"/>
      <c r="S426" s="1618">
        <v>2</v>
      </c>
      <c r="T426" s="1611" t="s">
        <v>2296</v>
      </c>
      <c r="U426" s="1611" t="s">
        <v>864</v>
      </c>
      <c r="V426" s="1611"/>
      <c r="W426" s="1611" t="s">
        <v>850</v>
      </c>
      <c r="X426" s="1611"/>
      <c r="Y426" s="1611"/>
      <c r="Z426" s="1618" t="s">
        <v>1448</v>
      </c>
    </row>
    <row r="427" spans="1:26" customFormat="1" ht="27.6" hidden="1">
      <c r="A427" s="1611"/>
      <c r="B427" s="1611" t="s">
        <v>938</v>
      </c>
      <c r="C427" s="1611" t="s">
        <v>2737</v>
      </c>
      <c r="D427" s="1611" t="s">
        <v>938</v>
      </c>
      <c r="E427" s="1619" t="s">
        <v>2745</v>
      </c>
      <c r="F427" s="1604">
        <v>39</v>
      </c>
      <c r="G427" s="1611" t="s">
        <v>2097</v>
      </c>
      <c r="H427" s="1618" t="s">
        <v>994</v>
      </c>
      <c r="I427" s="1618" t="s">
        <v>2276</v>
      </c>
      <c r="J427" s="1611" t="s">
        <v>2864</v>
      </c>
      <c r="K427" s="2894">
        <v>43324</v>
      </c>
      <c r="L427" s="1611" t="s">
        <v>990</v>
      </c>
      <c r="M427" s="1617" t="s">
        <v>2733</v>
      </c>
      <c r="N427" s="1611" t="s">
        <v>2320</v>
      </c>
      <c r="O427" s="1604">
        <v>2018</v>
      </c>
      <c r="P427" s="1618" t="s">
        <v>902</v>
      </c>
      <c r="Q427" s="1618">
        <v>4</v>
      </c>
      <c r="R427" s="1618"/>
      <c r="S427" s="1618">
        <v>4</v>
      </c>
      <c r="T427" s="1611" t="s">
        <v>2626</v>
      </c>
      <c r="U427" s="1611" t="s">
        <v>864</v>
      </c>
      <c r="V427" s="1611"/>
      <c r="W427" s="1611" t="s">
        <v>849</v>
      </c>
      <c r="X427" s="1611"/>
      <c r="Y427" s="1611"/>
      <c r="Z427" s="2983"/>
    </row>
    <row r="428" spans="1:26" customFormat="1" ht="27.6" hidden="1">
      <c r="A428" s="1611"/>
      <c r="B428" s="1611" t="s">
        <v>602</v>
      </c>
      <c r="C428" s="1611" t="s">
        <v>2738</v>
      </c>
      <c r="D428" s="1611" t="s">
        <v>689</v>
      </c>
      <c r="E428" s="1619" t="s">
        <v>2746</v>
      </c>
      <c r="F428" s="1604">
        <v>22</v>
      </c>
      <c r="G428" s="1611" t="s">
        <v>993</v>
      </c>
      <c r="H428" s="1618" t="s">
        <v>987</v>
      </c>
      <c r="I428" s="1618" t="s">
        <v>2549</v>
      </c>
      <c r="J428" s="1611" t="s">
        <v>2748</v>
      </c>
      <c r="K428" s="2894">
        <v>43325</v>
      </c>
      <c r="L428" s="1611" t="s">
        <v>990</v>
      </c>
      <c r="M428" s="1617" t="s">
        <v>2734</v>
      </c>
      <c r="N428" s="1611" t="s">
        <v>2320</v>
      </c>
      <c r="O428" s="1604">
        <v>2018</v>
      </c>
      <c r="P428" s="1618" t="s">
        <v>902</v>
      </c>
      <c r="Q428" s="1618">
        <v>24</v>
      </c>
      <c r="R428" s="1618"/>
      <c r="S428" s="1618">
        <v>24</v>
      </c>
      <c r="T428" s="1611" t="s">
        <v>2747</v>
      </c>
      <c r="U428" s="1611" t="s">
        <v>1104</v>
      </c>
      <c r="V428" s="1611"/>
      <c r="W428" s="1611" t="s">
        <v>849</v>
      </c>
      <c r="X428" s="1611" t="s">
        <v>1105</v>
      </c>
      <c r="Y428" s="1611"/>
      <c r="Z428" s="1611"/>
    </row>
    <row r="429" spans="1:26" customFormat="1" ht="41.4" hidden="1">
      <c r="A429" s="1611"/>
      <c r="B429" s="1611" t="s">
        <v>694</v>
      </c>
      <c r="C429" s="1611" t="s">
        <v>694</v>
      </c>
      <c r="D429" s="1611" t="s">
        <v>2705</v>
      </c>
      <c r="E429" s="1619" t="s">
        <v>2749</v>
      </c>
      <c r="F429" s="1604">
        <v>54</v>
      </c>
      <c r="G429" s="1611" t="s">
        <v>2750</v>
      </c>
      <c r="H429" s="1618" t="s">
        <v>987</v>
      </c>
      <c r="I429" s="1618" t="s">
        <v>2318</v>
      </c>
      <c r="J429" s="1611" t="s">
        <v>2865</v>
      </c>
      <c r="K429" s="2894">
        <v>43341</v>
      </c>
      <c r="L429" s="1611" t="s">
        <v>990</v>
      </c>
      <c r="M429" s="1617" t="s">
        <v>2735</v>
      </c>
      <c r="N429" s="1611" t="s">
        <v>2320</v>
      </c>
      <c r="O429" s="1604">
        <v>2018</v>
      </c>
      <c r="P429" s="1618" t="s">
        <v>902</v>
      </c>
      <c r="Q429" s="1618">
        <v>79</v>
      </c>
      <c r="R429" s="1618"/>
      <c r="S429" s="1618">
        <v>79</v>
      </c>
      <c r="T429" s="1611" t="s">
        <v>2751</v>
      </c>
      <c r="U429" s="1611" t="s">
        <v>864</v>
      </c>
      <c r="V429" s="1611"/>
      <c r="W429" s="1611" t="s">
        <v>849</v>
      </c>
      <c r="X429" s="1611"/>
      <c r="Y429" s="1611"/>
      <c r="Z429" s="1611"/>
    </row>
    <row r="430" spans="1:26" customFormat="1" ht="27.6" hidden="1">
      <c r="A430" s="1611"/>
      <c r="B430" s="1611" t="s">
        <v>1309</v>
      </c>
      <c r="C430" s="1611" t="s">
        <v>1309</v>
      </c>
      <c r="D430" s="1611" t="s">
        <v>2705</v>
      </c>
      <c r="E430" s="1619" t="s">
        <v>2770</v>
      </c>
      <c r="F430" s="1604">
        <v>26</v>
      </c>
      <c r="G430" s="1611" t="s">
        <v>2167</v>
      </c>
      <c r="H430" s="1618" t="s">
        <v>987</v>
      </c>
      <c r="I430" s="1618" t="s">
        <v>2310</v>
      </c>
      <c r="J430" s="1611" t="s">
        <v>2168</v>
      </c>
      <c r="K430" s="2894">
        <v>43354</v>
      </c>
      <c r="L430" s="1611" t="s">
        <v>990</v>
      </c>
      <c r="M430" s="1617" t="s">
        <v>2763</v>
      </c>
      <c r="N430" s="1611" t="s">
        <v>2320</v>
      </c>
      <c r="O430" s="1604">
        <v>2018</v>
      </c>
      <c r="P430" s="1618" t="s">
        <v>2426</v>
      </c>
      <c r="Q430" s="1618">
        <v>13</v>
      </c>
      <c r="R430" s="1618"/>
      <c r="S430" s="1618">
        <v>13</v>
      </c>
      <c r="T430" s="1611" t="s">
        <v>2258</v>
      </c>
      <c r="U430" s="1611" t="s">
        <v>864</v>
      </c>
      <c r="V430" s="1611"/>
      <c r="W430" s="1611" t="s">
        <v>849</v>
      </c>
      <c r="X430" s="1611"/>
      <c r="Y430" s="1611"/>
      <c r="Z430" s="1611"/>
    </row>
    <row r="431" spans="1:26" customFormat="1" ht="27.6" hidden="1">
      <c r="A431" s="1611"/>
      <c r="B431" s="1611" t="s">
        <v>578</v>
      </c>
      <c r="C431" s="1603" t="s">
        <v>974</v>
      </c>
      <c r="D431" s="1611" t="s">
        <v>2705</v>
      </c>
      <c r="E431" s="1619" t="s">
        <v>2778</v>
      </c>
      <c r="F431" s="1604">
        <v>49</v>
      </c>
      <c r="G431" s="1611" t="s">
        <v>2779</v>
      </c>
      <c r="H431" s="1618" t="s">
        <v>987</v>
      </c>
      <c r="I431" s="1618" t="s">
        <v>2310</v>
      </c>
      <c r="J431" s="1611" t="s">
        <v>2524</v>
      </c>
      <c r="K431" s="2894">
        <v>43356</v>
      </c>
      <c r="L431" s="1611" t="s">
        <v>990</v>
      </c>
      <c r="M431" s="1617" t="s">
        <v>2764</v>
      </c>
      <c r="N431" s="1611" t="s">
        <v>2320</v>
      </c>
      <c r="O431" s="1604">
        <v>2018</v>
      </c>
      <c r="P431" s="1618" t="s">
        <v>2426</v>
      </c>
      <c r="Q431" s="1618">
        <v>9</v>
      </c>
      <c r="R431" s="1618"/>
      <c r="S431" s="1618">
        <v>9</v>
      </c>
      <c r="T431" s="1611" t="s">
        <v>2258</v>
      </c>
      <c r="U431" s="1611" t="s">
        <v>864</v>
      </c>
      <c r="V431" s="1611"/>
      <c r="W431" s="1611" t="s">
        <v>2275</v>
      </c>
      <c r="X431" s="1611"/>
      <c r="Y431" s="1611"/>
      <c r="Z431" s="1611"/>
    </row>
    <row r="432" spans="1:26" customFormat="1" hidden="1">
      <c r="A432" s="1611"/>
      <c r="B432" s="1611" t="s">
        <v>91</v>
      </c>
      <c r="C432" s="1611" t="s">
        <v>2844</v>
      </c>
      <c r="D432" s="1611" t="s">
        <v>2705</v>
      </c>
      <c r="E432" s="1619" t="s">
        <v>2777</v>
      </c>
      <c r="F432" s="1604"/>
      <c r="G432" s="1611" t="s">
        <v>1014</v>
      </c>
      <c r="H432" s="1618" t="s">
        <v>987</v>
      </c>
      <c r="I432" s="1618" t="s">
        <v>2549</v>
      </c>
      <c r="J432" s="1611"/>
      <c r="K432" s="2894">
        <v>43364</v>
      </c>
      <c r="L432" s="1611" t="s">
        <v>990</v>
      </c>
      <c r="M432" s="1617" t="s">
        <v>2765</v>
      </c>
      <c r="N432" s="1611" t="s">
        <v>2320</v>
      </c>
      <c r="O432" s="1604">
        <v>2018</v>
      </c>
      <c r="P432" s="1618" t="s">
        <v>2426</v>
      </c>
      <c r="Q432" s="1618">
        <v>5</v>
      </c>
      <c r="R432" s="1618"/>
      <c r="S432" s="1618">
        <v>5</v>
      </c>
      <c r="T432" s="1611" t="s">
        <v>2689</v>
      </c>
      <c r="U432" s="1611" t="s">
        <v>918</v>
      </c>
      <c r="V432" s="1611"/>
      <c r="W432" s="1611" t="s">
        <v>849</v>
      </c>
      <c r="X432" s="1611"/>
      <c r="Y432" s="1611"/>
      <c r="Z432" s="1611"/>
    </row>
    <row r="433" spans="1:26" customFormat="1" ht="27.6" hidden="1">
      <c r="A433" s="1611"/>
      <c r="B433" s="1611" t="s">
        <v>694</v>
      </c>
      <c r="C433" s="1611" t="s">
        <v>694</v>
      </c>
      <c r="D433" s="1611" t="s">
        <v>1338</v>
      </c>
      <c r="E433" s="1619" t="s">
        <v>2773</v>
      </c>
      <c r="F433" s="1604"/>
      <c r="G433" s="1611" t="s">
        <v>2774</v>
      </c>
      <c r="H433" s="1618" t="s">
        <v>987</v>
      </c>
      <c r="I433" s="1618" t="s">
        <v>2318</v>
      </c>
      <c r="J433" s="1611" t="s">
        <v>2775</v>
      </c>
      <c r="K433" s="2894">
        <v>43365</v>
      </c>
      <c r="L433" s="1611" t="s">
        <v>990</v>
      </c>
      <c r="M433" s="1617" t="s">
        <v>2766</v>
      </c>
      <c r="N433" s="1611" t="s">
        <v>913</v>
      </c>
      <c r="O433" s="1604">
        <v>2018</v>
      </c>
      <c r="P433" s="1618" t="s">
        <v>2426</v>
      </c>
      <c r="Q433" s="1618">
        <v>54</v>
      </c>
      <c r="R433" s="1618"/>
      <c r="S433" s="1618">
        <v>54</v>
      </c>
      <c r="T433" s="1611" t="s">
        <v>2234</v>
      </c>
      <c r="U433" s="1611" t="s">
        <v>1960</v>
      </c>
      <c r="V433" s="1611"/>
      <c r="W433" s="1611" t="s">
        <v>2776</v>
      </c>
      <c r="X433" s="1611"/>
      <c r="Y433" s="1611"/>
      <c r="Z433" s="1611"/>
    </row>
    <row r="434" spans="1:26" customFormat="1" hidden="1">
      <c r="A434" s="1611"/>
      <c r="B434" s="1603" t="s">
        <v>1128</v>
      </c>
      <c r="C434" s="1611" t="s">
        <v>1128</v>
      </c>
      <c r="D434" s="1611" t="s">
        <v>2705</v>
      </c>
      <c r="E434" s="1619" t="s">
        <v>2780</v>
      </c>
      <c r="F434" s="1604">
        <v>24</v>
      </c>
      <c r="G434" s="1611" t="s">
        <v>2781</v>
      </c>
      <c r="H434" s="1618" t="s">
        <v>987</v>
      </c>
      <c r="I434" s="1618" t="s">
        <v>2549</v>
      </c>
      <c r="J434" s="1611" t="s">
        <v>2496</v>
      </c>
      <c r="K434" s="2894">
        <v>43365</v>
      </c>
      <c r="L434" s="1611" t="s">
        <v>990</v>
      </c>
      <c r="M434" s="1617" t="s">
        <v>2767</v>
      </c>
      <c r="N434" s="1611" t="s">
        <v>915</v>
      </c>
      <c r="O434" s="1604">
        <v>2018</v>
      </c>
      <c r="P434" s="1618" t="s">
        <v>2426</v>
      </c>
      <c r="Q434" s="1618">
        <v>5</v>
      </c>
      <c r="R434" s="1618"/>
      <c r="S434" s="1618">
        <v>5</v>
      </c>
      <c r="T434" s="1611" t="s">
        <v>2782</v>
      </c>
      <c r="U434" s="1611" t="s">
        <v>864</v>
      </c>
      <c r="V434" s="1611"/>
      <c r="W434" s="1611" t="s">
        <v>2607</v>
      </c>
      <c r="X434" s="1611"/>
      <c r="Y434" s="1611"/>
      <c r="Z434" s="1611"/>
    </row>
    <row r="435" spans="1:26" customFormat="1" ht="27.6" hidden="1">
      <c r="A435" s="1611"/>
      <c r="B435" s="1611" t="s">
        <v>1053</v>
      </c>
      <c r="C435" s="1611" t="s">
        <v>2698</v>
      </c>
      <c r="D435" s="1611" t="s">
        <v>1053</v>
      </c>
      <c r="E435" s="1619" t="s">
        <v>2783</v>
      </c>
      <c r="F435" s="1604"/>
      <c r="G435" s="1611" t="s">
        <v>993</v>
      </c>
      <c r="H435" s="1618" t="s">
        <v>994</v>
      </c>
      <c r="I435" s="1618" t="s">
        <v>2310</v>
      </c>
      <c r="J435" s="1611" t="s">
        <v>2644</v>
      </c>
      <c r="K435" s="2894">
        <v>43367</v>
      </c>
      <c r="L435" s="1611" t="s">
        <v>2794</v>
      </c>
      <c r="M435" s="1617" t="s">
        <v>2768</v>
      </c>
      <c r="N435" s="1611" t="s">
        <v>923</v>
      </c>
      <c r="O435" s="1604">
        <v>2018</v>
      </c>
      <c r="P435" s="1611" t="s">
        <v>2426</v>
      </c>
      <c r="Q435" s="1618">
        <v>10</v>
      </c>
      <c r="R435" s="1618"/>
      <c r="S435" s="1618">
        <v>10</v>
      </c>
      <c r="T435" s="1611" t="s">
        <v>2784</v>
      </c>
      <c r="U435" s="1611" t="s">
        <v>2785</v>
      </c>
      <c r="V435" s="1611"/>
      <c r="W435" s="1611" t="s">
        <v>2564</v>
      </c>
      <c r="X435" s="1611" t="s">
        <v>2769</v>
      </c>
      <c r="Y435" s="1611"/>
      <c r="Z435" s="1611"/>
    </row>
    <row r="436" spans="1:26" customFormat="1" ht="27.6" hidden="1">
      <c r="A436" s="1611"/>
      <c r="B436" s="1603" t="s">
        <v>77</v>
      </c>
      <c r="C436" s="1611" t="s">
        <v>77</v>
      </c>
      <c r="D436" s="1611" t="s">
        <v>879</v>
      </c>
      <c r="E436" s="1619" t="s">
        <v>2793</v>
      </c>
      <c r="F436" s="1604">
        <v>23</v>
      </c>
      <c r="G436" s="1611" t="s">
        <v>2758</v>
      </c>
      <c r="H436" s="1618" t="s">
        <v>987</v>
      </c>
      <c r="I436" s="1618" t="s">
        <v>2318</v>
      </c>
      <c r="J436" s="1611" t="s">
        <v>2771</v>
      </c>
      <c r="K436" s="2894">
        <v>43357</v>
      </c>
      <c r="L436" s="1611" t="s">
        <v>990</v>
      </c>
      <c r="M436" s="1617" t="s">
        <v>2792</v>
      </c>
      <c r="N436" s="1611" t="s">
        <v>915</v>
      </c>
      <c r="O436" s="1604">
        <v>2018</v>
      </c>
      <c r="P436" s="1618" t="s">
        <v>2426</v>
      </c>
      <c r="Q436" s="1618">
        <v>13</v>
      </c>
      <c r="R436" s="1618"/>
      <c r="S436" s="1618">
        <v>13</v>
      </c>
      <c r="T436" s="1611" t="s">
        <v>2234</v>
      </c>
      <c r="U436" s="1611" t="s">
        <v>864</v>
      </c>
      <c r="V436" s="1611"/>
      <c r="W436" s="1611" t="s">
        <v>2607</v>
      </c>
      <c r="X436" s="1611"/>
      <c r="Y436" s="1611"/>
      <c r="Z436" s="1611"/>
    </row>
    <row r="437" spans="1:26" customFormat="1" ht="41.4" hidden="1">
      <c r="A437" s="1611"/>
      <c r="B437" s="1603" t="s">
        <v>1128</v>
      </c>
      <c r="C437" s="1611" t="s">
        <v>1128</v>
      </c>
      <c r="D437" s="1611" t="s">
        <v>879</v>
      </c>
      <c r="E437" s="1619" t="s">
        <v>2074</v>
      </c>
      <c r="F437" s="1604">
        <v>42</v>
      </c>
      <c r="G437" s="1611" t="s">
        <v>2795</v>
      </c>
      <c r="H437" s="1618" t="s">
        <v>987</v>
      </c>
      <c r="I437" s="1618" t="s">
        <v>2276</v>
      </c>
      <c r="J437" s="1611" t="s">
        <v>2561</v>
      </c>
      <c r="K437" s="2894">
        <v>43390</v>
      </c>
      <c r="L437" s="1611" t="s">
        <v>990</v>
      </c>
      <c r="M437" s="1617" t="s">
        <v>2796</v>
      </c>
      <c r="N437" s="1611" t="s">
        <v>2320</v>
      </c>
      <c r="O437" s="1604">
        <v>2018</v>
      </c>
      <c r="P437" s="1618" t="s">
        <v>904</v>
      </c>
      <c r="Q437" s="1618">
        <v>24</v>
      </c>
      <c r="R437" s="1618"/>
      <c r="S437" s="1618">
        <v>24</v>
      </c>
      <c r="T437" s="1611" t="s">
        <v>2258</v>
      </c>
      <c r="U437" s="1611" t="s">
        <v>864</v>
      </c>
      <c r="V437" s="1611"/>
      <c r="W437" s="1611" t="s">
        <v>2275</v>
      </c>
      <c r="X437" s="1611"/>
      <c r="Y437" s="1611"/>
      <c r="Z437" s="1611"/>
    </row>
    <row r="438" spans="1:26" customFormat="1" ht="69" hidden="1">
      <c r="A438" s="1611"/>
      <c r="B438" s="1611" t="s">
        <v>602</v>
      </c>
      <c r="C438" s="1611" t="s">
        <v>2161</v>
      </c>
      <c r="D438" s="1611" t="s">
        <v>689</v>
      </c>
      <c r="E438" s="1619" t="s">
        <v>2801</v>
      </c>
      <c r="F438" s="1604"/>
      <c r="G438" s="1611" t="s">
        <v>2802</v>
      </c>
      <c r="H438" s="1618" t="s">
        <v>987</v>
      </c>
      <c r="I438" s="1618" t="s">
        <v>2318</v>
      </c>
      <c r="J438" s="1611"/>
      <c r="K438" s="2894">
        <v>43385</v>
      </c>
      <c r="L438" s="1611" t="s">
        <v>990</v>
      </c>
      <c r="M438" s="1617" t="s">
        <v>2797</v>
      </c>
      <c r="N438" s="1611" t="s">
        <v>915</v>
      </c>
      <c r="O438" s="1604">
        <v>2018</v>
      </c>
      <c r="P438" s="1618" t="s">
        <v>904</v>
      </c>
      <c r="Q438" s="1618">
        <v>6</v>
      </c>
      <c r="R438" s="1618"/>
      <c r="S438" s="1618">
        <v>6</v>
      </c>
      <c r="T438" s="1611" t="s">
        <v>2798</v>
      </c>
      <c r="U438" s="1611" t="s">
        <v>864</v>
      </c>
      <c r="V438" s="1611"/>
      <c r="W438" s="1611" t="s">
        <v>2607</v>
      </c>
      <c r="X438" s="1611"/>
      <c r="Y438" s="1611"/>
      <c r="Z438" s="1611"/>
    </row>
    <row r="439" spans="1:26" customFormat="1" ht="96.6" hidden="1">
      <c r="A439" s="1611"/>
      <c r="B439" s="1611" t="s">
        <v>588</v>
      </c>
      <c r="C439" s="1611" t="s">
        <v>588</v>
      </c>
      <c r="D439" s="1611" t="s">
        <v>879</v>
      </c>
      <c r="E439" s="1619" t="s">
        <v>2799</v>
      </c>
      <c r="F439" s="1604">
        <v>34</v>
      </c>
      <c r="G439" s="1611" t="s">
        <v>2800</v>
      </c>
      <c r="H439" s="1618" t="s">
        <v>987</v>
      </c>
      <c r="I439" s="1618" t="s">
        <v>2310</v>
      </c>
      <c r="J439" s="1601" t="s">
        <v>2762</v>
      </c>
      <c r="K439" s="1621">
        <v>43374</v>
      </c>
      <c r="L439" s="1611" t="s">
        <v>990</v>
      </c>
      <c r="M439" s="1617" t="s">
        <v>2803</v>
      </c>
      <c r="N439" s="1611" t="s">
        <v>2320</v>
      </c>
      <c r="O439" s="1604">
        <v>2018</v>
      </c>
      <c r="P439" s="1618" t="s">
        <v>904</v>
      </c>
      <c r="Q439" s="1618">
        <v>10</v>
      </c>
      <c r="R439" s="1618"/>
      <c r="S439" s="1618">
        <v>10</v>
      </c>
      <c r="T439" s="1611" t="s">
        <v>2227</v>
      </c>
      <c r="U439" s="1611" t="s">
        <v>864</v>
      </c>
      <c r="V439" s="1611"/>
      <c r="W439" s="1611" t="s">
        <v>2275</v>
      </c>
      <c r="X439" s="1611"/>
      <c r="Y439" s="1611"/>
      <c r="Z439" s="1611"/>
    </row>
    <row r="440" spans="1:26" customFormat="1" ht="27.6" hidden="1">
      <c r="A440" s="1611"/>
      <c r="B440" s="1611" t="s">
        <v>1958</v>
      </c>
      <c r="C440" s="1611" t="s">
        <v>1958</v>
      </c>
      <c r="D440" s="1611" t="s">
        <v>879</v>
      </c>
      <c r="E440" s="1619" t="s">
        <v>2830</v>
      </c>
      <c r="F440" s="1604">
        <v>24</v>
      </c>
      <c r="G440" s="1611" t="s">
        <v>2167</v>
      </c>
      <c r="H440" s="1618" t="s">
        <v>987</v>
      </c>
      <c r="I440" s="1618" t="s">
        <v>2310</v>
      </c>
      <c r="J440" s="1601" t="s">
        <v>2831</v>
      </c>
      <c r="K440" s="1621">
        <v>43405</v>
      </c>
      <c r="L440" s="1611" t="s">
        <v>990</v>
      </c>
      <c r="M440" s="1617" t="s">
        <v>2812</v>
      </c>
      <c r="N440" s="1611" t="s">
        <v>2320</v>
      </c>
      <c r="O440" s="1604">
        <v>2018</v>
      </c>
      <c r="P440" s="1618" t="s">
        <v>905</v>
      </c>
      <c r="Q440" s="1618">
        <v>9</v>
      </c>
      <c r="R440" s="1618"/>
      <c r="S440" s="1618">
        <v>9</v>
      </c>
      <c r="T440" s="1611" t="s">
        <v>2258</v>
      </c>
      <c r="U440" s="1611" t="s">
        <v>864</v>
      </c>
      <c r="V440" s="1611"/>
      <c r="W440" s="1611" t="s">
        <v>2275</v>
      </c>
      <c r="X440" s="1611"/>
      <c r="Y440" s="1611"/>
      <c r="Z440" s="1611"/>
    </row>
    <row r="441" spans="1:26" customFormat="1" hidden="1">
      <c r="A441" s="1611"/>
      <c r="B441" s="1611" t="s">
        <v>918</v>
      </c>
      <c r="C441" s="1611" t="s">
        <v>918</v>
      </c>
      <c r="D441" s="1611" t="s">
        <v>918</v>
      </c>
      <c r="E441" s="1619"/>
      <c r="F441" s="1604"/>
      <c r="G441" s="1611" t="s">
        <v>993</v>
      </c>
      <c r="H441" s="1618"/>
      <c r="I441" s="1618"/>
      <c r="J441" s="1601"/>
      <c r="K441" s="1611">
        <v>43409</v>
      </c>
      <c r="L441" s="1611" t="s">
        <v>2117</v>
      </c>
      <c r="M441" s="1617" t="s">
        <v>2813</v>
      </c>
      <c r="N441" s="1611" t="s">
        <v>2320</v>
      </c>
      <c r="O441" s="1604">
        <v>2018</v>
      </c>
      <c r="P441" s="1611" t="s">
        <v>905</v>
      </c>
      <c r="Q441" s="1618">
        <v>2</v>
      </c>
      <c r="R441" s="1618"/>
      <c r="S441" s="1618">
        <v>2</v>
      </c>
      <c r="T441" s="1611" t="s">
        <v>2823</v>
      </c>
      <c r="U441" s="1611" t="s">
        <v>1104</v>
      </c>
      <c r="V441" s="1611"/>
      <c r="W441" s="1611" t="s">
        <v>1946</v>
      </c>
      <c r="X441" s="1611" t="s">
        <v>2529</v>
      </c>
      <c r="Y441" s="1611"/>
      <c r="Z441" s="1611"/>
    </row>
    <row r="442" spans="1:26" customFormat="1" ht="27.6" hidden="1">
      <c r="A442" s="1611"/>
      <c r="B442" s="1603" t="s">
        <v>1128</v>
      </c>
      <c r="C442" s="1611" t="s">
        <v>1128</v>
      </c>
      <c r="D442" s="1611" t="s">
        <v>879</v>
      </c>
      <c r="E442" s="1619" t="s">
        <v>2857</v>
      </c>
      <c r="F442" s="1604">
        <v>39</v>
      </c>
      <c r="G442" s="1611" t="s">
        <v>993</v>
      </c>
      <c r="H442" s="1618" t="s">
        <v>987</v>
      </c>
      <c r="I442" s="1618" t="s">
        <v>2310</v>
      </c>
      <c r="J442" s="1601" t="s">
        <v>1047</v>
      </c>
      <c r="K442" s="1621">
        <v>43412</v>
      </c>
      <c r="L442" s="1611" t="s">
        <v>990</v>
      </c>
      <c r="M442" s="1617" t="s">
        <v>2858</v>
      </c>
      <c r="N442" s="1611" t="s">
        <v>915</v>
      </c>
      <c r="O442" s="1604">
        <v>2018</v>
      </c>
      <c r="P442" s="1618" t="s">
        <v>905</v>
      </c>
      <c r="Q442" s="1618">
        <v>3</v>
      </c>
      <c r="R442" s="1618"/>
      <c r="S442" s="1618">
        <v>3</v>
      </c>
      <c r="T442" s="1611" t="s">
        <v>2824</v>
      </c>
      <c r="U442" s="1611" t="s">
        <v>864</v>
      </c>
      <c r="V442" s="1611"/>
      <c r="W442" s="1611" t="s">
        <v>2712</v>
      </c>
      <c r="X442" s="1611" t="s">
        <v>2814</v>
      </c>
      <c r="Y442" s="1611"/>
      <c r="Z442" s="1611"/>
    </row>
    <row r="443" spans="1:26" customFormat="1" ht="27.6" hidden="1">
      <c r="A443" s="1611"/>
      <c r="B443" s="1611" t="s">
        <v>693</v>
      </c>
      <c r="C443" s="1611" t="s">
        <v>693</v>
      </c>
      <c r="D443" s="1611" t="s">
        <v>879</v>
      </c>
      <c r="E443" s="1619" t="s">
        <v>2832</v>
      </c>
      <c r="F443" s="1604">
        <v>45</v>
      </c>
      <c r="G443" s="1611" t="s">
        <v>2167</v>
      </c>
      <c r="H443" s="1618" t="s">
        <v>987</v>
      </c>
      <c r="I443" s="1618" t="s">
        <v>2310</v>
      </c>
      <c r="J443" s="1601" t="s">
        <v>2488</v>
      </c>
      <c r="K443" s="1621">
        <v>43412</v>
      </c>
      <c r="L443" s="1611" t="s">
        <v>990</v>
      </c>
      <c r="M443" s="1617" t="s">
        <v>2860</v>
      </c>
      <c r="N443" s="1611" t="s">
        <v>2320</v>
      </c>
      <c r="O443" s="1604">
        <v>2018</v>
      </c>
      <c r="P443" s="1618" t="s">
        <v>905</v>
      </c>
      <c r="Q443" s="1618">
        <v>3</v>
      </c>
      <c r="R443" s="1618"/>
      <c r="S443" s="1618">
        <v>3</v>
      </c>
      <c r="T443" s="1611" t="s">
        <v>2258</v>
      </c>
      <c r="U443" s="1611" t="s">
        <v>864</v>
      </c>
      <c r="V443" s="1611"/>
      <c r="W443" s="1611" t="s">
        <v>2445</v>
      </c>
      <c r="X443" s="1611"/>
      <c r="Y443" s="1611"/>
      <c r="Z443" s="1611"/>
    </row>
    <row r="444" spans="1:26" customFormat="1" hidden="1">
      <c r="A444" s="1611"/>
      <c r="B444" s="1603" t="s">
        <v>1128</v>
      </c>
      <c r="C444" s="1611" t="s">
        <v>1128</v>
      </c>
      <c r="D444" s="1611" t="s">
        <v>879</v>
      </c>
      <c r="E444" s="1619" t="s">
        <v>2833</v>
      </c>
      <c r="F444" s="1604">
        <v>52</v>
      </c>
      <c r="G444" s="1611" t="s">
        <v>2834</v>
      </c>
      <c r="H444" s="1618" t="s">
        <v>987</v>
      </c>
      <c r="I444" s="1618" t="s">
        <v>2310</v>
      </c>
      <c r="J444" s="1601" t="s">
        <v>2863</v>
      </c>
      <c r="K444" s="1621">
        <v>43417</v>
      </c>
      <c r="L444" s="1611" t="s">
        <v>990</v>
      </c>
      <c r="M444" s="1617" t="s">
        <v>2815</v>
      </c>
      <c r="N444" s="1611" t="s">
        <v>915</v>
      </c>
      <c r="O444" s="1604">
        <v>2018</v>
      </c>
      <c r="P444" s="1618" t="s">
        <v>905</v>
      </c>
      <c r="Q444" s="1618">
        <v>2</v>
      </c>
      <c r="R444" s="1618"/>
      <c r="S444" s="1618">
        <v>2</v>
      </c>
      <c r="T444" s="1611" t="s">
        <v>2825</v>
      </c>
      <c r="U444" s="1611" t="s">
        <v>1960</v>
      </c>
      <c r="V444" s="1611"/>
      <c r="W444" s="1611" t="s">
        <v>1946</v>
      </c>
      <c r="X444" s="1611" t="s">
        <v>1228</v>
      </c>
      <c r="Y444" s="1611"/>
      <c r="Z444" s="1611"/>
    </row>
    <row r="445" spans="1:26" customFormat="1" hidden="1">
      <c r="A445" s="1611"/>
      <c r="B445" s="1611" t="s">
        <v>938</v>
      </c>
      <c r="C445" s="1611" t="s">
        <v>938</v>
      </c>
      <c r="D445" s="1611" t="s">
        <v>879</v>
      </c>
      <c r="E445" s="1619" t="s">
        <v>2836</v>
      </c>
      <c r="F445" s="1604">
        <v>29</v>
      </c>
      <c r="G445" s="1611" t="s">
        <v>2835</v>
      </c>
      <c r="H445" s="1618" t="s">
        <v>987</v>
      </c>
      <c r="I445" s="1618" t="s">
        <v>2310</v>
      </c>
      <c r="J445" s="1601" t="s">
        <v>2861</v>
      </c>
      <c r="K445" s="1621">
        <v>43421</v>
      </c>
      <c r="L445" s="1611" t="s">
        <v>990</v>
      </c>
      <c r="M445" s="1617" t="s">
        <v>2837</v>
      </c>
      <c r="N445" s="1611" t="s">
        <v>913</v>
      </c>
      <c r="O445" s="1604">
        <v>2018</v>
      </c>
      <c r="P445" s="1618" t="s">
        <v>905</v>
      </c>
      <c r="Q445" s="1618">
        <v>7</v>
      </c>
      <c r="R445" s="1618"/>
      <c r="S445" s="1618">
        <v>7</v>
      </c>
      <c r="T445" s="1611" t="s">
        <v>2824</v>
      </c>
      <c r="U445" s="1611" t="s">
        <v>864</v>
      </c>
      <c r="V445" s="1611"/>
      <c r="W445" s="1611" t="s">
        <v>1946</v>
      </c>
      <c r="X445" s="1611" t="s">
        <v>2097</v>
      </c>
      <c r="Y445" s="1611"/>
      <c r="Z445" s="1611"/>
    </row>
    <row r="446" spans="1:26" customFormat="1" hidden="1">
      <c r="A446" s="1611"/>
      <c r="B446" s="1611" t="s">
        <v>938</v>
      </c>
      <c r="C446" s="1611" t="s">
        <v>938</v>
      </c>
      <c r="D446" s="1611" t="s">
        <v>879</v>
      </c>
      <c r="E446" s="1619" t="s">
        <v>2838</v>
      </c>
      <c r="F446" s="1604"/>
      <c r="G446" s="1611" t="s">
        <v>2839</v>
      </c>
      <c r="H446" s="1618" t="s">
        <v>987</v>
      </c>
      <c r="I446" s="1618" t="s">
        <v>2310</v>
      </c>
      <c r="J446" s="1601"/>
      <c r="K446" s="1621">
        <v>43427</v>
      </c>
      <c r="L446" s="1611" t="s">
        <v>990</v>
      </c>
      <c r="M446" s="1617" t="s">
        <v>2816</v>
      </c>
      <c r="N446" s="1611" t="s">
        <v>913</v>
      </c>
      <c r="O446" s="1604">
        <v>2018</v>
      </c>
      <c r="P446" s="1618" t="s">
        <v>905</v>
      </c>
      <c r="Q446" s="1618">
        <v>3</v>
      </c>
      <c r="R446" s="1618"/>
      <c r="S446" s="1618">
        <v>3</v>
      </c>
      <c r="T446" s="1611" t="s">
        <v>2825</v>
      </c>
      <c r="U446" s="1611" t="s">
        <v>864</v>
      </c>
      <c r="V446" s="1611"/>
      <c r="W446" s="1611" t="s">
        <v>1946</v>
      </c>
      <c r="X446" s="1611" t="s">
        <v>2097</v>
      </c>
      <c r="Y446" s="1611"/>
      <c r="Z446" s="1611"/>
    </row>
    <row r="447" spans="1:26" customFormat="1" hidden="1">
      <c r="A447" s="1611"/>
      <c r="B447" s="1603" t="s">
        <v>1128</v>
      </c>
      <c r="C447" s="1611" t="s">
        <v>1128</v>
      </c>
      <c r="D447" s="1611" t="s">
        <v>879</v>
      </c>
      <c r="E447" s="1619" t="s">
        <v>2840</v>
      </c>
      <c r="F447" s="1604">
        <v>21</v>
      </c>
      <c r="G447" s="1611" t="s">
        <v>2019</v>
      </c>
      <c r="H447" s="1618" t="s">
        <v>994</v>
      </c>
      <c r="I447" s="1618" t="s">
        <v>2310</v>
      </c>
      <c r="J447" s="1601" t="s">
        <v>2862</v>
      </c>
      <c r="K447" s="1621">
        <v>43427</v>
      </c>
      <c r="L447" s="1611" t="s">
        <v>990</v>
      </c>
      <c r="M447" s="1617" t="s">
        <v>2817</v>
      </c>
      <c r="N447" s="1611" t="s">
        <v>917</v>
      </c>
      <c r="O447" s="1604">
        <v>2018</v>
      </c>
      <c r="P447" s="1618" t="s">
        <v>905</v>
      </c>
      <c r="Q447" s="1618">
        <v>6</v>
      </c>
      <c r="R447" s="1618"/>
      <c r="S447" s="1618">
        <v>6</v>
      </c>
      <c r="T447" s="1611" t="s">
        <v>2824</v>
      </c>
      <c r="U447" s="1611" t="s">
        <v>1960</v>
      </c>
      <c r="V447" s="1611"/>
      <c r="W447" s="1611" t="s">
        <v>1946</v>
      </c>
      <c r="X447" s="1611"/>
      <c r="Y447" s="1611"/>
      <c r="Z447" s="1611"/>
    </row>
    <row r="448" spans="1:26" customFormat="1" ht="27.6" hidden="1">
      <c r="A448" s="1611"/>
      <c r="B448" s="1611" t="s">
        <v>91</v>
      </c>
      <c r="C448" s="1611" t="s">
        <v>2844</v>
      </c>
      <c r="D448" s="1611" t="s">
        <v>879</v>
      </c>
      <c r="E448" s="1619" t="s">
        <v>2843</v>
      </c>
      <c r="F448" s="1604">
        <v>20</v>
      </c>
      <c r="G448" s="1611" t="s">
        <v>2845</v>
      </c>
      <c r="H448" s="1618" t="s">
        <v>987</v>
      </c>
      <c r="I448" s="1618" t="s">
        <v>2310</v>
      </c>
      <c r="J448" s="1601" t="s">
        <v>2673</v>
      </c>
      <c r="K448" s="1621">
        <v>43431</v>
      </c>
      <c r="L448" s="1611" t="s">
        <v>990</v>
      </c>
      <c r="M448" s="1617" t="s">
        <v>2818</v>
      </c>
      <c r="N448" s="1611" t="s">
        <v>925</v>
      </c>
      <c r="O448" s="1604">
        <v>2018</v>
      </c>
      <c r="P448" s="1618" t="s">
        <v>905</v>
      </c>
      <c r="Q448" s="1618">
        <v>13</v>
      </c>
      <c r="R448" s="1618"/>
      <c r="S448" s="1618">
        <v>13</v>
      </c>
      <c r="T448" s="1611" t="s">
        <v>2719</v>
      </c>
      <c r="U448" s="1611" t="s">
        <v>864</v>
      </c>
      <c r="V448" s="1611"/>
      <c r="W448" s="1611" t="s">
        <v>2826</v>
      </c>
      <c r="X448" s="1611"/>
      <c r="Y448" s="1611"/>
      <c r="Z448" s="1611"/>
    </row>
    <row r="449" spans="1:26" customFormat="1" ht="27.6" hidden="1">
      <c r="A449" s="1611"/>
      <c r="B449" s="1611" t="s">
        <v>693</v>
      </c>
      <c r="C449" s="1611" t="s">
        <v>693</v>
      </c>
      <c r="D449" s="1611" t="s">
        <v>998</v>
      </c>
      <c r="E449" s="1619" t="s">
        <v>2841</v>
      </c>
      <c r="F449" s="1604">
        <v>25</v>
      </c>
      <c r="G449" s="1611" t="s">
        <v>2842</v>
      </c>
      <c r="H449" s="1618" t="s">
        <v>987</v>
      </c>
      <c r="I449" s="1618" t="s">
        <v>2310</v>
      </c>
      <c r="J449" s="1601" t="s">
        <v>2859</v>
      </c>
      <c r="K449" s="1621">
        <v>43431</v>
      </c>
      <c r="L449" s="1611" t="s">
        <v>990</v>
      </c>
      <c r="M449" s="1617" t="s">
        <v>2819</v>
      </c>
      <c r="N449" s="1611" t="s">
        <v>2320</v>
      </c>
      <c r="O449" s="1604">
        <v>2018</v>
      </c>
      <c r="P449" s="1618" t="s">
        <v>905</v>
      </c>
      <c r="Q449" s="1618">
        <v>3</v>
      </c>
      <c r="R449" s="1618"/>
      <c r="S449" s="1618">
        <v>3</v>
      </c>
      <c r="T449" s="1611" t="s">
        <v>2258</v>
      </c>
      <c r="U449" s="1611" t="s">
        <v>558</v>
      </c>
      <c r="V449" s="1611"/>
      <c r="W449" s="1611" t="s">
        <v>849</v>
      </c>
      <c r="X449" s="1611"/>
      <c r="Y449" s="1611"/>
      <c r="Z449" s="1611"/>
    </row>
    <row r="450" spans="1:26" customFormat="1" hidden="1">
      <c r="A450" s="1611"/>
      <c r="B450" s="1611" t="s">
        <v>602</v>
      </c>
      <c r="C450" s="1611" t="s">
        <v>2645</v>
      </c>
      <c r="D450" s="1611" t="s">
        <v>689</v>
      </c>
      <c r="E450" s="1619" t="s">
        <v>2848</v>
      </c>
      <c r="F450" s="1604">
        <v>47</v>
      </c>
      <c r="G450" s="1611" t="s">
        <v>993</v>
      </c>
      <c r="H450" s="1618" t="s">
        <v>987</v>
      </c>
      <c r="I450" s="1618" t="s">
        <v>2318</v>
      </c>
      <c r="J450" s="1601" t="s">
        <v>2849</v>
      </c>
      <c r="K450" s="1621">
        <v>43431</v>
      </c>
      <c r="L450" s="1611" t="s">
        <v>990</v>
      </c>
      <c r="M450" s="1617" t="s">
        <v>2820</v>
      </c>
      <c r="N450" s="1611" t="s">
        <v>917</v>
      </c>
      <c r="O450" s="1604">
        <v>2018</v>
      </c>
      <c r="P450" s="1618" t="s">
        <v>905</v>
      </c>
      <c r="Q450" s="1618">
        <v>6000</v>
      </c>
      <c r="R450" s="1618"/>
      <c r="S450" s="1618">
        <v>6000</v>
      </c>
      <c r="T450" s="1611" t="s">
        <v>2823</v>
      </c>
      <c r="U450" s="1611" t="s">
        <v>1104</v>
      </c>
      <c r="V450" s="1611"/>
      <c r="W450" s="1611" t="s">
        <v>2827</v>
      </c>
      <c r="X450" s="1611" t="s">
        <v>2821</v>
      </c>
      <c r="Y450" s="1611"/>
      <c r="Z450" s="1611"/>
    </row>
    <row r="451" spans="1:26" customFormat="1" hidden="1">
      <c r="A451" s="1611"/>
      <c r="B451" s="1611" t="s">
        <v>91</v>
      </c>
      <c r="C451" s="1611" t="s">
        <v>2853</v>
      </c>
      <c r="D451" s="1611" t="s">
        <v>879</v>
      </c>
      <c r="E451" s="1619" t="s">
        <v>2846</v>
      </c>
      <c r="F451" s="1604"/>
      <c r="G451" s="1611" t="s">
        <v>2847</v>
      </c>
      <c r="H451" s="1618" t="s">
        <v>994</v>
      </c>
      <c r="I451" s="1618" t="s">
        <v>2276</v>
      </c>
      <c r="J451" s="1601"/>
      <c r="K451" s="1621">
        <v>43432</v>
      </c>
      <c r="L451" s="1611" t="s">
        <v>990</v>
      </c>
      <c r="M451" s="1617" t="s">
        <v>2822</v>
      </c>
      <c r="N451" s="1611" t="s">
        <v>2320</v>
      </c>
      <c r="O451" s="1604">
        <v>2018</v>
      </c>
      <c r="P451" s="1618" t="s">
        <v>905</v>
      </c>
      <c r="Q451" s="1618">
        <v>6</v>
      </c>
      <c r="R451" s="1618"/>
      <c r="S451" s="1618">
        <v>6</v>
      </c>
      <c r="T451" s="1611" t="s">
        <v>2294</v>
      </c>
      <c r="U451" s="1611" t="s">
        <v>918</v>
      </c>
      <c r="V451" s="1611"/>
      <c r="W451" s="1611" t="s">
        <v>849</v>
      </c>
      <c r="X451" s="1611"/>
      <c r="Y451" s="1611"/>
      <c r="Z451" s="1611"/>
    </row>
    <row r="452" spans="1:26" customFormat="1" ht="27.6" hidden="1">
      <c r="A452" s="1611"/>
      <c r="B452" s="1611" t="s">
        <v>591</v>
      </c>
      <c r="C452" s="1611" t="s">
        <v>3652</v>
      </c>
      <c r="D452" s="1611" t="s">
        <v>1338</v>
      </c>
      <c r="E452" s="1619" t="s">
        <v>2851</v>
      </c>
      <c r="F452" s="1604"/>
      <c r="G452" s="1611" t="s">
        <v>2850</v>
      </c>
      <c r="H452" s="1618" t="s">
        <v>994</v>
      </c>
      <c r="I452" s="1618" t="s">
        <v>2310</v>
      </c>
      <c r="J452" s="1601"/>
      <c r="K452" s="1621">
        <v>43440</v>
      </c>
      <c r="L452" s="1611" t="s">
        <v>990</v>
      </c>
      <c r="M452" s="1617" t="s">
        <v>2852</v>
      </c>
      <c r="N452" s="1611" t="s">
        <v>2320</v>
      </c>
      <c r="O452" s="1604">
        <v>2018</v>
      </c>
      <c r="P452" s="1618" t="s">
        <v>906</v>
      </c>
      <c r="Q452" s="1618">
        <v>9</v>
      </c>
      <c r="R452" s="1618"/>
      <c r="S452" s="1618">
        <v>9</v>
      </c>
      <c r="T452" s="1611" t="s">
        <v>2227</v>
      </c>
      <c r="U452" s="1611" t="s">
        <v>934</v>
      </c>
      <c r="V452" s="1611"/>
      <c r="W452" s="1611" t="s">
        <v>2275</v>
      </c>
      <c r="X452" s="1611"/>
      <c r="Y452" s="1611"/>
      <c r="Z452" s="1611"/>
    </row>
    <row r="453" spans="1:26" customFormat="1" ht="27.6" hidden="1">
      <c r="A453" s="1611"/>
      <c r="B453" s="1611" t="s">
        <v>91</v>
      </c>
      <c r="C453" s="1611" t="s">
        <v>2867</v>
      </c>
      <c r="D453" s="1611" t="s">
        <v>879</v>
      </c>
      <c r="E453" s="1619" t="s">
        <v>2854</v>
      </c>
      <c r="F453" s="1604"/>
      <c r="G453" s="1611" t="s">
        <v>2855</v>
      </c>
      <c r="H453" s="1618" t="s">
        <v>987</v>
      </c>
      <c r="I453" s="1618" t="s">
        <v>2276</v>
      </c>
      <c r="J453" s="1601"/>
      <c r="K453" s="1621">
        <v>43464</v>
      </c>
      <c r="L453" s="1611" t="s">
        <v>990</v>
      </c>
      <c r="M453" s="1617" t="s">
        <v>2856</v>
      </c>
      <c r="N453" s="1611" t="s">
        <v>2320</v>
      </c>
      <c r="O453" s="1604">
        <v>2018</v>
      </c>
      <c r="P453" s="1618" t="s">
        <v>906</v>
      </c>
      <c r="Q453" s="1618">
        <v>3</v>
      </c>
      <c r="R453" s="1618"/>
      <c r="S453" s="1618">
        <v>3</v>
      </c>
      <c r="T453" s="1611" t="s">
        <v>2227</v>
      </c>
      <c r="U453" s="1611" t="s">
        <v>864</v>
      </c>
      <c r="V453" s="1611"/>
      <c r="W453" s="1611" t="s">
        <v>2275</v>
      </c>
      <c r="X453" s="1611"/>
      <c r="Y453" s="1611"/>
      <c r="Z453" s="1611"/>
    </row>
    <row r="454" spans="1:26" s="836" customFormat="1" ht="30.75" hidden="1" customHeight="1">
      <c r="A454" s="1602" t="s">
        <v>2937</v>
      </c>
      <c r="B454" s="1613" t="s">
        <v>588</v>
      </c>
      <c r="C454" s="1613" t="s">
        <v>588</v>
      </c>
      <c r="D454" s="1613" t="s">
        <v>998</v>
      </c>
      <c r="E454" s="1613" t="s">
        <v>2961</v>
      </c>
      <c r="F454" s="1602">
        <v>36</v>
      </c>
      <c r="G454" s="1613" t="s">
        <v>2977</v>
      </c>
      <c r="H454" s="1602" t="s">
        <v>987</v>
      </c>
      <c r="I454" s="1602" t="s">
        <v>2310</v>
      </c>
      <c r="J454" s="1602" t="s">
        <v>2254</v>
      </c>
      <c r="K454" s="1606">
        <v>43470</v>
      </c>
      <c r="L454" s="1602" t="s">
        <v>990</v>
      </c>
      <c r="M454" s="1602" t="s">
        <v>2916</v>
      </c>
      <c r="N454" s="1602" t="s">
        <v>2320</v>
      </c>
      <c r="O454" s="1602">
        <v>2019</v>
      </c>
      <c r="P454" s="1602" t="s">
        <v>2165</v>
      </c>
      <c r="Q454" s="1602">
        <v>29</v>
      </c>
      <c r="R454" s="1602"/>
      <c r="S454" s="1602">
        <v>29</v>
      </c>
      <c r="T454" s="1605" t="s">
        <v>2330</v>
      </c>
      <c r="U454" s="1613" t="s">
        <v>998</v>
      </c>
      <c r="V454" s="1613"/>
      <c r="W454" s="1602" t="s">
        <v>2975</v>
      </c>
      <c r="X454" s="1602"/>
      <c r="Y454" s="1604">
        <v>52</v>
      </c>
      <c r="Z454" s="1604"/>
    </row>
    <row r="455" spans="1:26" customFormat="1" ht="14.4" hidden="1">
      <c r="A455" s="1574"/>
      <c r="B455" s="1518" t="s">
        <v>876</v>
      </c>
      <c r="C455" s="1518" t="s">
        <v>2919</v>
      </c>
      <c r="D455" s="1574" t="s">
        <v>879</v>
      </c>
      <c r="E455" s="2892" t="s">
        <v>2962</v>
      </c>
      <c r="F455" s="1523">
        <v>42</v>
      </c>
      <c r="G455" s="1518" t="s">
        <v>2976</v>
      </c>
      <c r="H455" s="1523" t="s">
        <v>987</v>
      </c>
      <c r="I455" s="1524" t="s">
        <v>2276</v>
      </c>
      <c r="J455" s="1574" t="s">
        <v>2952</v>
      </c>
      <c r="K455" s="1575">
        <v>43474</v>
      </c>
      <c r="L455" s="1574" t="s">
        <v>990</v>
      </c>
      <c r="M455" s="2893" t="s">
        <v>2917</v>
      </c>
      <c r="N455" s="1518" t="s">
        <v>923</v>
      </c>
      <c r="O455" s="1523">
        <v>2019</v>
      </c>
      <c r="P455" s="1524" t="s">
        <v>2165</v>
      </c>
      <c r="Q455" s="1523">
        <v>5</v>
      </c>
      <c r="R455" s="1523"/>
      <c r="S455" s="1523">
        <v>5</v>
      </c>
      <c r="T455" s="1576" t="s">
        <v>2918</v>
      </c>
      <c r="U455" s="1518" t="s">
        <v>864</v>
      </c>
      <c r="V455" s="1518"/>
      <c r="W455" s="1518" t="s">
        <v>2564</v>
      </c>
      <c r="X455" s="1574"/>
      <c r="Y455" s="1233"/>
    </row>
    <row r="456" spans="1:26" customFormat="1" ht="30" hidden="1" customHeight="1">
      <c r="A456" s="1346"/>
      <c r="B456" s="1345" t="s">
        <v>876</v>
      </c>
      <c r="C456" s="1345" t="s">
        <v>2938</v>
      </c>
      <c r="D456" s="1346" t="s">
        <v>879</v>
      </c>
      <c r="E456" s="1356" t="s">
        <v>2963</v>
      </c>
      <c r="F456" s="1347">
        <v>38</v>
      </c>
      <c r="G456" s="1387" t="s">
        <v>993</v>
      </c>
      <c r="H456" s="1347" t="s">
        <v>987</v>
      </c>
      <c r="I456" s="839" t="s">
        <v>2310</v>
      </c>
      <c r="J456" s="1346" t="s">
        <v>2953</v>
      </c>
      <c r="K456" s="1348">
        <v>43481</v>
      </c>
      <c r="L456" s="1346" t="s">
        <v>990</v>
      </c>
      <c r="M456" s="1343" t="s">
        <v>2920</v>
      </c>
      <c r="N456" s="1347" t="s">
        <v>2320</v>
      </c>
      <c r="O456" s="1347">
        <v>2019</v>
      </c>
      <c r="P456" s="839" t="s">
        <v>2165</v>
      </c>
      <c r="Q456" s="1347">
        <v>10</v>
      </c>
      <c r="R456" s="1347"/>
      <c r="S456" s="1347">
        <v>10</v>
      </c>
      <c r="T456" s="1195" t="s">
        <v>2923</v>
      </c>
      <c r="U456" s="1345" t="s">
        <v>864</v>
      </c>
      <c r="V456" s="1345"/>
      <c r="W456" s="1345" t="s">
        <v>2238</v>
      </c>
      <c r="X456" s="1345" t="s">
        <v>2097</v>
      </c>
      <c r="Y456" s="862"/>
    </row>
    <row r="457" spans="1:26" customFormat="1" ht="30" hidden="1" customHeight="1">
      <c r="A457" s="1346" t="s">
        <v>2936</v>
      </c>
      <c r="B457" s="1345" t="s">
        <v>1128</v>
      </c>
      <c r="C457" s="1345" t="s">
        <v>1128</v>
      </c>
      <c r="D457" s="1346" t="s">
        <v>879</v>
      </c>
      <c r="E457" s="1356" t="s">
        <v>2964</v>
      </c>
      <c r="F457" s="1347">
        <v>58</v>
      </c>
      <c r="G457" s="1343" t="s">
        <v>2925</v>
      </c>
      <c r="H457" s="1347" t="s">
        <v>987</v>
      </c>
      <c r="I457" s="839" t="s">
        <v>2310</v>
      </c>
      <c r="J457" s="1345" t="s">
        <v>2575</v>
      </c>
      <c r="K457" s="1348">
        <v>43486</v>
      </c>
      <c r="L457" s="1346" t="s">
        <v>990</v>
      </c>
      <c r="M457" s="1343" t="s">
        <v>3344</v>
      </c>
      <c r="N457" s="1347" t="s">
        <v>2320</v>
      </c>
      <c r="O457" s="1347">
        <v>2019</v>
      </c>
      <c r="P457" s="839" t="s">
        <v>2165</v>
      </c>
      <c r="Q457" s="1347">
        <v>3</v>
      </c>
      <c r="R457" s="1347"/>
      <c r="S457" s="1347">
        <v>3</v>
      </c>
      <c r="T457" s="1195" t="s">
        <v>2922</v>
      </c>
      <c r="U457" s="1345" t="s">
        <v>864</v>
      </c>
      <c r="V457" s="1345"/>
      <c r="W457" s="1345" t="s">
        <v>2924</v>
      </c>
      <c r="X457" s="1346"/>
      <c r="Y457" s="862">
        <v>42</v>
      </c>
    </row>
    <row r="458" spans="1:26" customFormat="1" ht="28.8" hidden="1">
      <c r="A458" s="1346"/>
      <c r="B458" s="1345" t="s">
        <v>918</v>
      </c>
      <c r="C458" s="1345" t="s">
        <v>2921</v>
      </c>
      <c r="D458" s="1346" t="s">
        <v>879</v>
      </c>
      <c r="E458" s="1356"/>
      <c r="F458" s="1347"/>
      <c r="G458" s="1352" t="s">
        <v>3333</v>
      </c>
      <c r="H458" s="1347" t="s">
        <v>987</v>
      </c>
      <c r="I458" s="839" t="s">
        <v>2310</v>
      </c>
      <c r="J458" s="1346"/>
      <c r="K458" s="1348">
        <v>43486</v>
      </c>
      <c r="L458" s="1346" t="s">
        <v>990</v>
      </c>
      <c r="M458" s="1343" t="s">
        <v>2926</v>
      </c>
      <c r="N458" s="1347" t="s">
        <v>2320</v>
      </c>
      <c r="O458" s="1347">
        <v>2019</v>
      </c>
      <c r="P458" s="839" t="s">
        <v>2165</v>
      </c>
      <c r="Q458" s="1347">
        <v>2</v>
      </c>
      <c r="R458" s="1347"/>
      <c r="S458" s="1347">
        <v>2</v>
      </c>
      <c r="T458" s="1195" t="s">
        <v>2233</v>
      </c>
      <c r="U458" s="1033" t="s">
        <v>3562</v>
      </c>
      <c r="V458" s="1033"/>
      <c r="W458" s="1345" t="s">
        <v>2564</v>
      </c>
      <c r="X458" s="1346"/>
      <c r="Y458" s="862"/>
    </row>
    <row r="459" spans="1:26" customFormat="1" ht="25.5" hidden="1" customHeight="1">
      <c r="A459" s="1346"/>
      <c r="B459" s="1033" t="s">
        <v>1223</v>
      </c>
      <c r="C459" s="1345" t="s">
        <v>2927</v>
      </c>
      <c r="D459" s="1033" t="s">
        <v>1223</v>
      </c>
      <c r="E459" s="1356" t="s">
        <v>2928</v>
      </c>
      <c r="F459" s="1347"/>
      <c r="G459" s="1346" t="s">
        <v>2167</v>
      </c>
      <c r="H459" s="1347" t="s">
        <v>987</v>
      </c>
      <c r="I459" s="839" t="s">
        <v>2276</v>
      </c>
      <c r="J459" s="1346"/>
      <c r="K459" s="1348">
        <v>43493</v>
      </c>
      <c r="L459" s="1346" t="s">
        <v>990</v>
      </c>
      <c r="M459" s="1344" t="s">
        <v>2929</v>
      </c>
      <c r="N459" s="1346" t="s">
        <v>917</v>
      </c>
      <c r="O459" s="1347">
        <v>2019</v>
      </c>
      <c r="P459" s="839" t="s">
        <v>2165</v>
      </c>
      <c r="Q459" s="1347">
        <v>2</v>
      </c>
      <c r="R459" s="1347"/>
      <c r="S459" s="1347">
        <v>2</v>
      </c>
      <c r="T459" s="1195" t="s">
        <v>2294</v>
      </c>
      <c r="U459" s="1345" t="s">
        <v>821</v>
      </c>
      <c r="V459" s="1345"/>
      <c r="W459" s="1345" t="s">
        <v>2564</v>
      </c>
      <c r="X459" s="1346"/>
      <c r="Y459" s="862">
        <v>54</v>
      </c>
    </row>
    <row r="460" spans="1:26" customFormat="1" ht="26.4" hidden="1">
      <c r="A460" s="1346"/>
      <c r="B460" s="1345" t="s">
        <v>876</v>
      </c>
      <c r="C460" s="1345" t="s">
        <v>2938</v>
      </c>
      <c r="D460" s="1346" t="s">
        <v>879</v>
      </c>
      <c r="E460" s="1356" t="s">
        <v>2965</v>
      </c>
      <c r="F460" s="1347">
        <v>42</v>
      </c>
      <c r="G460" s="1387" t="s">
        <v>993</v>
      </c>
      <c r="H460" s="1347" t="s">
        <v>987</v>
      </c>
      <c r="I460" s="839" t="s">
        <v>2276</v>
      </c>
      <c r="J460" s="1346" t="s">
        <v>2954</v>
      </c>
      <c r="K460" s="1348">
        <v>43496</v>
      </c>
      <c r="L460" s="1346" t="s">
        <v>990</v>
      </c>
      <c r="M460" s="1345" t="s">
        <v>2934</v>
      </c>
      <c r="N460" s="1345" t="s">
        <v>913</v>
      </c>
      <c r="O460" s="1347">
        <v>2019</v>
      </c>
      <c r="P460" s="839" t="s">
        <v>2165</v>
      </c>
      <c r="Q460" s="839">
        <v>76</v>
      </c>
      <c r="R460" s="1347"/>
      <c r="S460" s="1347">
        <v>76</v>
      </c>
      <c r="T460" s="1195" t="s">
        <v>2224</v>
      </c>
      <c r="U460" s="1345" t="s">
        <v>1104</v>
      </c>
      <c r="V460" s="1345"/>
      <c r="W460" s="1345" t="s">
        <v>2340</v>
      </c>
      <c r="X460" s="1345" t="s">
        <v>2946</v>
      </c>
      <c r="Y460" s="862"/>
    </row>
    <row r="461" spans="1:26" customFormat="1" ht="26.4" hidden="1">
      <c r="A461" s="1346"/>
      <c r="B461" s="1345" t="s">
        <v>788</v>
      </c>
      <c r="C461" s="1345" t="s">
        <v>1955</v>
      </c>
      <c r="D461" s="1346" t="s">
        <v>879</v>
      </c>
      <c r="E461" s="1356" t="s">
        <v>2966</v>
      </c>
      <c r="F461" s="1347"/>
      <c r="G461" s="1346" t="s">
        <v>2939</v>
      </c>
      <c r="H461" s="1347" t="s">
        <v>987</v>
      </c>
      <c r="I461" s="839" t="s">
        <v>2276</v>
      </c>
      <c r="J461" s="1346"/>
      <c r="K461" s="1348">
        <v>43486</v>
      </c>
      <c r="L461" s="1346" t="s">
        <v>990</v>
      </c>
      <c r="M461" s="1345" t="s">
        <v>2940</v>
      </c>
      <c r="N461" s="1346" t="s">
        <v>923</v>
      </c>
      <c r="O461" s="1347">
        <v>2019</v>
      </c>
      <c r="P461" s="839" t="s">
        <v>2165</v>
      </c>
      <c r="Q461" s="1347">
        <v>5</v>
      </c>
      <c r="R461" s="1347"/>
      <c r="S461" s="1347">
        <v>5</v>
      </c>
      <c r="T461" s="1185" t="s">
        <v>2941</v>
      </c>
      <c r="U461" s="1345" t="s">
        <v>864</v>
      </c>
      <c r="V461" s="1345"/>
      <c r="W461" s="1345" t="s">
        <v>2238</v>
      </c>
      <c r="X461" s="1346"/>
      <c r="Y461" s="862"/>
    </row>
    <row r="462" spans="1:26" customFormat="1" ht="38.25" hidden="1" customHeight="1">
      <c r="A462" s="1346"/>
      <c r="B462" s="1345" t="s">
        <v>2943</v>
      </c>
      <c r="C462" s="1345" t="s">
        <v>2944</v>
      </c>
      <c r="D462" s="1346"/>
      <c r="E462" s="1356" t="s">
        <v>3207</v>
      </c>
      <c r="F462" s="1347"/>
      <c r="G462" s="1033" t="s">
        <v>3206</v>
      </c>
      <c r="H462" s="839" t="s">
        <v>987</v>
      </c>
      <c r="I462" s="984" t="s">
        <v>2310</v>
      </c>
      <c r="J462" s="1195" t="s">
        <v>3205</v>
      </c>
      <c r="K462" s="1316">
        <v>43495</v>
      </c>
      <c r="L462" s="1346" t="s">
        <v>990</v>
      </c>
      <c r="M462" s="1345" t="s">
        <v>3208</v>
      </c>
      <c r="N462" s="1345" t="s">
        <v>925</v>
      </c>
      <c r="O462" s="1347">
        <v>2019</v>
      </c>
      <c r="P462" s="839" t="s">
        <v>2165</v>
      </c>
      <c r="Q462" s="1364">
        <v>30</v>
      </c>
      <c r="R462" s="1347"/>
      <c r="S462" s="1347">
        <v>30</v>
      </c>
      <c r="T462" s="1185"/>
      <c r="U462" s="1345" t="s">
        <v>1960</v>
      </c>
      <c r="V462" s="1345"/>
      <c r="W462" s="1345" t="s">
        <v>2340</v>
      </c>
      <c r="X462" s="1346"/>
      <c r="Y462" s="862"/>
    </row>
    <row r="463" spans="1:26" s="1340" customFormat="1" ht="26.4" hidden="1">
      <c r="A463" s="1342"/>
      <c r="B463" s="1345" t="s">
        <v>1128</v>
      </c>
      <c r="C463" s="1458" t="s">
        <v>1128</v>
      </c>
      <c r="D463" s="1350" t="s">
        <v>1223</v>
      </c>
      <c r="E463" s="1356" t="s">
        <v>2967</v>
      </c>
      <c r="F463" s="1347">
        <v>52</v>
      </c>
      <c r="G463" s="1458" t="s">
        <v>2947</v>
      </c>
      <c r="H463" s="1347" t="s">
        <v>994</v>
      </c>
      <c r="I463" s="1347" t="s">
        <v>2276</v>
      </c>
      <c r="J463" s="1342"/>
      <c r="K463" s="1349">
        <v>43469</v>
      </c>
      <c r="L463" s="1345" t="s">
        <v>3015</v>
      </c>
      <c r="M463" s="1342" t="s">
        <v>2948</v>
      </c>
      <c r="N463" s="1342" t="s">
        <v>2320</v>
      </c>
      <c r="O463" s="1347">
        <v>2019</v>
      </c>
      <c r="P463" s="1458" t="s">
        <v>2165</v>
      </c>
      <c r="Q463" s="1347">
        <v>0</v>
      </c>
      <c r="R463" s="1347"/>
      <c r="S463" s="1347">
        <v>0</v>
      </c>
      <c r="T463" s="1341" t="s">
        <v>2949</v>
      </c>
      <c r="U463" s="1458" t="s">
        <v>864</v>
      </c>
      <c r="V463" s="1458"/>
      <c r="W463" s="1342" t="s">
        <v>2951</v>
      </c>
      <c r="X463" s="1342" t="s">
        <v>1228</v>
      </c>
      <c r="Y463" s="862"/>
    </row>
    <row r="464" spans="1:26" customFormat="1" ht="25.5" hidden="1" customHeight="1">
      <c r="A464" s="1346"/>
      <c r="B464" s="1345" t="s">
        <v>1128</v>
      </c>
      <c r="C464" s="1345" t="s">
        <v>1128</v>
      </c>
      <c r="D464" s="1346" t="s">
        <v>879</v>
      </c>
      <c r="E464" s="1356" t="s">
        <v>2955</v>
      </c>
      <c r="F464" s="1347">
        <v>61</v>
      </c>
      <c r="G464" s="1345" t="s">
        <v>2956</v>
      </c>
      <c r="H464" s="1347" t="s">
        <v>987</v>
      </c>
      <c r="I464" s="839" t="s">
        <v>2318</v>
      </c>
      <c r="J464" s="1346"/>
      <c r="K464" s="1348">
        <v>43475</v>
      </c>
      <c r="L464" s="1345" t="s">
        <v>3015</v>
      </c>
      <c r="M464" s="1345" t="s">
        <v>2957</v>
      </c>
      <c r="N464" s="1345" t="s">
        <v>923</v>
      </c>
      <c r="O464" s="1347">
        <v>2019</v>
      </c>
      <c r="P464" s="839" t="s">
        <v>2165</v>
      </c>
      <c r="Q464" s="1347">
        <v>0</v>
      </c>
      <c r="R464" s="1347"/>
      <c r="S464" s="1347">
        <v>0</v>
      </c>
      <c r="T464" s="1185" t="s">
        <v>2958</v>
      </c>
      <c r="U464" s="1345" t="s">
        <v>864</v>
      </c>
      <c r="V464" s="1345"/>
      <c r="W464" s="1345" t="s">
        <v>2564</v>
      </c>
      <c r="X464" s="1346"/>
      <c r="Y464" s="862"/>
    </row>
    <row r="465" spans="1:26" customFormat="1" ht="13.2" hidden="1">
      <c r="A465" s="1346"/>
      <c r="B465" s="1345" t="s">
        <v>77</v>
      </c>
      <c r="C465" s="1345" t="s">
        <v>77</v>
      </c>
      <c r="D465" s="1346" t="s">
        <v>879</v>
      </c>
      <c r="E465" s="1356" t="s">
        <v>2959</v>
      </c>
      <c r="F465" s="1347">
        <v>20</v>
      </c>
      <c r="G465" s="1345" t="s">
        <v>2956</v>
      </c>
      <c r="H465" s="1347" t="s">
        <v>987</v>
      </c>
      <c r="I465" s="839" t="s">
        <v>2549</v>
      </c>
      <c r="J465" s="1346"/>
      <c r="K465" s="1348">
        <v>43476</v>
      </c>
      <c r="L465" s="1345" t="s">
        <v>3015</v>
      </c>
      <c r="M465" s="1345" t="s">
        <v>2960</v>
      </c>
      <c r="N465" s="1345" t="s">
        <v>923</v>
      </c>
      <c r="O465" s="1347">
        <v>2019</v>
      </c>
      <c r="P465" s="839" t="s">
        <v>2165</v>
      </c>
      <c r="Q465" s="1347">
        <v>0</v>
      </c>
      <c r="R465" s="1347"/>
      <c r="S465" s="1347">
        <v>0</v>
      </c>
      <c r="T465" s="1185" t="s">
        <v>2958</v>
      </c>
      <c r="U465" s="1345" t="s">
        <v>864</v>
      </c>
      <c r="V465" s="1345"/>
      <c r="W465" s="1345" t="s">
        <v>2564</v>
      </c>
      <c r="X465" s="1346"/>
      <c r="Y465" s="862"/>
    </row>
    <row r="466" spans="1:26" s="836" customFormat="1" ht="26.4" hidden="1">
      <c r="A466" s="862"/>
      <c r="B466" s="1354" t="s">
        <v>2969</v>
      </c>
      <c r="C466" s="1354" t="s">
        <v>2969</v>
      </c>
      <c r="D466" s="1342" t="s">
        <v>879</v>
      </c>
      <c r="E466" s="1356" t="s">
        <v>2968</v>
      </c>
      <c r="F466" s="862">
        <v>52</v>
      </c>
      <c r="G466" s="1458" t="s">
        <v>2956</v>
      </c>
      <c r="H466" s="862" t="s">
        <v>987</v>
      </c>
      <c r="I466" s="839" t="s">
        <v>2318</v>
      </c>
      <c r="J466" s="862"/>
      <c r="K466" s="1355">
        <v>43479</v>
      </c>
      <c r="L466" s="1345" t="s">
        <v>3015</v>
      </c>
      <c r="M466" s="1342" t="s">
        <v>2970</v>
      </c>
      <c r="N466" s="1458" t="s">
        <v>2320</v>
      </c>
      <c r="O466" s="862">
        <v>2019</v>
      </c>
      <c r="P466" s="839" t="s">
        <v>2165</v>
      </c>
      <c r="Q466" s="1347">
        <v>0</v>
      </c>
      <c r="R466" s="1347"/>
      <c r="S466" s="1347">
        <v>0</v>
      </c>
      <c r="T466" s="1341" t="s">
        <v>2958</v>
      </c>
      <c r="U466" s="839" t="s">
        <v>864</v>
      </c>
      <c r="V466" s="839"/>
      <c r="W466" s="1458" t="s">
        <v>2564</v>
      </c>
      <c r="X466" s="862"/>
      <c r="Y466" s="862"/>
    </row>
    <row r="467" spans="1:26" customFormat="1" ht="26.4" hidden="1">
      <c r="A467" s="137"/>
      <c r="B467" s="1345" t="s">
        <v>1128</v>
      </c>
      <c r="C467" s="137" t="s">
        <v>542</v>
      </c>
      <c r="D467" s="961" t="s">
        <v>1223</v>
      </c>
      <c r="E467" s="1075" t="s">
        <v>2971</v>
      </c>
      <c r="F467" s="862">
        <v>21</v>
      </c>
      <c r="G467" s="137" t="s">
        <v>2956</v>
      </c>
      <c r="H467" s="543" t="s">
        <v>987</v>
      </c>
      <c r="I467" s="543" t="s">
        <v>2549</v>
      </c>
      <c r="J467" s="1185"/>
      <c r="K467" s="1316">
        <v>43479</v>
      </c>
      <c r="L467" s="1346" t="s">
        <v>3015</v>
      </c>
      <c r="M467" s="1197" t="s">
        <v>2972</v>
      </c>
      <c r="N467" s="137" t="s">
        <v>2320</v>
      </c>
      <c r="O467" s="862">
        <v>2019</v>
      </c>
      <c r="P467" s="543" t="s">
        <v>2165</v>
      </c>
      <c r="Q467" s="1347">
        <v>0</v>
      </c>
      <c r="R467" s="1347"/>
      <c r="S467" s="1347">
        <v>0</v>
      </c>
      <c r="T467" s="1185" t="s">
        <v>2233</v>
      </c>
      <c r="U467" s="1345" t="s">
        <v>1960</v>
      </c>
      <c r="V467" s="1345"/>
      <c r="W467" s="137" t="s">
        <v>2564</v>
      </c>
      <c r="X467" s="137"/>
      <c r="Y467" s="862"/>
    </row>
    <row r="468" spans="1:26" customFormat="1" ht="26.4" hidden="1">
      <c r="A468" s="137"/>
      <c r="B468" s="1357" t="s">
        <v>2969</v>
      </c>
      <c r="C468" s="1357" t="s">
        <v>2969</v>
      </c>
      <c r="D468" s="1346" t="s">
        <v>879</v>
      </c>
      <c r="E468" s="1341" t="s">
        <v>2973</v>
      </c>
      <c r="F468" s="862">
        <v>22</v>
      </c>
      <c r="G468" s="137" t="s">
        <v>2956</v>
      </c>
      <c r="H468" s="543" t="s">
        <v>994</v>
      </c>
      <c r="I468" s="543" t="s">
        <v>2318</v>
      </c>
      <c r="J468" s="1185"/>
      <c r="K468" s="1316">
        <v>43479</v>
      </c>
      <c r="L468" s="1345" t="s">
        <v>3015</v>
      </c>
      <c r="M468" s="1197" t="s">
        <v>2974</v>
      </c>
      <c r="N468" s="137" t="s">
        <v>2320</v>
      </c>
      <c r="O468" s="862">
        <v>2019</v>
      </c>
      <c r="P468" s="543" t="s">
        <v>2165</v>
      </c>
      <c r="Q468" s="1347">
        <v>0</v>
      </c>
      <c r="R468" s="1347"/>
      <c r="S468" s="1347">
        <v>0</v>
      </c>
      <c r="T468" s="1185" t="s">
        <v>2958</v>
      </c>
      <c r="U468" s="1345" t="s">
        <v>864</v>
      </c>
      <c r="V468" s="1345"/>
      <c r="W468" s="961" t="s">
        <v>2564</v>
      </c>
      <c r="X468" s="137"/>
      <c r="Y468" s="862"/>
    </row>
    <row r="469" spans="1:26" customFormat="1" ht="25.5" hidden="1" customHeight="1">
      <c r="A469" s="137"/>
      <c r="B469" s="137" t="s">
        <v>602</v>
      </c>
      <c r="C469" s="137" t="s">
        <v>689</v>
      </c>
      <c r="D469" s="961"/>
      <c r="E469" s="1075" t="s">
        <v>2978</v>
      </c>
      <c r="F469" s="862">
        <v>59</v>
      </c>
      <c r="G469" s="137" t="s">
        <v>2979</v>
      </c>
      <c r="H469" s="543" t="s">
        <v>987</v>
      </c>
      <c r="I469" s="543" t="s">
        <v>2310</v>
      </c>
      <c r="J469" s="1185"/>
      <c r="K469" s="1316">
        <v>43483</v>
      </c>
      <c r="L469" s="1345" t="s">
        <v>3015</v>
      </c>
      <c r="M469" s="1197" t="s">
        <v>2980</v>
      </c>
      <c r="N469" s="137" t="s">
        <v>2320</v>
      </c>
      <c r="O469" s="862">
        <v>2019</v>
      </c>
      <c r="P469" s="543" t="s">
        <v>2165</v>
      </c>
      <c r="Q469" s="1347">
        <v>0</v>
      </c>
      <c r="R469" s="1347"/>
      <c r="S469" s="1347">
        <v>0</v>
      </c>
      <c r="T469" s="1185" t="s">
        <v>2981</v>
      </c>
      <c r="U469" s="137" t="s">
        <v>821</v>
      </c>
      <c r="V469" s="137"/>
      <c r="W469" s="137" t="s">
        <v>2275</v>
      </c>
      <c r="X469" s="137"/>
      <c r="Y469" s="862"/>
    </row>
    <row r="470" spans="1:26" customFormat="1" ht="26.25" hidden="1" customHeight="1">
      <c r="A470" s="137"/>
      <c r="B470" s="1345" t="s">
        <v>1128</v>
      </c>
      <c r="C470" s="1033" t="s">
        <v>2983</v>
      </c>
      <c r="D470" s="1033" t="s">
        <v>879</v>
      </c>
      <c r="E470" s="1498" t="s">
        <v>2982</v>
      </c>
      <c r="F470" s="862">
        <v>19</v>
      </c>
      <c r="G470" s="1033" t="s">
        <v>2984</v>
      </c>
      <c r="H470" s="692" t="s">
        <v>994</v>
      </c>
      <c r="I470" s="692" t="s">
        <v>2549</v>
      </c>
      <c r="J470" s="1185"/>
      <c r="K470" s="1316">
        <v>43484</v>
      </c>
      <c r="L470" s="1345" t="s">
        <v>3015</v>
      </c>
      <c r="M470" s="1319" t="s">
        <v>2985</v>
      </c>
      <c r="N470" s="1033" t="s">
        <v>2320</v>
      </c>
      <c r="O470" s="862">
        <v>2019</v>
      </c>
      <c r="P470" s="692" t="s">
        <v>2165</v>
      </c>
      <c r="Q470" s="1347">
        <v>0</v>
      </c>
      <c r="R470" s="1347"/>
      <c r="S470" s="1347">
        <v>0</v>
      </c>
      <c r="T470" s="1195" t="s">
        <v>2958</v>
      </c>
      <c r="U470" s="1345" t="s">
        <v>864</v>
      </c>
      <c r="V470" s="1345"/>
      <c r="W470" s="1033" t="s">
        <v>2275</v>
      </c>
      <c r="X470" s="137"/>
      <c r="Y470" s="862"/>
    </row>
    <row r="471" spans="1:26" customFormat="1" ht="13.2" hidden="1">
      <c r="A471" s="137"/>
      <c r="B471" s="1345" t="s">
        <v>1128</v>
      </c>
      <c r="C471" s="1033" t="s">
        <v>542</v>
      </c>
      <c r="D471" s="1033" t="s">
        <v>879</v>
      </c>
      <c r="E471" s="1499" t="s">
        <v>2986</v>
      </c>
      <c r="F471" s="862">
        <v>19</v>
      </c>
      <c r="G471" s="1033" t="s">
        <v>2987</v>
      </c>
      <c r="H471" s="692" t="s">
        <v>987</v>
      </c>
      <c r="I471" s="692" t="s">
        <v>2318</v>
      </c>
      <c r="J471" s="1185"/>
      <c r="K471" s="1316">
        <v>43486</v>
      </c>
      <c r="L471" s="1345" t="s">
        <v>3015</v>
      </c>
      <c r="M471" s="1319" t="s">
        <v>2988</v>
      </c>
      <c r="N471" s="1033" t="s">
        <v>913</v>
      </c>
      <c r="O471" s="862">
        <v>2019</v>
      </c>
      <c r="P471" s="692" t="s">
        <v>2165</v>
      </c>
      <c r="Q471" s="1347">
        <v>0</v>
      </c>
      <c r="R471" s="1347"/>
      <c r="S471" s="1347">
        <v>0</v>
      </c>
      <c r="T471" s="1195" t="s">
        <v>2958</v>
      </c>
      <c r="U471" s="1033" t="s">
        <v>864</v>
      </c>
      <c r="V471" s="1033"/>
      <c r="W471" s="1033" t="s">
        <v>2564</v>
      </c>
      <c r="X471" s="137"/>
      <c r="Y471" s="862"/>
    </row>
    <row r="472" spans="1:26" customFormat="1" ht="25.5" hidden="1" customHeight="1">
      <c r="A472" s="137"/>
      <c r="B472" s="1605" t="s">
        <v>6050</v>
      </c>
      <c r="C472" s="1033" t="s">
        <v>2877</v>
      </c>
      <c r="D472" s="961"/>
      <c r="E472" s="1500" t="s">
        <v>2989</v>
      </c>
      <c r="F472" s="862">
        <v>32</v>
      </c>
      <c r="G472" s="1033" t="s">
        <v>2956</v>
      </c>
      <c r="H472" s="692" t="s">
        <v>987</v>
      </c>
      <c r="I472" s="692" t="s">
        <v>2310</v>
      </c>
      <c r="J472" s="1185"/>
      <c r="K472" s="1316">
        <v>43489</v>
      </c>
      <c r="L472" s="1345" t="s">
        <v>3015</v>
      </c>
      <c r="M472" s="1319" t="s">
        <v>2990</v>
      </c>
      <c r="N472" s="1033" t="s">
        <v>2320</v>
      </c>
      <c r="O472" s="862">
        <v>2019</v>
      </c>
      <c r="P472" s="692" t="s">
        <v>2165</v>
      </c>
      <c r="Q472" s="1347">
        <v>0</v>
      </c>
      <c r="R472" s="1347"/>
      <c r="S472" s="1347">
        <v>0</v>
      </c>
      <c r="T472" s="1353" t="s">
        <v>2991</v>
      </c>
      <c r="U472" s="1351" t="s">
        <v>821</v>
      </c>
      <c r="V472" s="1351"/>
      <c r="W472" s="1351" t="s">
        <v>2275</v>
      </c>
      <c r="X472" s="137"/>
      <c r="Y472" s="862"/>
    </row>
    <row r="473" spans="1:26" customFormat="1" ht="26.4" hidden="1">
      <c r="A473" s="137"/>
      <c r="B473" s="1345" t="s">
        <v>1128</v>
      </c>
      <c r="C473" s="1033" t="s">
        <v>2983</v>
      </c>
      <c r="D473" s="1350" t="s">
        <v>1223</v>
      </c>
      <c r="E473" s="1500" t="s">
        <v>2992</v>
      </c>
      <c r="F473" s="862">
        <v>29</v>
      </c>
      <c r="G473" s="1033" t="s">
        <v>2984</v>
      </c>
      <c r="H473" s="692" t="s">
        <v>994</v>
      </c>
      <c r="I473" s="692" t="s">
        <v>2310</v>
      </c>
      <c r="J473" s="1185"/>
      <c r="K473" s="1316">
        <v>43489</v>
      </c>
      <c r="L473" s="1345" t="s">
        <v>3015</v>
      </c>
      <c r="M473" s="1319" t="s">
        <v>2993</v>
      </c>
      <c r="N473" s="1033" t="s">
        <v>2320</v>
      </c>
      <c r="O473" s="862">
        <v>2019</v>
      </c>
      <c r="P473" s="692" t="s">
        <v>2165</v>
      </c>
      <c r="Q473" s="1347">
        <v>0</v>
      </c>
      <c r="R473" s="1347"/>
      <c r="S473" s="1347">
        <v>0</v>
      </c>
      <c r="T473" s="1195" t="s">
        <v>2233</v>
      </c>
      <c r="U473" s="1345" t="s">
        <v>1960</v>
      </c>
      <c r="V473" s="1345"/>
      <c r="W473" s="1033" t="s">
        <v>2564</v>
      </c>
      <c r="X473" s="137"/>
      <c r="Y473" s="862"/>
    </row>
    <row r="474" spans="1:26" customFormat="1" ht="14.4" hidden="1">
      <c r="A474" s="137"/>
      <c r="B474" s="1345" t="s">
        <v>1128</v>
      </c>
      <c r="C474" s="1033" t="s">
        <v>2983</v>
      </c>
      <c r="D474" s="1033" t="s">
        <v>879</v>
      </c>
      <c r="E474" s="1501" t="s">
        <v>2994</v>
      </c>
      <c r="F474" s="862">
        <v>45</v>
      </c>
      <c r="G474" s="1033" t="s">
        <v>2956</v>
      </c>
      <c r="H474" s="692" t="s">
        <v>987</v>
      </c>
      <c r="I474" s="692" t="s">
        <v>2318</v>
      </c>
      <c r="J474" s="1185"/>
      <c r="K474" s="1316">
        <v>43491</v>
      </c>
      <c r="L474" s="1345" t="s">
        <v>3015</v>
      </c>
      <c r="M474" s="1319" t="s">
        <v>2995</v>
      </c>
      <c r="N474" s="1033" t="s">
        <v>917</v>
      </c>
      <c r="O474" s="862">
        <v>2019</v>
      </c>
      <c r="P474" s="692" t="s">
        <v>2165</v>
      </c>
      <c r="Q474" s="1347">
        <v>0</v>
      </c>
      <c r="R474" s="1347"/>
      <c r="S474" s="1347">
        <v>0</v>
      </c>
      <c r="T474" s="1195" t="s">
        <v>918</v>
      </c>
      <c r="U474" s="1033" t="s">
        <v>821</v>
      </c>
      <c r="V474" s="1033"/>
      <c r="W474" s="1033" t="s">
        <v>918</v>
      </c>
      <c r="X474" s="137"/>
      <c r="Y474" s="862"/>
    </row>
    <row r="475" spans="1:26" customFormat="1" ht="25.5" hidden="1" customHeight="1">
      <c r="A475" s="137"/>
      <c r="B475" s="1345" t="s">
        <v>1128</v>
      </c>
      <c r="C475" s="1033" t="s">
        <v>542</v>
      </c>
      <c r="D475" s="1033" t="s">
        <v>879</v>
      </c>
      <c r="E475" s="1502" t="s">
        <v>2996</v>
      </c>
      <c r="F475" s="862">
        <v>20</v>
      </c>
      <c r="G475" s="1033" t="s">
        <v>2984</v>
      </c>
      <c r="H475" s="692" t="s">
        <v>994</v>
      </c>
      <c r="I475" s="692" t="s">
        <v>2318</v>
      </c>
      <c r="J475" s="1185"/>
      <c r="K475" s="1316">
        <v>43489</v>
      </c>
      <c r="L475" s="1345" t="s">
        <v>3015</v>
      </c>
      <c r="M475" s="1319" t="s">
        <v>2997</v>
      </c>
      <c r="N475" s="1033" t="s">
        <v>917</v>
      </c>
      <c r="O475" s="862">
        <v>2019</v>
      </c>
      <c r="P475" s="692" t="s">
        <v>2165</v>
      </c>
      <c r="Q475" s="1347">
        <v>0</v>
      </c>
      <c r="R475" s="1347"/>
      <c r="S475" s="1347">
        <v>0</v>
      </c>
      <c r="T475" s="1195" t="s">
        <v>2998</v>
      </c>
      <c r="U475" s="1345" t="s">
        <v>1960</v>
      </c>
      <c r="V475" s="1345"/>
      <c r="W475" s="1033" t="s">
        <v>2564</v>
      </c>
      <c r="X475" s="137"/>
      <c r="Y475" s="862"/>
    </row>
    <row r="476" spans="1:26" customFormat="1" ht="25.5" hidden="1" customHeight="1">
      <c r="A476" s="137"/>
      <c r="B476" s="1345" t="s">
        <v>1128</v>
      </c>
      <c r="C476" s="1033" t="s">
        <v>2983</v>
      </c>
      <c r="D476" s="1033" t="s">
        <v>879</v>
      </c>
      <c r="E476" s="1502" t="s">
        <v>2999</v>
      </c>
      <c r="F476" s="862">
        <v>19</v>
      </c>
      <c r="G476" s="1033" t="s">
        <v>2984</v>
      </c>
      <c r="H476" s="692" t="s">
        <v>994</v>
      </c>
      <c r="I476" s="692" t="s">
        <v>2318</v>
      </c>
      <c r="J476" s="1185"/>
      <c r="K476" s="1316">
        <v>43491</v>
      </c>
      <c r="L476" s="1345" t="s">
        <v>3015</v>
      </c>
      <c r="M476" s="1319" t="s">
        <v>3000</v>
      </c>
      <c r="N476" s="1033" t="s">
        <v>913</v>
      </c>
      <c r="O476" s="862">
        <v>2019</v>
      </c>
      <c r="P476" s="692" t="s">
        <v>2165</v>
      </c>
      <c r="Q476" s="1347">
        <v>0</v>
      </c>
      <c r="R476" s="1347"/>
      <c r="S476" s="1347">
        <v>0</v>
      </c>
      <c r="T476" s="1195" t="s">
        <v>2689</v>
      </c>
      <c r="U476" s="1345" t="s">
        <v>821</v>
      </c>
      <c r="V476" s="1345"/>
      <c r="W476" s="1033" t="s">
        <v>2564</v>
      </c>
      <c r="X476" s="137"/>
      <c r="Y476" s="862"/>
    </row>
    <row r="477" spans="1:26" customFormat="1" ht="14.4" hidden="1">
      <c r="A477" s="137"/>
      <c r="B477" s="137" t="s">
        <v>91</v>
      </c>
      <c r="C477" s="137" t="s">
        <v>91</v>
      </c>
      <c r="D477" s="1033" t="s">
        <v>879</v>
      </c>
      <c r="E477" s="1502" t="s">
        <v>3001</v>
      </c>
      <c r="F477" s="862">
        <v>19</v>
      </c>
      <c r="G477" s="137" t="s">
        <v>1448</v>
      </c>
      <c r="H477" s="543" t="s">
        <v>987</v>
      </c>
      <c r="I477" s="543" t="s">
        <v>2310</v>
      </c>
      <c r="J477" s="1185"/>
      <c r="K477" s="1316">
        <v>43496</v>
      </c>
      <c r="L477" s="1345" t="s">
        <v>3015</v>
      </c>
      <c r="M477" s="1197" t="s">
        <v>3004</v>
      </c>
      <c r="N477" s="137" t="s">
        <v>2320</v>
      </c>
      <c r="O477" s="862">
        <v>2019</v>
      </c>
      <c r="P477" s="543" t="s">
        <v>2165</v>
      </c>
      <c r="Q477" s="1347">
        <v>0</v>
      </c>
      <c r="R477" s="1347"/>
      <c r="S477" s="1347">
        <v>0</v>
      </c>
      <c r="T477" s="1185" t="s">
        <v>3002</v>
      </c>
      <c r="U477" s="137" t="s">
        <v>3003</v>
      </c>
      <c r="V477" s="137"/>
      <c r="W477" s="137" t="s">
        <v>918</v>
      </c>
      <c r="X477" s="137"/>
      <c r="Y477" s="862"/>
      <c r="Z477" s="1618" t="s">
        <v>1448</v>
      </c>
    </row>
    <row r="478" spans="1:26" customFormat="1" ht="25.5" hidden="1" customHeight="1">
      <c r="A478" s="137"/>
      <c r="B478" s="1345" t="s">
        <v>1128</v>
      </c>
      <c r="C478" s="1459" t="s">
        <v>2983</v>
      </c>
      <c r="D478" s="1033" t="s">
        <v>879</v>
      </c>
      <c r="E478" s="1498" t="s">
        <v>3005</v>
      </c>
      <c r="F478" s="862">
        <v>28</v>
      </c>
      <c r="G478" s="1459" t="s">
        <v>3006</v>
      </c>
      <c r="H478" s="692" t="s">
        <v>994</v>
      </c>
      <c r="I478" s="692" t="s">
        <v>2549</v>
      </c>
      <c r="J478" s="1185"/>
      <c r="K478" s="1316">
        <v>43497</v>
      </c>
      <c r="L478" s="1345" t="s">
        <v>3015</v>
      </c>
      <c r="M478" s="1319" t="s">
        <v>3007</v>
      </c>
      <c r="N478" s="1033" t="s">
        <v>917</v>
      </c>
      <c r="O478" s="862">
        <v>2019</v>
      </c>
      <c r="P478" s="692" t="s">
        <v>896</v>
      </c>
      <c r="Q478" s="1347">
        <v>0</v>
      </c>
      <c r="R478" s="1347"/>
      <c r="S478" s="1347">
        <v>0</v>
      </c>
      <c r="T478" s="1195" t="s">
        <v>918</v>
      </c>
      <c r="U478" s="1033" t="s">
        <v>864</v>
      </c>
      <c r="V478" s="1033"/>
      <c r="W478" s="1033" t="s">
        <v>918</v>
      </c>
      <c r="X478" s="137"/>
      <c r="Y478" s="862"/>
    </row>
    <row r="479" spans="1:26" customFormat="1" ht="26.25" hidden="1" customHeight="1">
      <c r="A479" s="137"/>
      <c r="B479" s="1345" t="s">
        <v>1128</v>
      </c>
      <c r="C479" s="137" t="s">
        <v>542</v>
      </c>
      <c r="D479" s="137" t="s">
        <v>3023</v>
      </c>
      <c r="E479" s="1502" t="s">
        <v>3008</v>
      </c>
      <c r="F479" s="862">
        <v>20</v>
      </c>
      <c r="G479" s="137" t="s">
        <v>3009</v>
      </c>
      <c r="H479" s="543" t="s">
        <v>987</v>
      </c>
      <c r="I479" s="543" t="s">
        <v>2549</v>
      </c>
      <c r="J479" s="1185"/>
      <c r="K479" s="1316">
        <v>43500</v>
      </c>
      <c r="L479" s="1345" t="s">
        <v>3015</v>
      </c>
      <c r="M479" s="1197" t="s">
        <v>3010</v>
      </c>
      <c r="N479" s="137" t="s">
        <v>913</v>
      </c>
      <c r="O479" s="862">
        <v>2019</v>
      </c>
      <c r="P479" s="543" t="s">
        <v>896</v>
      </c>
      <c r="Q479" s="1347">
        <v>0</v>
      </c>
      <c r="R479" s="1347"/>
      <c r="S479" s="1347">
        <v>0</v>
      </c>
      <c r="T479" s="1185" t="s">
        <v>918</v>
      </c>
      <c r="U479" s="137" t="s">
        <v>821</v>
      </c>
      <c r="V479" s="137"/>
      <c r="W479" s="137"/>
      <c r="X479" s="137"/>
      <c r="Y479" s="862"/>
      <c r="Z479" s="1618" t="s">
        <v>1448</v>
      </c>
    </row>
    <row r="480" spans="1:26" s="859" customFormat="1" ht="27" hidden="1">
      <c r="A480" s="1350"/>
      <c r="B480" s="1350" t="s">
        <v>1053</v>
      </c>
      <c r="C480" s="1350" t="s">
        <v>1053</v>
      </c>
      <c r="D480" s="1350"/>
      <c r="E480" s="1503" t="s">
        <v>3011</v>
      </c>
      <c r="F480" s="921"/>
      <c r="G480" s="1350"/>
      <c r="H480" s="1015" t="s">
        <v>987</v>
      </c>
      <c r="I480" s="1015" t="s">
        <v>2549</v>
      </c>
      <c r="J480" s="1361"/>
      <c r="K480" s="958">
        <v>43499</v>
      </c>
      <c r="L480" s="1358" t="s">
        <v>3015</v>
      </c>
      <c r="M480" s="1359" t="s">
        <v>3022</v>
      </c>
      <c r="N480" s="1350"/>
      <c r="O480" s="921">
        <v>2019</v>
      </c>
      <c r="P480" s="911" t="s">
        <v>896</v>
      </c>
      <c r="Q480" s="1360">
        <v>0</v>
      </c>
      <c r="R480" s="1360"/>
      <c r="S480" s="1360">
        <v>0</v>
      </c>
      <c r="T480" s="1361" t="s">
        <v>918</v>
      </c>
      <c r="U480" s="1350" t="s">
        <v>821</v>
      </c>
      <c r="V480" s="1350"/>
      <c r="W480" s="1120" t="s">
        <v>918</v>
      </c>
      <c r="X480" s="1350" t="s">
        <v>1073</v>
      </c>
      <c r="Y480" s="862"/>
    </row>
    <row r="481" spans="1:26" customFormat="1" ht="26.4" hidden="1">
      <c r="A481" s="137"/>
      <c r="B481" s="961"/>
      <c r="C481" s="961"/>
      <c r="D481" s="1033" t="s">
        <v>998</v>
      </c>
      <c r="E481" s="1500" t="s">
        <v>3012</v>
      </c>
      <c r="F481" s="862">
        <v>50</v>
      </c>
      <c r="G481" s="1033" t="s">
        <v>998</v>
      </c>
      <c r="H481" s="692" t="s">
        <v>994</v>
      </c>
      <c r="I481" s="692" t="s">
        <v>2549</v>
      </c>
      <c r="J481" s="1185"/>
      <c r="K481" s="1316">
        <v>43505</v>
      </c>
      <c r="L481" s="1345" t="s">
        <v>3015</v>
      </c>
      <c r="M481" s="1319" t="s">
        <v>3013</v>
      </c>
      <c r="N481" s="1033" t="s">
        <v>917</v>
      </c>
      <c r="O481" s="862">
        <v>2019</v>
      </c>
      <c r="P481" s="692" t="s">
        <v>896</v>
      </c>
      <c r="Q481" s="1347">
        <v>0</v>
      </c>
      <c r="R481" s="1347"/>
      <c r="S481" s="1347">
        <v>0</v>
      </c>
      <c r="T481" s="1195" t="s">
        <v>2233</v>
      </c>
      <c r="U481" s="1033" t="s">
        <v>1960</v>
      </c>
      <c r="V481" s="1033"/>
      <c r="W481" s="1033" t="s">
        <v>2564</v>
      </c>
      <c r="X481" s="1033" t="s">
        <v>1228</v>
      </c>
      <c r="Y481" s="862"/>
    </row>
    <row r="482" spans="1:26" customFormat="1" ht="26.4" hidden="1">
      <c r="A482" s="1398" t="s">
        <v>3343</v>
      </c>
      <c r="B482" s="1033" t="s">
        <v>694</v>
      </c>
      <c r="C482" s="1033" t="s">
        <v>694</v>
      </c>
      <c r="D482" s="1033" t="s">
        <v>998</v>
      </c>
      <c r="E482" s="1500" t="s">
        <v>3014</v>
      </c>
      <c r="F482" s="862">
        <v>48</v>
      </c>
      <c r="G482" s="1033" t="s">
        <v>2956</v>
      </c>
      <c r="H482" s="692" t="s">
        <v>987</v>
      </c>
      <c r="I482" s="692" t="s">
        <v>2310</v>
      </c>
      <c r="J482" s="1195" t="s">
        <v>2488</v>
      </c>
      <c r="K482" s="1316">
        <v>43509</v>
      </c>
      <c r="L482" s="1033" t="s">
        <v>990</v>
      </c>
      <c r="M482" s="1197" t="s">
        <v>3048</v>
      </c>
      <c r="N482" s="692" t="s">
        <v>913</v>
      </c>
      <c r="O482" s="862">
        <v>2019</v>
      </c>
      <c r="P482" s="692" t="s">
        <v>896</v>
      </c>
      <c r="Q482" s="1360">
        <v>330</v>
      </c>
      <c r="R482" s="1360"/>
      <c r="S482" s="1360">
        <v>330</v>
      </c>
      <c r="T482" s="1195" t="s">
        <v>3016</v>
      </c>
      <c r="U482" s="1033" t="s">
        <v>3562</v>
      </c>
      <c r="V482" s="1033"/>
      <c r="W482" s="1195" t="s">
        <v>2340</v>
      </c>
      <c r="X482" s="137"/>
      <c r="Y482" s="984" t="s">
        <v>4036</v>
      </c>
    </row>
    <row r="483" spans="1:26" customFormat="1" ht="26.25" hidden="1" customHeight="1">
      <c r="A483" s="137"/>
      <c r="B483" s="961"/>
      <c r="C483" s="961"/>
      <c r="D483" s="1033" t="s">
        <v>1223</v>
      </c>
      <c r="E483" s="1498" t="s">
        <v>3017</v>
      </c>
      <c r="F483" s="862">
        <v>18</v>
      </c>
      <c r="G483" s="1033" t="s">
        <v>3018</v>
      </c>
      <c r="H483" s="692" t="s">
        <v>987</v>
      </c>
      <c r="I483" s="692" t="s">
        <v>2549</v>
      </c>
      <c r="J483" s="1195" t="s">
        <v>2748</v>
      </c>
      <c r="K483" s="1316">
        <v>43509</v>
      </c>
      <c r="L483" s="1345" t="s">
        <v>3015</v>
      </c>
      <c r="M483" s="1319" t="s">
        <v>3019</v>
      </c>
      <c r="N483" s="1033" t="s">
        <v>917</v>
      </c>
      <c r="O483" s="862">
        <v>2019</v>
      </c>
      <c r="P483" s="692" t="s">
        <v>896</v>
      </c>
      <c r="Q483" s="1347">
        <v>0</v>
      </c>
      <c r="R483" s="1347"/>
      <c r="S483" s="1347">
        <v>0</v>
      </c>
      <c r="T483" s="1195" t="s">
        <v>3016</v>
      </c>
      <c r="U483" s="1033" t="s">
        <v>1960</v>
      </c>
      <c r="V483" s="1033"/>
      <c r="W483" s="1033" t="s">
        <v>2564</v>
      </c>
      <c r="X483" s="1033" t="s">
        <v>1228</v>
      </c>
      <c r="Y483" s="862"/>
    </row>
    <row r="484" spans="1:26" customFormat="1" ht="27" hidden="1">
      <c r="A484" s="1398" t="s">
        <v>3342</v>
      </c>
      <c r="B484" s="1033" t="s">
        <v>694</v>
      </c>
      <c r="C484" s="1033" t="s">
        <v>3054</v>
      </c>
      <c r="D484" s="1033" t="s">
        <v>879</v>
      </c>
      <c r="E484" s="1502" t="s">
        <v>3020</v>
      </c>
      <c r="F484" s="862">
        <v>47</v>
      </c>
      <c r="G484" s="1033" t="s">
        <v>2956</v>
      </c>
      <c r="H484" s="692" t="s">
        <v>987</v>
      </c>
      <c r="I484" s="692" t="s">
        <v>2310</v>
      </c>
      <c r="J484" s="1195" t="s">
        <v>3053</v>
      </c>
      <c r="K484" s="1316">
        <v>43510</v>
      </c>
      <c r="L484" s="1345" t="s">
        <v>990</v>
      </c>
      <c r="M484" s="1319" t="s">
        <v>3050</v>
      </c>
      <c r="N484" s="692" t="s">
        <v>2320</v>
      </c>
      <c r="O484" s="862">
        <v>2019</v>
      </c>
      <c r="P484" s="692" t="s">
        <v>896</v>
      </c>
      <c r="Q484" s="1347">
        <v>5</v>
      </c>
      <c r="R484" s="1347"/>
      <c r="S484" s="1347">
        <v>5</v>
      </c>
      <c r="T484" s="1195" t="s">
        <v>2958</v>
      </c>
      <c r="U484" s="1033" t="s">
        <v>864</v>
      </c>
      <c r="V484" s="1033"/>
      <c r="W484" s="1033" t="s">
        <v>2564</v>
      </c>
      <c r="X484" s="137"/>
      <c r="Y484" s="862">
        <v>38</v>
      </c>
    </row>
    <row r="485" spans="1:26" customFormat="1" ht="26.25" hidden="1" customHeight="1">
      <c r="A485" s="1398" t="s">
        <v>3336</v>
      </c>
      <c r="B485" s="1345" t="s">
        <v>1128</v>
      </c>
      <c r="C485" s="1033" t="s">
        <v>2983</v>
      </c>
      <c r="D485" s="137"/>
      <c r="E485" s="1498" t="s">
        <v>3021</v>
      </c>
      <c r="F485" s="862">
        <v>19</v>
      </c>
      <c r="G485" s="1399" t="s">
        <v>2019</v>
      </c>
      <c r="H485" s="692" t="s">
        <v>994</v>
      </c>
      <c r="I485" s="692" t="s">
        <v>2549</v>
      </c>
      <c r="J485" s="1185"/>
      <c r="K485" s="1316">
        <v>43511</v>
      </c>
      <c r="L485" s="1345" t="s">
        <v>990</v>
      </c>
      <c r="M485" s="1319" t="s">
        <v>3335</v>
      </c>
      <c r="N485" s="692" t="s">
        <v>2320</v>
      </c>
      <c r="O485" s="862">
        <v>2019</v>
      </c>
      <c r="P485" s="692" t="s">
        <v>896</v>
      </c>
      <c r="Q485" s="1347">
        <v>2</v>
      </c>
      <c r="R485" s="1347"/>
      <c r="S485" s="1347">
        <v>2</v>
      </c>
      <c r="T485" s="1195" t="s">
        <v>2998</v>
      </c>
      <c r="U485" s="1033" t="s">
        <v>934</v>
      </c>
      <c r="V485" s="1033"/>
      <c r="W485" s="1033" t="s">
        <v>2275</v>
      </c>
      <c r="X485" s="137"/>
      <c r="Y485" s="862"/>
    </row>
    <row r="486" spans="1:26" customFormat="1" ht="26.25" hidden="1" customHeight="1">
      <c r="A486" s="137"/>
      <c r="B486" s="137" t="s">
        <v>91</v>
      </c>
      <c r="C486" s="137" t="s">
        <v>91</v>
      </c>
      <c r="D486" s="137" t="s">
        <v>879</v>
      </c>
      <c r="E486" s="1502" t="s">
        <v>3024</v>
      </c>
      <c r="F486" s="862">
        <v>18</v>
      </c>
      <c r="G486" s="137" t="s">
        <v>3025</v>
      </c>
      <c r="H486" s="543" t="s">
        <v>987</v>
      </c>
      <c r="I486" s="543" t="s">
        <v>2310</v>
      </c>
      <c r="J486" s="1185"/>
      <c r="K486" s="1316">
        <v>43515</v>
      </c>
      <c r="L486" s="1345" t="s">
        <v>3015</v>
      </c>
      <c r="M486" s="1197" t="s">
        <v>3027</v>
      </c>
      <c r="N486" s="137" t="s">
        <v>913</v>
      </c>
      <c r="O486" s="862">
        <v>2019</v>
      </c>
      <c r="P486" s="543" t="s">
        <v>896</v>
      </c>
      <c r="Q486" s="1347">
        <v>0</v>
      </c>
      <c r="R486" s="1347"/>
      <c r="S486" s="1347">
        <v>0</v>
      </c>
      <c r="T486" s="1185" t="s">
        <v>3026</v>
      </c>
      <c r="U486" s="1033" t="s">
        <v>864</v>
      </c>
      <c r="V486" s="1033"/>
      <c r="W486" s="137" t="s">
        <v>2238</v>
      </c>
      <c r="X486" s="137"/>
      <c r="Y486" s="862"/>
    </row>
    <row r="487" spans="1:26" customFormat="1" ht="27.6" hidden="1">
      <c r="A487" s="137"/>
      <c r="B487" s="1602" t="s">
        <v>1128</v>
      </c>
      <c r="C487" s="1618" t="s">
        <v>542</v>
      </c>
      <c r="D487" s="137" t="s">
        <v>879</v>
      </c>
      <c r="E487" s="2975" t="s">
        <v>3028</v>
      </c>
      <c r="F487" s="1604">
        <v>18</v>
      </c>
      <c r="G487" s="1618" t="s">
        <v>3029</v>
      </c>
      <c r="H487" s="1618" t="s">
        <v>987</v>
      </c>
      <c r="I487" s="1618" t="s">
        <v>2310</v>
      </c>
      <c r="J487" s="1601"/>
      <c r="K487" s="1621">
        <v>43516</v>
      </c>
      <c r="L487" s="1603" t="s">
        <v>3015</v>
      </c>
      <c r="M487" s="1617" t="s">
        <v>3030</v>
      </c>
      <c r="N487" s="1604" t="s">
        <v>2320</v>
      </c>
      <c r="O487" s="1604">
        <v>2019</v>
      </c>
      <c r="P487" s="1618" t="s">
        <v>896</v>
      </c>
      <c r="Q487" s="1602">
        <v>0</v>
      </c>
      <c r="R487" s="1602"/>
      <c r="S487" s="1602">
        <v>0</v>
      </c>
      <c r="T487" s="1601" t="s">
        <v>918</v>
      </c>
      <c r="U487" s="1618" t="s">
        <v>821</v>
      </c>
      <c r="V487" s="1611"/>
      <c r="W487" s="1604" t="s">
        <v>918</v>
      </c>
      <c r="X487" s="1611"/>
      <c r="Y487" s="1604"/>
      <c r="Z487" s="1683" t="s">
        <v>2019</v>
      </c>
    </row>
    <row r="488" spans="1:26" customFormat="1" ht="27" hidden="1">
      <c r="A488" s="137"/>
      <c r="B488" s="1345" t="s">
        <v>1128</v>
      </c>
      <c r="C488" s="1033" t="s">
        <v>2983</v>
      </c>
      <c r="D488" s="1033" t="s">
        <v>879</v>
      </c>
      <c r="E488" s="1500" t="s">
        <v>3031</v>
      </c>
      <c r="F488" s="862">
        <v>18</v>
      </c>
      <c r="G488" s="1033" t="s">
        <v>3009</v>
      </c>
      <c r="H488" s="692" t="s">
        <v>987</v>
      </c>
      <c r="I488" s="692" t="s">
        <v>2310</v>
      </c>
      <c r="J488" s="1185"/>
      <c r="K488" s="1316">
        <v>43518</v>
      </c>
      <c r="L488" s="1345" t="s">
        <v>3015</v>
      </c>
      <c r="M488" s="1319" t="s">
        <v>3033</v>
      </c>
      <c r="N488" s="1033" t="s">
        <v>2320</v>
      </c>
      <c r="O488" s="862">
        <v>2019</v>
      </c>
      <c r="P488" s="692" t="s">
        <v>896</v>
      </c>
      <c r="Q488" s="1347">
        <v>0</v>
      </c>
      <c r="R488" s="1347"/>
      <c r="S488" s="1347">
        <v>0</v>
      </c>
      <c r="T488" s="1195" t="s">
        <v>3032</v>
      </c>
      <c r="U488" s="1033" t="s">
        <v>864</v>
      </c>
      <c r="V488" s="1033"/>
      <c r="W488" s="1033" t="s">
        <v>2275</v>
      </c>
      <c r="X488" s="137"/>
      <c r="Y488" s="862"/>
      <c r="Z488" s="1618" t="s">
        <v>1448</v>
      </c>
    </row>
    <row r="489" spans="1:26" customFormat="1" ht="13.2" hidden="1">
      <c r="A489" s="137"/>
      <c r="B489" s="1033" t="s">
        <v>1223</v>
      </c>
      <c r="C489" s="1033" t="s">
        <v>1223</v>
      </c>
      <c r="D489" s="1033" t="s">
        <v>1223</v>
      </c>
      <c r="E489" s="1500" t="s">
        <v>3034</v>
      </c>
      <c r="F489" s="862">
        <v>21</v>
      </c>
      <c r="G489" s="1033" t="s">
        <v>3035</v>
      </c>
      <c r="H489" s="692" t="s">
        <v>994</v>
      </c>
      <c r="I489" s="692" t="s">
        <v>2310</v>
      </c>
      <c r="J489" s="1185"/>
      <c r="K489" s="1316">
        <v>43518</v>
      </c>
      <c r="L489" s="1345" t="s">
        <v>3015</v>
      </c>
      <c r="M489" s="1319" t="s">
        <v>3036</v>
      </c>
      <c r="N489" s="1033" t="s">
        <v>2320</v>
      </c>
      <c r="O489" s="862">
        <v>2019</v>
      </c>
      <c r="P489" s="692" t="s">
        <v>896</v>
      </c>
      <c r="Q489" s="1347">
        <v>0</v>
      </c>
      <c r="R489" s="1347"/>
      <c r="S489" s="1347">
        <v>0</v>
      </c>
      <c r="T489" s="1195" t="s">
        <v>2247</v>
      </c>
      <c r="U489" s="1033" t="s">
        <v>2275</v>
      </c>
      <c r="V489" s="1033"/>
      <c r="W489" s="137"/>
      <c r="X489" s="137"/>
      <c r="Y489" s="862"/>
    </row>
    <row r="490" spans="1:26" customFormat="1" ht="51" hidden="1" customHeight="1">
      <c r="A490" s="137"/>
      <c r="B490" s="1033" t="s">
        <v>694</v>
      </c>
      <c r="C490" s="1033" t="s">
        <v>694</v>
      </c>
      <c r="D490" s="1033" t="s">
        <v>879</v>
      </c>
      <c r="E490" s="1500" t="s">
        <v>3037</v>
      </c>
      <c r="F490" s="862">
        <v>27</v>
      </c>
      <c r="G490" s="1033" t="s">
        <v>2956</v>
      </c>
      <c r="H490" s="692" t="s">
        <v>987</v>
      </c>
      <c r="I490" s="692" t="s">
        <v>2310</v>
      </c>
      <c r="J490" s="1185" t="s">
        <v>2168</v>
      </c>
      <c r="K490" s="1316">
        <v>43519</v>
      </c>
      <c r="L490" s="1345" t="s">
        <v>990</v>
      </c>
      <c r="M490" s="1345" t="s">
        <v>3038</v>
      </c>
      <c r="N490" s="692" t="s">
        <v>2320</v>
      </c>
      <c r="O490" s="862">
        <v>2019</v>
      </c>
      <c r="P490" s="692" t="s">
        <v>896</v>
      </c>
      <c r="Q490" s="1347">
        <v>69</v>
      </c>
      <c r="R490" s="1347"/>
      <c r="S490" s="1347">
        <v>69</v>
      </c>
      <c r="T490" s="1195" t="s">
        <v>2432</v>
      </c>
      <c r="U490" s="1033" t="s">
        <v>864</v>
      </c>
      <c r="V490" s="1033"/>
      <c r="W490" s="1195" t="s">
        <v>2340</v>
      </c>
      <c r="X490" s="137"/>
      <c r="Y490" s="984" t="s">
        <v>4036</v>
      </c>
    </row>
    <row r="491" spans="1:26" customFormat="1" ht="39.6" hidden="1">
      <c r="A491" s="137"/>
      <c r="B491" s="1033" t="s">
        <v>1053</v>
      </c>
      <c r="C491" s="137" t="s">
        <v>1053</v>
      </c>
      <c r="D491" s="137" t="s">
        <v>1053</v>
      </c>
      <c r="E491" s="1499" t="s">
        <v>3051</v>
      </c>
      <c r="F491" s="862">
        <v>37</v>
      </c>
      <c r="G491" s="1388" t="s">
        <v>993</v>
      </c>
      <c r="H491" s="984" t="s">
        <v>987</v>
      </c>
      <c r="I491" s="692" t="s">
        <v>2549</v>
      </c>
      <c r="J491" s="1195" t="s">
        <v>1387</v>
      </c>
      <c r="K491" s="1316">
        <v>43498</v>
      </c>
      <c r="L491" s="1345" t="s">
        <v>990</v>
      </c>
      <c r="M491" s="1197" t="s">
        <v>3047</v>
      </c>
      <c r="N491" s="137" t="s">
        <v>923</v>
      </c>
      <c r="O491" s="862">
        <v>2019</v>
      </c>
      <c r="P491" s="984" t="s">
        <v>896</v>
      </c>
      <c r="Q491" s="543">
        <v>4</v>
      </c>
      <c r="R491" s="543"/>
      <c r="S491" s="543">
        <v>4</v>
      </c>
      <c r="T491" s="1195" t="s">
        <v>2224</v>
      </c>
      <c r="U491" s="1033" t="s">
        <v>1104</v>
      </c>
      <c r="V491" s="1033"/>
      <c r="W491" s="1195" t="s">
        <v>2340</v>
      </c>
      <c r="X491" s="137" t="s">
        <v>1105</v>
      </c>
      <c r="Y491" s="862"/>
    </row>
    <row r="492" spans="1:26" customFormat="1" ht="26.4" hidden="1">
      <c r="A492" s="1398" t="s">
        <v>3339</v>
      </c>
      <c r="B492" s="1033" t="s">
        <v>694</v>
      </c>
      <c r="C492" s="1033" t="s">
        <v>694</v>
      </c>
      <c r="D492" s="1195" t="s">
        <v>879</v>
      </c>
      <c r="E492" s="1499" t="s">
        <v>3052</v>
      </c>
      <c r="F492" s="862"/>
      <c r="G492" s="1388" t="s">
        <v>3474</v>
      </c>
      <c r="H492" s="984" t="s">
        <v>987</v>
      </c>
      <c r="I492" s="984" t="s">
        <v>2310</v>
      </c>
      <c r="J492" s="1195" t="s">
        <v>2748</v>
      </c>
      <c r="K492" s="1316">
        <v>43509</v>
      </c>
      <c r="L492" s="1345" t="s">
        <v>990</v>
      </c>
      <c r="M492" s="1197" t="s">
        <v>3049</v>
      </c>
      <c r="N492" s="543" t="s">
        <v>913</v>
      </c>
      <c r="O492" s="862">
        <v>2019</v>
      </c>
      <c r="P492" s="984" t="s">
        <v>896</v>
      </c>
      <c r="Q492" s="543">
        <v>1</v>
      </c>
      <c r="R492" s="543"/>
      <c r="S492" s="543">
        <v>1</v>
      </c>
      <c r="T492" s="1033" t="s">
        <v>2234</v>
      </c>
      <c r="U492" s="1033" t="s">
        <v>3199</v>
      </c>
      <c r="V492" s="1033"/>
      <c r="W492" s="1033" t="s">
        <v>2564</v>
      </c>
      <c r="X492" s="137" t="s">
        <v>1228</v>
      </c>
      <c r="Y492" s="862"/>
    </row>
    <row r="493" spans="1:26" customFormat="1" ht="66" hidden="1">
      <c r="A493" s="137"/>
      <c r="B493" s="1345" t="s">
        <v>2943</v>
      </c>
      <c r="C493" s="1033" t="s">
        <v>2944</v>
      </c>
      <c r="D493" s="137"/>
      <c r="E493" s="1499" t="s">
        <v>3204</v>
      </c>
      <c r="F493" s="862">
        <v>53</v>
      </c>
      <c r="G493" s="1033" t="s">
        <v>3057</v>
      </c>
      <c r="H493" s="692" t="s">
        <v>994</v>
      </c>
      <c r="I493" s="984" t="s">
        <v>2310</v>
      </c>
      <c r="J493" s="1195" t="s">
        <v>3203</v>
      </c>
      <c r="K493" s="1316">
        <v>43486</v>
      </c>
      <c r="L493" s="1345" t="s">
        <v>990</v>
      </c>
      <c r="M493" s="1319" t="s">
        <v>3209</v>
      </c>
      <c r="N493" s="1033" t="s">
        <v>917</v>
      </c>
      <c r="O493" s="862">
        <v>2019</v>
      </c>
      <c r="P493" s="839" t="s">
        <v>2165</v>
      </c>
      <c r="Q493" s="862">
        <v>4</v>
      </c>
      <c r="R493" s="543"/>
      <c r="S493" s="543">
        <v>4</v>
      </c>
      <c r="T493" s="137"/>
      <c r="U493" s="1345" t="s">
        <v>1960</v>
      </c>
      <c r="V493" s="1345"/>
      <c r="W493" s="1033" t="s">
        <v>2564</v>
      </c>
      <c r="X493" s="1033" t="s">
        <v>3056</v>
      </c>
      <c r="Y493" s="862"/>
    </row>
    <row r="494" spans="1:26" customFormat="1" ht="26.4" hidden="1">
      <c r="A494" s="137"/>
      <c r="B494" s="1345" t="s">
        <v>2943</v>
      </c>
      <c r="C494" s="1033" t="s">
        <v>2944</v>
      </c>
      <c r="D494" s="137"/>
      <c r="E494" s="1499" t="s">
        <v>3062</v>
      </c>
      <c r="F494" s="862">
        <v>52</v>
      </c>
      <c r="G494" s="1033" t="s">
        <v>3060</v>
      </c>
      <c r="H494" s="1362" t="s">
        <v>987</v>
      </c>
      <c r="I494" s="692" t="s">
        <v>2549</v>
      </c>
      <c r="J494" s="1195" t="s">
        <v>3059</v>
      </c>
      <c r="K494" s="1316">
        <v>43522</v>
      </c>
      <c r="L494" s="1345" t="s">
        <v>990</v>
      </c>
      <c r="M494" s="1319" t="s">
        <v>3061</v>
      </c>
      <c r="N494" s="1195" t="s">
        <v>2320</v>
      </c>
      <c r="O494" s="862">
        <v>2019</v>
      </c>
      <c r="P494" s="984" t="s">
        <v>896</v>
      </c>
      <c r="Q494" s="543">
        <v>38</v>
      </c>
      <c r="R494" s="543"/>
      <c r="S494" s="543">
        <v>38</v>
      </c>
      <c r="T494" s="137"/>
      <c r="U494" s="137"/>
      <c r="V494" s="137"/>
      <c r="W494" s="1033" t="s">
        <v>2564</v>
      </c>
      <c r="X494" s="1033"/>
      <c r="Y494" s="862"/>
    </row>
    <row r="495" spans="1:26" customFormat="1" ht="38.25" hidden="1" customHeight="1">
      <c r="A495" s="1398" t="s">
        <v>3346</v>
      </c>
      <c r="B495" s="1033" t="s">
        <v>91</v>
      </c>
      <c r="C495" s="1033" t="s">
        <v>3064</v>
      </c>
      <c r="D495" s="1033" t="s">
        <v>1338</v>
      </c>
      <c r="E495" s="1499" t="s">
        <v>3063</v>
      </c>
      <c r="F495" s="862"/>
      <c r="G495" s="1033" t="s">
        <v>3065</v>
      </c>
      <c r="H495" s="692" t="s">
        <v>994</v>
      </c>
      <c r="I495" s="984" t="s">
        <v>2310</v>
      </c>
      <c r="J495" s="1195" t="s">
        <v>2254</v>
      </c>
      <c r="K495" s="1316">
        <v>43524</v>
      </c>
      <c r="L495" s="1345" t="s">
        <v>990</v>
      </c>
      <c r="M495" s="1319" t="s">
        <v>3066</v>
      </c>
      <c r="N495" s="543" t="s">
        <v>913</v>
      </c>
      <c r="O495" s="862">
        <v>2019</v>
      </c>
      <c r="P495" s="984" t="s">
        <v>896</v>
      </c>
      <c r="Q495" s="543">
        <v>4</v>
      </c>
      <c r="R495" s="543"/>
      <c r="S495" s="543">
        <v>4</v>
      </c>
      <c r="T495" s="1033" t="s">
        <v>2233</v>
      </c>
      <c r="U495" s="1033" t="s">
        <v>3562</v>
      </c>
      <c r="V495" s="1033"/>
      <c r="W495" s="1033" t="s">
        <v>2607</v>
      </c>
      <c r="X495" s="137"/>
      <c r="Y495" s="862"/>
    </row>
    <row r="496" spans="1:26" customFormat="1" ht="12.75" hidden="1" customHeight="1">
      <c r="A496" s="137"/>
      <c r="B496" s="1033" t="s">
        <v>1223</v>
      </c>
      <c r="C496" s="1033" t="s">
        <v>2921</v>
      </c>
      <c r="D496" s="1033" t="s">
        <v>1223</v>
      </c>
      <c r="E496" s="1499" t="s">
        <v>3198</v>
      </c>
      <c r="F496" s="862">
        <v>18</v>
      </c>
      <c r="G496" s="1388" t="s">
        <v>3058</v>
      </c>
      <c r="H496" s="984" t="s">
        <v>987</v>
      </c>
      <c r="I496" s="984" t="s">
        <v>2310</v>
      </c>
      <c r="J496" s="1195" t="s">
        <v>1396</v>
      </c>
      <c r="K496" s="1316">
        <v>43498</v>
      </c>
      <c r="L496" s="1345" t="s">
        <v>990</v>
      </c>
      <c r="M496" s="1319" t="s">
        <v>3197</v>
      </c>
      <c r="N496" s="1033" t="s">
        <v>913</v>
      </c>
      <c r="O496" s="862">
        <v>2019</v>
      </c>
      <c r="P496" s="984" t="s">
        <v>896</v>
      </c>
      <c r="Q496" s="543">
        <v>6</v>
      </c>
      <c r="R496" s="543"/>
      <c r="S496" s="543">
        <v>6</v>
      </c>
      <c r="T496" s="1033" t="s">
        <v>3200</v>
      </c>
      <c r="U496" s="1033" t="s">
        <v>3562</v>
      </c>
      <c r="V496" s="1033"/>
      <c r="W496" s="1033" t="s">
        <v>3201</v>
      </c>
      <c r="X496" s="137" t="s">
        <v>1228</v>
      </c>
      <c r="Y496" s="862"/>
    </row>
    <row r="497" spans="1:26" customFormat="1" ht="39.6" hidden="1">
      <c r="A497" s="1346"/>
      <c r="B497" s="1345" t="s">
        <v>2943</v>
      </c>
      <c r="C497" s="1345" t="s">
        <v>2944</v>
      </c>
      <c r="D497" s="1346"/>
      <c r="E497" s="1356" t="s">
        <v>3055</v>
      </c>
      <c r="F497" s="1347"/>
      <c r="G497" s="1033" t="s">
        <v>3057</v>
      </c>
      <c r="H497" s="1362" t="s">
        <v>987</v>
      </c>
      <c r="I497" s="984" t="s">
        <v>2310</v>
      </c>
      <c r="J497" s="1345" t="s">
        <v>2301</v>
      </c>
      <c r="K497" s="1316">
        <v>43514</v>
      </c>
      <c r="L497" s="1346" t="s">
        <v>990</v>
      </c>
      <c r="M497" s="1345" t="s">
        <v>3210</v>
      </c>
      <c r="N497" s="1033" t="s">
        <v>917</v>
      </c>
      <c r="O497" s="1347">
        <v>2019</v>
      </c>
      <c r="P497" s="839" t="s">
        <v>2165</v>
      </c>
      <c r="Q497" s="1347">
        <v>3</v>
      </c>
      <c r="R497" s="1347"/>
      <c r="S497" s="1347">
        <v>3</v>
      </c>
      <c r="T497" s="1185"/>
      <c r="U497" s="1346"/>
      <c r="V497" s="1346"/>
      <c r="W497" s="1033" t="s">
        <v>2564</v>
      </c>
      <c r="X497" s="1033" t="s">
        <v>3056</v>
      </c>
      <c r="Y497" s="862"/>
    </row>
    <row r="498" spans="1:26" s="243" customFormat="1" ht="25.5" hidden="1" customHeight="1">
      <c r="A498" s="1346"/>
      <c r="B498" s="1345" t="s">
        <v>1128</v>
      </c>
      <c r="C498" s="1345" t="s">
        <v>2983</v>
      </c>
      <c r="D498" s="1346"/>
      <c r="E498" s="1504" t="s">
        <v>3211</v>
      </c>
      <c r="F498" s="1347">
        <v>18</v>
      </c>
      <c r="G498" s="1345" t="s">
        <v>1448</v>
      </c>
      <c r="H498" s="839" t="s">
        <v>994</v>
      </c>
      <c r="I498" s="839" t="s">
        <v>2549</v>
      </c>
      <c r="J498" s="1346"/>
      <c r="K498" s="1348">
        <v>43501</v>
      </c>
      <c r="L498" s="1345" t="s">
        <v>3015</v>
      </c>
      <c r="M498" s="1345" t="s">
        <v>3212</v>
      </c>
      <c r="N498" s="1345" t="s">
        <v>923</v>
      </c>
      <c r="O498" s="1347">
        <v>2019</v>
      </c>
      <c r="P498" s="839" t="s">
        <v>896</v>
      </c>
      <c r="Q498" s="1347">
        <v>0</v>
      </c>
      <c r="R498" s="1347"/>
      <c r="S498" s="1347">
        <v>0</v>
      </c>
      <c r="T498" s="1345" t="s">
        <v>3213</v>
      </c>
      <c r="U498" s="1345" t="s">
        <v>864</v>
      </c>
      <c r="V498" s="1345"/>
      <c r="W498" s="1345" t="s">
        <v>918</v>
      </c>
      <c r="X498" s="1365"/>
      <c r="Y498" s="862"/>
      <c r="Z498" s="1618" t="s">
        <v>1448</v>
      </c>
    </row>
    <row r="499" spans="1:26" s="243" customFormat="1" ht="25.5" hidden="1" customHeight="1">
      <c r="A499" s="1346"/>
      <c r="B499" s="1345" t="s">
        <v>1128</v>
      </c>
      <c r="C499" s="1345" t="s">
        <v>542</v>
      </c>
      <c r="D499" s="1346"/>
      <c r="E499" s="1504" t="s">
        <v>3214</v>
      </c>
      <c r="F499" s="1347">
        <v>61</v>
      </c>
      <c r="G499" s="1345" t="s">
        <v>2956</v>
      </c>
      <c r="H499" s="839" t="s">
        <v>987</v>
      </c>
      <c r="I499" s="839" t="s">
        <v>2310</v>
      </c>
      <c r="J499" s="1346"/>
      <c r="K499" s="1348">
        <v>43475</v>
      </c>
      <c r="L499" s="1345" t="s">
        <v>3015</v>
      </c>
      <c r="M499" s="1345" t="s">
        <v>3215</v>
      </c>
      <c r="N499" s="1345" t="s">
        <v>923</v>
      </c>
      <c r="O499" s="1347">
        <v>2019</v>
      </c>
      <c r="P499" s="839" t="s">
        <v>2165</v>
      </c>
      <c r="Q499" s="1347">
        <v>0</v>
      </c>
      <c r="R499" s="1347"/>
      <c r="S499" s="1347">
        <v>0</v>
      </c>
      <c r="T499" s="1345" t="s">
        <v>2958</v>
      </c>
      <c r="U499" s="1345" t="s">
        <v>864</v>
      </c>
      <c r="V499" s="1345"/>
      <c r="W499" s="1345" t="s">
        <v>2564</v>
      </c>
      <c r="X499" s="1365"/>
      <c r="Y499" s="862"/>
    </row>
    <row r="500" spans="1:26" s="243" customFormat="1" ht="26.4" hidden="1">
      <c r="A500" s="1346"/>
      <c r="B500" s="1345" t="s">
        <v>1128</v>
      </c>
      <c r="C500" s="1345" t="s">
        <v>2983</v>
      </c>
      <c r="D500" s="1345" t="s">
        <v>879</v>
      </c>
      <c r="E500" s="1500" t="s">
        <v>3216</v>
      </c>
      <c r="F500" s="1347">
        <v>42</v>
      </c>
      <c r="G500" s="1345" t="s">
        <v>3217</v>
      </c>
      <c r="H500" s="839" t="s">
        <v>987</v>
      </c>
      <c r="I500" s="839" t="s">
        <v>2310</v>
      </c>
      <c r="J500" s="1346"/>
      <c r="K500" s="1348">
        <v>43523</v>
      </c>
      <c r="L500" s="1345" t="s">
        <v>3015</v>
      </c>
      <c r="M500" s="1345" t="s">
        <v>3218</v>
      </c>
      <c r="N500" s="1345" t="s">
        <v>2320</v>
      </c>
      <c r="O500" s="1347">
        <v>2019</v>
      </c>
      <c r="P500" s="839" t="s">
        <v>896</v>
      </c>
      <c r="Q500" s="1347">
        <v>0</v>
      </c>
      <c r="R500" s="1347"/>
      <c r="S500" s="1347">
        <v>0</v>
      </c>
      <c r="T500" s="1345" t="s">
        <v>3219</v>
      </c>
      <c r="U500" s="1345" t="s">
        <v>864</v>
      </c>
      <c r="V500" s="1345"/>
      <c r="W500" s="1345" t="s">
        <v>2275</v>
      </c>
      <c r="X500" s="1365"/>
      <c r="Y500" s="862"/>
    </row>
    <row r="501" spans="1:26" s="243" customFormat="1" ht="26.4" hidden="1">
      <c r="A501" s="1346"/>
      <c r="B501" s="1345" t="s">
        <v>3220</v>
      </c>
      <c r="C501" s="1345" t="s">
        <v>3220</v>
      </c>
      <c r="D501" s="1346"/>
      <c r="E501" s="1500" t="s">
        <v>3221</v>
      </c>
      <c r="F501" s="1347"/>
      <c r="G501" s="1345" t="s">
        <v>3222</v>
      </c>
      <c r="H501" s="839" t="s">
        <v>987</v>
      </c>
      <c r="I501" s="839" t="s">
        <v>2549</v>
      </c>
      <c r="J501" s="1345" t="s">
        <v>3223</v>
      </c>
      <c r="K501" s="1348">
        <v>43521</v>
      </c>
      <c r="L501" s="1345" t="s">
        <v>3015</v>
      </c>
      <c r="M501" s="1345" t="s">
        <v>3224</v>
      </c>
      <c r="N501" s="1345"/>
      <c r="O501" s="1347">
        <v>2019</v>
      </c>
      <c r="P501" s="839" t="s">
        <v>896</v>
      </c>
      <c r="Q501" s="1347">
        <v>0</v>
      </c>
      <c r="R501" s="1347"/>
      <c r="S501" s="1347">
        <v>0</v>
      </c>
      <c r="T501" s="1345" t="s">
        <v>918</v>
      </c>
      <c r="U501" s="1345" t="s">
        <v>918</v>
      </c>
      <c r="V501" s="1345"/>
      <c r="W501" s="1345" t="s">
        <v>918</v>
      </c>
      <c r="X501" s="1365"/>
      <c r="Y501" s="862"/>
    </row>
    <row r="502" spans="1:26" s="243" customFormat="1" ht="25.5" hidden="1" customHeight="1">
      <c r="A502" s="1346"/>
      <c r="B502" s="137" t="s">
        <v>602</v>
      </c>
      <c r="C502" s="1345" t="s">
        <v>2645</v>
      </c>
      <c r="D502" s="1345" t="s">
        <v>689</v>
      </c>
      <c r="E502" s="1504" t="s">
        <v>3225</v>
      </c>
      <c r="F502" s="1347"/>
      <c r="G502" s="1387" t="s">
        <v>3276</v>
      </c>
      <c r="H502" s="839" t="s">
        <v>987</v>
      </c>
      <c r="I502" s="839" t="s">
        <v>2318</v>
      </c>
      <c r="J502" s="1345" t="s">
        <v>2168</v>
      </c>
      <c r="K502" s="1348">
        <v>43528</v>
      </c>
      <c r="L502" s="1345" t="s">
        <v>2117</v>
      </c>
      <c r="M502" s="1345" t="s">
        <v>3269</v>
      </c>
      <c r="N502" s="1345" t="s">
        <v>913</v>
      </c>
      <c r="O502" s="1347">
        <v>2019</v>
      </c>
      <c r="P502" s="839" t="s">
        <v>897</v>
      </c>
      <c r="Q502" s="1347">
        <v>5</v>
      </c>
      <c r="R502" s="1347"/>
      <c r="S502" s="1347">
        <v>5</v>
      </c>
      <c r="T502" s="1345" t="s">
        <v>2233</v>
      </c>
      <c r="U502" s="1345" t="s">
        <v>1960</v>
      </c>
      <c r="V502" s="1345"/>
      <c r="W502" s="1345" t="s">
        <v>2607</v>
      </c>
      <c r="X502" s="1365" t="s">
        <v>993</v>
      </c>
      <c r="Y502" s="862"/>
    </row>
    <row r="503" spans="1:26" s="243" customFormat="1" ht="25.5" hidden="1" customHeight="1">
      <c r="A503" s="1346"/>
      <c r="B503" s="1345" t="s">
        <v>1128</v>
      </c>
      <c r="C503" s="1345" t="s">
        <v>542</v>
      </c>
      <c r="D503" s="1346"/>
      <c r="E503" s="1504" t="s">
        <v>3229</v>
      </c>
      <c r="F503" s="1347">
        <v>20</v>
      </c>
      <c r="G503" s="1345" t="s">
        <v>2956</v>
      </c>
      <c r="H503" s="839" t="s">
        <v>987</v>
      </c>
      <c r="I503" s="839" t="s">
        <v>2549</v>
      </c>
      <c r="J503" s="1346"/>
      <c r="K503" s="1348">
        <v>43535</v>
      </c>
      <c r="L503" s="1345" t="s">
        <v>3015</v>
      </c>
      <c r="M503" s="1345" t="s">
        <v>3230</v>
      </c>
      <c r="N503" s="1345" t="s">
        <v>2320</v>
      </c>
      <c r="O503" s="1347">
        <v>2019</v>
      </c>
      <c r="P503" s="839" t="s">
        <v>897</v>
      </c>
      <c r="Q503" s="1347">
        <v>0</v>
      </c>
      <c r="R503" s="1347"/>
      <c r="S503" s="1347">
        <v>0</v>
      </c>
      <c r="T503" s="1345" t="s">
        <v>918</v>
      </c>
      <c r="U503" s="1345" t="s">
        <v>918</v>
      </c>
      <c r="V503" s="1345"/>
      <c r="W503" s="1345" t="s">
        <v>918</v>
      </c>
      <c r="X503" s="1365"/>
      <c r="Y503" s="862"/>
    </row>
    <row r="504" spans="1:26" s="243" customFormat="1" ht="25.5" hidden="1" customHeight="1">
      <c r="A504" s="1346"/>
      <c r="B504" s="1345" t="s">
        <v>1128</v>
      </c>
      <c r="C504" s="1345" t="s">
        <v>2983</v>
      </c>
      <c r="D504" s="1346"/>
      <c r="E504" s="1504" t="s">
        <v>3231</v>
      </c>
      <c r="F504" s="1347">
        <v>20</v>
      </c>
      <c r="G504" s="1345" t="s">
        <v>2956</v>
      </c>
      <c r="H504" s="839" t="s">
        <v>987</v>
      </c>
      <c r="I504" s="839" t="s">
        <v>2310</v>
      </c>
      <c r="J504" s="1346"/>
      <c r="K504" s="1348">
        <v>43536</v>
      </c>
      <c r="L504" s="1345" t="s">
        <v>3015</v>
      </c>
      <c r="M504" s="1345" t="s">
        <v>3232</v>
      </c>
      <c r="N504" s="1345" t="s">
        <v>2320</v>
      </c>
      <c r="O504" s="1347">
        <v>2019</v>
      </c>
      <c r="P504" s="839" t="s">
        <v>897</v>
      </c>
      <c r="Q504" s="1347">
        <v>0</v>
      </c>
      <c r="R504" s="1347"/>
      <c r="S504" s="1347">
        <v>0</v>
      </c>
      <c r="T504" s="1345" t="s">
        <v>2958</v>
      </c>
      <c r="U504" s="1345" t="s">
        <v>864</v>
      </c>
      <c r="V504" s="1345"/>
      <c r="W504" s="1345" t="s">
        <v>918</v>
      </c>
      <c r="X504" s="1365"/>
      <c r="Y504" s="862"/>
    </row>
    <row r="505" spans="1:26" s="243" customFormat="1" ht="25.5" hidden="1" customHeight="1">
      <c r="A505" s="1346"/>
      <c r="B505" s="1345" t="s">
        <v>1128</v>
      </c>
      <c r="C505" s="1345" t="s">
        <v>2983</v>
      </c>
      <c r="D505" s="1346"/>
      <c r="E505" s="1500" t="s">
        <v>3233</v>
      </c>
      <c r="F505" s="1347">
        <v>19</v>
      </c>
      <c r="G505" s="1345" t="s">
        <v>3234</v>
      </c>
      <c r="H505" s="839" t="s">
        <v>994</v>
      </c>
      <c r="I505" s="839" t="s">
        <v>2318</v>
      </c>
      <c r="J505" s="1346"/>
      <c r="K505" s="1348">
        <v>43536</v>
      </c>
      <c r="L505" s="1345" t="s">
        <v>3015</v>
      </c>
      <c r="M505" s="1345" t="s">
        <v>3235</v>
      </c>
      <c r="N505" s="1345" t="s">
        <v>2320</v>
      </c>
      <c r="O505" s="1347">
        <v>2019</v>
      </c>
      <c r="P505" s="839" t="s">
        <v>897</v>
      </c>
      <c r="Q505" s="1347">
        <v>0</v>
      </c>
      <c r="R505" s="1347"/>
      <c r="S505" s="1347">
        <v>0</v>
      </c>
      <c r="T505" s="1345" t="s">
        <v>2998</v>
      </c>
      <c r="U505" s="1345" t="s">
        <v>864</v>
      </c>
      <c r="V505" s="1345"/>
      <c r="W505" s="1345" t="s">
        <v>2564</v>
      </c>
      <c r="X505" s="1365"/>
      <c r="Y505" s="862"/>
    </row>
    <row r="506" spans="1:26" s="243" customFormat="1" ht="26.4" hidden="1">
      <c r="A506" s="1346"/>
      <c r="B506" s="1345" t="s">
        <v>918</v>
      </c>
      <c r="C506" s="1345" t="s">
        <v>694</v>
      </c>
      <c r="D506" s="1346" t="s">
        <v>1223</v>
      </c>
      <c r="E506" s="1500" t="s">
        <v>3236</v>
      </c>
      <c r="F506" s="1347">
        <v>28</v>
      </c>
      <c r="G506" s="1345" t="s">
        <v>3237</v>
      </c>
      <c r="H506" s="839" t="s">
        <v>994</v>
      </c>
      <c r="I506" s="839" t="s">
        <v>2310</v>
      </c>
      <c r="J506" s="1346"/>
      <c r="K506" s="1348">
        <v>43545</v>
      </c>
      <c r="L506" s="1345" t="s">
        <v>2117</v>
      </c>
      <c r="M506" s="1345" t="s">
        <v>3238</v>
      </c>
      <c r="N506" s="839" t="s">
        <v>2320</v>
      </c>
      <c r="O506" s="1347">
        <v>2019</v>
      </c>
      <c r="P506" s="839" t="s">
        <v>897</v>
      </c>
      <c r="Q506" s="1347">
        <v>8</v>
      </c>
      <c r="R506" s="1347"/>
      <c r="S506" s="1347">
        <v>8</v>
      </c>
      <c r="T506" s="1345" t="s">
        <v>2247</v>
      </c>
      <c r="U506" s="1345" t="s">
        <v>864</v>
      </c>
      <c r="V506" s="1345"/>
      <c r="W506" s="1345" t="s">
        <v>2275</v>
      </c>
      <c r="X506" s="1365"/>
      <c r="Y506" s="862"/>
    </row>
    <row r="507" spans="1:26" s="243" customFormat="1" ht="22.5" hidden="1" customHeight="1">
      <c r="A507" s="1398" t="s">
        <v>3345</v>
      </c>
      <c r="B507" s="1345" t="s">
        <v>91</v>
      </c>
      <c r="C507" s="1345" t="s">
        <v>91</v>
      </c>
      <c r="D507" s="1346" t="s">
        <v>879</v>
      </c>
      <c r="E507" s="1500" t="s">
        <v>3239</v>
      </c>
      <c r="F507" s="1347">
        <v>47</v>
      </c>
      <c r="G507" s="1345" t="s">
        <v>2956</v>
      </c>
      <c r="H507" s="839" t="s">
        <v>987</v>
      </c>
      <c r="I507" s="839" t="s">
        <v>2318</v>
      </c>
      <c r="J507" s="1346" t="s">
        <v>3240</v>
      </c>
      <c r="K507" s="1348">
        <v>43549</v>
      </c>
      <c r="L507" s="1345" t="s">
        <v>990</v>
      </c>
      <c r="M507" s="1345" t="s">
        <v>3271</v>
      </c>
      <c r="N507" s="839" t="s">
        <v>2320</v>
      </c>
      <c r="O507" s="1347">
        <v>2019</v>
      </c>
      <c r="P507" s="839" t="s">
        <v>897</v>
      </c>
      <c r="Q507" s="1347">
        <v>30</v>
      </c>
      <c r="R507" s="1347"/>
      <c r="S507" s="1347">
        <v>30</v>
      </c>
      <c r="T507" s="1345" t="s">
        <v>2233</v>
      </c>
      <c r="U507" s="1345" t="s">
        <v>864</v>
      </c>
      <c r="V507" s="1345"/>
      <c r="W507" s="1345" t="s">
        <v>2340</v>
      </c>
      <c r="X507" s="1365"/>
      <c r="Y507" s="862"/>
    </row>
    <row r="508" spans="1:26" s="243" customFormat="1" ht="22.5" hidden="1" customHeight="1">
      <c r="A508" s="1346"/>
      <c r="B508" s="1345" t="s">
        <v>1128</v>
      </c>
      <c r="C508" s="1345" t="s">
        <v>3242</v>
      </c>
      <c r="D508" s="1346"/>
      <c r="E508" s="1500" t="s">
        <v>3241</v>
      </c>
      <c r="F508" s="1347">
        <v>35</v>
      </c>
      <c r="G508" s="1345" t="s">
        <v>2167</v>
      </c>
      <c r="H508" s="839" t="s">
        <v>987</v>
      </c>
      <c r="I508" s="839" t="s">
        <v>2549</v>
      </c>
      <c r="J508" s="1346"/>
      <c r="K508" s="1348">
        <v>43550</v>
      </c>
      <c r="L508" s="1345" t="s">
        <v>3015</v>
      </c>
      <c r="M508" s="1345" t="s">
        <v>3244</v>
      </c>
      <c r="N508" s="1345" t="s">
        <v>913</v>
      </c>
      <c r="O508" s="1347">
        <v>2019</v>
      </c>
      <c r="P508" s="839" t="s">
        <v>897</v>
      </c>
      <c r="Q508" s="1347">
        <v>0</v>
      </c>
      <c r="R508" s="1347"/>
      <c r="S508" s="1347">
        <v>0</v>
      </c>
      <c r="T508" s="1345" t="s">
        <v>3243</v>
      </c>
      <c r="U508" s="1345" t="s">
        <v>918</v>
      </c>
      <c r="V508" s="1345"/>
      <c r="W508" s="1345" t="s">
        <v>918</v>
      </c>
      <c r="X508" s="1365"/>
      <c r="Y508" s="862"/>
    </row>
    <row r="509" spans="1:26" s="243" customFormat="1" ht="22.5" hidden="1" customHeight="1">
      <c r="A509" s="1346"/>
      <c r="B509" s="1345" t="s">
        <v>591</v>
      </c>
      <c r="C509" s="1345" t="s">
        <v>974</v>
      </c>
      <c r="D509" s="1346" t="s">
        <v>3247</v>
      </c>
      <c r="E509" s="1500" t="s">
        <v>3245</v>
      </c>
      <c r="F509" s="1347"/>
      <c r="G509" s="1390" t="s">
        <v>3299</v>
      </c>
      <c r="H509" s="839" t="s">
        <v>987</v>
      </c>
      <c r="I509" s="839" t="s">
        <v>2310</v>
      </c>
      <c r="J509" s="1346" t="s">
        <v>3246</v>
      </c>
      <c r="K509" s="1348">
        <v>43551</v>
      </c>
      <c r="L509" s="1345" t="s">
        <v>990</v>
      </c>
      <c r="M509" s="1345" t="s">
        <v>3272</v>
      </c>
      <c r="N509" s="839" t="s">
        <v>913</v>
      </c>
      <c r="O509" s="1347">
        <v>2019</v>
      </c>
      <c r="P509" s="839" t="s">
        <v>897</v>
      </c>
      <c r="Q509" s="1347">
        <v>9</v>
      </c>
      <c r="R509" s="1347"/>
      <c r="S509" s="1347">
        <v>9</v>
      </c>
      <c r="T509" s="1345" t="s">
        <v>2234</v>
      </c>
      <c r="U509" s="1345" t="s">
        <v>864</v>
      </c>
      <c r="V509" s="1345"/>
      <c r="W509" s="1345" t="s">
        <v>2564</v>
      </c>
      <c r="X509" s="1365"/>
      <c r="Y509" s="862"/>
    </row>
    <row r="510" spans="1:26" s="243" customFormat="1" ht="22.5" hidden="1" customHeight="1">
      <c r="A510" s="1346"/>
      <c r="B510" s="1345" t="s">
        <v>1010</v>
      </c>
      <c r="C510" s="1345" t="s">
        <v>1010</v>
      </c>
      <c r="D510" s="1346"/>
      <c r="E510" s="1500" t="s">
        <v>3248</v>
      </c>
      <c r="F510" s="1347"/>
      <c r="G510" s="1345" t="s">
        <v>2480</v>
      </c>
      <c r="H510" s="839" t="s">
        <v>987</v>
      </c>
      <c r="I510" s="839" t="s">
        <v>2310</v>
      </c>
      <c r="J510" s="1346" t="s">
        <v>3240</v>
      </c>
      <c r="K510" s="1348">
        <v>43552</v>
      </c>
      <c r="L510" s="1345" t="s">
        <v>3015</v>
      </c>
      <c r="M510" s="1345" t="s">
        <v>3249</v>
      </c>
      <c r="N510" s="1345" t="s">
        <v>2320</v>
      </c>
      <c r="O510" s="1347">
        <v>2019</v>
      </c>
      <c r="P510" s="839" t="s">
        <v>897</v>
      </c>
      <c r="Q510" s="1366">
        <v>0</v>
      </c>
      <c r="R510" s="1347"/>
      <c r="S510" s="1366">
        <v>0</v>
      </c>
      <c r="T510" s="1345" t="s">
        <v>2958</v>
      </c>
      <c r="U510" s="1345" t="s">
        <v>864</v>
      </c>
      <c r="V510" s="1345"/>
      <c r="W510" s="1345" t="s">
        <v>2238</v>
      </c>
      <c r="X510" s="1365"/>
      <c r="Y510" s="862"/>
    </row>
    <row r="511" spans="1:26" s="243" customFormat="1" ht="22.5" hidden="1" customHeight="1">
      <c r="A511" s="1346"/>
      <c r="B511" s="1345" t="s">
        <v>91</v>
      </c>
      <c r="C511" s="1345" t="s">
        <v>91</v>
      </c>
      <c r="D511" s="1346"/>
      <c r="E511" s="1500" t="s">
        <v>3250</v>
      </c>
      <c r="F511" s="1347">
        <v>23</v>
      </c>
      <c r="G511" s="1345" t="s">
        <v>3251</v>
      </c>
      <c r="H511" s="839" t="s">
        <v>987</v>
      </c>
      <c r="I511" s="839" t="s">
        <v>2310</v>
      </c>
      <c r="J511" s="1346"/>
      <c r="K511" s="1348">
        <v>43553</v>
      </c>
      <c r="L511" s="1345" t="s">
        <v>3015</v>
      </c>
      <c r="M511" s="1345" t="s">
        <v>3252</v>
      </c>
      <c r="N511" s="1345" t="s">
        <v>2320</v>
      </c>
      <c r="O511" s="1347">
        <v>2019</v>
      </c>
      <c r="P511" s="839" t="s">
        <v>897</v>
      </c>
      <c r="Q511" s="1347">
        <v>0</v>
      </c>
      <c r="R511" s="1347"/>
      <c r="S511" s="1347">
        <v>0</v>
      </c>
      <c r="T511" s="1345" t="s">
        <v>3253</v>
      </c>
      <c r="U511" s="1345" t="s">
        <v>918</v>
      </c>
      <c r="V511" s="1345"/>
      <c r="W511" s="1345" t="s">
        <v>2564</v>
      </c>
      <c r="X511" s="1365"/>
      <c r="Y511" s="862"/>
    </row>
    <row r="512" spans="1:26" s="243" customFormat="1" ht="22.5" hidden="1" customHeight="1">
      <c r="A512" s="1346"/>
      <c r="B512" s="1345" t="s">
        <v>3255</v>
      </c>
      <c r="C512" s="1345" t="s">
        <v>3255</v>
      </c>
      <c r="D512" s="1346" t="s">
        <v>1223</v>
      </c>
      <c r="E512" s="1500" t="s">
        <v>3254</v>
      </c>
      <c r="F512" s="1347">
        <v>32</v>
      </c>
      <c r="G512" s="1345" t="s">
        <v>3256</v>
      </c>
      <c r="H512" s="839" t="s">
        <v>994</v>
      </c>
      <c r="I512" s="839" t="s">
        <v>2310</v>
      </c>
      <c r="J512" s="1346"/>
      <c r="K512" s="1348">
        <v>43553</v>
      </c>
      <c r="L512" s="1345" t="s">
        <v>3015</v>
      </c>
      <c r="M512" s="1345" t="s">
        <v>3258</v>
      </c>
      <c r="N512" s="1345" t="s">
        <v>923</v>
      </c>
      <c r="O512" s="1347">
        <v>2019</v>
      </c>
      <c r="P512" s="839" t="s">
        <v>897</v>
      </c>
      <c r="Q512" s="1347">
        <v>0</v>
      </c>
      <c r="R512" s="1347"/>
      <c r="S512" s="1347">
        <v>0</v>
      </c>
      <c r="T512" s="1345" t="s">
        <v>3257</v>
      </c>
      <c r="U512" s="1345" t="s">
        <v>918</v>
      </c>
      <c r="V512" s="1345"/>
      <c r="W512" s="1345" t="s">
        <v>2564</v>
      </c>
      <c r="X512" s="1365"/>
      <c r="Y512" s="862"/>
    </row>
    <row r="513" spans="1:25" s="243" customFormat="1" ht="22.5" hidden="1" customHeight="1">
      <c r="A513" s="1346"/>
      <c r="B513" s="1345" t="s">
        <v>91</v>
      </c>
      <c r="C513" s="1345" t="s">
        <v>91</v>
      </c>
      <c r="D513" s="1346"/>
      <c r="E513" s="1500" t="s">
        <v>3259</v>
      </c>
      <c r="F513" s="1347">
        <v>22</v>
      </c>
      <c r="G513" s="1345" t="s">
        <v>2984</v>
      </c>
      <c r="H513" s="839" t="s">
        <v>994</v>
      </c>
      <c r="I513" s="839" t="s">
        <v>2549</v>
      </c>
      <c r="J513" s="1346"/>
      <c r="K513" s="1348">
        <v>43557</v>
      </c>
      <c r="L513" s="1345" t="s">
        <v>3015</v>
      </c>
      <c r="M513" s="1345" t="s">
        <v>3260</v>
      </c>
      <c r="N513" s="1345" t="s">
        <v>2320</v>
      </c>
      <c r="O513" s="1347">
        <v>2019</v>
      </c>
      <c r="P513" s="839" t="s">
        <v>898</v>
      </c>
      <c r="Q513" s="1347">
        <v>0</v>
      </c>
      <c r="R513" s="1347"/>
      <c r="S513" s="1347">
        <v>0</v>
      </c>
      <c r="T513" s="1345" t="s">
        <v>918</v>
      </c>
      <c r="U513" s="1345" t="s">
        <v>864</v>
      </c>
      <c r="V513" s="1345"/>
      <c r="W513" s="1345" t="s">
        <v>918</v>
      </c>
      <c r="X513" s="1365"/>
      <c r="Y513" s="862"/>
    </row>
    <row r="514" spans="1:25" s="243" customFormat="1" ht="22.5" hidden="1" customHeight="1">
      <c r="A514" s="1346"/>
      <c r="B514" s="1033" t="s">
        <v>1223</v>
      </c>
      <c r="C514" s="1345" t="s">
        <v>3294</v>
      </c>
      <c r="D514" s="1346" t="s">
        <v>1223</v>
      </c>
      <c r="E514" s="1500" t="s">
        <v>3261</v>
      </c>
      <c r="F514" s="1347">
        <v>52</v>
      </c>
      <c r="G514" s="1388" t="s">
        <v>3058</v>
      </c>
      <c r="H514" s="839" t="s">
        <v>994</v>
      </c>
      <c r="I514" s="839" t="s">
        <v>2549</v>
      </c>
      <c r="J514" s="1346"/>
      <c r="K514" s="1348">
        <v>43552</v>
      </c>
      <c r="L514" s="1345" t="s">
        <v>990</v>
      </c>
      <c r="M514" s="1345" t="s">
        <v>3273</v>
      </c>
      <c r="N514" s="1345" t="s">
        <v>917</v>
      </c>
      <c r="O514" s="1347">
        <v>2019</v>
      </c>
      <c r="P514" s="839" t="s">
        <v>897</v>
      </c>
      <c r="Q514" s="1347">
        <v>2</v>
      </c>
      <c r="R514" s="1347"/>
      <c r="S514" s="1347">
        <v>2</v>
      </c>
      <c r="T514" s="1345" t="s">
        <v>2233</v>
      </c>
      <c r="U514" s="1033" t="s">
        <v>3562</v>
      </c>
      <c r="V514" s="1033"/>
      <c r="W514" s="1345" t="s">
        <v>2564</v>
      </c>
      <c r="X514" s="1365" t="s">
        <v>1228</v>
      </c>
      <c r="Y514" s="862"/>
    </row>
    <row r="515" spans="1:25" s="243" customFormat="1" ht="22.5" hidden="1" customHeight="1">
      <c r="A515" s="1346"/>
      <c r="B515" s="1345" t="s">
        <v>1128</v>
      </c>
      <c r="C515" s="1345" t="s">
        <v>3242</v>
      </c>
      <c r="D515" s="1346"/>
      <c r="E515" s="1500" t="s">
        <v>3262</v>
      </c>
      <c r="F515" s="1347">
        <v>46</v>
      </c>
      <c r="G515" s="1345" t="s">
        <v>3263</v>
      </c>
      <c r="H515" s="839" t="s">
        <v>994</v>
      </c>
      <c r="I515" s="839" t="s">
        <v>2549</v>
      </c>
      <c r="J515" s="1346"/>
      <c r="K515" s="1348">
        <v>43557</v>
      </c>
      <c r="L515" s="1345" t="s">
        <v>3015</v>
      </c>
      <c r="M515" s="1345" t="s">
        <v>3264</v>
      </c>
      <c r="N515" s="1345" t="s">
        <v>913</v>
      </c>
      <c r="O515" s="1347">
        <v>2019</v>
      </c>
      <c r="P515" s="839" t="s">
        <v>898</v>
      </c>
      <c r="Q515" s="1347">
        <v>0</v>
      </c>
      <c r="R515" s="1347"/>
      <c r="S515" s="1347">
        <v>0</v>
      </c>
      <c r="T515" s="1345" t="s">
        <v>2233</v>
      </c>
      <c r="U515" s="1345" t="s">
        <v>1960</v>
      </c>
      <c r="V515" s="1345"/>
      <c r="W515" s="1345" t="s">
        <v>2564</v>
      </c>
      <c r="X515" s="1365"/>
      <c r="Y515" s="862"/>
    </row>
    <row r="516" spans="1:25" s="243" customFormat="1" ht="22.5" hidden="1" customHeight="1">
      <c r="A516" s="1346"/>
      <c r="B516" s="1345" t="s">
        <v>1309</v>
      </c>
      <c r="C516" s="1345" t="s">
        <v>1309</v>
      </c>
      <c r="D516" s="1346"/>
      <c r="E516" s="1500" t="s">
        <v>1338</v>
      </c>
      <c r="F516" s="1347"/>
      <c r="G516" s="1345"/>
      <c r="H516" s="839" t="s">
        <v>987</v>
      </c>
      <c r="I516" s="839" t="s">
        <v>2310</v>
      </c>
      <c r="J516" s="1346"/>
      <c r="K516" s="1348">
        <v>43525</v>
      </c>
      <c r="L516" s="1345" t="s">
        <v>2117</v>
      </c>
      <c r="M516" s="1345" t="s">
        <v>3268</v>
      </c>
      <c r="N516" s="1345" t="s">
        <v>917</v>
      </c>
      <c r="O516" s="1347">
        <v>2019</v>
      </c>
      <c r="P516" s="839" t="s">
        <v>897</v>
      </c>
      <c r="Q516" s="1347">
        <v>5</v>
      </c>
      <c r="R516" s="1347"/>
      <c r="S516" s="1347">
        <v>5</v>
      </c>
      <c r="T516" s="1345" t="s">
        <v>3274</v>
      </c>
      <c r="U516" s="1345" t="s">
        <v>864</v>
      </c>
      <c r="V516" s="1345"/>
      <c r="W516" s="1345" t="s">
        <v>1740</v>
      </c>
      <c r="X516" s="1365"/>
      <c r="Y516" s="862"/>
    </row>
    <row r="517" spans="1:25" s="243" customFormat="1" ht="22.5" hidden="1" customHeight="1">
      <c r="A517" s="1346"/>
      <c r="B517" s="1345" t="s">
        <v>1057</v>
      </c>
      <c r="C517" s="1345" t="s">
        <v>3242</v>
      </c>
      <c r="D517" s="1346"/>
      <c r="E517" s="1498" t="s">
        <v>3227</v>
      </c>
      <c r="F517" s="1347">
        <v>38</v>
      </c>
      <c r="G517" s="1388" t="s">
        <v>993</v>
      </c>
      <c r="H517" s="839" t="s">
        <v>987</v>
      </c>
      <c r="I517" s="839" t="s">
        <v>2549</v>
      </c>
      <c r="J517" s="1346"/>
      <c r="K517" s="1348">
        <v>43530</v>
      </c>
      <c r="L517" s="1345" t="s">
        <v>990</v>
      </c>
      <c r="M517" s="1345" t="s">
        <v>3270</v>
      </c>
      <c r="N517" s="1345" t="s">
        <v>923</v>
      </c>
      <c r="O517" s="1347">
        <v>2019</v>
      </c>
      <c r="P517" s="839" t="s">
        <v>897</v>
      </c>
      <c r="Q517" s="1347">
        <v>10</v>
      </c>
      <c r="R517" s="1347"/>
      <c r="S517" s="1347">
        <v>10</v>
      </c>
      <c r="T517" s="1345" t="s">
        <v>2918</v>
      </c>
      <c r="U517" s="1345" t="s">
        <v>1057</v>
      </c>
      <c r="V517" s="1345"/>
      <c r="W517" s="1345" t="s">
        <v>2564</v>
      </c>
      <c r="X517" s="1365" t="s">
        <v>3226</v>
      </c>
      <c r="Y517" s="862"/>
    </row>
    <row r="518" spans="1:25" s="243" customFormat="1" ht="22.5" hidden="1" customHeight="1">
      <c r="A518" s="1398" t="s">
        <v>3341</v>
      </c>
      <c r="B518" s="1345" t="s">
        <v>77</v>
      </c>
      <c r="C518" s="1345" t="s">
        <v>77</v>
      </c>
      <c r="D518" s="1346"/>
      <c r="E518" s="1504" t="s">
        <v>3228</v>
      </c>
      <c r="F518" s="1347">
        <v>29</v>
      </c>
      <c r="G518" s="1390" t="s">
        <v>2758</v>
      </c>
      <c r="H518" s="839" t="s">
        <v>987</v>
      </c>
      <c r="I518" s="839" t="s">
        <v>2310</v>
      </c>
      <c r="J518" s="1345" t="s">
        <v>2523</v>
      </c>
      <c r="K518" s="1348">
        <v>43531</v>
      </c>
      <c r="L518" s="1345" t="s">
        <v>990</v>
      </c>
      <c r="M518" s="1345" t="s">
        <v>3340</v>
      </c>
      <c r="N518" s="839" t="s">
        <v>915</v>
      </c>
      <c r="O518" s="1347">
        <v>2019</v>
      </c>
      <c r="P518" s="839" t="s">
        <v>897</v>
      </c>
      <c r="Q518" s="1347">
        <v>26</v>
      </c>
      <c r="R518" s="1347"/>
      <c r="S518" s="1347">
        <v>26</v>
      </c>
      <c r="T518" s="1345" t="s">
        <v>3275</v>
      </c>
      <c r="U518" s="1345" t="s">
        <v>864</v>
      </c>
      <c r="V518" s="1345"/>
      <c r="W518" s="1345" t="s">
        <v>849</v>
      </c>
      <c r="X518" s="1365"/>
      <c r="Y518" s="862"/>
    </row>
    <row r="519" spans="1:25" s="243" customFormat="1" ht="22.5" hidden="1" customHeight="1">
      <c r="A519" s="1346"/>
      <c r="B519" s="1345" t="s">
        <v>2943</v>
      </c>
      <c r="C519" s="1345" t="s">
        <v>3290</v>
      </c>
      <c r="D519" s="1346"/>
      <c r="E519" s="1505" t="s">
        <v>3295</v>
      </c>
      <c r="F519" s="1347">
        <v>52</v>
      </c>
      <c r="G519" s="1345"/>
      <c r="H519" s="1362" t="s">
        <v>987</v>
      </c>
      <c r="I519" s="984" t="s">
        <v>2310</v>
      </c>
      <c r="J519" s="1346" t="s">
        <v>1456</v>
      </c>
      <c r="K519" s="1316">
        <v>43537</v>
      </c>
      <c r="L519" s="1346" t="s">
        <v>990</v>
      </c>
      <c r="M519" s="1345" t="s">
        <v>3296</v>
      </c>
      <c r="N519" s="1345" t="s">
        <v>913</v>
      </c>
      <c r="O519" s="1347">
        <v>2019</v>
      </c>
      <c r="P519" s="839" t="s">
        <v>897</v>
      </c>
      <c r="Q519" s="1347">
        <v>1</v>
      </c>
      <c r="R519" s="1347"/>
      <c r="S519" s="1347">
        <v>1</v>
      </c>
      <c r="T519" s="1345"/>
      <c r="U519" s="1345"/>
      <c r="V519" s="1345"/>
      <c r="W519" s="1345"/>
      <c r="X519" s="1365"/>
      <c r="Y519" s="862"/>
    </row>
    <row r="520" spans="1:25" s="243" customFormat="1" ht="22.5" hidden="1" customHeight="1">
      <c r="A520" s="1346"/>
      <c r="B520" s="1345" t="s">
        <v>2943</v>
      </c>
      <c r="C520" s="1345" t="s">
        <v>2944</v>
      </c>
      <c r="D520" s="1346"/>
      <c r="E520" s="1500"/>
      <c r="F520" s="1347"/>
      <c r="G520" s="1345"/>
      <c r="H520" s="1362" t="s">
        <v>987</v>
      </c>
      <c r="I520" s="839"/>
      <c r="J520" s="1346"/>
      <c r="K520" s="1316">
        <v>43537</v>
      </c>
      <c r="L520" s="1346" t="s">
        <v>990</v>
      </c>
      <c r="M520" s="1345" t="s">
        <v>3297</v>
      </c>
      <c r="N520" s="1345" t="s">
        <v>2320</v>
      </c>
      <c r="O520" s="1347">
        <v>2019</v>
      </c>
      <c r="P520" s="839" t="s">
        <v>897</v>
      </c>
      <c r="Q520" s="1347">
        <v>20</v>
      </c>
      <c r="R520" s="1347"/>
      <c r="S520" s="1347">
        <v>20</v>
      </c>
      <c r="T520" s="1345"/>
      <c r="U520" s="1345"/>
      <c r="V520" s="1345"/>
      <c r="W520" s="1345"/>
      <c r="X520" s="1365"/>
      <c r="Y520" s="862"/>
    </row>
    <row r="521" spans="1:25" s="243" customFormat="1" ht="22.5" hidden="1" customHeight="1">
      <c r="A521" s="1346"/>
      <c r="B521" s="1345" t="s">
        <v>788</v>
      </c>
      <c r="C521" s="1345" t="s">
        <v>1955</v>
      </c>
      <c r="D521" s="1346"/>
      <c r="E521" s="1500" t="s">
        <v>3293</v>
      </c>
      <c r="F521" s="1347"/>
      <c r="G521" s="1345" t="s">
        <v>993</v>
      </c>
      <c r="H521" s="839" t="s">
        <v>987</v>
      </c>
      <c r="I521" s="984" t="s">
        <v>2310</v>
      </c>
      <c r="J521" s="1346" t="s">
        <v>3292</v>
      </c>
      <c r="K521" s="1348">
        <v>43525</v>
      </c>
      <c r="L521" s="1346" t="s">
        <v>990</v>
      </c>
      <c r="M521" s="1345" t="s">
        <v>3291</v>
      </c>
      <c r="N521" s="1345" t="s">
        <v>915</v>
      </c>
      <c r="O521" s="1347">
        <v>2019</v>
      </c>
      <c r="P521" s="839" t="s">
        <v>897</v>
      </c>
      <c r="Q521" s="1347">
        <v>20</v>
      </c>
      <c r="R521" s="1347"/>
      <c r="S521" s="1347">
        <v>20</v>
      </c>
      <c r="T521" s="1345"/>
      <c r="U521" s="1345"/>
      <c r="V521" s="1345"/>
      <c r="W521" s="1345"/>
      <c r="X521" s="1365"/>
      <c r="Y521" s="862"/>
    </row>
    <row r="522" spans="1:25" s="243" customFormat="1" ht="22.5" hidden="1" customHeight="1">
      <c r="A522" s="1398" t="s">
        <v>3338</v>
      </c>
      <c r="B522" s="137" t="s">
        <v>602</v>
      </c>
      <c r="C522" s="1345" t="s">
        <v>3298</v>
      </c>
      <c r="D522" s="1345" t="s">
        <v>689</v>
      </c>
      <c r="E522" s="1500" t="s">
        <v>3265</v>
      </c>
      <c r="F522" s="1347"/>
      <c r="G522" s="1387" t="s">
        <v>3331</v>
      </c>
      <c r="H522" s="839" t="s">
        <v>987</v>
      </c>
      <c r="I522" s="839" t="s">
        <v>2549</v>
      </c>
      <c r="J522" s="1346" t="s">
        <v>3266</v>
      </c>
      <c r="K522" s="1348">
        <v>43556</v>
      </c>
      <c r="L522" s="1345" t="s">
        <v>990</v>
      </c>
      <c r="M522" s="1345" t="s">
        <v>3267</v>
      </c>
      <c r="N522" s="839" t="s">
        <v>2320</v>
      </c>
      <c r="O522" s="1347">
        <v>2019</v>
      </c>
      <c r="P522" s="839" t="s">
        <v>898</v>
      </c>
      <c r="Q522" s="1347">
        <v>44</v>
      </c>
      <c r="R522" s="1347"/>
      <c r="S522" s="1347">
        <v>44</v>
      </c>
      <c r="T522" s="1195" t="s">
        <v>2224</v>
      </c>
      <c r="U522" s="1345" t="s">
        <v>1104</v>
      </c>
      <c r="V522" s="1345"/>
      <c r="W522" s="1345" t="s">
        <v>2340</v>
      </c>
      <c r="X522" s="1365" t="s">
        <v>2529</v>
      </c>
      <c r="Y522" s="862"/>
    </row>
    <row r="523" spans="1:25" s="243" customFormat="1" ht="22.5" hidden="1" customHeight="1">
      <c r="A523" s="1346"/>
      <c r="B523" s="1345" t="s">
        <v>77</v>
      </c>
      <c r="C523" s="1345" t="s">
        <v>77</v>
      </c>
      <c r="D523" s="1346"/>
      <c r="E523" s="1498" t="s">
        <v>3300</v>
      </c>
      <c r="F523" s="1347">
        <v>26</v>
      </c>
      <c r="G523" s="1345" t="s">
        <v>2167</v>
      </c>
      <c r="H523" s="839" t="s">
        <v>987</v>
      </c>
      <c r="I523" s="839" t="s">
        <v>2310</v>
      </c>
      <c r="J523" s="1346"/>
      <c r="K523" s="1348">
        <v>43567</v>
      </c>
      <c r="L523" s="1345" t="s">
        <v>3015</v>
      </c>
      <c r="M523" s="1345" t="s">
        <v>3301</v>
      </c>
      <c r="N523" s="1345" t="s">
        <v>2320</v>
      </c>
      <c r="O523" s="1347">
        <v>2019</v>
      </c>
      <c r="P523" s="839" t="s">
        <v>898</v>
      </c>
      <c r="Q523" s="1347">
        <v>0</v>
      </c>
      <c r="R523" s="1347"/>
      <c r="S523" s="1347">
        <v>0</v>
      </c>
      <c r="T523" s="1345" t="s">
        <v>2958</v>
      </c>
      <c r="U523" s="1345" t="s">
        <v>864</v>
      </c>
      <c r="V523" s="1345"/>
      <c r="W523" s="1345" t="s">
        <v>2238</v>
      </c>
      <c r="X523" s="1365"/>
      <c r="Y523" s="862"/>
    </row>
    <row r="524" spans="1:25" s="1396" customFormat="1" ht="22.5" hidden="1" customHeight="1">
      <c r="A524" s="1391"/>
      <c r="B524" s="1392" t="s">
        <v>588</v>
      </c>
      <c r="C524" s="1392" t="s">
        <v>588</v>
      </c>
      <c r="D524" s="1391"/>
      <c r="E524" s="1506" t="s">
        <v>3302</v>
      </c>
      <c r="F524" s="1364">
        <v>40</v>
      </c>
      <c r="G524" s="1392"/>
      <c r="H524" s="1393" t="s">
        <v>987</v>
      </c>
      <c r="I524" s="1393" t="s">
        <v>2549</v>
      </c>
      <c r="J524" s="1391"/>
      <c r="K524" s="1394">
        <v>43565</v>
      </c>
      <c r="L524" s="1392" t="s">
        <v>3015</v>
      </c>
      <c r="M524" s="1392" t="s">
        <v>3303</v>
      </c>
      <c r="N524" s="1392" t="s">
        <v>2320</v>
      </c>
      <c r="O524" s="1364">
        <v>2019</v>
      </c>
      <c r="P524" s="1393" t="s">
        <v>898</v>
      </c>
      <c r="Q524" s="1364">
        <v>0</v>
      </c>
      <c r="R524" s="1364"/>
      <c r="S524" s="1364">
        <v>0</v>
      </c>
      <c r="T524" s="1392"/>
      <c r="U524" s="1392"/>
      <c r="V524" s="1392"/>
      <c r="W524" s="1392"/>
      <c r="X524" s="1395"/>
      <c r="Y524" s="862"/>
    </row>
    <row r="525" spans="1:25" s="243" customFormat="1" ht="22.5" hidden="1" customHeight="1">
      <c r="A525" s="1346"/>
      <c r="B525" s="1033" t="s">
        <v>1223</v>
      </c>
      <c r="C525" s="1345"/>
      <c r="D525" s="1346" t="s">
        <v>1223</v>
      </c>
      <c r="E525" s="1500" t="s">
        <v>3304</v>
      </c>
      <c r="F525" s="1347">
        <v>33</v>
      </c>
      <c r="G525" s="1345" t="s">
        <v>3305</v>
      </c>
      <c r="H525" s="839" t="s">
        <v>994</v>
      </c>
      <c r="I525" s="839" t="s">
        <v>2310</v>
      </c>
      <c r="J525" s="1346"/>
      <c r="K525" s="1348">
        <v>43570</v>
      </c>
      <c r="L525" s="1345" t="s">
        <v>3015</v>
      </c>
      <c r="M525" s="1345" t="s">
        <v>3307</v>
      </c>
      <c r="N525" s="1345" t="s">
        <v>923</v>
      </c>
      <c r="O525" s="1347">
        <v>2019</v>
      </c>
      <c r="P525" s="839" t="s">
        <v>898</v>
      </c>
      <c r="Q525" s="1347">
        <v>0</v>
      </c>
      <c r="R525" s="1347"/>
      <c r="S525" s="1347">
        <v>0</v>
      </c>
      <c r="T525" s="1345" t="s">
        <v>3306</v>
      </c>
      <c r="U525" s="1345" t="s">
        <v>918</v>
      </c>
      <c r="V525" s="1345"/>
      <c r="W525" s="1345" t="s">
        <v>2564</v>
      </c>
      <c r="X525" s="1365"/>
      <c r="Y525" s="862"/>
    </row>
    <row r="526" spans="1:25" s="243" customFormat="1" ht="22.5" hidden="1" customHeight="1">
      <c r="A526" s="1346"/>
      <c r="B526" s="1345" t="s">
        <v>1958</v>
      </c>
      <c r="C526" s="1345" t="s">
        <v>1958</v>
      </c>
      <c r="D526" s="1345" t="s">
        <v>1958</v>
      </c>
      <c r="E526" s="1500" t="s">
        <v>3308</v>
      </c>
      <c r="F526" s="1347"/>
      <c r="G526" s="1345" t="s">
        <v>2167</v>
      </c>
      <c r="H526" s="839" t="s">
        <v>987</v>
      </c>
      <c r="I526" s="839" t="s">
        <v>2310</v>
      </c>
      <c r="J526" s="1346" t="s">
        <v>2863</v>
      </c>
      <c r="K526" s="1348">
        <v>43573</v>
      </c>
      <c r="L526" s="1345" t="s">
        <v>990</v>
      </c>
      <c r="M526" s="1345" t="s">
        <v>3328</v>
      </c>
      <c r="N526" s="839" t="s">
        <v>915</v>
      </c>
      <c r="O526" s="1347">
        <v>2019</v>
      </c>
      <c r="P526" s="839" t="s">
        <v>898</v>
      </c>
      <c r="Q526" s="1347">
        <v>100</v>
      </c>
      <c r="R526" s="1347"/>
      <c r="S526" s="1347">
        <v>30</v>
      </c>
      <c r="T526" s="1345" t="s">
        <v>3693</v>
      </c>
      <c r="U526" s="1345" t="s">
        <v>864</v>
      </c>
      <c r="V526" s="1345"/>
      <c r="W526" s="1345" t="s">
        <v>2340</v>
      </c>
      <c r="X526" s="1365"/>
      <c r="Y526" s="862"/>
    </row>
    <row r="527" spans="1:25" s="243" customFormat="1" ht="22.5" hidden="1" customHeight="1">
      <c r="A527" s="1398" t="s">
        <v>3337</v>
      </c>
      <c r="B527" s="1345" t="s">
        <v>1309</v>
      </c>
      <c r="C527" s="1345" t="s">
        <v>3310</v>
      </c>
      <c r="D527" s="1345" t="s">
        <v>3310</v>
      </c>
      <c r="E527" s="1500" t="s">
        <v>3309</v>
      </c>
      <c r="F527" s="1347">
        <v>49</v>
      </c>
      <c r="G527" s="1345" t="s">
        <v>3311</v>
      </c>
      <c r="H527" s="839" t="s">
        <v>987</v>
      </c>
      <c r="I527" s="839" t="s">
        <v>2310</v>
      </c>
      <c r="J527" s="1346"/>
      <c r="K527" s="1348">
        <v>43574</v>
      </c>
      <c r="L527" s="1345" t="s">
        <v>990</v>
      </c>
      <c r="M527" s="1345" t="s">
        <v>3330</v>
      </c>
      <c r="N527" s="839" t="s">
        <v>3329</v>
      </c>
      <c r="O527" s="1347">
        <v>2019</v>
      </c>
      <c r="P527" s="839" t="s">
        <v>898</v>
      </c>
      <c r="Q527" s="1347">
        <v>7</v>
      </c>
      <c r="R527" s="1347"/>
      <c r="S527" s="1347">
        <v>7</v>
      </c>
      <c r="T527" s="1345" t="s">
        <v>3692</v>
      </c>
      <c r="U527" s="1345" t="s">
        <v>558</v>
      </c>
      <c r="V527" s="1345"/>
      <c r="W527" s="1345" t="s">
        <v>918</v>
      </c>
      <c r="X527" s="1365"/>
      <c r="Y527" s="862"/>
    </row>
    <row r="528" spans="1:25" s="243" customFormat="1" ht="22.5" hidden="1" customHeight="1">
      <c r="A528" s="1346"/>
      <c r="B528" s="1033" t="s">
        <v>918</v>
      </c>
      <c r="C528" s="1345" t="s">
        <v>1228</v>
      </c>
      <c r="D528" s="1033" t="s">
        <v>1223</v>
      </c>
      <c r="E528" s="1498" t="s">
        <v>3312</v>
      </c>
      <c r="F528" s="1347">
        <v>39</v>
      </c>
      <c r="G528" s="1387" t="s">
        <v>3475</v>
      </c>
      <c r="H528" s="839" t="s">
        <v>987</v>
      </c>
      <c r="I528" s="839" t="s">
        <v>2310</v>
      </c>
      <c r="J528" s="1346"/>
      <c r="K528" s="1348">
        <v>43576</v>
      </c>
      <c r="L528" s="1345" t="s">
        <v>990</v>
      </c>
      <c r="M528" s="1345" t="s">
        <v>3420</v>
      </c>
      <c r="N528" s="839" t="s">
        <v>3465</v>
      </c>
      <c r="O528" s="1347">
        <v>2019</v>
      </c>
      <c r="P528" s="839" t="s">
        <v>898</v>
      </c>
      <c r="Q528" s="1347">
        <v>150</v>
      </c>
      <c r="R528" s="1347"/>
      <c r="S528" s="1347">
        <v>150</v>
      </c>
      <c r="T528" s="1345" t="s">
        <v>918</v>
      </c>
      <c r="U528" s="1345" t="s">
        <v>918</v>
      </c>
      <c r="V528" s="1345"/>
      <c r="W528" s="1345" t="s">
        <v>3327</v>
      </c>
      <c r="X528" s="1365" t="s">
        <v>1228</v>
      </c>
      <c r="Y528" s="862"/>
    </row>
    <row r="529" spans="1:26" s="243" customFormat="1" ht="22.5" hidden="1" customHeight="1">
      <c r="A529" s="1346" t="s">
        <v>3480</v>
      </c>
      <c r="B529" s="1345" t="s">
        <v>1128</v>
      </c>
      <c r="C529" s="1345" t="s">
        <v>542</v>
      </c>
      <c r="D529" s="1346"/>
      <c r="E529" s="1500" t="s">
        <v>3313</v>
      </c>
      <c r="F529" s="1347">
        <v>39</v>
      </c>
      <c r="G529" s="1345" t="s">
        <v>2218</v>
      </c>
      <c r="H529" s="839" t="s">
        <v>987</v>
      </c>
      <c r="I529" s="839" t="s">
        <v>2318</v>
      </c>
      <c r="J529" s="1346" t="s">
        <v>2254</v>
      </c>
      <c r="K529" s="1348">
        <v>43580</v>
      </c>
      <c r="L529" s="1345" t="s">
        <v>990</v>
      </c>
      <c r="M529" s="1345" t="s">
        <v>3314</v>
      </c>
      <c r="N529" s="839" t="s">
        <v>2320</v>
      </c>
      <c r="O529" s="1347">
        <v>2019</v>
      </c>
      <c r="P529" s="839" t="s">
        <v>898</v>
      </c>
      <c r="Q529" s="1347">
        <v>11</v>
      </c>
      <c r="R529" s="1347"/>
      <c r="S529" s="1347">
        <v>11</v>
      </c>
      <c r="T529" s="1345" t="s">
        <v>3418</v>
      </c>
      <c r="U529" s="1345" t="s">
        <v>864</v>
      </c>
      <c r="V529" s="1345"/>
      <c r="W529" s="1345" t="s">
        <v>821</v>
      </c>
      <c r="X529" s="1365"/>
      <c r="Y529" s="862">
        <v>57</v>
      </c>
    </row>
    <row r="530" spans="1:26" s="243" customFormat="1" ht="22.5" hidden="1" customHeight="1">
      <c r="A530" s="1346" t="s">
        <v>3503</v>
      </c>
      <c r="B530" s="1345" t="s">
        <v>1128</v>
      </c>
      <c r="C530" s="1345" t="s">
        <v>542</v>
      </c>
      <c r="D530" s="1345" t="s">
        <v>542</v>
      </c>
      <c r="E530" s="1500" t="s">
        <v>3315</v>
      </c>
      <c r="F530" s="1347">
        <v>41</v>
      </c>
      <c r="G530" s="1345" t="s">
        <v>3251</v>
      </c>
      <c r="H530" s="839" t="s">
        <v>987</v>
      </c>
      <c r="I530" s="839" t="s">
        <v>2318</v>
      </c>
      <c r="J530" s="1346" t="s">
        <v>2070</v>
      </c>
      <c r="K530" s="1348">
        <v>43581</v>
      </c>
      <c r="L530" s="1345" t="s">
        <v>990</v>
      </c>
      <c r="M530" s="1345" t="s">
        <v>3332</v>
      </c>
      <c r="N530" s="1345" t="s">
        <v>915</v>
      </c>
      <c r="O530" s="1347">
        <v>2019</v>
      </c>
      <c r="P530" s="839" t="s">
        <v>898</v>
      </c>
      <c r="Q530" s="1347">
        <v>5</v>
      </c>
      <c r="R530" s="1347"/>
      <c r="S530" s="1347">
        <v>5</v>
      </c>
      <c r="T530" s="1345" t="s">
        <v>3419</v>
      </c>
      <c r="U530" s="1345" t="s">
        <v>864</v>
      </c>
      <c r="V530" s="1345"/>
      <c r="W530" s="1345" t="s">
        <v>2584</v>
      </c>
      <c r="X530" s="1365"/>
      <c r="Y530" s="862">
        <v>60</v>
      </c>
    </row>
    <row r="531" spans="1:26" s="243" customFormat="1" ht="22.5" hidden="1" customHeight="1">
      <c r="A531" s="1346"/>
      <c r="B531" s="1033" t="s">
        <v>1223</v>
      </c>
      <c r="C531" s="1345" t="s">
        <v>1228</v>
      </c>
      <c r="D531" s="1033" t="s">
        <v>1223</v>
      </c>
      <c r="E531" s="1500" t="s">
        <v>3316</v>
      </c>
      <c r="F531" s="1347">
        <v>25</v>
      </c>
      <c r="G531" s="1387" t="s">
        <v>3473</v>
      </c>
      <c r="H531" s="839" t="s">
        <v>987</v>
      </c>
      <c r="I531" s="839" t="s">
        <v>2310</v>
      </c>
      <c r="J531" s="1387" t="s">
        <v>2494</v>
      </c>
      <c r="K531" s="1348">
        <v>43585</v>
      </c>
      <c r="L531" s="1345" t="s">
        <v>990</v>
      </c>
      <c r="M531" s="1345" t="s">
        <v>3317</v>
      </c>
      <c r="N531" s="1345" t="s">
        <v>923</v>
      </c>
      <c r="O531" s="1347">
        <v>2019</v>
      </c>
      <c r="P531" s="839" t="s">
        <v>898</v>
      </c>
      <c r="Q531" s="1347">
        <v>3</v>
      </c>
      <c r="R531" s="1347"/>
      <c r="S531" s="1347">
        <v>3</v>
      </c>
      <c r="T531" s="1345" t="s">
        <v>3318</v>
      </c>
      <c r="U531" s="1345" t="s">
        <v>918</v>
      </c>
      <c r="V531" s="1345"/>
      <c r="W531" s="1345" t="s">
        <v>918</v>
      </c>
      <c r="X531" s="1365" t="s">
        <v>1228</v>
      </c>
      <c r="Y531" s="862"/>
    </row>
    <row r="532" spans="1:26" s="243" customFormat="1" ht="22.5" hidden="1" customHeight="1">
      <c r="A532" s="1346"/>
      <c r="B532" s="1345" t="s">
        <v>876</v>
      </c>
      <c r="C532" s="1345" t="s">
        <v>3320</v>
      </c>
      <c r="D532" s="1345" t="s">
        <v>938</v>
      </c>
      <c r="E532" s="1500" t="s">
        <v>3319</v>
      </c>
      <c r="F532" s="1347"/>
      <c r="G532" s="1387" t="s">
        <v>3472</v>
      </c>
      <c r="H532" s="839" t="s">
        <v>994</v>
      </c>
      <c r="I532" s="839" t="s">
        <v>2310</v>
      </c>
      <c r="J532" s="1346" t="s">
        <v>2523</v>
      </c>
      <c r="K532" s="1348">
        <v>43564</v>
      </c>
      <c r="L532" s="1345" t="s">
        <v>990</v>
      </c>
      <c r="M532" s="1345" t="s">
        <v>3321</v>
      </c>
      <c r="N532" s="839" t="s">
        <v>2320</v>
      </c>
      <c r="O532" s="1347">
        <v>2019</v>
      </c>
      <c r="P532" s="839" t="s">
        <v>898</v>
      </c>
      <c r="Q532" s="1347">
        <v>41</v>
      </c>
      <c r="R532" s="1347"/>
      <c r="S532" s="1347">
        <v>41</v>
      </c>
      <c r="T532" s="1345" t="s">
        <v>2294</v>
      </c>
      <c r="U532" s="1345" t="s">
        <v>3199</v>
      </c>
      <c r="V532" s="1345"/>
      <c r="W532" s="1345" t="s">
        <v>2340</v>
      </c>
      <c r="X532" s="1365" t="s">
        <v>3320</v>
      </c>
      <c r="Y532" s="862"/>
    </row>
    <row r="533" spans="1:26" s="243" customFormat="1" ht="22.5" hidden="1" customHeight="1">
      <c r="A533" s="1346"/>
      <c r="B533" s="1345" t="s">
        <v>2906</v>
      </c>
      <c r="C533" s="1345" t="s">
        <v>3324</v>
      </c>
      <c r="D533" s="1346"/>
      <c r="E533" s="1500" t="s">
        <v>3322</v>
      </c>
      <c r="F533" s="1347">
        <v>31</v>
      </c>
      <c r="G533" s="1345" t="s">
        <v>3323</v>
      </c>
      <c r="H533" s="839" t="s">
        <v>987</v>
      </c>
      <c r="I533" s="839" t="s">
        <v>2549</v>
      </c>
      <c r="J533" s="1346" t="s">
        <v>2466</v>
      </c>
      <c r="K533" s="1348">
        <v>43557</v>
      </c>
      <c r="L533" s="1345" t="s">
        <v>990</v>
      </c>
      <c r="M533" s="1345" t="s">
        <v>3325</v>
      </c>
      <c r="N533" s="1345" t="s">
        <v>913</v>
      </c>
      <c r="O533" s="1347">
        <v>2019</v>
      </c>
      <c r="P533" s="839" t="s">
        <v>898</v>
      </c>
      <c r="Q533" s="1347">
        <v>30</v>
      </c>
      <c r="R533" s="1347"/>
      <c r="S533" s="1347">
        <v>30</v>
      </c>
      <c r="T533" s="1345" t="s">
        <v>2228</v>
      </c>
      <c r="U533" s="1345" t="s">
        <v>918</v>
      </c>
      <c r="V533" s="1345"/>
      <c r="W533" s="1345" t="s">
        <v>3334</v>
      </c>
      <c r="X533" s="1365" t="s">
        <v>2530</v>
      </c>
      <c r="Y533" s="862"/>
    </row>
    <row r="534" spans="1:26" s="243" customFormat="1" ht="22.5" hidden="1" customHeight="1">
      <c r="A534" s="1346"/>
      <c r="B534" s="1345" t="s">
        <v>2943</v>
      </c>
      <c r="C534" s="1345" t="s">
        <v>3353</v>
      </c>
      <c r="D534" s="1346"/>
      <c r="E534" s="1500" t="s">
        <v>3355</v>
      </c>
      <c r="F534" s="1347"/>
      <c r="G534" s="1345" t="s">
        <v>3356</v>
      </c>
      <c r="H534" s="839"/>
      <c r="I534" s="839"/>
      <c r="J534" s="1346"/>
      <c r="K534" s="1348">
        <v>43591</v>
      </c>
      <c r="L534" s="1345" t="s">
        <v>3603</v>
      </c>
      <c r="M534" s="1345" t="s">
        <v>3354</v>
      </c>
      <c r="N534" s="1345"/>
      <c r="O534" s="1347">
        <v>2019</v>
      </c>
      <c r="P534" s="839" t="s">
        <v>899</v>
      </c>
      <c r="Q534" s="1347" t="s">
        <v>1576</v>
      </c>
      <c r="R534" s="1347"/>
      <c r="S534" s="1347" t="s">
        <v>1576</v>
      </c>
      <c r="T534" s="1345" t="s">
        <v>2224</v>
      </c>
      <c r="U534" s="1345" t="s">
        <v>918</v>
      </c>
      <c r="V534" s="1345"/>
      <c r="W534" s="1345" t="s">
        <v>3357</v>
      </c>
      <c r="X534" s="1365"/>
      <c r="Y534" s="862"/>
    </row>
    <row r="535" spans="1:26" s="243" customFormat="1" ht="22.5" hidden="1" customHeight="1">
      <c r="A535" s="1346"/>
      <c r="B535" s="1345" t="s">
        <v>2194</v>
      </c>
      <c r="C535" s="1345"/>
      <c r="D535" s="1346"/>
      <c r="E535" s="1500" t="s">
        <v>3347</v>
      </c>
      <c r="F535" s="1347">
        <v>54</v>
      </c>
      <c r="G535" s="1345" t="s">
        <v>2984</v>
      </c>
      <c r="H535" s="839" t="s">
        <v>994</v>
      </c>
      <c r="I535" s="839" t="s">
        <v>2310</v>
      </c>
      <c r="J535" s="1346"/>
      <c r="K535" s="1348">
        <v>43592</v>
      </c>
      <c r="L535" s="1345" t="s">
        <v>3015</v>
      </c>
      <c r="M535" s="1345" t="s">
        <v>3348</v>
      </c>
      <c r="N535" s="1345" t="s">
        <v>917</v>
      </c>
      <c r="O535" s="1347">
        <v>2019</v>
      </c>
      <c r="P535" s="839" t="s">
        <v>899</v>
      </c>
      <c r="Q535" s="1347">
        <v>0</v>
      </c>
      <c r="R535" s="1347"/>
      <c r="S535" s="1347">
        <v>0</v>
      </c>
      <c r="T535" s="1345" t="s">
        <v>2294</v>
      </c>
      <c r="U535" s="1345" t="s">
        <v>918</v>
      </c>
      <c r="V535" s="1345"/>
      <c r="W535" s="1345" t="s">
        <v>918</v>
      </c>
      <c r="X535" s="1365" t="s">
        <v>2194</v>
      </c>
      <c r="Y535" s="862"/>
    </row>
    <row r="536" spans="1:26" s="243" customFormat="1" ht="22.5" hidden="1" customHeight="1">
      <c r="A536" s="1346"/>
      <c r="B536" s="1345" t="s">
        <v>1128</v>
      </c>
      <c r="C536" s="1345" t="s">
        <v>3242</v>
      </c>
      <c r="D536" s="1346"/>
      <c r="E536" s="1500" t="s">
        <v>3349</v>
      </c>
      <c r="F536" s="1347">
        <v>19</v>
      </c>
      <c r="G536" s="1345" t="s">
        <v>3350</v>
      </c>
      <c r="H536" s="839" t="s">
        <v>987</v>
      </c>
      <c r="I536" s="839" t="s">
        <v>2549</v>
      </c>
      <c r="J536" s="1346"/>
      <c r="K536" s="1348">
        <v>43592</v>
      </c>
      <c r="L536" s="1345" t="s">
        <v>3015</v>
      </c>
      <c r="M536" s="1345" t="s">
        <v>3351</v>
      </c>
      <c r="N536" s="1345" t="s">
        <v>2320</v>
      </c>
      <c r="O536" s="1347">
        <v>2019</v>
      </c>
      <c r="P536" s="839" t="s">
        <v>899</v>
      </c>
      <c r="Q536" s="1347">
        <v>0</v>
      </c>
      <c r="R536" s="1347"/>
      <c r="S536" s="1347">
        <v>0</v>
      </c>
      <c r="T536" s="1345" t="s">
        <v>3352</v>
      </c>
      <c r="U536" s="1345" t="s">
        <v>918</v>
      </c>
      <c r="V536" s="1345"/>
      <c r="W536" s="1345" t="s">
        <v>918</v>
      </c>
      <c r="X536" s="1365"/>
      <c r="Y536" s="862"/>
      <c r="Z536" s="1618" t="s">
        <v>1448</v>
      </c>
    </row>
    <row r="537" spans="1:26" s="243" customFormat="1" ht="22.5" hidden="1" customHeight="1">
      <c r="A537" s="1346"/>
      <c r="B537" s="1602" t="s">
        <v>1128</v>
      </c>
      <c r="C537" s="1602" t="s">
        <v>542</v>
      </c>
      <c r="D537" s="1346"/>
      <c r="E537" s="2976" t="s">
        <v>3358</v>
      </c>
      <c r="F537" s="1602">
        <v>18</v>
      </c>
      <c r="G537" s="1618" t="s">
        <v>3029</v>
      </c>
      <c r="H537" s="1602" t="s">
        <v>994</v>
      </c>
      <c r="I537" s="1602" t="s">
        <v>2310</v>
      </c>
      <c r="J537" s="1603" t="s">
        <v>1396</v>
      </c>
      <c r="K537" s="1606">
        <v>43593</v>
      </c>
      <c r="L537" s="1603" t="s">
        <v>990</v>
      </c>
      <c r="M537" s="2977" t="s">
        <v>3360</v>
      </c>
      <c r="N537" s="1602" t="s">
        <v>3416</v>
      </c>
      <c r="O537" s="1602">
        <v>2019</v>
      </c>
      <c r="P537" s="1602" t="s">
        <v>899</v>
      </c>
      <c r="Q537" s="1602">
        <v>2</v>
      </c>
      <c r="R537" s="1602"/>
      <c r="S537" s="1602">
        <v>2</v>
      </c>
      <c r="T537" s="1603" t="s">
        <v>3400</v>
      </c>
      <c r="U537" s="1602" t="s">
        <v>864</v>
      </c>
      <c r="V537" s="1603"/>
      <c r="W537" s="1602" t="s">
        <v>3359</v>
      </c>
      <c r="X537" s="1607"/>
      <c r="Y537" s="1604"/>
      <c r="Z537" s="1991" t="s">
        <v>2019</v>
      </c>
    </row>
    <row r="538" spans="1:26" s="243" customFormat="1" ht="22.5" hidden="1" customHeight="1">
      <c r="A538" s="1346"/>
      <c r="B538" s="1345" t="s">
        <v>2943</v>
      </c>
      <c r="C538" s="1345" t="s">
        <v>2944</v>
      </c>
      <c r="D538" s="1346"/>
      <c r="E538" s="1500"/>
      <c r="F538" s="1347"/>
      <c r="G538" s="1345"/>
      <c r="H538" s="839"/>
      <c r="I538" s="839" t="s">
        <v>2549</v>
      </c>
      <c r="J538" s="1346"/>
      <c r="K538" s="1348">
        <v>43593</v>
      </c>
      <c r="L538" s="1345" t="s">
        <v>3603</v>
      </c>
      <c r="M538" s="1345" t="s">
        <v>3361</v>
      </c>
      <c r="N538" s="1345"/>
      <c r="O538" s="1347">
        <v>2019</v>
      </c>
      <c r="P538" s="839" t="s">
        <v>899</v>
      </c>
      <c r="Q538" s="1347" t="s">
        <v>1576</v>
      </c>
      <c r="R538" s="1347"/>
      <c r="S538" s="1347" t="s">
        <v>1576</v>
      </c>
      <c r="T538" s="1345" t="s">
        <v>3362</v>
      </c>
      <c r="U538" s="1345" t="s">
        <v>918</v>
      </c>
      <c r="V538" s="1345"/>
      <c r="W538" s="1345" t="s">
        <v>918</v>
      </c>
      <c r="X538" s="1365"/>
      <c r="Y538" s="862"/>
    </row>
    <row r="539" spans="1:26" s="243" customFormat="1" ht="22.5" hidden="1" customHeight="1">
      <c r="A539" s="1346"/>
      <c r="B539" s="1345" t="s">
        <v>2943</v>
      </c>
      <c r="C539" s="1345" t="s">
        <v>3353</v>
      </c>
      <c r="D539" s="1346"/>
      <c r="E539" s="1500" t="s">
        <v>3363</v>
      </c>
      <c r="F539" s="1347">
        <v>30</v>
      </c>
      <c r="G539" s="1345" t="s">
        <v>3364</v>
      </c>
      <c r="H539" s="839" t="s">
        <v>987</v>
      </c>
      <c r="I539" s="839" t="s">
        <v>2549</v>
      </c>
      <c r="J539" s="1346" t="s">
        <v>2524</v>
      </c>
      <c r="K539" s="1348">
        <v>43595</v>
      </c>
      <c r="L539" s="1345" t="s">
        <v>990</v>
      </c>
      <c r="M539" s="1345" t="s">
        <v>3365</v>
      </c>
      <c r="N539" s="1345" t="s">
        <v>913</v>
      </c>
      <c r="O539" s="1347">
        <v>2019</v>
      </c>
      <c r="P539" s="839" t="s">
        <v>899</v>
      </c>
      <c r="Q539" s="1347">
        <v>13</v>
      </c>
      <c r="R539" s="1347"/>
      <c r="S539" s="1347">
        <v>13</v>
      </c>
      <c r="T539" s="1345" t="s">
        <v>2233</v>
      </c>
      <c r="U539" s="1345" t="s">
        <v>1960</v>
      </c>
      <c r="V539" s="1345"/>
      <c r="W539" s="1345" t="s">
        <v>2607</v>
      </c>
      <c r="X539" s="1365"/>
      <c r="Y539" s="862"/>
    </row>
    <row r="540" spans="1:26" s="243" customFormat="1" ht="22.5" hidden="1" customHeight="1">
      <c r="A540" s="1346"/>
      <c r="B540" s="1345" t="s">
        <v>591</v>
      </c>
      <c r="C540" s="1345" t="s">
        <v>3609</v>
      </c>
      <c r="D540" s="1346"/>
      <c r="E540" s="1500" t="s">
        <v>3398</v>
      </c>
      <c r="F540" s="1347"/>
      <c r="G540" s="1390" t="s">
        <v>3299</v>
      </c>
      <c r="H540" s="839" t="s">
        <v>987</v>
      </c>
      <c r="I540" s="839" t="s">
        <v>2318</v>
      </c>
      <c r="J540" s="1346" t="s">
        <v>3372</v>
      </c>
      <c r="K540" s="1348">
        <v>43599</v>
      </c>
      <c r="L540" s="1345" t="s">
        <v>990</v>
      </c>
      <c r="M540" s="1345" t="s">
        <v>3394</v>
      </c>
      <c r="N540" s="839" t="s">
        <v>925</v>
      </c>
      <c r="O540" s="1347">
        <v>2019</v>
      </c>
      <c r="P540" s="839" t="s">
        <v>899</v>
      </c>
      <c r="Q540" s="1347">
        <v>187</v>
      </c>
      <c r="R540" s="1347"/>
      <c r="S540" s="1347">
        <v>187</v>
      </c>
      <c r="T540" s="1345" t="s">
        <v>1241</v>
      </c>
      <c r="U540" s="1345" t="s">
        <v>864</v>
      </c>
      <c r="V540" s="1345"/>
      <c r="W540" s="1345" t="s">
        <v>2708</v>
      </c>
      <c r="X540" s="1365"/>
      <c r="Y540" s="862"/>
    </row>
    <row r="541" spans="1:26" s="243" customFormat="1" ht="22.5" hidden="1" customHeight="1">
      <c r="A541" s="1346"/>
      <c r="B541" s="1345"/>
      <c r="C541" s="1345"/>
      <c r="D541" s="1346"/>
      <c r="E541" s="1500" t="s">
        <v>3367</v>
      </c>
      <c r="F541" s="1347">
        <v>21</v>
      </c>
      <c r="G541" s="1345" t="s">
        <v>3368</v>
      </c>
      <c r="H541" s="839" t="s">
        <v>994</v>
      </c>
      <c r="I541" s="839" t="s">
        <v>2310</v>
      </c>
      <c r="J541" s="1346"/>
      <c r="K541" s="1348">
        <v>43598</v>
      </c>
      <c r="L541" s="1345" t="s">
        <v>3015</v>
      </c>
      <c r="M541" s="1345" t="s">
        <v>3369</v>
      </c>
      <c r="N541" s="1345" t="s">
        <v>2320</v>
      </c>
      <c r="O541" s="1347">
        <v>2019</v>
      </c>
      <c r="P541" s="839" t="s">
        <v>899</v>
      </c>
      <c r="Q541" s="1347">
        <v>0</v>
      </c>
      <c r="R541" s="1347"/>
      <c r="S541" s="1347">
        <v>0</v>
      </c>
      <c r="T541" s="1345" t="s">
        <v>3370</v>
      </c>
      <c r="U541" s="1345" t="s">
        <v>918</v>
      </c>
      <c r="V541" s="1345"/>
      <c r="W541" s="1345" t="s">
        <v>2275</v>
      </c>
      <c r="X541" s="1365"/>
      <c r="Y541" s="862"/>
    </row>
    <row r="542" spans="1:26" s="243" customFormat="1" ht="22.5" hidden="1" customHeight="1">
      <c r="A542" s="1346"/>
      <c r="B542" s="1345" t="s">
        <v>591</v>
      </c>
      <c r="C542" s="1345" t="s">
        <v>3366</v>
      </c>
      <c r="D542" s="1346"/>
      <c r="E542" s="1500" t="s">
        <v>3371</v>
      </c>
      <c r="F542" s="1347"/>
      <c r="G542" s="1345" t="s">
        <v>2956</v>
      </c>
      <c r="H542" s="839" t="s">
        <v>987</v>
      </c>
      <c r="I542" s="839" t="s">
        <v>2310</v>
      </c>
      <c r="J542" s="1346" t="s">
        <v>3372</v>
      </c>
      <c r="K542" s="1348">
        <v>43597</v>
      </c>
      <c r="L542" s="1345" t="s">
        <v>3015</v>
      </c>
      <c r="M542" s="1345" t="s">
        <v>3374</v>
      </c>
      <c r="N542" s="1345" t="s">
        <v>2320</v>
      </c>
      <c r="O542" s="1347">
        <v>2019</v>
      </c>
      <c r="P542" s="839" t="s">
        <v>899</v>
      </c>
      <c r="Q542" s="1347" t="s">
        <v>3373</v>
      </c>
      <c r="R542" s="1347"/>
      <c r="S542" s="1347" t="s">
        <v>3373</v>
      </c>
      <c r="T542" s="1345" t="s">
        <v>2958</v>
      </c>
      <c r="U542" s="1345" t="s">
        <v>3375</v>
      </c>
      <c r="V542" s="1345"/>
      <c r="W542" s="1345" t="s">
        <v>2340</v>
      </c>
      <c r="X542" s="1365"/>
      <c r="Y542" s="862"/>
    </row>
    <row r="543" spans="1:26" s="243" customFormat="1" ht="22.5" hidden="1" customHeight="1">
      <c r="A543" s="1346" t="s">
        <v>3481</v>
      </c>
      <c r="B543" s="1345" t="s">
        <v>1128</v>
      </c>
      <c r="C543" s="1345" t="s">
        <v>542</v>
      </c>
      <c r="D543" s="1346"/>
      <c r="E543" s="1500" t="s">
        <v>3376</v>
      </c>
      <c r="F543" s="1347">
        <v>54</v>
      </c>
      <c r="G543" s="1345" t="s">
        <v>3399</v>
      </c>
      <c r="H543" s="839" t="s">
        <v>987</v>
      </c>
      <c r="I543" s="839" t="s">
        <v>2549</v>
      </c>
      <c r="J543" s="1346" t="s">
        <v>1346</v>
      </c>
      <c r="K543" s="1348">
        <v>43601</v>
      </c>
      <c r="L543" s="1345" t="s">
        <v>990</v>
      </c>
      <c r="M543" s="1345" t="s">
        <v>3417</v>
      </c>
      <c r="N543" s="839" t="s">
        <v>2320</v>
      </c>
      <c r="O543" s="1347">
        <v>2019</v>
      </c>
      <c r="P543" s="839" t="s">
        <v>899</v>
      </c>
      <c r="Q543" s="1347">
        <v>21</v>
      </c>
      <c r="R543" s="1347"/>
      <c r="S543" s="1347">
        <v>21</v>
      </c>
      <c r="T543" s="1345" t="s">
        <v>1241</v>
      </c>
      <c r="U543" s="1345" t="s">
        <v>864</v>
      </c>
      <c r="V543" s="1345"/>
      <c r="W543" s="1345" t="s">
        <v>2275</v>
      </c>
      <c r="X543" s="1365"/>
      <c r="Y543" s="984" t="s">
        <v>4036</v>
      </c>
    </row>
    <row r="544" spans="1:26" s="243" customFormat="1" ht="22.5" hidden="1" customHeight="1">
      <c r="A544" s="1346" t="s">
        <v>3482</v>
      </c>
      <c r="B544" s="1345" t="s">
        <v>1128</v>
      </c>
      <c r="C544" s="1345" t="s">
        <v>542</v>
      </c>
      <c r="D544" s="1346"/>
      <c r="E544" s="1500" t="s">
        <v>3378</v>
      </c>
      <c r="F544" s="1347"/>
      <c r="G544" s="1345" t="s">
        <v>1448</v>
      </c>
      <c r="H544" s="839" t="s">
        <v>994</v>
      </c>
      <c r="I544" s="839" t="s">
        <v>2549</v>
      </c>
      <c r="J544" s="1346" t="s">
        <v>2301</v>
      </c>
      <c r="K544" s="1348">
        <v>43596</v>
      </c>
      <c r="L544" s="1345" t="s">
        <v>990</v>
      </c>
      <c r="M544" s="1345" t="s">
        <v>3405</v>
      </c>
      <c r="N544" s="839" t="s">
        <v>2320</v>
      </c>
      <c r="O544" s="1347">
        <v>2019</v>
      </c>
      <c r="P544" s="839" t="s">
        <v>899</v>
      </c>
      <c r="Q544" s="1347">
        <v>19</v>
      </c>
      <c r="R544" s="1347"/>
      <c r="S544" s="1347">
        <v>19</v>
      </c>
      <c r="T544" s="1345" t="s">
        <v>1241</v>
      </c>
      <c r="U544" s="1345" t="s">
        <v>864</v>
      </c>
      <c r="V544" s="1345"/>
      <c r="W544" s="1345" t="s">
        <v>918</v>
      </c>
      <c r="X544" s="1365"/>
      <c r="Y544" s="862"/>
      <c r="Z544" s="1618" t="s">
        <v>1448</v>
      </c>
    </row>
    <row r="545" spans="1:26" s="243" customFormat="1" ht="40.5" hidden="1" customHeight="1">
      <c r="A545" s="1346"/>
      <c r="B545" s="1345" t="s">
        <v>1128</v>
      </c>
      <c r="C545" s="1345" t="s">
        <v>542</v>
      </c>
      <c r="D545" s="1346"/>
      <c r="E545" s="1500" t="s">
        <v>3379</v>
      </c>
      <c r="F545" s="1347">
        <v>43</v>
      </c>
      <c r="G545" s="1345" t="s">
        <v>2218</v>
      </c>
      <c r="H545" s="839" t="s">
        <v>987</v>
      </c>
      <c r="I545" s="839" t="s">
        <v>2310</v>
      </c>
      <c r="J545" s="1346" t="s">
        <v>3384</v>
      </c>
      <c r="K545" s="1348">
        <v>43602</v>
      </c>
      <c r="L545" s="1345" t="s">
        <v>990</v>
      </c>
      <c r="M545" s="1345" t="s">
        <v>3395</v>
      </c>
      <c r="N545" s="839" t="s">
        <v>2320</v>
      </c>
      <c r="O545" s="1347">
        <v>2019</v>
      </c>
      <c r="P545" s="839" t="s">
        <v>899</v>
      </c>
      <c r="Q545" s="1347">
        <v>2</v>
      </c>
      <c r="R545" s="1347"/>
      <c r="S545" s="1347">
        <v>2</v>
      </c>
      <c r="T545" s="1345" t="s">
        <v>3694</v>
      </c>
      <c r="U545" s="1345" t="s">
        <v>864</v>
      </c>
      <c r="V545" s="1345"/>
      <c r="W545" s="1345" t="s">
        <v>3380</v>
      </c>
      <c r="X545" s="1365"/>
      <c r="Y545" s="862">
        <v>28</v>
      </c>
    </row>
    <row r="546" spans="1:26" s="243" customFormat="1" ht="22.5" hidden="1" customHeight="1">
      <c r="A546" s="1346"/>
      <c r="B546" s="1345" t="s">
        <v>2943</v>
      </c>
      <c r="C546" s="1345" t="s">
        <v>2944</v>
      </c>
      <c r="D546" s="1346"/>
      <c r="E546" s="1500" t="s">
        <v>3381</v>
      </c>
      <c r="F546" s="1347"/>
      <c r="G546" s="1345" t="s">
        <v>3382</v>
      </c>
      <c r="H546" s="839" t="s">
        <v>987</v>
      </c>
      <c r="I546" s="839" t="s">
        <v>2318</v>
      </c>
      <c r="J546" s="1346" t="s">
        <v>2497</v>
      </c>
      <c r="K546" s="1348">
        <v>43602</v>
      </c>
      <c r="L546" s="1345" t="s">
        <v>3015</v>
      </c>
      <c r="M546" s="1345" t="s">
        <v>3383</v>
      </c>
      <c r="N546" s="1345" t="s">
        <v>923</v>
      </c>
      <c r="O546" s="1347">
        <v>2019</v>
      </c>
      <c r="P546" s="839" t="s">
        <v>899</v>
      </c>
      <c r="Q546" s="1347">
        <v>0</v>
      </c>
      <c r="R546" s="1347"/>
      <c r="S546" s="1347">
        <v>0</v>
      </c>
      <c r="T546" s="1345" t="s">
        <v>2958</v>
      </c>
      <c r="U546" s="1345" t="s">
        <v>558</v>
      </c>
      <c r="V546" s="1345"/>
      <c r="W546" s="1345" t="s">
        <v>2275</v>
      </c>
      <c r="X546" s="1365"/>
      <c r="Y546" s="862"/>
    </row>
    <row r="547" spans="1:26" s="243" customFormat="1" ht="22.5" hidden="1" customHeight="1">
      <c r="A547" s="1346" t="s">
        <v>3483</v>
      </c>
      <c r="B547" s="1345" t="s">
        <v>91</v>
      </c>
      <c r="C547" s="1345" t="s">
        <v>91</v>
      </c>
      <c r="D547" s="1346"/>
      <c r="E547" s="1500" t="s">
        <v>3385</v>
      </c>
      <c r="F547" s="1347"/>
      <c r="G547" s="1345" t="s">
        <v>3386</v>
      </c>
      <c r="H547" s="839" t="s">
        <v>987</v>
      </c>
      <c r="I547" s="839" t="s">
        <v>2318</v>
      </c>
      <c r="J547" s="1346" t="s">
        <v>2863</v>
      </c>
      <c r="K547" s="1348">
        <v>43607</v>
      </c>
      <c r="L547" s="1345" t="s">
        <v>990</v>
      </c>
      <c r="M547" s="1345" t="s">
        <v>3396</v>
      </c>
      <c r="N547" s="839" t="s">
        <v>2320</v>
      </c>
      <c r="O547" s="1347">
        <v>2019</v>
      </c>
      <c r="P547" s="839" t="s">
        <v>899</v>
      </c>
      <c r="Q547" s="1347">
        <v>19</v>
      </c>
      <c r="R547" s="1347"/>
      <c r="S547" s="1347">
        <v>19</v>
      </c>
      <c r="T547" s="1345" t="s">
        <v>3695</v>
      </c>
      <c r="U547" s="1345" t="s">
        <v>864</v>
      </c>
      <c r="V547" s="1345"/>
      <c r="W547" s="1345" t="s">
        <v>2975</v>
      </c>
      <c r="X547" s="1365"/>
      <c r="Y547" s="862"/>
    </row>
    <row r="548" spans="1:26" s="243" customFormat="1" ht="22.5" hidden="1" customHeight="1">
      <c r="A548" s="1346"/>
      <c r="B548" s="1345" t="s">
        <v>77</v>
      </c>
      <c r="C548" s="1345" t="s">
        <v>77</v>
      </c>
      <c r="D548" s="1346"/>
      <c r="E548" s="1500" t="s">
        <v>3387</v>
      </c>
      <c r="F548" s="1347">
        <v>23</v>
      </c>
      <c r="G548" s="1345" t="s">
        <v>3377</v>
      </c>
      <c r="H548" s="839" t="s">
        <v>987</v>
      </c>
      <c r="I548" s="839" t="s">
        <v>2549</v>
      </c>
      <c r="J548" s="1346"/>
      <c r="K548" s="1348">
        <v>43609</v>
      </c>
      <c r="L548" s="1345" t="s">
        <v>3015</v>
      </c>
      <c r="M548" s="1345" t="s">
        <v>3388</v>
      </c>
      <c r="N548" s="1345" t="s">
        <v>923</v>
      </c>
      <c r="O548" s="1347">
        <v>2019</v>
      </c>
      <c r="P548" s="839" t="s">
        <v>899</v>
      </c>
      <c r="Q548" s="1347">
        <v>0</v>
      </c>
      <c r="R548" s="1347"/>
      <c r="S548" s="1347">
        <v>0</v>
      </c>
      <c r="T548" s="1345" t="s">
        <v>2958</v>
      </c>
      <c r="U548" s="1345" t="s">
        <v>864</v>
      </c>
      <c r="V548" s="1345"/>
      <c r="W548" s="1345" t="s">
        <v>3359</v>
      </c>
      <c r="X548" s="1365"/>
      <c r="Y548" s="862"/>
    </row>
    <row r="549" spans="1:26" s="243" customFormat="1" ht="22.5" hidden="1" customHeight="1">
      <c r="A549" s="1346"/>
      <c r="B549" s="1345" t="s">
        <v>91</v>
      </c>
      <c r="C549" s="1345" t="s">
        <v>91</v>
      </c>
      <c r="D549" s="1346"/>
      <c r="E549" s="1500" t="s">
        <v>3389</v>
      </c>
      <c r="F549" s="1347">
        <v>28</v>
      </c>
      <c r="G549" s="1345" t="s">
        <v>3377</v>
      </c>
      <c r="H549" s="839" t="s">
        <v>987</v>
      </c>
      <c r="I549" s="839" t="s">
        <v>2318</v>
      </c>
      <c r="J549" s="1346"/>
      <c r="K549" s="1348">
        <v>43614</v>
      </c>
      <c r="L549" s="1345" t="s">
        <v>3015</v>
      </c>
      <c r="M549" s="1345" t="s">
        <v>3390</v>
      </c>
      <c r="N549" s="1345" t="s">
        <v>917</v>
      </c>
      <c r="O549" s="1347">
        <v>2019</v>
      </c>
      <c r="P549" s="839" t="s">
        <v>899</v>
      </c>
      <c r="Q549" s="1347">
        <v>0</v>
      </c>
      <c r="R549" s="1347"/>
      <c r="S549" s="1347">
        <v>0</v>
      </c>
      <c r="T549" s="1345" t="s">
        <v>3391</v>
      </c>
      <c r="U549" s="1345" t="s">
        <v>918</v>
      </c>
      <c r="V549" s="1345"/>
      <c r="W549" s="1345" t="s">
        <v>3359</v>
      </c>
      <c r="X549" s="1365"/>
      <c r="Y549" s="862"/>
    </row>
    <row r="550" spans="1:26" s="243" customFormat="1" ht="22.5" hidden="1" customHeight="1">
      <c r="A550" s="1346"/>
      <c r="B550" s="1345" t="s">
        <v>91</v>
      </c>
      <c r="C550" s="1345" t="s">
        <v>91</v>
      </c>
      <c r="D550" s="1346"/>
      <c r="E550" s="1500" t="s">
        <v>3392</v>
      </c>
      <c r="F550" s="1347">
        <v>38</v>
      </c>
      <c r="G550" s="1345" t="s">
        <v>3377</v>
      </c>
      <c r="H550" s="839" t="s">
        <v>987</v>
      </c>
      <c r="I550" s="839" t="s">
        <v>2318</v>
      </c>
      <c r="J550" s="1346"/>
      <c r="K550" s="1348">
        <v>43614</v>
      </c>
      <c r="L550" s="1345" t="s">
        <v>3015</v>
      </c>
      <c r="M550" s="1345" t="s">
        <v>3390</v>
      </c>
      <c r="N550" s="1345" t="s">
        <v>917</v>
      </c>
      <c r="O550" s="1347">
        <v>2019</v>
      </c>
      <c r="P550" s="839" t="s">
        <v>899</v>
      </c>
      <c r="Q550" s="1347">
        <v>0</v>
      </c>
      <c r="R550" s="1347"/>
      <c r="S550" s="1347">
        <v>0</v>
      </c>
      <c r="T550" s="1345" t="s">
        <v>3391</v>
      </c>
      <c r="U550" s="1345" t="s">
        <v>918</v>
      </c>
      <c r="V550" s="1345"/>
      <c r="W550" s="1345" t="s">
        <v>3359</v>
      </c>
      <c r="X550" s="1365"/>
      <c r="Y550" s="862"/>
    </row>
    <row r="551" spans="1:26" s="243" customFormat="1" ht="47.85" hidden="1" customHeight="1">
      <c r="A551" s="1346"/>
      <c r="B551" s="1345" t="s">
        <v>1128</v>
      </c>
      <c r="C551" s="1345" t="s">
        <v>542</v>
      </c>
      <c r="D551" s="1346"/>
      <c r="E551" s="1500" t="s">
        <v>1438</v>
      </c>
      <c r="F551" s="1347">
        <v>48</v>
      </c>
      <c r="G551" s="1345" t="s">
        <v>2480</v>
      </c>
      <c r="H551" s="839" t="s">
        <v>987</v>
      </c>
      <c r="I551" s="839" t="s">
        <v>2310</v>
      </c>
      <c r="J551" s="1346" t="s">
        <v>3393</v>
      </c>
      <c r="K551" s="1348">
        <v>43614</v>
      </c>
      <c r="L551" s="1345" t="s">
        <v>990</v>
      </c>
      <c r="M551" s="1345" t="s">
        <v>3397</v>
      </c>
      <c r="N551" s="839" t="s">
        <v>2320</v>
      </c>
      <c r="O551" s="1347">
        <v>2019</v>
      </c>
      <c r="P551" s="839" t="s">
        <v>899</v>
      </c>
      <c r="Q551" s="1347">
        <v>3</v>
      </c>
      <c r="R551" s="1347"/>
      <c r="S551" s="1347">
        <v>3</v>
      </c>
      <c r="T551" s="1345" t="s">
        <v>3032</v>
      </c>
      <c r="U551" s="1345" t="s">
        <v>864</v>
      </c>
      <c r="V551" s="1345"/>
      <c r="W551" s="1345" t="s">
        <v>2275</v>
      </c>
      <c r="X551" s="1365"/>
      <c r="Y551" s="984" t="s">
        <v>4036</v>
      </c>
    </row>
    <row r="552" spans="1:26" s="243" customFormat="1" ht="22.5" hidden="1" customHeight="1">
      <c r="A552" s="1346"/>
      <c r="B552" s="1345" t="s">
        <v>2943</v>
      </c>
      <c r="C552" s="1345" t="s">
        <v>2754</v>
      </c>
      <c r="D552" s="1346"/>
      <c r="E552" s="1500" t="s">
        <v>3363</v>
      </c>
      <c r="F552" s="1347">
        <v>30</v>
      </c>
      <c r="G552" s="1345" t="s">
        <v>3404</v>
      </c>
      <c r="H552" s="839" t="s">
        <v>987</v>
      </c>
      <c r="I552" s="839" t="s">
        <v>2310</v>
      </c>
      <c r="J552" s="1346" t="s">
        <v>3403</v>
      </c>
      <c r="K552" s="1348">
        <v>43595</v>
      </c>
      <c r="L552" s="1345" t="s">
        <v>990</v>
      </c>
      <c r="M552" s="1345" t="s">
        <v>3401</v>
      </c>
      <c r="N552" s="1345" t="s">
        <v>913</v>
      </c>
      <c r="O552" s="1347">
        <v>2019</v>
      </c>
      <c r="P552" s="839" t="s">
        <v>899</v>
      </c>
      <c r="Q552" s="1347">
        <v>3</v>
      </c>
      <c r="R552" s="1347"/>
      <c r="S552" s="1347">
        <v>3</v>
      </c>
      <c r="T552" s="1345" t="s">
        <v>3402</v>
      </c>
      <c r="U552" s="1345" t="s">
        <v>1960</v>
      </c>
      <c r="V552" s="1345"/>
      <c r="W552" s="1345" t="s">
        <v>916</v>
      </c>
      <c r="X552" s="1365"/>
      <c r="Y552" s="862"/>
    </row>
    <row r="553" spans="1:26" s="243" customFormat="1" ht="42.6" hidden="1" customHeight="1">
      <c r="A553" s="1346"/>
      <c r="B553" s="1345" t="s">
        <v>604</v>
      </c>
      <c r="C553" s="1345" t="s">
        <v>3459</v>
      </c>
      <c r="D553" s="1346"/>
      <c r="E553" s="1500" t="s">
        <v>3408</v>
      </c>
      <c r="F553" s="1347">
        <v>29</v>
      </c>
      <c r="G553" s="1345" t="s">
        <v>3471</v>
      </c>
      <c r="H553" s="839" t="s">
        <v>994</v>
      </c>
      <c r="I553" s="839" t="s">
        <v>2310</v>
      </c>
      <c r="J553" s="1346" t="s">
        <v>2168</v>
      </c>
      <c r="K553" s="1348">
        <v>43608</v>
      </c>
      <c r="L553" s="1345" t="s">
        <v>990</v>
      </c>
      <c r="M553" s="1345" t="s">
        <v>3425</v>
      </c>
      <c r="N553" s="1345" t="s">
        <v>913</v>
      </c>
      <c r="O553" s="1347">
        <v>2019</v>
      </c>
      <c r="P553" s="839" t="s">
        <v>899</v>
      </c>
      <c r="Q553" s="1347">
        <v>19</v>
      </c>
      <c r="R553" s="1347"/>
      <c r="S553" s="1347">
        <v>19</v>
      </c>
      <c r="T553" s="1345" t="s">
        <v>3406</v>
      </c>
      <c r="U553" s="1345" t="s">
        <v>864</v>
      </c>
      <c r="V553" s="1345"/>
      <c r="W553" s="1345" t="s">
        <v>3407</v>
      </c>
      <c r="X553" s="1365" t="s">
        <v>3409</v>
      </c>
      <c r="Y553" s="862"/>
    </row>
    <row r="554" spans="1:26" s="243" customFormat="1" ht="22.5" hidden="1" customHeight="1">
      <c r="A554" s="1346"/>
      <c r="B554" s="1345" t="s">
        <v>591</v>
      </c>
      <c r="C554" s="1345" t="s">
        <v>3609</v>
      </c>
      <c r="D554" s="1346"/>
      <c r="E554" s="1500" t="s">
        <v>3410</v>
      </c>
      <c r="F554" s="1347">
        <v>26</v>
      </c>
      <c r="G554" s="1345" t="s">
        <v>3299</v>
      </c>
      <c r="H554" s="839" t="s">
        <v>987</v>
      </c>
      <c r="I554" s="839" t="s">
        <v>2310</v>
      </c>
      <c r="J554" s="1346" t="s">
        <v>3412</v>
      </c>
      <c r="K554" s="1348">
        <v>43594</v>
      </c>
      <c r="L554" s="1345" t="s">
        <v>990</v>
      </c>
      <c r="M554" s="1345" t="s">
        <v>3411</v>
      </c>
      <c r="N554" s="839" t="s">
        <v>913</v>
      </c>
      <c r="O554" s="1347">
        <v>2019</v>
      </c>
      <c r="P554" s="839" t="s">
        <v>899</v>
      </c>
      <c r="Q554" s="1347">
        <v>9</v>
      </c>
      <c r="R554" s="1347"/>
      <c r="S554" s="1347">
        <v>9</v>
      </c>
      <c r="T554" s="1345" t="s">
        <v>3275</v>
      </c>
      <c r="U554" s="1345" t="s">
        <v>864</v>
      </c>
      <c r="V554" s="1345"/>
      <c r="W554" s="1345" t="s">
        <v>1946</v>
      </c>
      <c r="X554" s="1365"/>
      <c r="Y554" s="862"/>
    </row>
    <row r="555" spans="1:26" s="243" customFormat="1" ht="22.5" hidden="1" customHeight="1">
      <c r="A555" s="1346"/>
      <c r="B555" s="1345" t="s">
        <v>876</v>
      </c>
      <c r="C555" s="1345" t="s">
        <v>3423</v>
      </c>
      <c r="D555" s="1346"/>
      <c r="E555" s="1500" t="s">
        <v>3421</v>
      </c>
      <c r="F555" s="1347"/>
      <c r="G555" s="1345" t="s">
        <v>3422</v>
      </c>
      <c r="H555" s="839" t="s">
        <v>987</v>
      </c>
      <c r="I555" s="839" t="s">
        <v>2310</v>
      </c>
      <c r="J555" s="1346" t="s">
        <v>2497</v>
      </c>
      <c r="K555" s="1348">
        <v>43617</v>
      </c>
      <c r="L555" s="1345" t="s">
        <v>990</v>
      </c>
      <c r="M555" s="1345" t="s">
        <v>3424</v>
      </c>
      <c r="N555" s="839" t="s">
        <v>2320</v>
      </c>
      <c r="O555" s="1347">
        <v>2019</v>
      </c>
      <c r="P555" s="839" t="s">
        <v>900</v>
      </c>
      <c r="Q555" s="1347">
        <v>7</v>
      </c>
      <c r="R555" s="1347"/>
      <c r="S555" s="1347">
        <v>7</v>
      </c>
      <c r="T555" s="1345" t="s">
        <v>3696</v>
      </c>
      <c r="U555" s="1345" t="s">
        <v>864</v>
      </c>
      <c r="V555" s="1345"/>
      <c r="W555" s="1345" t="s">
        <v>2238</v>
      </c>
      <c r="X555" s="1365"/>
      <c r="Y555" s="862"/>
    </row>
    <row r="556" spans="1:26" s="243" customFormat="1" ht="22.5" hidden="1" customHeight="1">
      <c r="A556" s="1346"/>
      <c r="B556" s="1602" t="s">
        <v>1128</v>
      </c>
      <c r="C556" s="1602" t="s">
        <v>3242</v>
      </c>
      <c r="D556" s="1346"/>
      <c r="E556" s="2978" t="s">
        <v>3426</v>
      </c>
      <c r="F556" s="1602">
        <v>19</v>
      </c>
      <c r="G556" s="1345" t="s">
        <v>3029</v>
      </c>
      <c r="H556" s="1602" t="s">
        <v>994</v>
      </c>
      <c r="I556" s="1602" t="s">
        <v>2318</v>
      </c>
      <c r="J556" s="1603"/>
      <c r="K556" s="1606">
        <v>43620</v>
      </c>
      <c r="L556" s="1603" t="s">
        <v>3015</v>
      </c>
      <c r="M556" s="1603" t="s">
        <v>3427</v>
      </c>
      <c r="N556" s="1602" t="s">
        <v>2320</v>
      </c>
      <c r="O556" s="1602">
        <v>2019</v>
      </c>
      <c r="P556" s="1602" t="s">
        <v>900</v>
      </c>
      <c r="Q556" s="1602">
        <v>0</v>
      </c>
      <c r="R556" s="1602"/>
      <c r="S556" s="1602">
        <v>0</v>
      </c>
      <c r="T556" s="1603" t="s">
        <v>2958</v>
      </c>
      <c r="U556" s="1602" t="s">
        <v>918</v>
      </c>
      <c r="V556" s="1603"/>
      <c r="W556" s="1602" t="s">
        <v>2564</v>
      </c>
      <c r="X556" s="1607"/>
      <c r="Y556" s="1604"/>
      <c r="Z556" s="1604" t="s">
        <v>2019</v>
      </c>
    </row>
    <row r="557" spans="1:26" s="243" customFormat="1" ht="22.5" hidden="1" customHeight="1">
      <c r="A557" s="1346"/>
      <c r="B557" s="1345" t="s">
        <v>1128</v>
      </c>
      <c r="C557" s="1345" t="s">
        <v>542</v>
      </c>
      <c r="D557" s="1346"/>
      <c r="E557" s="1500" t="s">
        <v>3428</v>
      </c>
      <c r="F557" s="1347"/>
      <c r="G557" s="1345"/>
      <c r="H557" s="839" t="s">
        <v>987</v>
      </c>
      <c r="I557" s="839" t="s">
        <v>2310</v>
      </c>
      <c r="J557" s="1346"/>
      <c r="K557" s="1348">
        <v>43621</v>
      </c>
      <c r="L557" s="1345" t="s">
        <v>3015</v>
      </c>
      <c r="M557" s="1345" t="s">
        <v>3430</v>
      </c>
      <c r="N557" s="1345" t="s">
        <v>2320</v>
      </c>
      <c r="O557" s="1347">
        <v>2019</v>
      </c>
      <c r="P557" s="839" t="s">
        <v>900</v>
      </c>
      <c r="Q557" s="1347">
        <v>0</v>
      </c>
      <c r="R557" s="1347"/>
      <c r="S557" s="1347">
        <v>0</v>
      </c>
      <c r="T557" s="1345" t="s">
        <v>3429</v>
      </c>
      <c r="U557" s="1345" t="s">
        <v>918</v>
      </c>
      <c r="V557" s="1345"/>
      <c r="W557" s="1345" t="s">
        <v>2275</v>
      </c>
      <c r="X557" s="1365"/>
      <c r="Y557" s="862"/>
    </row>
    <row r="558" spans="1:26" s="243" customFormat="1" ht="38.1" hidden="1" customHeight="1">
      <c r="A558" s="1346"/>
      <c r="B558" s="1345" t="s">
        <v>591</v>
      </c>
      <c r="C558" s="1345" t="s">
        <v>3609</v>
      </c>
      <c r="D558" s="1346"/>
      <c r="E558" s="1500" t="s">
        <v>3431</v>
      </c>
      <c r="F558" s="1347"/>
      <c r="G558" s="1345" t="s">
        <v>3432</v>
      </c>
      <c r="H558" s="839" t="s">
        <v>987</v>
      </c>
      <c r="I558" s="839" t="s">
        <v>2310</v>
      </c>
      <c r="J558" s="1346" t="s">
        <v>2523</v>
      </c>
      <c r="K558" s="1348">
        <v>43621</v>
      </c>
      <c r="L558" s="1345" t="s">
        <v>990</v>
      </c>
      <c r="M558" s="1345" t="s">
        <v>3433</v>
      </c>
      <c r="N558" s="839" t="s">
        <v>2320</v>
      </c>
      <c r="O558" s="1347">
        <v>2019</v>
      </c>
      <c r="P558" s="839" t="s">
        <v>900</v>
      </c>
      <c r="Q558" s="1347">
        <v>75</v>
      </c>
      <c r="R558" s="1347"/>
      <c r="S558" s="1347">
        <v>75</v>
      </c>
      <c r="T558" s="1345" t="s">
        <v>3679</v>
      </c>
      <c r="U558" s="1345" t="s">
        <v>864</v>
      </c>
      <c r="V558" s="1345"/>
      <c r="W558" s="1345" t="s">
        <v>849</v>
      </c>
      <c r="X558" s="1365"/>
      <c r="Y558" s="862"/>
    </row>
    <row r="559" spans="1:26" s="243" customFormat="1" ht="41.1" hidden="1" customHeight="1">
      <c r="A559" s="1416" t="s">
        <v>3501</v>
      </c>
      <c r="B559" s="1345" t="s">
        <v>91</v>
      </c>
      <c r="C559" s="1345" t="s">
        <v>3462</v>
      </c>
      <c r="D559" s="1346"/>
      <c r="E559" s="1500" t="s">
        <v>3434</v>
      </c>
      <c r="F559" s="1347"/>
      <c r="G559" s="1345" t="s">
        <v>3474</v>
      </c>
      <c r="H559" s="839" t="s">
        <v>987</v>
      </c>
      <c r="I559" s="839" t="s">
        <v>2549</v>
      </c>
      <c r="J559" s="1346"/>
      <c r="K559" s="1348">
        <v>43624</v>
      </c>
      <c r="L559" s="1345" t="s">
        <v>990</v>
      </c>
      <c r="M559" s="1345" t="s">
        <v>3435</v>
      </c>
      <c r="N559" s="839" t="s">
        <v>917</v>
      </c>
      <c r="O559" s="1347">
        <v>2019</v>
      </c>
      <c r="P559" s="839" t="s">
        <v>900</v>
      </c>
      <c r="Q559" s="1347">
        <v>5</v>
      </c>
      <c r="R559" s="1347"/>
      <c r="S559" s="1347">
        <v>5</v>
      </c>
      <c r="T559" s="1345" t="s">
        <v>3436</v>
      </c>
      <c r="U559" s="1345" t="s">
        <v>3375</v>
      </c>
      <c r="V559" s="1345"/>
      <c r="W559" s="1345" t="s">
        <v>3359</v>
      </c>
      <c r="X559" s="1365" t="s">
        <v>1228</v>
      </c>
      <c r="Y559" s="862"/>
    </row>
    <row r="560" spans="1:26" s="243" customFormat="1" ht="40.35" hidden="1" customHeight="1">
      <c r="A560" s="1346"/>
      <c r="B560" s="1345" t="s">
        <v>591</v>
      </c>
      <c r="C560" s="1345" t="s">
        <v>974</v>
      </c>
      <c r="D560" s="1346"/>
      <c r="E560" s="1500" t="s">
        <v>3437</v>
      </c>
      <c r="F560" s="1347"/>
      <c r="G560" s="1345" t="s">
        <v>3432</v>
      </c>
      <c r="H560" s="839" t="s">
        <v>987</v>
      </c>
      <c r="I560" s="839" t="s">
        <v>2318</v>
      </c>
      <c r="J560" s="1346" t="s">
        <v>2644</v>
      </c>
      <c r="K560" s="1348">
        <v>43626</v>
      </c>
      <c r="L560" s="1345" t="s">
        <v>990</v>
      </c>
      <c r="M560" s="1345" t="s">
        <v>3439</v>
      </c>
      <c r="N560" s="839" t="s">
        <v>2320</v>
      </c>
      <c r="O560" s="1347">
        <v>2019</v>
      </c>
      <c r="P560" s="839" t="s">
        <v>900</v>
      </c>
      <c r="Q560" s="1347">
        <v>7</v>
      </c>
      <c r="R560" s="1347"/>
      <c r="S560" s="1347">
        <v>7</v>
      </c>
      <c r="T560" s="1345" t="s">
        <v>3438</v>
      </c>
      <c r="U560" s="1345" t="s">
        <v>918</v>
      </c>
      <c r="V560" s="1345"/>
      <c r="W560" s="1345" t="s">
        <v>2275</v>
      </c>
      <c r="X560" s="1365"/>
      <c r="Y560" s="862"/>
    </row>
    <row r="561" spans="1:26" s="243" customFormat="1" ht="22.5" hidden="1" customHeight="1">
      <c r="A561" s="1346"/>
      <c r="B561" s="1345" t="s">
        <v>952</v>
      </c>
      <c r="C561" s="1345" t="s">
        <v>3440</v>
      </c>
      <c r="D561" s="1346"/>
      <c r="E561" s="1500" t="s">
        <v>3442</v>
      </c>
      <c r="F561" s="1347">
        <v>44</v>
      </c>
      <c r="G561" s="1345" t="s">
        <v>3441</v>
      </c>
      <c r="H561" s="839" t="s">
        <v>987</v>
      </c>
      <c r="I561" s="839" t="s">
        <v>2318</v>
      </c>
      <c r="J561" s="1345" t="s">
        <v>3443</v>
      </c>
      <c r="K561" s="1348">
        <v>43633</v>
      </c>
      <c r="L561" s="1345" t="s">
        <v>990</v>
      </c>
      <c r="M561" s="1345" t="s">
        <v>3444</v>
      </c>
      <c r="N561" s="1345" t="s">
        <v>2320</v>
      </c>
      <c r="O561" s="1347">
        <v>2019</v>
      </c>
      <c r="P561" s="839" t="s">
        <v>900</v>
      </c>
      <c r="Q561" s="1347">
        <v>30</v>
      </c>
      <c r="R561" s="1347"/>
      <c r="S561" s="1347">
        <v>30</v>
      </c>
      <c r="T561" s="1345" t="s">
        <v>2958</v>
      </c>
      <c r="U561" s="1345" t="s">
        <v>864</v>
      </c>
      <c r="V561" s="1345"/>
      <c r="W561" s="1345" t="s">
        <v>3460</v>
      </c>
      <c r="X561" s="1365" t="s">
        <v>3445</v>
      </c>
      <c r="Y561" s="862"/>
    </row>
    <row r="562" spans="1:26" s="243" customFormat="1" ht="22.5" hidden="1" customHeight="1">
      <c r="A562" s="1346" t="s">
        <v>3502</v>
      </c>
      <c r="B562" s="1033" t="s">
        <v>1053</v>
      </c>
      <c r="C562" s="137" t="s">
        <v>1053</v>
      </c>
      <c r="D562" s="137" t="s">
        <v>1053</v>
      </c>
      <c r="E562" s="1500" t="s">
        <v>3446</v>
      </c>
      <c r="F562" s="1347">
        <v>39</v>
      </c>
      <c r="G562" s="1345" t="s">
        <v>3447</v>
      </c>
      <c r="H562" s="839" t="s">
        <v>987</v>
      </c>
      <c r="I562" s="839" t="s">
        <v>2318</v>
      </c>
      <c r="J562" s="1346" t="s">
        <v>3448</v>
      </c>
      <c r="K562" s="1348">
        <v>43633</v>
      </c>
      <c r="L562" s="1345" t="s">
        <v>990</v>
      </c>
      <c r="M562" s="1345" t="s">
        <v>3449</v>
      </c>
      <c r="N562" s="839" t="s">
        <v>2320</v>
      </c>
      <c r="O562" s="1347">
        <v>2019</v>
      </c>
      <c r="P562" s="839" t="s">
        <v>900</v>
      </c>
      <c r="Q562" s="1347">
        <v>5</v>
      </c>
      <c r="R562" s="1347"/>
      <c r="S562" s="1347">
        <v>5</v>
      </c>
      <c r="T562" s="1345" t="s">
        <v>3697</v>
      </c>
      <c r="U562" s="1345" t="s">
        <v>864</v>
      </c>
      <c r="V562" s="1345"/>
      <c r="W562" s="1345" t="s">
        <v>3450</v>
      </c>
      <c r="X562" s="1365"/>
      <c r="Y562" s="862"/>
    </row>
    <row r="563" spans="1:26" s="243" customFormat="1" ht="22.5" hidden="1" customHeight="1">
      <c r="A563" s="1346"/>
      <c r="B563" s="1345" t="s">
        <v>1958</v>
      </c>
      <c r="C563" s="1345" t="s">
        <v>1958</v>
      </c>
      <c r="D563" s="1346"/>
      <c r="E563" s="1500" t="s">
        <v>3451</v>
      </c>
      <c r="F563" s="1347"/>
      <c r="G563" s="1345" t="s">
        <v>2167</v>
      </c>
      <c r="H563" s="839" t="s">
        <v>994</v>
      </c>
      <c r="I563" s="839" t="s">
        <v>2318</v>
      </c>
      <c r="J563" s="1346" t="s">
        <v>2168</v>
      </c>
      <c r="K563" s="1348">
        <v>43636</v>
      </c>
      <c r="L563" s="1345" t="s">
        <v>990</v>
      </c>
      <c r="M563" s="1345" t="s">
        <v>3452</v>
      </c>
      <c r="N563" s="839" t="s">
        <v>913</v>
      </c>
      <c r="O563" s="1347">
        <v>2019</v>
      </c>
      <c r="P563" s="839" t="s">
        <v>900</v>
      </c>
      <c r="Q563" s="1347">
        <v>15</v>
      </c>
      <c r="R563" s="1347"/>
      <c r="S563" s="1347">
        <v>3</v>
      </c>
      <c r="T563" s="1345" t="s">
        <v>3453</v>
      </c>
      <c r="U563" s="1345" t="s">
        <v>864</v>
      </c>
      <c r="V563" s="1345"/>
      <c r="W563" s="1345" t="s">
        <v>3461</v>
      </c>
      <c r="X563" s="1365"/>
      <c r="Y563" s="862"/>
    </row>
    <row r="564" spans="1:26" s="243" customFormat="1" ht="29.25" hidden="1" customHeight="1">
      <c r="A564" s="1346"/>
      <c r="B564" s="1345" t="s">
        <v>588</v>
      </c>
      <c r="C564" s="1345" t="s">
        <v>588</v>
      </c>
      <c r="D564" s="1346"/>
      <c r="E564" s="1500" t="s">
        <v>3355</v>
      </c>
      <c r="F564" s="1347" t="s">
        <v>1576</v>
      </c>
      <c r="G564" s="1345" t="s">
        <v>3356</v>
      </c>
      <c r="H564" s="839" t="s">
        <v>1576</v>
      </c>
      <c r="I564" s="839" t="s">
        <v>2318</v>
      </c>
      <c r="J564" s="1346"/>
      <c r="K564" s="1348">
        <v>43637</v>
      </c>
      <c r="L564" s="1345" t="s">
        <v>3601</v>
      </c>
      <c r="M564" s="1345" t="s">
        <v>3454</v>
      </c>
      <c r="N564" s="1345"/>
      <c r="O564" s="1347">
        <v>2019</v>
      </c>
      <c r="P564" s="839" t="s">
        <v>900</v>
      </c>
      <c r="Q564" s="1347" t="s">
        <v>1576</v>
      </c>
      <c r="R564" s="1347"/>
      <c r="S564" s="1347" t="s">
        <v>1576</v>
      </c>
      <c r="T564" s="1345" t="s">
        <v>2958</v>
      </c>
      <c r="U564" s="1345" t="s">
        <v>918</v>
      </c>
      <c r="V564" s="1345"/>
      <c r="W564" s="1345" t="s">
        <v>3455</v>
      </c>
      <c r="X564" s="1365"/>
      <c r="Y564" s="862"/>
    </row>
    <row r="565" spans="1:26" s="243" customFormat="1" ht="36" hidden="1" customHeight="1">
      <c r="A565" s="1346"/>
      <c r="B565" s="1345" t="s">
        <v>91</v>
      </c>
      <c r="C565" s="1345" t="s">
        <v>91</v>
      </c>
      <c r="D565" s="1346"/>
      <c r="E565" s="1500" t="s">
        <v>3456</v>
      </c>
      <c r="F565" s="1347">
        <v>39</v>
      </c>
      <c r="G565" s="1345" t="s">
        <v>2956</v>
      </c>
      <c r="H565" s="839" t="s">
        <v>987</v>
      </c>
      <c r="I565" s="839" t="s">
        <v>2310</v>
      </c>
      <c r="J565" s="1346"/>
      <c r="K565" s="1348">
        <v>43643</v>
      </c>
      <c r="L565" s="1345" t="s">
        <v>3015</v>
      </c>
      <c r="M565" s="1345" t="s">
        <v>3457</v>
      </c>
      <c r="N565" s="1345" t="s">
        <v>2320</v>
      </c>
      <c r="O565" s="1347">
        <v>2019</v>
      </c>
      <c r="P565" s="839" t="s">
        <v>900</v>
      </c>
      <c r="Q565" s="1347">
        <v>0</v>
      </c>
      <c r="R565" s="1347"/>
      <c r="S565" s="1347">
        <v>0</v>
      </c>
      <c r="T565" s="1345" t="s">
        <v>3458</v>
      </c>
      <c r="U565" s="1345" t="s">
        <v>918</v>
      </c>
      <c r="V565" s="1345"/>
      <c r="W565" s="1345" t="s">
        <v>2275</v>
      </c>
      <c r="X565" s="1365"/>
      <c r="Y565" s="862"/>
    </row>
    <row r="566" spans="1:26" customFormat="1" ht="32.85" hidden="1" customHeight="1">
      <c r="A566" s="137"/>
      <c r="B566" s="1033" t="s">
        <v>1223</v>
      </c>
      <c r="C566" s="1345" t="s">
        <v>91</v>
      </c>
      <c r="D566" s="1033" t="s">
        <v>1223</v>
      </c>
      <c r="E566" s="1499" t="s">
        <v>3463</v>
      </c>
      <c r="F566" s="862"/>
      <c r="G566" s="1345" t="s">
        <v>3058</v>
      </c>
      <c r="H566" s="692" t="s">
        <v>994</v>
      </c>
      <c r="I566" s="839" t="s">
        <v>2310</v>
      </c>
      <c r="J566" s="1185"/>
      <c r="K566" s="1348">
        <v>43628</v>
      </c>
      <c r="L566" s="1345" t="s">
        <v>990</v>
      </c>
      <c r="M566" s="1319" t="s">
        <v>3464</v>
      </c>
      <c r="N566" s="1033" t="s">
        <v>917</v>
      </c>
      <c r="O566" s="1347">
        <v>2019</v>
      </c>
      <c r="P566" s="839" t="s">
        <v>900</v>
      </c>
      <c r="Q566" s="543">
        <v>16</v>
      </c>
      <c r="R566" s="543"/>
      <c r="S566" s="543">
        <v>16</v>
      </c>
      <c r="T566" s="1033" t="s">
        <v>918</v>
      </c>
      <c r="U566" s="1033" t="s">
        <v>3562</v>
      </c>
      <c r="V566" s="1033"/>
      <c r="W566" s="1345" t="s">
        <v>3461</v>
      </c>
      <c r="X566" s="1033" t="s">
        <v>1228</v>
      </c>
      <c r="Y566" s="862"/>
    </row>
    <row r="567" spans="1:26" customFormat="1" ht="32.85" hidden="1" customHeight="1">
      <c r="A567" s="137" t="s">
        <v>4031</v>
      </c>
      <c r="B567" s="1345" t="s">
        <v>602</v>
      </c>
      <c r="C567" s="1345" t="s">
        <v>3468</v>
      </c>
      <c r="D567" s="137"/>
      <c r="E567" s="1499" t="s">
        <v>3466</v>
      </c>
      <c r="F567" s="862"/>
      <c r="G567" s="1345" t="s">
        <v>3897</v>
      </c>
      <c r="H567" s="692" t="s">
        <v>987</v>
      </c>
      <c r="I567" s="839" t="s">
        <v>2549</v>
      </c>
      <c r="J567" s="1185" t="s">
        <v>3467</v>
      </c>
      <c r="K567" s="1348">
        <v>43648</v>
      </c>
      <c r="L567" s="1345" t="s">
        <v>990</v>
      </c>
      <c r="M567" s="1319" t="s">
        <v>3469</v>
      </c>
      <c r="N567" s="1033" t="s">
        <v>923</v>
      </c>
      <c r="O567" s="1347">
        <v>2019</v>
      </c>
      <c r="P567" s="839" t="s">
        <v>901</v>
      </c>
      <c r="Q567" s="543">
        <v>22</v>
      </c>
      <c r="R567" s="543"/>
      <c r="S567" s="543">
        <v>22</v>
      </c>
      <c r="T567" s="1195" t="s">
        <v>2224</v>
      </c>
      <c r="U567" s="1033" t="s">
        <v>1104</v>
      </c>
      <c r="V567" s="1033"/>
      <c r="W567" s="1345" t="s">
        <v>2564</v>
      </c>
      <c r="X567" s="1033" t="s">
        <v>3470</v>
      </c>
      <c r="Y567" s="862"/>
    </row>
    <row r="568" spans="1:26" customFormat="1" ht="32.85" hidden="1" customHeight="1">
      <c r="A568" s="137"/>
      <c r="B568" s="1033" t="s">
        <v>1223</v>
      </c>
      <c r="C568" s="1345" t="s">
        <v>3534</v>
      </c>
      <c r="D568" s="137"/>
      <c r="E568" s="1499" t="s">
        <v>3484</v>
      </c>
      <c r="F568" s="862">
        <v>18</v>
      </c>
      <c r="G568" s="1345" t="s">
        <v>1448</v>
      </c>
      <c r="H568" s="692" t="s">
        <v>994</v>
      </c>
      <c r="I568" s="839" t="s">
        <v>2549</v>
      </c>
      <c r="J568" s="1185" t="s">
        <v>3490</v>
      </c>
      <c r="K568" s="1348">
        <v>43651</v>
      </c>
      <c r="L568" s="1345" t="s">
        <v>990</v>
      </c>
      <c r="M568" s="1319" t="s">
        <v>3535</v>
      </c>
      <c r="N568" s="1033" t="s">
        <v>913</v>
      </c>
      <c r="O568" s="1347">
        <v>2019</v>
      </c>
      <c r="P568" s="839" t="s">
        <v>901</v>
      </c>
      <c r="Q568" s="543">
        <v>6</v>
      </c>
      <c r="R568" s="543"/>
      <c r="S568" s="543">
        <v>6</v>
      </c>
      <c r="T568" s="1033" t="s">
        <v>3016</v>
      </c>
      <c r="U568" s="1033" t="s">
        <v>3562</v>
      </c>
      <c r="V568" s="1033"/>
      <c r="W568" s="1345" t="s">
        <v>2564</v>
      </c>
      <c r="X568" s="1033"/>
      <c r="Y568" s="862"/>
      <c r="Z568" s="1618" t="s">
        <v>1448</v>
      </c>
    </row>
    <row r="569" spans="1:26" customFormat="1" ht="32.85" hidden="1" customHeight="1">
      <c r="A569" s="137"/>
      <c r="B569" s="1345" t="s">
        <v>3485</v>
      </c>
      <c r="C569" s="1345" t="s">
        <v>3485</v>
      </c>
      <c r="D569" s="137"/>
      <c r="E569" s="1499" t="s">
        <v>3486</v>
      </c>
      <c r="F569" s="862"/>
      <c r="G569" s="1345"/>
      <c r="H569" s="692" t="s">
        <v>987</v>
      </c>
      <c r="I569" s="839"/>
      <c r="J569" s="1185"/>
      <c r="K569" s="1348"/>
      <c r="L569" s="1345" t="s">
        <v>3015</v>
      </c>
      <c r="M569" s="1319" t="s">
        <v>3487</v>
      </c>
      <c r="N569" s="1033" t="s">
        <v>2320</v>
      </c>
      <c r="O569" s="1347">
        <v>2019</v>
      </c>
      <c r="P569" s="839" t="s">
        <v>901</v>
      </c>
      <c r="Q569" s="543">
        <v>0</v>
      </c>
      <c r="R569" s="543"/>
      <c r="S569" s="543">
        <v>0</v>
      </c>
      <c r="T569" s="1033" t="s">
        <v>2296</v>
      </c>
      <c r="U569" s="1033" t="s">
        <v>864</v>
      </c>
      <c r="V569" s="1033"/>
      <c r="W569" s="1345" t="s">
        <v>3450</v>
      </c>
      <c r="X569" s="1033" t="s">
        <v>3485</v>
      </c>
      <c r="Y569" s="862"/>
    </row>
    <row r="570" spans="1:26" customFormat="1" ht="32.85" hidden="1" customHeight="1">
      <c r="A570" s="137"/>
      <c r="B570" s="1345" t="s">
        <v>1958</v>
      </c>
      <c r="C570" s="1345" t="s">
        <v>1958</v>
      </c>
      <c r="D570" s="137"/>
      <c r="E570" s="1499" t="s">
        <v>3488</v>
      </c>
      <c r="F570" s="862">
        <v>23</v>
      </c>
      <c r="G570" s="1345" t="s">
        <v>3377</v>
      </c>
      <c r="H570" s="692" t="s">
        <v>987</v>
      </c>
      <c r="I570" s="839" t="s">
        <v>2549</v>
      </c>
      <c r="J570" s="1185"/>
      <c r="K570" s="1348">
        <v>43651</v>
      </c>
      <c r="L570" s="1345" t="s">
        <v>990</v>
      </c>
      <c r="M570" s="1319" t="s">
        <v>3489</v>
      </c>
      <c r="N570" s="692" t="s">
        <v>2320</v>
      </c>
      <c r="O570" s="1347">
        <v>2019</v>
      </c>
      <c r="P570" s="839" t="s">
        <v>901</v>
      </c>
      <c r="Q570" s="543">
        <v>7</v>
      </c>
      <c r="R570" s="543"/>
      <c r="S570" s="543">
        <v>3</v>
      </c>
      <c r="T570" s="1033" t="s">
        <v>3698</v>
      </c>
      <c r="U570" s="1033" t="s">
        <v>864</v>
      </c>
      <c r="V570" s="1033"/>
      <c r="W570" s="1345" t="s">
        <v>2275</v>
      </c>
      <c r="X570" s="1033"/>
      <c r="Y570" s="862"/>
    </row>
    <row r="571" spans="1:26" customFormat="1" ht="32.85" hidden="1" customHeight="1">
      <c r="A571" s="137"/>
      <c r="B571" s="1345" t="s">
        <v>1957</v>
      </c>
      <c r="C571" s="1345" t="s">
        <v>3494</v>
      </c>
      <c r="D571" s="137"/>
      <c r="E571" s="1499" t="s">
        <v>3491</v>
      </c>
      <c r="F571" s="862"/>
      <c r="G571" s="1345" t="s">
        <v>3492</v>
      </c>
      <c r="H571" s="692" t="s">
        <v>987</v>
      </c>
      <c r="I571" s="839" t="s">
        <v>2310</v>
      </c>
      <c r="J571" s="1185"/>
      <c r="K571" s="1348">
        <v>43652</v>
      </c>
      <c r="L571" s="1345" t="s">
        <v>3015</v>
      </c>
      <c r="M571" s="1319" t="s">
        <v>3493</v>
      </c>
      <c r="N571" s="1033" t="s">
        <v>2320</v>
      </c>
      <c r="O571" s="1347">
        <v>2019</v>
      </c>
      <c r="P571" s="839" t="s">
        <v>901</v>
      </c>
      <c r="Q571" s="543">
        <v>0</v>
      </c>
      <c r="R571" s="543"/>
      <c r="S571" s="543">
        <v>0</v>
      </c>
      <c r="T571" s="1033" t="s">
        <v>2958</v>
      </c>
      <c r="U571" s="1033" t="s">
        <v>864</v>
      </c>
      <c r="V571" s="1033"/>
      <c r="W571" s="1345" t="s">
        <v>2275</v>
      </c>
      <c r="X571" s="1033"/>
      <c r="Y571" s="862"/>
    </row>
    <row r="572" spans="1:26" customFormat="1" ht="32.85" hidden="1" customHeight="1">
      <c r="A572" s="137"/>
      <c r="B572" s="1345" t="s">
        <v>789</v>
      </c>
      <c r="C572" s="1345" t="s">
        <v>3495</v>
      </c>
      <c r="D572" s="137"/>
      <c r="E572" s="1499" t="s">
        <v>3496</v>
      </c>
      <c r="F572" s="862"/>
      <c r="G572" s="1345" t="s">
        <v>3497</v>
      </c>
      <c r="H572" s="692" t="s">
        <v>987</v>
      </c>
      <c r="I572" s="839" t="s">
        <v>2310</v>
      </c>
      <c r="J572" s="1185" t="s">
        <v>3498</v>
      </c>
      <c r="K572" s="1348">
        <v>43656</v>
      </c>
      <c r="L572" s="1345" t="s">
        <v>990</v>
      </c>
      <c r="M572" s="1319" t="s">
        <v>3499</v>
      </c>
      <c r="N572" s="1033" t="s">
        <v>2320</v>
      </c>
      <c r="O572" s="1347">
        <v>2019</v>
      </c>
      <c r="P572" s="839" t="s">
        <v>901</v>
      </c>
      <c r="Q572" s="543">
        <v>3</v>
      </c>
      <c r="R572" s="543"/>
      <c r="S572" s="543">
        <v>3</v>
      </c>
      <c r="T572" s="1033" t="s">
        <v>2958</v>
      </c>
      <c r="U572" s="1033" t="s">
        <v>558</v>
      </c>
      <c r="V572" s="1033"/>
      <c r="W572" s="1345" t="s">
        <v>3500</v>
      </c>
      <c r="X572" s="1033"/>
      <c r="Y572" s="862"/>
    </row>
    <row r="573" spans="1:26" customFormat="1" ht="32.85" hidden="1" customHeight="1">
      <c r="A573" s="1195" t="s">
        <v>3505</v>
      </c>
      <c r="B573" s="1033" t="s">
        <v>1053</v>
      </c>
      <c r="C573" s="1345" t="s">
        <v>3506</v>
      </c>
      <c r="D573" s="137"/>
      <c r="E573" s="1499" t="s">
        <v>3504</v>
      </c>
      <c r="F573" s="862">
        <v>31</v>
      </c>
      <c r="G573" s="1345" t="s">
        <v>3447</v>
      </c>
      <c r="H573" s="692" t="s">
        <v>987</v>
      </c>
      <c r="I573" s="839" t="s">
        <v>2318</v>
      </c>
      <c r="J573" s="1195" t="s">
        <v>2523</v>
      </c>
      <c r="K573" s="1348">
        <v>43662</v>
      </c>
      <c r="L573" s="1345" t="s">
        <v>990</v>
      </c>
      <c r="M573" s="1319" t="s">
        <v>3507</v>
      </c>
      <c r="N573" s="692" t="s">
        <v>2320</v>
      </c>
      <c r="O573" s="1347">
        <v>2019</v>
      </c>
      <c r="P573" s="839" t="s">
        <v>901</v>
      </c>
      <c r="Q573" s="543">
        <v>4</v>
      </c>
      <c r="R573" s="543"/>
      <c r="S573" s="543">
        <v>4</v>
      </c>
      <c r="T573" s="1033" t="s">
        <v>3508</v>
      </c>
      <c r="U573" s="1033" t="s">
        <v>864</v>
      </c>
      <c r="V573" s="1033"/>
      <c r="W573" s="1345" t="s">
        <v>2564</v>
      </c>
      <c r="X573" s="1033"/>
      <c r="Y573" s="862"/>
    </row>
    <row r="574" spans="1:26" customFormat="1" ht="32.85" hidden="1" customHeight="1">
      <c r="A574" s="137"/>
      <c r="B574" s="1345" t="s">
        <v>1128</v>
      </c>
      <c r="C574" s="1345" t="s">
        <v>542</v>
      </c>
      <c r="D574" s="137"/>
      <c r="E574" s="1499" t="s">
        <v>3509</v>
      </c>
      <c r="F574" s="862">
        <v>42</v>
      </c>
      <c r="G574" s="1345" t="s">
        <v>3377</v>
      </c>
      <c r="H574" s="692" t="s">
        <v>987</v>
      </c>
      <c r="I574" s="839" t="s">
        <v>2549</v>
      </c>
      <c r="J574" s="1185"/>
      <c r="K574" s="1348">
        <v>43663</v>
      </c>
      <c r="L574" s="1345" t="s">
        <v>3015</v>
      </c>
      <c r="M574" s="1319" t="s">
        <v>3510</v>
      </c>
      <c r="N574" s="1033" t="s">
        <v>923</v>
      </c>
      <c r="O574" s="1347">
        <v>2019</v>
      </c>
      <c r="P574" s="839" t="s">
        <v>901</v>
      </c>
      <c r="Q574" s="543" t="s">
        <v>1576</v>
      </c>
      <c r="R574" s="543"/>
      <c r="S574" s="543" t="s">
        <v>1576</v>
      </c>
      <c r="T574" s="1033" t="s">
        <v>918</v>
      </c>
      <c r="U574" s="1033" t="s">
        <v>918</v>
      </c>
      <c r="V574" s="1033"/>
      <c r="W574" s="1345" t="s">
        <v>3450</v>
      </c>
      <c r="X574" s="1033"/>
      <c r="Y574" s="862"/>
    </row>
    <row r="575" spans="1:26" customFormat="1" ht="32.85" hidden="1" customHeight="1">
      <c r="A575" s="137"/>
      <c r="B575" s="1345" t="s">
        <v>430</v>
      </c>
      <c r="C575" s="1345" t="s">
        <v>3310</v>
      </c>
      <c r="D575" s="137"/>
      <c r="E575" s="1499" t="s">
        <v>3511</v>
      </c>
      <c r="F575" s="862">
        <v>54</v>
      </c>
      <c r="G575" s="1345" t="s">
        <v>3377</v>
      </c>
      <c r="H575" s="692" t="s">
        <v>987</v>
      </c>
      <c r="I575" s="839" t="s">
        <v>2549</v>
      </c>
      <c r="J575" s="1185"/>
      <c r="K575" s="1348">
        <v>43663</v>
      </c>
      <c r="L575" s="1345" t="s">
        <v>3015</v>
      </c>
      <c r="M575" s="1319" t="s">
        <v>3512</v>
      </c>
      <c r="N575" s="1033" t="s">
        <v>917</v>
      </c>
      <c r="O575" s="1347">
        <v>2019</v>
      </c>
      <c r="P575" s="839" t="s">
        <v>901</v>
      </c>
      <c r="Q575" s="543" t="s">
        <v>1576</v>
      </c>
      <c r="R575" s="543"/>
      <c r="S575" s="543" t="s">
        <v>1576</v>
      </c>
      <c r="T575" s="1033" t="s">
        <v>918</v>
      </c>
      <c r="U575" s="1033" t="s">
        <v>918</v>
      </c>
      <c r="V575" s="1033"/>
      <c r="W575" s="1345" t="s">
        <v>918</v>
      </c>
      <c r="X575" s="1033"/>
      <c r="Y575" s="862"/>
    </row>
    <row r="576" spans="1:26" customFormat="1" ht="32.85" hidden="1" customHeight="1">
      <c r="A576" s="137"/>
      <c r="B576" s="1345" t="s">
        <v>1128</v>
      </c>
      <c r="C576" s="1345" t="s">
        <v>1228</v>
      </c>
      <c r="D576" s="137"/>
      <c r="E576" s="1499" t="s">
        <v>3513</v>
      </c>
      <c r="F576" s="862">
        <v>38</v>
      </c>
      <c r="G576" s="1345" t="s">
        <v>3058</v>
      </c>
      <c r="H576" s="692" t="s">
        <v>987</v>
      </c>
      <c r="I576" s="839" t="s">
        <v>2310</v>
      </c>
      <c r="J576" s="1185"/>
      <c r="K576" s="1348">
        <v>43665</v>
      </c>
      <c r="L576" s="1345" t="s">
        <v>990</v>
      </c>
      <c r="M576" s="1319" t="s">
        <v>3514</v>
      </c>
      <c r="N576" s="1033" t="s">
        <v>923</v>
      </c>
      <c r="O576" s="1347">
        <v>2019</v>
      </c>
      <c r="P576" s="839" t="s">
        <v>901</v>
      </c>
      <c r="Q576" s="543">
        <v>2</v>
      </c>
      <c r="R576" s="543"/>
      <c r="S576" s="543">
        <v>2</v>
      </c>
      <c r="T576" s="1033" t="s">
        <v>3515</v>
      </c>
      <c r="U576" s="1033" t="s">
        <v>3541</v>
      </c>
      <c r="V576" s="1033"/>
      <c r="W576" s="1345" t="s">
        <v>3540</v>
      </c>
      <c r="X576" s="1033" t="s">
        <v>1228</v>
      </c>
      <c r="Y576" s="862"/>
    </row>
    <row r="577" spans="1:26" customFormat="1" ht="32.85" hidden="1" customHeight="1">
      <c r="A577" s="137"/>
      <c r="B577" s="1345" t="s">
        <v>591</v>
      </c>
      <c r="C577" s="1345" t="s">
        <v>542</v>
      </c>
      <c r="D577" s="137"/>
      <c r="E577" s="1499" t="s">
        <v>3516</v>
      </c>
      <c r="F577" s="862"/>
      <c r="G577" s="1345" t="s">
        <v>3517</v>
      </c>
      <c r="H577" s="692" t="s">
        <v>987</v>
      </c>
      <c r="I577" s="839" t="s">
        <v>2318</v>
      </c>
      <c r="J577" s="1185" t="s">
        <v>3518</v>
      </c>
      <c r="K577" s="1348">
        <v>43663</v>
      </c>
      <c r="L577" s="1345" t="s">
        <v>990</v>
      </c>
      <c r="M577" s="1319" t="s">
        <v>3519</v>
      </c>
      <c r="N577" s="692" t="s">
        <v>913</v>
      </c>
      <c r="O577" s="1347">
        <v>2019</v>
      </c>
      <c r="P577" s="839" t="s">
        <v>901</v>
      </c>
      <c r="Q577" s="543">
        <v>13</v>
      </c>
      <c r="R577" s="543"/>
      <c r="S577" s="543">
        <v>13</v>
      </c>
      <c r="T577" s="1033" t="s">
        <v>3520</v>
      </c>
      <c r="U577" s="1033" t="s">
        <v>864</v>
      </c>
      <c r="V577" s="1033"/>
      <c r="W577" s="1345" t="s">
        <v>2564</v>
      </c>
      <c r="X577" s="1033"/>
      <c r="Y577" s="862"/>
    </row>
    <row r="578" spans="1:26" customFormat="1" ht="32.85" hidden="1" customHeight="1">
      <c r="A578" s="137" t="s">
        <v>4030</v>
      </c>
      <c r="B578" s="1345" t="s">
        <v>91</v>
      </c>
      <c r="C578" s="1345" t="s">
        <v>91</v>
      </c>
      <c r="D578" s="137"/>
      <c r="E578" s="1499" t="s">
        <v>3553</v>
      </c>
      <c r="F578" s="862">
        <v>34</v>
      </c>
      <c r="G578" s="1345" t="s">
        <v>1338</v>
      </c>
      <c r="H578" s="692" t="s">
        <v>994</v>
      </c>
      <c r="I578" s="839" t="s">
        <v>2310</v>
      </c>
      <c r="J578" s="1185"/>
      <c r="K578" s="1348">
        <v>43670</v>
      </c>
      <c r="L578" s="1345" t="s">
        <v>990</v>
      </c>
      <c r="M578" s="1319" t="s">
        <v>3543</v>
      </c>
      <c r="N578" s="692" t="s">
        <v>913</v>
      </c>
      <c r="O578" s="1347">
        <v>2019</v>
      </c>
      <c r="P578" s="839" t="s">
        <v>901</v>
      </c>
      <c r="Q578" s="543">
        <v>1</v>
      </c>
      <c r="R578" s="543"/>
      <c r="S578" s="543">
        <v>1</v>
      </c>
      <c r="T578" s="1033" t="s">
        <v>3542</v>
      </c>
      <c r="U578" s="1033" t="s">
        <v>3562</v>
      </c>
      <c r="V578" s="1033"/>
      <c r="W578" s="1345" t="s">
        <v>2564</v>
      </c>
      <c r="X578" s="1033"/>
      <c r="Y578" s="862"/>
    </row>
    <row r="579" spans="1:26" customFormat="1" ht="32.85" hidden="1" customHeight="1">
      <c r="A579" s="137"/>
      <c r="B579" s="137" t="s">
        <v>602</v>
      </c>
      <c r="C579" s="1345" t="s">
        <v>689</v>
      </c>
      <c r="D579" s="137"/>
      <c r="E579" s="1499" t="s">
        <v>3521</v>
      </c>
      <c r="F579" s="862">
        <v>19</v>
      </c>
      <c r="G579" s="1345" t="s">
        <v>1448</v>
      </c>
      <c r="H579" s="692" t="s">
        <v>987</v>
      </c>
      <c r="I579" s="839" t="s">
        <v>2318</v>
      </c>
      <c r="J579" s="1185"/>
      <c r="K579" s="1348">
        <v>43670</v>
      </c>
      <c r="L579" s="1345" t="s">
        <v>3602</v>
      </c>
      <c r="M579" s="1319" t="s">
        <v>3522</v>
      </c>
      <c r="N579" s="1033" t="s">
        <v>917</v>
      </c>
      <c r="O579" s="1347">
        <v>2019</v>
      </c>
      <c r="P579" s="839" t="s">
        <v>901</v>
      </c>
      <c r="Q579" s="543" t="s">
        <v>1576</v>
      </c>
      <c r="R579" s="543"/>
      <c r="S579" s="543" t="s">
        <v>1576</v>
      </c>
      <c r="T579" s="1033" t="s">
        <v>3523</v>
      </c>
      <c r="U579" s="1033" t="s">
        <v>918</v>
      </c>
      <c r="V579" s="1033"/>
      <c r="W579" s="1345" t="s">
        <v>3327</v>
      </c>
      <c r="X579" s="1033"/>
      <c r="Y579" s="862"/>
      <c r="Z579" s="1618" t="s">
        <v>1448</v>
      </c>
    </row>
    <row r="580" spans="1:26" customFormat="1" ht="32.85" hidden="1" customHeight="1">
      <c r="A580" s="137"/>
      <c r="B580" s="1345" t="s">
        <v>2943</v>
      </c>
      <c r="C580" s="1345" t="s">
        <v>2944</v>
      </c>
      <c r="D580" s="137"/>
      <c r="E580" s="1499" t="s">
        <v>3524</v>
      </c>
      <c r="F580" s="862"/>
      <c r="G580" s="1345" t="s">
        <v>3525</v>
      </c>
      <c r="H580" s="692" t="s">
        <v>987</v>
      </c>
      <c r="I580" s="839" t="s">
        <v>2310</v>
      </c>
      <c r="J580" s="1185" t="s">
        <v>3240</v>
      </c>
      <c r="K580" s="1348">
        <v>43669</v>
      </c>
      <c r="L580" s="1345" t="s">
        <v>990</v>
      </c>
      <c r="M580" s="1319" t="s">
        <v>3526</v>
      </c>
      <c r="N580" s="1033" t="s">
        <v>2320</v>
      </c>
      <c r="O580" s="1347">
        <v>2019</v>
      </c>
      <c r="P580" s="839" t="s">
        <v>901</v>
      </c>
      <c r="Q580" s="543">
        <v>2</v>
      </c>
      <c r="R580" s="543"/>
      <c r="S580" s="543">
        <v>2</v>
      </c>
      <c r="T580" s="1033" t="s">
        <v>3544</v>
      </c>
      <c r="U580" s="1033" t="s">
        <v>864</v>
      </c>
      <c r="V580" s="1033"/>
      <c r="W580" s="1345" t="s">
        <v>2564</v>
      </c>
      <c r="X580" s="1033"/>
      <c r="Y580" s="862"/>
    </row>
    <row r="581" spans="1:26" customFormat="1" ht="32.85" hidden="1" customHeight="1">
      <c r="A581" s="137"/>
      <c r="B581" s="1345" t="s">
        <v>77</v>
      </c>
      <c r="C581" s="1345" t="s">
        <v>77</v>
      </c>
      <c r="D581" s="137"/>
      <c r="E581" s="1499" t="s">
        <v>3527</v>
      </c>
      <c r="F581" s="862">
        <v>29</v>
      </c>
      <c r="G581" s="1345" t="s">
        <v>3528</v>
      </c>
      <c r="H581" s="692" t="s">
        <v>987</v>
      </c>
      <c r="I581" s="839" t="s">
        <v>2310</v>
      </c>
      <c r="J581" s="1185"/>
      <c r="K581" s="1348">
        <v>43677</v>
      </c>
      <c r="L581" s="1345" t="s">
        <v>3015</v>
      </c>
      <c r="M581" s="1319" t="s">
        <v>3529</v>
      </c>
      <c r="N581" s="1033" t="s">
        <v>923</v>
      </c>
      <c r="O581" s="1347">
        <v>2019</v>
      </c>
      <c r="P581" s="839" t="s">
        <v>901</v>
      </c>
      <c r="Q581" s="543" t="s">
        <v>1576</v>
      </c>
      <c r="R581" s="543"/>
      <c r="S581" s="543" t="s">
        <v>1576</v>
      </c>
      <c r="T581" s="1033" t="s">
        <v>3530</v>
      </c>
      <c r="U581" s="1033" t="s">
        <v>918</v>
      </c>
      <c r="V581" s="1033"/>
      <c r="W581" s="1345" t="s">
        <v>3531</v>
      </c>
      <c r="X581" s="1033"/>
      <c r="Y581" s="862"/>
    </row>
    <row r="582" spans="1:26" customFormat="1" ht="32.85" hidden="1" customHeight="1">
      <c r="A582" s="137"/>
      <c r="B582" s="1033" t="s">
        <v>1053</v>
      </c>
      <c r="C582" s="1345" t="s">
        <v>3506</v>
      </c>
      <c r="D582" s="137"/>
      <c r="E582" s="1499" t="s">
        <v>3532</v>
      </c>
      <c r="F582" s="862"/>
      <c r="G582" s="1345" t="s">
        <v>2215</v>
      </c>
      <c r="H582" s="692" t="s">
        <v>987</v>
      </c>
      <c r="I582" s="839" t="s">
        <v>2549</v>
      </c>
      <c r="J582" s="1185" t="s">
        <v>2605</v>
      </c>
      <c r="K582" s="1348">
        <v>43677</v>
      </c>
      <c r="L582" s="1345" t="s">
        <v>990</v>
      </c>
      <c r="M582" s="1319" t="s">
        <v>3533</v>
      </c>
      <c r="N582" s="692" t="s">
        <v>2320</v>
      </c>
      <c r="O582" s="1347">
        <v>2019</v>
      </c>
      <c r="P582" s="839" t="s">
        <v>901</v>
      </c>
      <c r="Q582" s="543">
        <v>30</v>
      </c>
      <c r="R582" s="543"/>
      <c r="S582" s="543">
        <v>30</v>
      </c>
      <c r="T582" s="1033" t="s">
        <v>3699</v>
      </c>
      <c r="U582" s="1033" t="s">
        <v>864</v>
      </c>
      <c r="V582" s="1033"/>
      <c r="W582" s="1345" t="s">
        <v>2340</v>
      </c>
      <c r="X582" s="1033"/>
      <c r="Y582" s="862"/>
    </row>
    <row r="583" spans="1:26" customFormat="1" ht="32.85" hidden="1" customHeight="1">
      <c r="A583" s="137" t="s">
        <v>4032</v>
      </c>
      <c r="B583" s="1033" t="s">
        <v>1053</v>
      </c>
      <c r="C583" s="1345" t="s">
        <v>3506</v>
      </c>
      <c r="D583" s="137"/>
      <c r="E583" s="1499" t="s">
        <v>3538</v>
      </c>
      <c r="F583" s="862">
        <v>25</v>
      </c>
      <c r="G583" s="1345" t="s">
        <v>3536</v>
      </c>
      <c r="H583" s="692" t="s">
        <v>987</v>
      </c>
      <c r="I583" s="839" t="s">
        <v>2310</v>
      </c>
      <c r="J583" s="1195" t="s">
        <v>3539</v>
      </c>
      <c r="K583" s="1348">
        <v>43657</v>
      </c>
      <c r="L583" s="1345" t="s">
        <v>990</v>
      </c>
      <c r="M583" s="1319" t="s">
        <v>3537</v>
      </c>
      <c r="N583" s="1033" t="s">
        <v>917</v>
      </c>
      <c r="O583" s="1347">
        <v>2019</v>
      </c>
      <c r="P583" s="839" t="s">
        <v>901</v>
      </c>
      <c r="Q583" s="543">
        <v>6000</v>
      </c>
      <c r="R583" s="543"/>
      <c r="S583" s="543">
        <v>6000</v>
      </c>
      <c r="T583" s="1033" t="s">
        <v>2649</v>
      </c>
      <c r="U583" s="1033" t="s">
        <v>864</v>
      </c>
      <c r="V583" s="1033"/>
      <c r="W583" s="1345" t="s">
        <v>2564</v>
      </c>
      <c r="X583" s="1033" t="s">
        <v>2097</v>
      </c>
      <c r="Y583" s="862"/>
    </row>
    <row r="584" spans="1:26" customFormat="1" ht="32.85" hidden="1" customHeight="1">
      <c r="A584" s="137"/>
      <c r="B584" s="1345" t="s">
        <v>788</v>
      </c>
      <c r="C584" s="1345" t="s">
        <v>1957</v>
      </c>
      <c r="D584" s="137"/>
      <c r="E584" s="1499" t="s">
        <v>3546</v>
      </c>
      <c r="F584" s="862"/>
      <c r="G584" s="1345" t="s">
        <v>3547</v>
      </c>
      <c r="H584" s="692" t="s">
        <v>987</v>
      </c>
      <c r="I584" s="839" t="s">
        <v>2310</v>
      </c>
      <c r="J584" s="1185"/>
      <c r="K584" s="1348">
        <v>43652</v>
      </c>
      <c r="L584" s="1345" t="s">
        <v>990</v>
      </c>
      <c r="M584" s="1319" t="s">
        <v>3545</v>
      </c>
      <c r="N584" s="1033" t="s">
        <v>2320</v>
      </c>
      <c r="O584" s="1347">
        <v>2019</v>
      </c>
      <c r="P584" s="839" t="s">
        <v>901</v>
      </c>
      <c r="Q584" s="543">
        <v>23</v>
      </c>
      <c r="R584" s="543"/>
      <c r="S584" s="543">
        <v>23</v>
      </c>
      <c r="T584" s="1033" t="s">
        <v>2227</v>
      </c>
      <c r="U584" s="1033" t="s">
        <v>558</v>
      </c>
      <c r="V584" s="1033"/>
      <c r="W584" s="1345" t="s">
        <v>2445</v>
      </c>
      <c r="X584" s="1033"/>
      <c r="Y584" s="862"/>
    </row>
    <row r="585" spans="1:26" customFormat="1" ht="32.85" hidden="1" customHeight="1">
      <c r="A585" s="137"/>
      <c r="B585" s="1345" t="s">
        <v>591</v>
      </c>
      <c r="C585" s="1345" t="s">
        <v>3609</v>
      </c>
      <c r="D585" s="137"/>
      <c r="E585" s="1499" t="s">
        <v>3554</v>
      </c>
      <c r="F585" s="862"/>
      <c r="G585" s="1345" t="s">
        <v>2956</v>
      </c>
      <c r="H585" s="692" t="s">
        <v>987</v>
      </c>
      <c r="I585" s="839" t="s">
        <v>2549</v>
      </c>
      <c r="J585" s="1185" t="s">
        <v>3555</v>
      </c>
      <c r="K585" s="1348">
        <v>43679</v>
      </c>
      <c r="L585" s="1345" t="s">
        <v>990</v>
      </c>
      <c r="M585" s="1319" t="s">
        <v>3556</v>
      </c>
      <c r="N585" s="692" t="s">
        <v>2320</v>
      </c>
      <c r="O585" s="1347">
        <v>2019</v>
      </c>
      <c r="P585" s="839" t="s">
        <v>902</v>
      </c>
      <c r="Q585" s="543">
        <v>8</v>
      </c>
      <c r="R585" s="543"/>
      <c r="S585" s="543">
        <v>8</v>
      </c>
      <c r="T585" s="1033" t="s">
        <v>3700</v>
      </c>
      <c r="U585" s="1033" t="s">
        <v>864</v>
      </c>
      <c r="V585" s="1033"/>
      <c r="W585" s="1345" t="s">
        <v>2275</v>
      </c>
      <c r="X585" s="1033"/>
      <c r="Y585" s="862"/>
    </row>
    <row r="586" spans="1:26" customFormat="1" ht="39.75" hidden="1" customHeight="1">
      <c r="A586" s="137"/>
      <c r="B586" s="1345" t="s">
        <v>91</v>
      </c>
      <c r="C586" s="1345" t="s">
        <v>91</v>
      </c>
      <c r="D586" s="137"/>
      <c r="E586" s="1499" t="s">
        <v>3557</v>
      </c>
      <c r="F586" s="862">
        <v>23</v>
      </c>
      <c r="G586" s="1345" t="s">
        <v>1448</v>
      </c>
      <c r="H586" s="692" t="s">
        <v>987</v>
      </c>
      <c r="I586" s="839" t="s">
        <v>2549</v>
      </c>
      <c r="J586" s="1185"/>
      <c r="K586" s="1418">
        <v>43671</v>
      </c>
      <c r="L586" s="1345" t="s">
        <v>3015</v>
      </c>
      <c r="M586" s="1319" t="s">
        <v>3558</v>
      </c>
      <c r="N586" s="692" t="s">
        <v>2320</v>
      </c>
      <c r="O586" s="1347">
        <v>2019</v>
      </c>
      <c r="P586" s="839" t="s">
        <v>901</v>
      </c>
      <c r="Q586" s="692" t="s">
        <v>1576</v>
      </c>
      <c r="R586" s="543"/>
      <c r="S586" s="692" t="s">
        <v>1576</v>
      </c>
      <c r="T586" s="1033" t="s">
        <v>3559</v>
      </c>
      <c r="U586" s="1033" t="s">
        <v>864</v>
      </c>
      <c r="V586" s="1033"/>
      <c r="W586" s="1345" t="s">
        <v>3359</v>
      </c>
      <c r="X586" s="1033"/>
      <c r="Y586" s="862"/>
      <c r="Z586" s="1618" t="s">
        <v>1448</v>
      </c>
    </row>
    <row r="587" spans="1:26" customFormat="1" ht="32.85" hidden="1" customHeight="1">
      <c r="A587" s="137"/>
      <c r="B587" s="1345" t="s">
        <v>77</v>
      </c>
      <c r="C587" s="1345" t="s">
        <v>3530</v>
      </c>
      <c r="D587" s="137"/>
      <c r="E587" s="1499" t="s">
        <v>3560</v>
      </c>
      <c r="F587" s="862">
        <v>55</v>
      </c>
      <c r="G587" s="1345" t="s">
        <v>3377</v>
      </c>
      <c r="H587" s="692" t="s">
        <v>987</v>
      </c>
      <c r="I587" s="839" t="s">
        <v>2549</v>
      </c>
      <c r="J587" s="1185"/>
      <c r="K587" s="1348">
        <v>43685</v>
      </c>
      <c r="L587" s="1345" t="s">
        <v>3015</v>
      </c>
      <c r="M587" s="1319" t="s">
        <v>3561</v>
      </c>
      <c r="N587" s="692" t="s">
        <v>913</v>
      </c>
      <c r="O587" s="1347">
        <v>2019</v>
      </c>
      <c r="P587" s="839" t="s">
        <v>902</v>
      </c>
      <c r="Q587" s="692" t="s">
        <v>1576</v>
      </c>
      <c r="R587" s="543"/>
      <c r="S587" s="692" t="s">
        <v>1576</v>
      </c>
      <c r="T587" s="1033" t="s">
        <v>918</v>
      </c>
      <c r="U587" s="1033" t="s">
        <v>3562</v>
      </c>
      <c r="V587" s="1033"/>
      <c r="W587" s="1345" t="s">
        <v>3563</v>
      </c>
      <c r="X587" s="1033"/>
      <c r="Y587" s="862"/>
    </row>
    <row r="588" spans="1:26" customFormat="1" ht="32.85" hidden="1" customHeight="1">
      <c r="A588" s="137"/>
      <c r="B588" s="1345" t="s">
        <v>91</v>
      </c>
      <c r="C588" s="1345" t="s">
        <v>91</v>
      </c>
      <c r="D588" s="137"/>
      <c r="E588" s="1499" t="s">
        <v>3564</v>
      </c>
      <c r="F588" s="862">
        <v>19</v>
      </c>
      <c r="G588" s="1345" t="s">
        <v>3422</v>
      </c>
      <c r="H588" s="692" t="s">
        <v>987</v>
      </c>
      <c r="I588" s="839" t="s">
        <v>2310</v>
      </c>
      <c r="J588" s="1185"/>
      <c r="K588" s="1348">
        <v>43691</v>
      </c>
      <c r="L588" s="1345" t="s">
        <v>3015</v>
      </c>
      <c r="M588" s="1459" t="s">
        <v>3565</v>
      </c>
      <c r="N588" s="692" t="s">
        <v>923</v>
      </c>
      <c r="O588" s="1347">
        <v>2019</v>
      </c>
      <c r="P588" s="839" t="s">
        <v>902</v>
      </c>
      <c r="Q588" s="692" t="s">
        <v>1576</v>
      </c>
      <c r="R588" s="543"/>
      <c r="S588" s="692" t="s">
        <v>1576</v>
      </c>
      <c r="T588" s="1033" t="s">
        <v>3566</v>
      </c>
      <c r="U588" s="1033" t="s">
        <v>918</v>
      </c>
      <c r="V588" s="1033"/>
      <c r="W588" s="1345" t="s">
        <v>3450</v>
      </c>
      <c r="X588" s="1033"/>
      <c r="Y588" s="862"/>
    </row>
    <row r="589" spans="1:26" customFormat="1" ht="32.85" hidden="1" customHeight="1">
      <c r="A589" s="137"/>
      <c r="B589" s="1345" t="s">
        <v>1128</v>
      </c>
      <c r="C589" s="1345" t="s">
        <v>542</v>
      </c>
      <c r="D589" s="137"/>
      <c r="E589" s="1498" t="s">
        <v>3567</v>
      </c>
      <c r="F589" s="862">
        <v>33</v>
      </c>
      <c r="G589" s="1345" t="s">
        <v>3377</v>
      </c>
      <c r="H589" s="692" t="s">
        <v>987</v>
      </c>
      <c r="I589" s="839" t="s">
        <v>2549</v>
      </c>
      <c r="J589" s="1185"/>
      <c r="K589" s="1348">
        <v>43691</v>
      </c>
      <c r="L589" s="1345" t="s">
        <v>3015</v>
      </c>
      <c r="M589" s="1319" t="s">
        <v>3568</v>
      </c>
      <c r="N589" s="692" t="s">
        <v>913</v>
      </c>
      <c r="O589" s="1347">
        <v>2019</v>
      </c>
      <c r="P589" s="839" t="s">
        <v>902</v>
      </c>
      <c r="Q589" s="692" t="s">
        <v>1576</v>
      </c>
      <c r="R589" s="543"/>
      <c r="S589" s="692" t="s">
        <v>1576</v>
      </c>
      <c r="T589" s="1033" t="s">
        <v>918</v>
      </c>
      <c r="U589" s="1033" t="s">
        <v>918</v>
      </c>
      <c r="V589" s="1033"/>
      <c r="W589" s="1345" t="s">
        <v>2482</v>
      </c>
      <c r="X589" s="1033"/>
      <c r="Y589" s="862"/>
    </row>
    <row r="590" spans="1:26" customFormat="1" ht="32.85" hidden="1" customHeight="1">
      <c r="A590" s="137"/>
      <c r="B590" s="1345" t="s">
        <v>1128</v>
      </c>
      <c r="C590" s="1345" t="s">
        <v>542</v>
      </c>
      <c r="D590" s="137"/>
      <c r="E590" s="1498" t="s">
        <v>3569</v>
      </c>
      <c r="F590" s="862">
        <v>45</v>
      </c>
      <c r="G590" s="1345" t="s">
        <v>3377</v>
      </c>
      <c r="H590" s="692" t="s">
        <v>987</v>
      </c>
      <c r="I590" s="839" t="s">
        <v>2549</v>
      </c>
      <c r="J590" s="1185"/>
      <c r="K590" s="1348">
        <v>43691</v>
      </c>
      <c r="L590" s="1345" t="s">
        <v>3015</v>
      </c>
      <c r="M590" s="1459" t="s">
        <v>3570</v>
      </c>
      <c r="N590" s="692" t="s">
        <v>913</v>
      </c>
      <c r="O590" s="1347">
        <v>2019</v>
      </c>
      <c r="P590" s="839" t="s">
        <v>902</v>
      </c>
      <c r="Q590" s="692" t="s">
        <v>1576</v>
      </c>
      <c r="R590" s="543"/>
      <c r="S590" s="692" t="s">
        <v>1576</v>
      </c>
      <c r="T590" s="1033" t="s">
        <v>918</v>
      </c>
      <c r="U590" s="1033" t="s">
        <v>918</v>
      </c>
      <c r="V590" s="1033"/>
      <c r="W590" s="1345" t="s">
        <v>2482</v>
      </c>
      <c r="X590" s="1033"/>
      <c r="Y590" s="862"/>
    </row>
    <row r="591" spans="1:26" customFormat="1" ht="40.5" hidden="1" customHeight="1">
      <c r="A591" s="137"/>
      <c r="B591" s="1345" t="s">
        <v>2194</v>
      </c>
      <c r="C591" s="1345" t="s">
        <v>2194</v>
      </c>
      <c r="D591" s="137"/>
      <c r="E591" s="1499" t="s">
        <v>3571</v>
      </c>
      <c r="F591" s="862">
        <v>48</v>
      </c>
      <c r="G591" s="1345" t="s">
        <v>3572</v>
      </c>
      <c r="H591" s="692" t="s">
        <v>987</v>
      </c>
      <c r="I591" s="839" t="s">
        <v>2549</v>
      </c>
      <c r="J591" s="1185"/>
      <c r="K591" s="1348">
        <v>43694</v>
      </c>
      <c r="L591" s="1345" t="s">
        <v>3015</v>
      </c>
      <c r="M591" s="1319" t="s">
        <v>3573</v>
      </c>
      <c r="N591" s="692" t="s">
        <v>913</v>
      </c>
      <c r="O591" s="1347">
        <v>2019</v>
      </c>
      <c r="P591" s="839" t="s">
        <v>902</v>
      </c>
      <c r="Q591" s="692" t="s">
        <v>1576</v>
      </c>
      <c r="R591" s="543"/>
      <c r="S591" s="692" t="s">
        <v>1576</v>
      </c>
      <c r="T591" s="1033" t="s">
        <v>2234</v>
      </c>
      <c r="U591" s="1033" t="s">
        <v>3562</v>
      </c>
      <c r="V591" s="1033"/>
      <c r="W591" s="1345" t="s">
        <v>2607</v>
      </c>
      <c r="X591" s="1033" t="s">
        <v>2194</v>
      </c>
      <c r="Y591" s="862"/>
    </row>
    <row r="592" spans="1:26" customFormat="1" ht="37.5" hidden="1" customHeight="1">
      <c r="A592" s="137"/>
      <c r="B592" s="1345" t="s">
        <v>1128</v>
      </c>
      <c r="C592" s="1345" t="s">
        <v>542</v>
      </c>
      <c r="D592" s="137"/>
      <c r="E592" s="1499" t="s">
        <v>3574</v>
      </c>
      <c r="F592" s="862">
        <v>49</v>
      </c>
      <c r="G592" s="1345" t="s">
        <v>3575</v>
      </c>
      <c r="H592" s="692" t="s">
        <v>987</v>
      </c>
      <c r="I592" s="839" t="s">
        <v>2549</v>
      </c>
      <c r="J592" s="1185"/>
      <c r="K592" s="1348">
        <v>43703</v>
      </c>
      <c r="L592" s="1345" t="s">
        <v>3015</v>
      </c>
      <c r="M592" s="1121" t="s">
        <v>3576</v>
      </c>
      <c r="N592" s="692" t="s">
        <v>2320</v>
      </c>
      <c r="O592" s="1347">
        <v>2019</v>
      </c>
      <c r="P592" s="839" t="s">
        <v>902</v>
      </c>
      <c r="Q592" s="543" t="s">
        <v>1576</v>
      </c>
      <c r="R592" s="543"/>
      <c r="S592" s="543" t="s">
        <v>1576</v>
      </c>
      <c r="T592" s="1033" t="s">
        <v>2234</v>
      </c>
      <c r="U592" s="1033" t="s">
        <v>918</v>
      </c>
      <c r="V592" s="1033"/>
      <c r="W592" s="1345" t="s">
        <v>3450</v>
      </c>
      <c r="X592" s="1033"/>
      <c r="Y592" s="862"/>
    </row>
    <row r="593" spans="1:26" customFormat="1" ht="37.5" hidden="1" customHeight="1">
      <c r="A593" s="137"/>
      <c r="B593" s="1345" t="s">
        <v>876</v>
      </c>
      <c r="C593" s="1345" t="s">
        <v>3578</v>
      </c>
      <c r="D593" s="137"/>
      <c r="E593" s="1499" t="s">
        <v>3577</v>
      </c>
      <c r="F593" s="862"/>
      <c r="G593" s="1345" t="s">
        <v>3896</v>
      </c>
      <c r="H593" s="692" t="s">
        <v>987</v>
      </c>
      <c r="I593" s="839" t="s">
        <v>2310</v>
      </c>
      <c r="J593" s="1185" t="s">
        <v>3581</v>
      </c>
      <c r="K593" s="1348">
        <v>43701</v>
      </c>
      <c r="L593" s="1345" t="s">
        <v>990</v>
      </c>
      <c r="M593" s="1121" t="s">
        <v>3580</v>
      </c>
      <c r="N593" s="692" t="s">
        <v>913</v>
      </c>
      <c r="O593" s="1347">
        <v>2019</v>
      </c>
      <c r="P593" s="839" t="s">
        <v>902</v>
      </c>
      <c r="Q593" s="543">
        <v>7</v>
      </c>
      <c r="R593" s="543"/>
      <c r="S593" s="543">
        <v>7</v>
      </c>
      <c r="T593" s="1195" t="s">
        <v>2224</v>
      </c>
      <c r="U593" s="1033" t="s">
        <v>3621</v>
      </c>
      <c r="V593" s="1033"/>
      <c r="W593" s="1345" t="s">
        <v>2975</v>
      </c>
      <c r="X593" s="1033" t="s">
        <v>3579</v>
      </c>
      <c r="Y593" s="862"/>
    </row>
    <row r="594" spans="1:26" customFormat="1" ht="32.85" hidden="1" customHeight="1">
      <c r="A594" s="137"/>
      <c r="B594" s="1033" t="s">
        <v>694</v>
      </c>
      <c r="C594" s="1345" t="s">
        <v>3610</v>
      </c>
      <c r="D594" s="137"/>
      <c r="E594" s="1499" t="s">
        <v>3582</v>
      </c>
      <c r="F594" s="862"/>
      <c r="G594" s="1345" t="s">
        <v>2167</v>
      </c>
      <c r="H594" s="692" t="s">
        <v>987</v>
      </c>
      <c r="I594" s="839" t="s">
        <v>2549</v>
      </c>
      <c r="J594" s="1195" t="s">
        <v>2602</v>
      </c>
      <c r="K594" s="1348">
        <v>43697</v>
      </c>
      <c r="L594" s="1345" t="s">
        <v>990</v>
      </c>
      <c r="M594" s="1319" t="s">
        <v>3583</v>
      </c>
      <c r="N594" s="692" t="s">
        <v>2320</v>
      </c>
      <c r="O594" s="1347">
        <v>2019</v>
      </c>
      <c r="P594" s="839" t="s">
        <v>902</v>
      </c>
      <c r="Q594" s="692">
        <v>11</v>
      </c>
      <c r="R594" s="543"/>
      <c r="S594" s="692">
        <v>11</v>
      </c>
      <c r="T594" s="1033" t="s">
        <v>3701</v>
      </c>
      <c r="U594" s="1033" t="s">
        <v>864</v>
      </c>
      <c r="V594" s="1033"/>
      <c r="W594" s="1345" t="s">
        <v>3334</v>
      </c>
      <c r="X594" s="1033"/>
      <c r="Y594" s="862">
        <v>59</v>
      </c>
    </row>
    <row r="595" spans="1:26" customFormat="1" ht="32.85" hidden="1" customHeight="1">
      <c r="A595" s="137"/>
      <c r="B595" s="1345" t="s">
        <v>1128</v>
      </c>
      <c r="C595" s="1345" t="s">
        <v>542</v>
      </c>
      <c r="D595" s="137"/>
      <c r="E595" s="1499" t="s">
        <v>3584</v>
      </c>
      <c r="F595" s="862">
        <v>46</v>
      </c>
      <c r="G595" s="1345" t="s">
        <v>2167</v>
      </c>
      <c r="H595" s="692" t="s">
        <v>987</v>
      </c>
      <c r="I595" s="839" t="s">
        <v>2310</v>
      </c>
      <c r="J595" s="1185"/>
      <c r="K595" s="1348">
        <v>43697</v>
      </c>
      <c r="L595" s="1345" t="s">
        <v>3015</v>
      </c>
      <c r="M595" s="1319" t="s">
        <v>3585</v>
      </c>
      <c r="N595" s="692" t="s">
        <v>2320</v>
      </c>
      <c r="O595" s="1347">
        <v>2019</v>
      </c>
      <c r="P595" s="839" t="s">
        <v>902</v>
      </c>
      <c r="Q595" s="692" t="s">
        <v>1576</v>
      </c>
      <c r="R595" s="543"/>
      <c r="S595" s="692" t="s">
        <v>1576</v>
      </c>
      <c r="T595" s="1033" t="s">
        <v>3586</v>
      </c>
      <c r="U595" s="1033" t="s">
        <v>864</v>
      </c>
      <c r="V595" s="1033"/>
      <c r="W595" s="1345" t="s">
        <v>3563</v>
      </c>
      <c r="X595" s="1033"/>
      <c r="Y595" s="862"/>
    </row>
    <row r="596" spans="1:26" customFormat="1" ht="32.85" hidden="1" customHeight="1">
      <c r="A596" s="137"/>
      <c r="B596" s="1345" t="s">
        <v>1128</v>
      </c>
      <c r="C596" s="1345" t="s">
        <v>3588</v>
      </c>
      <c r="D596" s="137"/>
      <c r="E596" s="1499" t="s">
        <v>3587</v>
      </c>
      <c r="F596" s="862">
        <v>41</v>
      </c>
      <c r="G596" s="1345" t="s">
        <v>3377</v>
      </c>
      <c r="H596" s="692" t="s">
        <v>987</v>
      </c>
      <c r="I596" s="839" t="s">
        <v>2549</v>
      </c>
      <c r="J596" s="1185"/>
      <c r="K596" s="1348">
        <v>43696</v>
      </c>
      <c r="L596" s="1345" t="s">
        <v>3015</v>
      </c>
      <c r="M596" s="1319" t="s">
        <v>3589</v>
      </c>
      <c r="N596" s="692" t="s">
        <v>913</v>
      </c>
      <c r="O596" s="1347">
        <v>2019</v>
      </c>
      <c r="P596" s="839" t="s">
        <v>902</v>
      </c>
      <c r="Q596" s="692" t="s">
        <v>1576</v>
      </c>
      <c r="R596" s="543"/>
      <c r="S596" s="692" t="s">
        <v>1576</v>
      </c>
      <c r="T596" s="1033" t="s">
        <v>918</v>
      </c>
      <c r="U596" s="1033" t="s">
        <v>918</v>
      </c>
      <c r="V596" s="1033"/>
      <c r="W596" s="1345" t="s">
        <v>3590</v>
      </c>
      <c r="X596" s="1033"/>
      <c r="Y596" s="862"/>
    </row>
    <row r="597" spans="1:26" customFormat="1" ht="42.6" hidden="1" customHeight="1">
      <c r="A597" s="137"/>
      <c r="B597" s="1345" t="s">
        <v>591</v>
      </c>
      <c r="C597" s="1345" t="s">
        <v>974</v>
      </c>
      <c r="D597" s="137"/>
      <c r="E597" s="1499" t="s">
        <v>3591</v>
      </c>
      <c r="F597" s="862"/>
      <c r="G597" s="1345" t="s">
        <v>3592</v>
      </c>
      <c r="H597" s="692" t="s">
        <v>987</v>
      </c>
      <c r="I597" s="839" t="s">
        <v>2318</v>
      </c>
      <c r="J597" s="1185" t="s">
        <v>2523</v>
      </c>
      <c r="K597" s="1348">
        <v>43700</v>
      </c>
      <c r="L597" s="1345" t="s">
        <v>990</v>
      </c>
      <c r="M597" s="1319" t="s">
        <v>3593</v>
      </c>
      <c r="N597" s="692" t="s">
        <v>2320</v>
      </c>
      <c r="O597" s="1347">
        <v>2019</v>
      </c>
      <c r="P597" s="839" t="s">
        <v>902</v>
      </c>
      <c r="Q597" s="543">
        <v>21</v>
      </c>
      <c r="R597" s="543"/>
      <c r="S597" s="543">
        <v>21</v>
      </c>
      <c r="T597" s="1033" t="s">
        <v>3702</v>
      </c>
      <c r="U597" s="1033" t="s">
        <v>864</v>
      </c>
      <c r="V597" s="1033"/>
      <c r="W597" s="1345" t="s">
        <v>2340</v>
      </c>
      <c r="X597" s="1033"/>
      <c r="Y597" s="862"/>
    </row>
    <row r="598" spans="1:26" customFormat="1" ht="32.85" hidden="1" customHeight="1">
      <c r="A598" s="137"/>
      <c r="B598" s="1345" t="s">
        <v>3595</v>
      </c>
      <c r="C598" s="1345" t="s">
        <v>3596</v>
      </c>
      <c r="D598" s="137"/>
      <c r="E598" s="1499" t="s">
        <v>3594</v>
      </c>
      <c r="F598" s="862">
        <v>40</v>
      </c>
      <c r="G598" s="1345" t="s">
        <v>2956</v>
      </c>
      <c r="H598" s="692" t="s">
        <v>987</v>
      </c>
      <c r="I598" s="839" t="s">
        <v>2310</v>
      </c>
      <c r="J598" s="1185"/>
      <c r="K598" s="1348">
        <v>43704</v>
      </c>
      <c r="L598" s="1345" t="s">
        <v>3015</v>
      </c>
      <c r="M598" s="1319" t="s">
        <v>3597</v>
      </c>
      <c r="N598" s="692" t="s">
        <v>923</v>
      </c>
      <c r="O598" s="1347">
        <v>2019</v>
      </c>
      <c r="P598" s="839" t="s">
        <v>902</v>
      </c>
      <c r="Q598" s="543" t="s">
        <v>1576</v>
      </c>
      <c r="R598" s="543"/>
      <c r="S598" s="543" t="s">
        <v>1576</v>
      </c>
      <c r="T598" s="1033" t="s">
        <v>3598</v>
      </c>
      <c r="U598" s="1033" t="s">
        <v>918</v>
      </c>
      <c r="V598" s="1033"/>
      <c r="W598" s="1345" t="s">
        <v>3359</v>
      </c>
      <c r="X598" s="1033"/>
      <c r="Y598" s="862"/>
    </row>
    <row r="599" spans="1:26" customFormat="1" ht="32.85" hidden="1" customHeight="1">
      <c r="A599" s="1461" t="s">
        <v>3608</v>
      </c>
      <c r="B599" s="137" t="s">
        <v>602</v>
      </c>
      <c r="C599" s="1345" t="s">
        <v>3604</v>
      </c>
      <c r="D599" s="137"/>
      <c r="E599" s="1499" t="s">
        <v>3606</v>
      </c>
      <c r="F599" s="862"/>
      <c r="G599" s="1345" t="s">
        <v>3607</v>
      </c>
      <c r="H599" s="692" t="s">
        <v>987</v>
      </c>
      <c r="I599" s="839" t="s">
        <v>2310</v>
      </c>
      <c r="J599" s="1185" t="s">
        <v>2254</v>
      </c>
      <c r="K599" s="1348">
        <v>43689</v>
      </c>
      <c r="L599" s="1345" t="s">
        <v>990</v>
      </c>
      <c r="M599" s="1319" t="s">
        <v>3605</v>
      </c>
      <c r="N599" s="692" t="s">
        <v>923</v>
      </c>
      <c r="O599" s="1347">
        <v>2019</v>
      </c>
      <c r="P599" s="839" t="s">
        <v>902</v>
      </c>
      <c r="Q599" s="543">
        <v>2</v>
      </c>
      <c r="R599" s="543"/>
      <c r="S599" s="543">
        <v>2</v>
      </c>
      <c r="T599" s="1033" t="s">
        <v>2233</v>
      </c>
      <c r="U599" s="1033" t="s">
        <v>864</v>
      </c>
      <c r="V599" s="1033"/>
      <c r="W599" s="1345" t="s">
        <v>2275</v>
      </c>
      <c r="X599" s="1033" t="s">
        <v>1105</v>
      </c>
      <c r="Y599" s="862"/>
    </row>
    <row r="600" spans="1:26" customFormat="1" ht="32.85" hidden="1" customHeight="1">
      <c r="A600" s="137"/>
      <c r="B600" s="1033" t="s">
        <v>1223</v>
      </c>
      <c r="C600" s="1345" t="s">
        <v>3611</v>
      </c>
      <c r="D600" s="137"/>
      <c r="E600" s="1501" t="s">
        <v>3613</v>
      </c>
      <c r="F600" s="862"/>
      <c r="G600" s="1345" t="s">
        <v>3612</v>
      </c>
      <c r="H600" s="692" t="s">
        <v>987</v>
      </c>
      <c r="I600" s="839" t="s">
        <v>2310</v>
      </c>
      <c r="J600" s="1195" t="s">
        <v>2254</v>
      </c>
      <c r="K600" s="1348">
        <v>43694</v>
      </c>
      <c r="L600" s="1345" t="s">
        <v>990</v>
      </c>
      <c r="M600" s="1319" t="s">
        <v>3615</v>
      </c>
      <c r="N600" s="692" t="s">
        <v>915</v>
      </c>
      <c r="O600" s="1347">
        <v>2019</v>
      </c>
      <c r="P600" s="839" t="s">
        <v>902</v>
      </c>
      <c r="Q600" s="543">
        <v>7</v>
      </c>
      <c r="R600" s="543"/>
      <c r="S600" s="543">
        <v>7</v>
      </c>
      <c r="T600" s="1033" t="s">
        <v>3614</v>
      </c>
      <c r="U600" s="1033" t="s">
        <v>3562</v>
      </c>
      <c r="V600" s="1033"/>
      <c r="W600" s="1345" t="s">
        <v>2607</v>
      </c>
      <c r="X600" s="1033" t="s">
        <v>2194</v>
      </c>
      <c r="Y600" s="862"/>
    </row>
    <row r="601" spans="1:26" customFormat="1" ht="32.85" hidden="1" customHeight="1">
      <c r="A601" s="137"/>
      <c r="B601" s="1345" t="s">
        <v>918</v>
      </c>
      <c r="C601" s="1345" t="s">
        <v>3616</v>
      </c>
      <c r="D601" s="137"/>
      <c r="E601" s="1499"/>
      <c r="F601" s="862"/>
      <c r="G601" s="1345" t="s">
        <v>3618</v>
      </c>
      <c r="H601" s="692" t="s">
        <v>987</v>
      </c>
      <c r="I601" s="839" t="s">
        <v>2310</v>
      </c>
      <c r="J601" s="1185"/>
      <c r="K601" s="1348">
        <v>43694</v>
      </c>
      <c r="L601" s="1345" t="s">
        <v>2117</v>
      </c>
      <c r="M601" s="1319" t="s">
        <v>3617</v>
      </c>
      <c r="N601" s="692" t="s">
        <v>917</v>
      </c>
      <c r="O601" s="1347">
        <v>2019</v>
      </c>
      <c r="P601" s="839" t="s">
        <v>902</v>
      </c>
      <c r="Q601" s="543"/>
      <c r="R601" s="543"/>
      <c r="S601" s="543"/>
      <c r="T601" s="1033" t="s">
        <v>3614</v>
      </c>
      <c r="U601" s="1033" t="s">
        <v>3562</v>
      </c>
      <c r="V601" s="1033"/>
      <c r="W601" s="1345" t="s">
        <v>1946</v>
      </c>
      <c r="X601" s="1033"/>
      <c r="Y601" s="862"/>
    </row>
    <row r="602" spans="1:26" customFormat="1" ht="32.85" hidden="1" customHeight="1">
      <c r="A602" s="137"/>
      <c r="B602" s="1345" t="s">
        <v>693</v>
      </c>
      <c r="C602" s="1345" t="s">
        <v>693</v>
      </c>
      <c r="D602" s="137"/>
      <c r="E602" s="1499" t="s">
        <v>3626</v>
      </c>
      <c r="F602" s="862">
        <v>32</v>
      </c>
      <c r="G602" s="1345" t="s">
        <v>3377</v>
      </c>
      <c r="H602" s="692" t="s">
        <v>987</v>
      </c>
      <c r="I602" s="839" t="s">
        <v>2310</v>
      </c>
      <c r="J602" s="1185"/>
      <c r="K602" s="1348">
        <v>43706</v>
      </c>
      <c r="L602" s="1345" t="s">
        <v>3015</v>
      </c>
      <c r="M602" s="1319" t="s">
        <v>3627</v>
      </c>
      <c r="N602" s="692" t="s">
        <v>2320</v>
      </c>
      <c r="O602" s="1347">
        <v>2019</v>
      </c>
      <c r="P602" s="839" t="s">
        <v>902</v>
      </c>
      <c r="Q602" s="692" t="s">
        <v>1576</v>
      </c>
      <c r="R602" s="543"/>
      <c r="S602" s="692" t="s">
        <v>1576</v>
      </c>
      <c r="T602" s="1033" t="s">
        <v>2958</v>
      </c>
      <c r="U602" s="1033" t="s">
        <v>864</v>
      </c>
      <c r="V602" s="1033"/>
      <c r="W602" s="1345" t="s">
        <v>3334</v>
      </c>
      <c r="X602" s="1033"/>
      <c r="Y602" s="862"/>
    </row>
    <row r="603" spans="1:26" customFormat="1" ht="32.85" hidden="1" customHeight="1">
      <c r="A603" s="137" t="s">
        <v>4027</v>
      </c>
      <c r="B603" s="1345" t="s">
        <v>1128</v>
      </c>
      <c r="C603" s="1345" t="s">
        <v>3242</v>
      </c>
      <c r="D603" s="137"/>
      <c r="E603" s="1499" t="s">
        <v>3628</v>
      </c>
      <c r="F603" s="862">
        <v>20</v>
      </c>
      <c r="G603" s="1345" t="s">
        <v>3691</v>
      </c>
      <c r="H603" s="692" t="s">
        <v>987</v>
      </c>
      <c r="I603" s="839" t="s">
        <v>2310</v>
      </c>
      <c r="J603" s="1185"/>
      <c r="K603" s="1348">
        <v>43716</v>
      </c>
      <c r="L603" s="1345" t="s">
        <v>990</v>
      </c>
      <c r="M603" s="1319" t="s">
        <v>3684</v>
      </c>
      <c r="N603" s="692" t="s">
        <v>2320</v>
      </c>
      <c r="O603" s="1347">
        <v>2019</v>
      </c>
      <c r="P603" s="839" t="s">
        <v>903</v>
      </c>
      <c r="Q603" s="692">
        <v>2</v>
      </c>
      <c r="R603" s="543"/>
      <c r="S603" s="692">
        <v>2</v>
      </c>
      <c r="T603" s="1033" t="s">
        <v>3694</v>
      </c>
      <c r="U603" s="1033" t="s">
        <v>558</v>
      </c>
      <c r="V603" s="1033"/>
      <c r="W603" s="1345" t="s">
        <v>2238</v>
      </c>
      <c r="X603" s="1033"/>
      <c r="Y603" s="984" t="s">
        <v>4036</v>
      </c>
      <c r="Z603" s="1618" t="s">
        <v>1448</v>
      </c>
    </row>
    <row r="604" spans="1:26" customFormat="1" ht="32.85" hidden="1" customHeight="1">
      <c r="A604" s="137"/>
      <c r="B604" s="1345" t="s">
        <v>602</v>
      </c>
      <c r="C604" s="1345" t="s">
        <v>3588</v>
      </c>
      <c r="D604" s="137"/>
      <c r="E604" s="1499" t="s">
        <v>3629</v>
      </c>
      <c r="F604" s="862">
        <v>21</v>
      </c>
      <c r="G604" s="1033" t="s">
        <v>6053</v>
      </c>
      <c r="H604" s="692" t="s">
        <v>987</v>
      </c>
      <c r="I604" s="839" t="s">
        <v>2549</v>
      </c>
      <c r="J604" s="1185"/>
      <c r="K604" s="1348">
        <v>43717</v>
      </c>
      <c r="L604" s="1345" t="s">
        <v>3015</v>
      </c>
      <c r="M604" s="1319" t="s">
        <v>3630</v>
      </c>
      <c r="N604" s="692" t="s">
        <v>913</v>
      </c>
      <c r="O604" s="1347">
        <v>2019</v>
      </c>
      <c r="P604" s="839" t="s">
        <v>903</v>
      </c>
      <c r="Q604" s="692" t="s">
        <v>1576</v>
      </c>
      <c r="R604" s="543"/>
      <c r="S604" s="692" t="s">
        <v>1576</v>
      </c>
      <c r="T604" s="1033" t="s">
        <v>918</v>
      </c>
      <c r="U604" s="1033" t="s">
        <v>3023</v>
      </c>
      <c r="V604" s="1033"/>
      <c r="W604" s="1345" t="s">
        <v>3631</v>
      </c>
      <c r="X604" s="1033"/>
      <c r="Y604" s="862"/>
      <c r="Z604" s="1618" t="s">
        <v>1448</v>
      </c>
    </row>
    <row r="605" spans="1:26" customFormat="1" ht="32.85" hidden="1" customHeight="1">
      <c r="A605" s="137"/>
      <c r="B605" s="1345" t="s">
        <v>1309</v>
      </c>
      <c r="C605" s="1345" t="s">
        <v>3310</v>
      </c>
      <c r="D605" s="137"/>
      <c r="E605" s="1499" t="s">
        <v>3632</v>
      </c>
      <c r="F605" s="862">
        <v>58</v>
      </c>
      <c r="G605" s="1033" t="s">
        <v>3377</v>
      </c>
      <c r="H605" s="692" t="s">
        <v>987</v>
      </c>
      <c r="I605" s="839" t="s">
        <v>2310</v>
      </c>
      <c r="J605" s="1185"/>
      <c r="K605" s="1348">
        <v>43717</v>
      </c>
      <c r="L605" s="1345" t="s">
        <v>3015</v>
      </c>
      <c r="M605" s="1319" t="s">
        <v>3633</v>
      </c>
      <c r="N605" s="692" t="s">
        <v>917</v>
      </c>
      <c r="O605" s="1347">
        <v>2019</v>
      </c>
      <c r="P605" s="839" t="s">
        <v>903</v>
      </c>
      <c r="Q605" s="692" t="s">
        <v>1576</v>
      </c>
      <c r="R605" s="543"/>
      <c r="S605" s="692" t="s">
        <v>1576</v>
      </c>
      <c r="T605" s="1033" t="s">
        <v>918</v>
      </c>
      <c r="U605" s="1033" t="s">
        <v>864</v>
      </c>
      <c r="V605" s="1033"/>
      <c r="W605" s="1345" t="s">
        <v>3634</v>
      </c>
      <c r="X605" s="1033"/>
      <c r="Y605" s="862"/>
    </row>
    <row r="606" spans="1:26" customFormat="1" ht="32.85" hidden="1" customHeight="1">
      <c r="A606" s="137"/>
      <c r="B606" s="1602" t="s">
        <v>1128</v>
      </c>
      <c r="C606" s="1602" t="s">
        <v>542</v>
      </c>
      <c r="D606" s="137"/>
      <c r="E606" s="1619" t="s">
        <v>3635</v>
      </c>
      <c r="F606" s="1604">
        <v>19</v>
      </c>
      <c r="G606" s="1618" t="s">
        <v>3029</v>
      </c>
      <c r="H606" s="1618" t="s">
        <v>994</v>
      </c>
      <c r="I606" s="1602" t="s">
        <v>2310</v>
      </c>
      <c r="J606" s="1601"/>
      <c r="K606" s="1606">
        <v>43721</v>
      </c>
      <c r="L606" s="1603" t="s">
        <v>3015</v>
      </c>
      <c r="M606" s="1617" t="s">
        <v>3636</v>
      </c>
      <c r="N606" s="1604" t="s">
        <v>917</v>
      </c>
      <c r="O606" s="1602">
        <v>2019</v>
      </c>
      <c r="P606" s="1602" t="s">
        <v>903</v>
      </c>
      <c r="Q606" s="1618" t="s">
        <v>1576</v>
      </c>
      <c r="R606" s="1618"/>
      <c r="S606" s="1618" t="s">
        <v>1576</v>
      </c>
      <c r="T606" s="1611" t="s">
        <v>918</v>
      </c>
      <c r="U606" s="1618" t="s">
        <v>918</v>
      </c>
      <c r="V606" s="1611"/>
      <c r="W606" s="1602" t="s">
        <v>918</v>
      </c>
      <c r="X606" s="1611"/>
      <c r="Y606" s="1604"/>
      <c r="Z606" s="1604" t="s">
        <v>2019</v>
      </c>
    </row>
    <row r="607" spans="1:26" customFormat="1" ht="32.85" hidden="1" customHeight="1">
      <c r="A607" s="137" t="s">
        <v>4029</v>
      </c>
      <c r="B607" s="1345" t="s">
        <v>91</v>
      </c>
      <c r="C607" s="1345" t="s">
        <v>3764</v>
      </c>
      <c r="D607" s="137"/>
      <c r="E607" s="1499" t="s">
        <v>3637</v>
      </c>
      <c r="F607" s="862">
        <v>39</v>
      </c>
      <c r="G607" s="1033" t="s">
        <v>2956</v>
      </c>
      <c r="H607" s="692" t="s">
        <v>987</v>
      </c>
      <c r="I607" s="839" t="s">
        <v>2318</v>
      </c>
      <c r="J607" s="1185"/>
      <c r="K607" s="1348">
        <v>43723</v>
      </c>
      <c r="L607" s="1345" t="s">
        <v>990</v>
      </c>
      <c r="M607" s="1319" t="s">
        <v>3638</v>
      </c>
      <c r="N607" s="692" t="s">
        <v>3416</v>
      </c>
      <c r="O607" s="1347">
        <v>2019</v>
      </c>
      <c r="P607" s="839" t="s">
        <v>903</v>
      </c>
      <c r="Q607" s="543">
        <v>11</v>
      </c>
      <c r="R607" s="543"/>
      <c r="S607" s="543">
        <v>11</v>
      </c>
      <c r="T607" s="1033" t="s">
        <v>918</v>
      </c>
      <c r="U607" s="1033" t="s">
        <v>918</v>
      </c>
      <c r="V607" s="1033"/>
      <c r="W607" s="1345" t="s">
        <v>3359</v>
      </c>
      <c r="X607" s="1033"/>
      <c r="Y607" s="984" t="s">
        <v>4035</v>
      </c>
    </row>
    <row r="608" spans="1:26" customFormat="1" ht="32.85" hidden="1" customHeight="1">
      <c r="A608" s="1462" t="s">
        <v>3646</v>
      </c>
      <c r="B608" s="1345" t="s">
        <v>602</v>
      </c>
      <c r="C608" s="1345" t="s">
        <v>93</v>
      </c>
      <c r="D608" s="137"/>
      <c r="E608" s="1499" t="s">
        <v>3639</v>
      </c>
      <c r="F608" s="862">
        <v>24</v>
      </c>
      <c r="G608" s="1033" t="s">
        <v>3688</v>
      </c>
      <c r="H608" s="692" t="s">
        <v>987</v>
      </c>
      <c r="I608" s="839" t="s">
        <v>2310</v>
      </c>
      <c r="J608" s="1185"/>
      <c r="K608" s="1348">
        <v>43727</v>
      </c>
      <c r="L608" s="1345" t="s">
        <v>990</v>
      </c>
      <c r="M608" s="1319" t="s">
        <v>3685</v>
      </c>
      <c r="N608" s="692" t="s">
        <v>913</v>
      </c>
      <c r="O608" s="1347">
        <v>2019</v>
      </c>
      <c r="P608" s="839" t="s">
        <v>903</v>
      </c>
      <c r="Q608" s="543">
        <v>57</v>
      </c>
      <c r="R608" s="543"/>
      <c r="S608" s="543">
        <v>57</v>
      </c>
      <c r="T608" s="1033" t="s">
        <v>3703</v>
      </c>
      <c r="U608" s="1033" t="s">
        <v>3640</v>
      </c>
      <c r="V608" s="1033"/>
      <c r="W608" s="1345" t="s">
        <v>3450</v>
      </c>
      <c r="X608" s="1033"/>
      <c r="Y608" s="984" t="s">
        <v>4035</v>
      </c>
    </row>
    <row r="609" spans="1:26" customFormat="1" ht="32.85" hidden="1" customHeight="1">
      <c r="A609" s="137"/>
      <c r="B609" s="1345" t="s">
        <v>693</v>
      </c>
      <c r="C609" s="1345" t="s">
        <v>3604</v>
      </c>
      <c r="D609" s="137"/>
      <c r="E609" s="1499" t="s">
        <v>3641</v>
      </c>
      <c r="F609" s="862"/>
      <c r="G609" s="1033" t="s">
        <v>3643</v>
      </c>
      <c r="H609" s="692" t="s">
        <v>987</v>
      </c>
      <c r="I609" s="839"/>
      <c r="J609" s="1185" t="s">
        <v>3642</v>
      </c>
      <c r="K609" s="1348">
        <v>43688</v>
      </c>
      <c r="L609" s="1345" t="s">
        <v>3015</v>
      </c>
      <c r="M609" s="1319" t="s">
        <v>3644</v>
      </c>
      <c r="N609" s="692" t="s">
        <v>1576</v>
      </c>
      <c r="O609" s="1347">
        <v>2019</v>
      </c>
      <c r="P609" s="839" t="s">
        <v>902</v>
      </c>
      <c r="Q609" s="543" t="s">
        <v>1576</v>
      </c>
      <c r="R609" s="543"/>
      <c r="S609" s="543" t="s">
        <v>1576</v>
      </c>
      <c r="T609" s="1033" t="s">
        <v>2958</v>
      </c>
      <c r="U609" s="1033" t="s">
        <v>3640</v>
      </c>
      <c r="V609" s="1033"/>
      <c r="W609" s="1345" t="s">
        <v>3645</v>
      </c>
      <c r="X609" s="1033"/>
      <c r="Y609" s="862"/>
    </row>
    <row r="610" spans="1:26" customFormat="1" ht="32.85" hidden="1" customHeight="1">
      <c r="A610" s="137"/>
      <c r="B610" s="1345" t="s">
        <v>1128</v>
      </c>
      <c r="C610" s="1345" t="s">
        <v>542</v>
      </c>
      <c r="D610" s="137"/>
      <c r="E610" s="1499" t="s">
        <v>3355</v>
      </c>
      <c r="F610" s="984" t="s">
        <v>1576</v>
      </c>
      <c r="G610" s="1033" t="s">
        <v>1576</v>
      </c>
      <c r="H610" s="692" t="s">
        <v>1576</v>
      </c>
      <c r="I610" s="839" t="s">
        <v>2310</v>
      </c>
      <c r="J610" s="1185"/>
      <c r="K610" s="1348">
        <v>43725</v>
      </c>
      <c r="L610" s="1345" t="s">
        <v>1576</v>
      </c>
      <c r="M610" s="1462" t="s">
        <v>3647</v>
      </c>
      <c r="N610" s="692" t="s">
        <v>1576</v>
      </c>
      <c r="O610" s="1347">
        <v>2019</v>
      </c>
      <c r="P610" s="839" t="s">
        <v>903</v>
      </c>
      <c r="Q610" s="692" t="s">
        <v>1576</v>
      </c>
      <c r="R610" s="543"/>
      <c r="S610" s="692" t="s">
        <v>1576</v>
      </c>
      <c r="T610" s="1033" t="s">
        <v>918</v>
      </c>
      <c r="U610" s="1033" t="s">
        <v>918</v>
      </c>
      <c r="V610" s="1033"/>
      <c r="W610" s="1345" t="s">
        <v>3648</v>
      </c>
      <c r="X610" s="1033"/>
      <c r="Y610" s="862"/>
      <c r="Z610" s="137"/>
    </row>
    <row r="611" spans="1:26" customFormat="1" ht="32.85" hidden="1" customHeight="1">
      <c r="A611" s="137"/>
      <c r="B611" s="1345" t="s">
        <v>91</v>
      </c>
      <c r="C611" s="1345" t="s">
        <v>3650</v>
      </c>
      <c r="D611" s="137"/>
      <c r="E611" s="1499" t="s">
        <v>3649</v>
      </c>
      <c r="F611" s="862">
        <v>50</v>
      </c>
      <c r="G611" s="1033" t="s">
        <v>2218</v>
      </c>
      <c r="H611" s="692" t="s">
        <v>987</v>
      </c>
      <c r="I611" s="839" t="s">
        <v>2549</v>
      </c>
      <c r="J611" s="1185"/>
      <c r="K611" s="1348">
        <v>43725</v>
      </c>
      <c r="L611" s="1345" t="s">
        <v>3015</v>
      </c>
      <c r="M611" s="1319" t="s">
        <v>3651</v>
      </c>
      <c r="N611" s="692" t="s">
        <v>2320</v>
      </c>
      <c r="O611" s="1347">
        <v>2019</v>
      </c>
      <c r="P611" s="839" t="s">
        <v>903</v>
      </c>
      <c r="Q611" s="692" t="s">
        <v>1576</v>
      </c>
      <c r="R611" s="543"/>
      <c r="S611" s="692" t="s">
        <v>1576</v>
      </c>
      <c r="T611" s="1033" t="s">
        <v>2958</v>
      </c>
      <c r="U611" s="1033" t="s">
        <v>864</v>
      </c>
      <c r="V611" s="1033"/>
      <c r="W611" s="1345" t="s">
        <v>2275</v>
      </c>
      <c r="X611" s="1033"/>
      <c r="Y611" s="862"/>
    </row>
    <row r="612" spans="1:26" customFormat="1" ht="32.85" hidden="1" customHeight="1">
      <c r="A612" s="137"/>
      <c r="B612" s="1345" t="s">
        <v>1958</v>
      </c>
      <c r="C612" s="1345" t="s">
        <v>3659</v>
      </c>
      <c r="D612" s="137"/>
      <c r="E612" s="1499" t="s">
        <v>3658</v>
      </c>
      <c r="F612" s="862"/>
      <c r="G612" s="1033" t="s">
        <v>3660</v>
      </c>
      <c r="H612" s="692" t="s">
        <v>987</v>
      </c>
      <c r="I612" s="839" t="s">
        <v>2549</v>
      </c>
      <c r="J612" s="1195" t="s">
        <v>3661</v>
      </c>
      <c r="K612" s="1348">
        <v>43729</v>
      </c>
      <c r="L612" s="1345" t="s">
        <v>990</v>
      </c>
      <c r="M612" s="1319" t="s">
        <v>3662</v>
      </c>
      <c r="N612" s="692" t="s">
        <v>917</v>
      </c>
      <c r="O612" s="1347">
        <v>2019</v>
      </c>
      <c r="P612" s="839" t="s">
        <v>903</v>
      </c>
      <c r="Q612" s="543">
        <v>1</v>
      </c>
      <c r="R612" s="543"/>
      <c r="S612" s="543">
        <v>2</v>
      </c>
      <c r="T612" s="1033" t="s">
        <v>2232</v>
      </c>
      <c r="U612" s="1033" t="s">
        <v>3663</v>
      </c>
      <c r="V612" s="1033"/>
      <c r="W612" s="1345" t="s">
        <v>3450</v>
      </c>
      <c r="X612" s="1033"/>
      <c r="Y612" s="862"/>
    </row>
    <row r="613" spans="1:26" customFormat="1" ht="32.85" hidden="1" customHeight="1">
      <c r="A613" s="137"/>
      <c r="B613" s="1345" t="s">
        <v>693</v>
      </c>
      <c r="C613" s="1345" t="s">
        <v>3588</v>
      </c>
      <c r="D613" s="137"/>
      <c r="E613" s="1499" t="s">
        <v>3664</v>
      </c>
      <c r="F613" s="862">
        <v>40</v>
      </c>
      <c r="G613" s="1033" t="s">
        <v>3377</v>
      </c>
      <c r="H613" s="692" t="s">
        <v>987</v>
      </c>
      <c r="I613" s="839" t="s">
        <v>2549</v>
      </c>
      <c r="J613" s="1185"/>
      <c r="K613" s="1348">
        <v>43731</v>
      </c>
      <c r="L613" s="1345" t="s">
        <v>3015</v>
      </c>
      <c r="M613" s="1319" t="s">
        <v>3665</v>
      </c>
      <c r="N613" s="692" t="s">
        <v>913</v>
      </c>
      <c r="O613" s="1347">
        <v>2019</v>
      </c>
      <c r="P613" s="839" t="s">
        <v>903</v>
      </c>
      <c r="Q613" s="692" t="s">
        <v>1576</v>
      </c>
      <c r="R613" s="543"/>
      <c r="S613" s="692" t="s">
        <v>1576</v>
      </c>
      <c r="T613" s="1033" t="s">
        <v>918</v>
      </c>
      <c r="U613" s="1033" t="s">
        <v>3023</v>
      </c>
      <c r="V613" s="1033"/>
      <c r="W613" s="1345" t="s">
        <v>2607</v>
      </c>
      <c r="X613" s="1033"/>
      <c r="Y613" s="862"/>
    </row>
    <row r="614" spans="1:26" customFormat="1" ht="32.85" hidden="1" customHeight="1">
      <c r="A614" s="137"/>
      <c r="B614" s="1345" t="s">
        <v>91</v>
      </c>
      <c r="C614" s="1345" t="s">
        <v>3588</v>
      </c>
      <c r="D614" s="137"/>
      <c r="E614" s="1499" t="s">
        <v>3666</v>
      </c>
      <c r="F614" s="862">
        <v>31</v>
      </c>
      <c r="G614" s="1033" t="s">
        <v>3377</v>
      </c>
      <c r="H614" s="692" t="s">
        <v>987</v>
      </c>
      <c r="I614" s="839" t="s">
        <v>2549</v>
      </c>
      <c r="J614" s="1185"/>
      <c r="K614" s="1348">
        <v>43728</v>
      </c>
      <c r="L614" s="1345" t="s">
        <v>3015</v>
      </c>
      <c r="M614" s="1319" t="s">
        <v>3667</v>
      </c>
      <c r="N614" s="692" t="s">
        <v>913</v>
      </c>
      <c r="O614" s="1347">
        <v>2019</v>
      </c>
      <c r="P614" s="839" t="s">
        <v>903</v>
      </c>
      <c r="Q614" s="692" t="s">
        <v>1576</v>
      </c>
      <c r="R614" s="543"/>
      <c r="S614" s="692" t="s">
        <v>1576</v>
      </c>
      <c r="T614" s="1033" t="s">
        <v>918</v>
      </c>
      <c r="U614" s="1033" t="s">
        <v>3023</v>
      </c>
      <c r="V614" s="1033"/>
      <c r="W614" s="1345" t="s">
        <v>1555</v>
      </c>
      <c r="X614" s="1033"/>
      <c r="Y614" s="862"/>
    </row>
    <row r="615" spans="1:26" customFormat="1" ht="32.85" hidden="1" customHeight="1">
      <c r="A615" s="137"/>
      <c r="B615" s="1345" t="s">
        <v>2943</v>
      </c>
      <c r="C615" s="1345" t="s">
        <v>3668</v>
      </c>
      <c r="D615" s="137"/>
      <c r="E615" s="1499" t="s">
        <v>3355</v>
      </c>
      <c r="F615" s="984" t="s">
        <v>1576</v>
      </c>
      <c r="G615" s="1033" t="s">
        <v>1576</v>
      </c>
      <c r="H615" s="692" t="s">
        <v>1576</v>
      </c>
      <c r="I615" s="839" t="s">
        <v>2549</v>
      </c>
      <c r="J615" s="1185"/>
      <c r="K615" s="1348">
        <v>43731</v>
      </c>
      <c r="L615" s="1345" t="s">
        <v>1576</v>
      </c>
      <c r="M615" s="1319" t="s">
        <v>3669</v>
      </c>
      <c r="N615" s="692"/>
      <c r="O615" s="1347">
        <v>2019</v>
      </c>
      <c r="P615" s="839" t="s">
        <v>903</v>
      </c>
      <c r="Q615" s="692" t="s">
        <v>1576</v>
      </c>
      <c r="R615" s="543"/>
      <c r="S615" s="692" t="s">
        <v>1576</v>
      </c>
      <c r="T615" s="1033" t="s">
        <v>918</v>
      </c>
      <c r="U615" s="1033" t="s">
        <v>3670</v>
      </c>
      <c r="V615" s="1033"/>
      <c r="W615" s="1345" t="s">
        <v>3671</v>
      </c>
      <c r="X615" s="1033"/>
      <c r="Y615" s="862"/>
      <c r="Z615" s="137"/>
    </row>
    <row r="616" spans="1:26" customFormat="1" ht="32.85" hidden="1" customHeight="1">
      <c r="A616" s="137"/>
      <c r="B616" s="1345" t="s">
        <v>602</v>
      </c>
      <c r="C616" s="1345" t="s">
        <v>3588</v>
      </c>
      <c r="D616" s="137"/>
      <c r="E616" s="1499" t="s">
        <v>3672</v>
      </c>
      <c r="F616" s="862">
        <v>44</v>
      </c>
      <c r="G616" s="1033" t="s">
        <v>3377</v>
      </c>
      <c r="H616" s="692" t="s">
        <v>987</v>
      </c>
      <c r="I616" s="839" t="s">
        <v>2310</v>
      </c>
      <c r="J616" s="1185"/>
      <c r="K616" s="1348">
        <v>43733</v>
      </c>
      <c r="L616" s="1345" t="s">
        <v>3015</v>
      </c>
      <c r="M616" s="1319" t="s">
        <v>3673</v>
      </c>
      <c r="N616" s="692" t="s">
        <v>913</v>
      </c>
      <c r="O616" s="1347">
        <v>2019</v>
      </c>
      <c r="P616" s="839" t="s">
        <v>903</v>
      </c>
      <c r="Q616" s="692" t="s">
        <v>1576</v>
      </c>
      <c r="R616" s="543"/>
      <c r="S616" s="692" t="s">
        <v>1576</v>
      </c>
      <c r="T616" s="1033" t="s">
        <v>918</v>
      </c>
      <c r="U616" s="1033" t="s">
        <v>918</v>
      </c>
      <c r="V616" s="1033"/>
      <c r="W616" s="1345" t="s">
        <v>2482</v>
      </c>
      <c r="X616" s="1033"/>
      <c r="Y616" s="862"/>
    </row>
    <row r="617" spans="1:26" customFormat="1" ht="32.85" hidden="1" customHeight="1">
      <c r="A617" s="137"/>
      <c r="B617" s="1345" t="s">
        <v>77</v>
      </c>
      <c r="C617" s="1345" t="s">
        <v>3588</v>
      </c>
      <c r="D617" s="137"/>
      <c r="E617" s="1499" t="s">
        <v>3674</v>
      </c>
      <c r="F617" s="862">
        <v>25</v>
      </c>
      <c r="G617" s="1033" t="s">
        <v>3377</v>
      </c>
      <c r="H617" s="692" t="s">
        <v>987</v>
      </c>
      <c r="I617" s="839" t="s">
        <v>2549</v>
      </c>
      <c r="J617" s="1185"/>
      <c r="K617" s="1348">
        <v>43736</v>
      </c>
      <c r="L617" s="1345" t="s">
        <v>3015</v>
      </c>
      <c r="M617" s="1319" t="s">
        <v>3675</v>
      </c>
      <c r="N617" s="692" t="s">
        <v>917</v>
      </c>
      <c r="O617" s="1347">
        <v>2019</v>
      </c>
      <c r="P617" s="839" t="s">
        <v>903</v>
      </c>
      <c r="Q617" s="692" t="s">
        <v>1576</v>
      </c>
      <c r="R617" s="543"/>
      <c r="S617" s="692" t="s">
        <v>1576</v>
      </c>
      <c r="T617" s="1033" t="s">
        <v>918</v>
      </c>
      <c r="U617" s="1033" t="s">
        <v>3023</v>
      </c>
      <c r="V617" s="1033"/>
      <c r="W617" s="1345" t="s">
        <v>3590</v>
      </c>
      <c r="X617" s="1033"/>
      <c r="Y617" s="862"/>
    </row>
    <row r="618" spans="1:26" customFormat="1" ht="32.85" hidden="1" customHeight="1">
      <c r="A618" s="137"/>
      <c r="B618" s="1345" t="s">
        <v>91</v>
      </c>
      <c r="C618" s="1345" t="s">
        <v>3588</v>
      </c>
      <c r="D618" s="137"/>
      <c r="E618" s="1499" t="s">
        <v>3676</v>
      </c>
      <c r="F618" s="862">
        <v>36</v>
      </c>
      <c r="G618" s="1033" t="s">
        <v>3377</v>
      </c>
      <c r="H618" s="692" t="s">
        <v>987</v>
      </c>
      <c r="I618" s="839" t="s">
        <v>2549</v>
      </c>
      <c r="J618" s="1185"/>
      <c r="K618" s="1348">
        <v>43735</v>
      </c>
      <c r="L618" s="1345" t="s">
        <v>3015</v>
      </c>
      <c r="M618" s="1319" t="s">
        <v>3677</v>
      </c>
      <c r="N618" s="692" t="s">
        <v>913</v>
      </c>
      <c r="O618" s="1347">
        <v>2019</v>
      </c>
      <c r="P618" s="839" t="s">
        <v>903</v>
      </c>
      <c r="Q618" s="692" t="s">
        <v>1576</v>
      </c>
      <c r="R618" s="543"/>
      <c r="S618" s="692" t="s">
        <v>1576</v>
      </c>
      <c r="T618" s="1033" t="s">
        <v>918</v>
      </c>
      <c r="U618" s="1033" t="s">
        <v>3023</v>
      </c>
      <c r="V618" s="1033"/>
      <c r="W618" s="1345" t="s">
        <v>3590</v>
      </c>
      <c r="X618" s="1033"/>
      <c r="Y618" s="862"/>
    </row>
    <row r="619" spans="1:26" customFormat="1" ht="32.85" hidden="1" customHeight="1">
      <c r="A619" s="137" t="s">
        <v>4028</v>
      </c>
      <c r="B619" s="1345" t="s">
        <v>1309</v>
      </c>
      <c r="C619" s="1345" t="s">
        <v>3683</v>
      </c>
      <c r="D619" s="137"/>
      <c r="E619" s="1499" t="s">
        <v>3681</v>
      </c>
      <c r="F619" s="862">
        <v>41</v>
      </c>
      <c r="G619" s="1033" t="s">
        <v>3682</v>
      </c>
      <c r="H619" s="692" t="s">
        <v>987</v>
      </c>
      <c r="I619" s="839" t="s">
        <v>2310</v>
      </c>
      <c r="J619" s="1185" t="s">
        <v>2863</v>
      </c>
      <c r="K619" s="1348">
        <v>43713</v>
      </c>
      <c r="L619" s="1345" t="s">
        <v>990</v>
      </c>
      <c r="M619" s="1319" t="s">
        <v>3678</v>
      </c>
      <c r="N619" s="692" t="s">
        <v>2320</v>
      </c>
      <c r="O619" s="1347">
        <v>2019</v>
      </c>
      <c r="P619" s="839" t="s">
        <v>903</v>
      </c>
      <c r="Q619" s="543">
        <v>76</v>
      </c>
      <c r="R619" s="543"/>
      <c r="S619" s="543">
        <v>76</v>
      </c>
      <c r="T619" s="1033" t="s">
        <v>3679</v>
      </c>
      <c r="U619" s="1033" t="s">
        <v>864</v>
      </c>
      <c r="V619" s="1033"/>
      <c r="W619" s="1345" t="s">
        <v>3680</v>
      </c>
      <c r="X619" s="1033"/>
      <c r="Y619" s="862"/>
    </row>
    <row r="620" spans="1:26" customFormat="1" ht="32.85" hidden="1" customHeight="1">
      <c r="A620" s="137"/>
      <c r="B620" s="1345" t="s">
        <v>952</v>
      </c>
      <c r="C620" s="1345" t="s">
        <v>3440</v>
      </c>
      <c r="D620" s="137"/>
      <c r="E620" s="1499" t="s">
        <v>3690</v>
      </c>
      <c r="F620" s="862"/>
      <c r="G620" s="1462" t="s">
        <v>3689</v>
      </c>
      <c r="H620" s="692" t="s">
        <v>987</v>
      </c>
      <c r="I620" s="839" t="s">
        <v>2310</v>
      </c>
      <c r="J620" s="1185"/>
      <c r="K620" s="1348">
        <v>43736</v>
      </c>
      <c r="L620" s="1345" t="s">
        <v>990</v>
      </c>
      <c r="M620" s="1319" t="s">
        <v>3686</v>
      </c>
      <c r="N620" s="692" t="s">
        <v>929</v>
      </c>
      <c r="O620" s="1347">
        <v>2019</v>
      </c>
      <c r="P620" s="839" t="s">
        <v>903</v>
      </c>
      <c r="Q620" s="543"/>
      <c r="R620" s="543"/>
      <c r="S620" s="543"/>
      <c r="T620" s="1033" t="s">
        <v>3687</v>
      </c>
      <c r="U620" s="1033" t="s">
        <v>864</v>
      </c>
      <c r="V620" s="1033"/>
      <c r="W620" s="1345" t="s">
        <v>2275</v>
      </c>
      <c r="X620" s="1033"/>
      <c r="Y620" s="862"/>
    </row>
    <row r="621" spans="1:26" customFormat="1" ht="32.85" hidden="1" customHeight="1">
      <c r="A621" s="137"/>
      <c r="B621" s="137" t="s">
        <v>602</v>
      </c>
      <c r="C621" s="1345" t="s">
        <v>3588</v>
      </c>
      <c r="D621" s="137"/>
      <c r="E621" s="1499" t="s">
        <v>3739</v>
      </c>
      <c r="F621" s="862">
        <v>32</v>
      </c>
      <c r="G621" s="1033" t="s">
        <v>3377</v>
      </c>
      <c r="H621" s="692" t="s">
        <v>987</v>
      </c>
      <c r="I621" s="839" t="s">
        <v>2310</v>
      </c>
      <c r="J621" s="1185"/>
      <c r="K621" s="1348">
        <v>43748</v>
      </c>
      <c r="L621" s="1345" t="s">
        <v>3015</v>
      </c>
      <c r="M621" s="1319" t="s">
        <v>3740</v>
      </c>
      <c r="N621" s="692" t="s">
        <v>913</v>
      </c>
      <c r="O621" s="1347">
        <v>2019</v>
      </c>
      <c r="P621" s="839" t="s">
        <v>904</v>
      </c>
      <c r="Q621" s="692" t="s">
        <v>1576</v>
      </c>
      <c r="R621" s="543"/>
      <c r="S621" s="692" t="s">
        <v>1576</v>
      </c>
      <c r="T621" s="1033" t="s">
        <v>918</v>
      </c>
      <c r="U621" s="1033" t="s">
        <v>3023</v>
      </c>
      <c r="V621" s="1033"/>
      <c r="W621" s="1345" t="s">
        <v>3450</v>
      </c>
      <c r="X621" s="1033"/>
      <c r="Y621" s="862"/>
    </row>
    <row r="622" spans="1:26" customFormat="1" ht="32.85" hidden="1" customHeight="1">
      <c r="A622" s="137"/>
      <c r="B622" s="1345" t="s">
        <v>77</v>
      </c>
      <c r="C622" s="1345" t="s">
        <v>3588</v>
      </c>
      <c r="D622" s="137"/>
      <c r="E622" s="1499" t="s">
        <v>3741</v>
      </c>
      <c r="F622" s="862">
        <v>24</v>
      </c>
      <c r="G622" s="1033" t="s">
        <v>3377</v>
      </c>
      <c r="H622" s="692" t="s">
        <v>987</v>
      </c>
      <c r="I622" s="839" t="s">
        <v>2310</v>
      </c>
      <c r="J622" s="1185"/>
      <c r="K622" s="1348">
        <v>43748</v>
      </c>
      <c r="L622" s="1345" t="s">
        <v>3015</v>
      </c>
      <c r="M622" s="1319" t="s">
        <v>3742</v>
      </c>
      <c r="N622" s="692" t="s">
        <v>913</v>
      </c>
      <c r="O622" s="1347">
        <v>2019</v>
      </c>
      <c r="P622" s="839" t="s">
        <v>904</v>
      </c>
      <c r="Q622" s="692" t="s">
        <v>1576</v>
      </c>
      <c r="R622" s="543"/>
      <c r="S622" s="692" t="s">
        <v>1576</v>
      </c>
      <c r="T622" s="1033" t="s">
        <v>918</v>
      </c>
      <c r="U622" s="1033" t="s">
        <v>3023</v>
      </c>
      <c r="V622" s="1033"/>
      <c r="W622" s="1345" t="s">
        <v>2607</v>
      </c>
      <c r="X622" s="1033"/>
      <c r="Y622" s="862"/>
    </row>
    <row r="623" spans="1:26" customFormat="1" ht="32.85" hidden="1" customHeight="1">
      <c r="A623" s="137"/>
      <c r="B623" s="137" t="s">
        <v>602</v>
      </c>
      <c r="C623" s="1345" t="s">
        <v>3588</v>
      </c>
      <c r="D623" s="137"/>
      <c r="E623" s="1499" t="s">
        <v>3743</v>
      </c>
      <c r="F623" s="862">
        <v>24</v>
      </c>
      <c r="G623" s="1033" t="s">
        <v>3744</v>
      </c>
      <c r="H623" s="692" t="s">
        <v>987</v>
      </c>
      <c r="I623" s="839" t="s">
        <v>2310</v>
      </c>
      <c r="J623" s="1185"/>
      <c r="K623" s="1348">
        <v>43743</v>
      </c>
      <c r="L623" s="1345" t="s">
        <v>3015</v>
      </c>
      <c r="M623" s="1319" t="s">
        <v>3745</v>
      </c>
      <c r="N623" s="692" t="s">
        <v>2320</v>
      </c>
      <c r="O623" s="1347">
        <v>2019</v>
      </c>
      <c r="P623" s="839" t="s">
        <v>904</v>
      </c>
      <c r="Q623" s="692" t="s">
        <v>1576</v>
      </c>
      <c r="R623" s="543"/>
      <c r="S623" s="692" t="s">
        <v>1576</v>
      </c>
      <c r="T623" s="1033" t="s">
        <v>3746</v>
      </c>
      <c r="U623" s="1033" t="s">
        <v>3023</v>
      </c>
      <c r="V623" s="1033"/>
      <c r="W623" s="1345" t="s">
        <v>2607</v>
      </c>
      <c r="X623" s="1033"/>
      <c r="Y623" s="862"/>
    </row>
    <row r="624" spans="1:26" customFormat="1" ht="32.85" hidden="1" customHeight="1">
      <c r="A624" s="137"/>
      <c r="B624" s="137" t="s">
        <v>602</v>
      </c>
      <c r="C624" s="1345" t="s">
        <v>3588</v>
      </c>
      <c r="D624" s="137"/>
      <c r="E624" s="1499" t="s">
        <v>3747</v>
      </c>
      <c r="F624" s="862">
        <v>39</v>
      </c>
      <c r="G624" s="1033" t="s">
        <v>3748</v>
      </c>
      <c r="H624" s="692" t="s">
        <v>987</v>
      </c>
      <c r="I624" s="839" t="s">
        <v>2310</v>
      </c>
      <c r="J624" s="1185"/>
      <c r="K624" s="1348">
        <v>43743</v>
      </c>
      <c r="L624" s="1345" t="s">
        <v>3015</v>
      </c>
      <c r="M624" s="1319" t="s">
        <v>3749</v>
      </c>
      <c r="N624" s="692" t="s">
        <v>913</v>
      </c>
      <c r="O624" s="1347">
        <v>2019</v>
      </c>
      <c r="P624" s="839" t="s">
        <v>904</v>
      </c>
      <c r="Q624" s="692" t="s">
        <v>1576</v>
      </c>
      <c r="R624" s="543"/>
      <c r="S624" s="692" t="s">
        <v>1576</v>
      </c>
      <c r="T624" s="1033" t="s">
        <v>918</v>
      </c>
      <c r="U624" s="1033" t="s">
        <v>3023</v>
      </c>
      <c r="V624" s="1033"/>
      <c r="W624" s="1345" t="s">
        <v>3750</v>
      </c>
      <c r="X624" s="1033"/>
      <c r="Y624" s="862"/>
    </row>
    <row r="625" spans="1:25" customFormat="1" ht="32.85" hidden="1" customHeight="1">
      <c r="A625" s="137"/>
      <c r="B625" s="1345" t="s">
        <v>588</v>
      </c>
      <c r="C625" s="1345" t="s">
        <v>3588</v>
      </c>
      <c r="D625" s="137"/>
      <c r="E625" s="1499" t="s">
        <v>3751</v>
      </c>
      <c r="F625" s="862">
        <v>23</v>
      </c>
      <c r="G625" s="1033" t="s">
        <v>3377</v>
      </c>
      <c r="H625" s="692" t="s">
        <v>987</v>
      </c>
      <c r="I625" s="839" t="s">
        <v>2549</v>
      </c>
      <c r="J625" s="1185"/>
      <c r="K625" s="1348">
        <v>43743</v>
      </c>
      <c r="L625" s="1345" t="s">
        <v>3015</v>
      </c>
      <c r="M625" s="1319" t="s">
        <v>3752</v>
      </c>
      <c r="N625" s="692" t="s">
        <v>2320</v>
      </c>
      <c r="O625" s="1347">
        <v>2019</v>
      </c>
      <c r="P625" s="839" t="s">
        <v>904</v>
      </c>
      <c r="Q625" s="692" t="s">
        <v>1576</v>
      </c>
      <c r="R625" s="543"/>
      <c r="S625" s="692" t="s">
        <v>1576</v>
      </c>
      <c r="T625" s="1033" t="s">
        <v>918</v>
      </c>
      <c r="U625" s="1033" t="s">
        <v>3023</v>
      </c>
      <c r="V625" s="1033"/>
      <c r="W625" s="1345" t="s">
        <v>3450</v>
      </c>
      <c r="X625" s="1033"/>
      <c r="Y625" s="862"/>
    </row>
    <row r="626" spans="1:25" customFormat="1" ht="57" hidden="1" customHeight="1">
      <c r="A626" s="137"/>
      <c r="B626" s="1345" t="s">
        <v>3753</v>
      </c>
      <c r="C626" s="1345" t="s">
        <v>3753</v>
      </c>
      <c r="D626" s="137"/>
      <c r="E626" s="1499" t="s">
        <v>3754</v>
      </c>
      <c r="F626" s="862"/>
      <c r="G626" s="1033" t="s">
        <v>3755</v>
      </c>
      <c r="H626" s="692" t="s">
        <v>987</v>
      </c>
      <c r="I626" s="839" t="s">
        <v>2549</v>
      </c>
      <c r="J626" s="1185"/>
      <c r="K626" s="1348">
        <v>43741</v>
      </c>
      <c r="L626" s="1345" t="s">
        <v>3015</v>
      </c>
      <c r="M626" s="1319" t="s">
        <v>3756</v>
      </c>
      <c r="N626" s="984" t="s">
        <v>2320</v>
      </c>
      <c r="O626" s="1347">
        <v>2019</v>
      </c>
      <c r="P626" s="839" t="s">
        <v>904</v>
      </c>
      <c r="Q626" s="984" t="s">
        <v>3757</v>
      </c>
      <c r="R626" s="862"/>
      <c r="S626" s="984" t="s">
        <v>3757</v>
      </c>
      <c r="T626" s="1033" t="s">
        <v>3758</v>
      </c>
      <c r="U626" s="1033" t="s">
        <v>864</v>
      </c>
      <c r="V626" s="1033"/>
      <c r="W626" s="1345" t="s">
        <v>2275</v>
      </c>
      <c r="X626" s="1033"/>
      <c r="Y626" s="862"/>
    </row>
    <row r="627" spans="1:25" customFormat="1" ht="51.75" hidden="1" customHeight="1">
      <c r="A627" s="137" t="s">
        <v>4025</v>
      </c>
      <c r="B627" s="1345" t="s">
        <v>2609</v>
      </c>
      <c r="C627" s="1345" t="s">
        <v>3799</v>
      </c>
      <c r="D627" s="137"/>
      <c r="E627" s="1499" t="s">
        <v>3759</v>
      </c>
      <c r="F627" s="862"/>
      <c r="G627" s="1388" t="s">
        <v>3811</v>
      </c>
      <c r="H627" s="692" t="s">
        <v>987</v>
      </c>
      <c r="I627" s="839" t="s">
        <v>2549</v>
      </c>
      <c r="J627" s="1185" t="s">
        <v>3760</v>
      </c>
      <c r="K627" s="1348">
        <v>43752</v>
      </c>
      <c r="L627" s="1345" t="s">
        <v>990</v>
      </c>
      <c r="M627" s="1463" t="s">
        <v>3761</v>
      </c>
      <c r="N627" s="692" t="s">
        <v>2320</v>
      </c>
      <c r="O627" s="1347">
        <v>2019</v>
      </c>
      <c r="P627" s="839" t="s">
        <v>904</v>
      </c>
      <c r="Q627" s="543">
        <v>2</v>
      </c>
      <c r="R627" s="543"/>
      <c r="S627" s="543">
        <v>2</v>
      </c>
      <c r="T627" s="1033" t="s">
        <v>2296</v>
      </c>
      <c r="U627" s="1033" t="s">
        <v>1104</v>
      </c>
      <c r="V627" s="1033"/>
      <c r="W627" s="1345" t="s">
        <v>2275</v>
      </c>
      <c r="X627" s="1033" t="s">
        <v>1105</v>
      </c>
      <c r="Y627" s="862"/>
    </row>
    <row r="628" spans="1:25" customFormat="1" ht="32.85" hidden="1" customHeight="1">
      <c r="A628" s="1454" t="s">
        <v>3765</v>
      </c>
      <c r="B628" s="1033" t="s">
        <v>694</v>
      </c>
      <c r="C628" s="1345" t="s">
        <v>3762</v>
      </c>
      <c r="D628" s="137"/>
      <c r="E628" s="1499" t="s">
        <v>4026</v>
      </c>
      <c r="F628" s="862">
        <v>23</v>
      </c>
      <c r="G628" s="1033" t="s">
        <v>3377</v>
      </c>
      <c r="H628" s="692" t="s">
        <v>987</v>
      </c>
      <c r="I628" s="839" t="s">
        <v>2318</v>
      </c>
      <c r="J628" s="1185"/>
      <c r="K628" s="1348">
        <v>43755</v>
      </c>
      <c r="L628" s="1345" t="s">
        <v>990</v>
      </c>
      <c r="M628" s="1319" t="s">
        <v>3800</v>
      </c>
      <c r="N628" s="692" t="s">
        <v>2320</v>
      </c>
      <c r="O628" s="1347">
        <v>2019</v>
      </c>
      <c r="P628" s="839" t="s">
        <v>904</v>
      </c>
      <c r="Q628" s="543">
        <v>2</v>
      </c>
      <c r="R628" s="543"/>
      <c r="S628" s="543">
        <v>2</v>
      </c>
      <c r="T628" s="1033" t="s">
        <v>3763</v>
      </c>
      <c r="U628" s="1033" t="s">
        <v>864</v>
      </c>
      <c r="V628" s="1033"/>
      <c r="W628" s="1345" t="s">
        <v>3450</v>
      </c>
      <c r="X628" s="1033"/>
      <c r="Y628" s="862">
        <v>69</v>
      </c>
    </row>
    <row r="629" spans="1:25" customFormat="1" ht="32.85" hidden="1" customHeight="1">
      <c r="A629" s="1454" t="s">
        <v>4024</v>
      </c>
      <c r="B629" s="1345" t="s">
        <v>588</v>
      </c>
      <c r="C629" s="1345" t="s">
        <v>3766</v>
      </c>
      <c r="D629" s="137"/>
      <c r="E629" s="1499" t="s">
        <v>3769</v>
      </c>
      <c r="F629" s="862"/>
      <c r="G629" s="1033" t="s">
        <v>3767</v>
      </c>
      <c r="H629" s="692" t="s">
        <v>987</v>
      </c>
      <c r="I629" s="839" t="s">
        <v>2318</v>
      </c>
      <c r="J629" s="1185" t="s">
        <v>3768</v>
      </c>
      <c r="K629" s="1348">
        <v>43756</v>
      </c>
      <c r="L629" s="1345" t="s">
        <v>990</v>
      </c>
      <c r="M629" s="1319" t="s">
        <v>3770</v>
      </c>
      <c r="N629" s="692" t="s">
        <v>2320</v>
      </c>
      <c r="O629" s="1347">
        <v>2019</v>
      </c>
      <c r="P629" s="839" t="s">
        <v>904</v>
      </c>
      <c r="Q629" s="543">
        <v>16</v>
      </c>
      <c r="R629" s="543"/>
      <c r="S629" s="543">
        <v>16</v>
      </c>
      <c r="T629" s="1033" t="s">
        <v>3771</v>
      </c>
      <c r="U629" s="1033" t="s">
        <v>864</v>
      </c>
      <c r="V629" s="1033"/>
      <c r="W629" s="1345" t="s">
        <v>2340</v>
      </c>
      <c r="X629" s="1033"/>
      <c r="Y629" s="862">
        <v>55</v>
      </c>
    </row>
    <row r="630" spans="1:25" customFormat="1" ht="32.85" hidden="1" customHeight="1">
      <c r="A630" s="1454"/>
      <c r="B630" s="1345" t="s">
        <v>3772</v>
      </c>
      <c r="C630" s="1345" t="s">
        <v>3773</v>
      </c>
      <c r="D630" s="137"/>
      <c r="E630" s="1499" t="s">
        <v>3355</v>
      </c>
      <c r="F630" s="862"/>
      <c r="G630" s="1033" t="s">
        <v>3356</v>
      </c>
      <c r="H630" s="692" t="s">
        <v>1576</v>
      </c>
      <c r="I630" s="839" t="s">
        <v>2549</v>
      </c>
      <c r="J630" s="1185"/>
      <c r="K630" s="1348">
        <v>43755</v>
      </c>
      <c r="L630" s="1345"/>
      <c r="M630" s="1319" t="s">
        <v>3774</v>
      </c>
      <c r="N630" s="692" t="s">
        <v>1576</v>
      </c>
      <c r="O630" s="1347">
        <v>2019</v>
      </c>
      <c r="P630" s="839" t="s">
        <v>904</v>
      </c>
      <c r="Q630" s="692" t="s">
        <v>1576</v>
      </c>
      <c r="R630" s="543"/>
      <c r="S630" s="692" t="s">
        <v>1576</v>
      </c>
      <c r="T630" s="1033" t="s">
        <v>3771</v>
      </c>
      <c r="U630" s="984" t="s">
        <v>1576</v>
      </c>
      <c r="V630" s="984"/>
      <c r="W630" s="839" t="s">
        <v>1576</v>
      </c>
      <c r="X630" s="1033"/>
      <c r="Y630" s="862"/>
    </row>
    <row r="631" spans="1:25" customFormat="1" ht="32.85" hidden="1" customHeight="1">
      <c r="A631" s="137"/>
      <c r="B631" s="1345" t="s">
        <v>1128</v>
      </c>
      <c r="C631" s="1345" t="s">
        <v>3776</v>
      </c>
      <c r="D631" s="137"/>
      <c r="E631" s="1499" t="s">
        <v>3775</v>
      </c>
      <c r="F631" s="862">
        <v>22</v>
      </c>
      <c r="G631" s="1033" t="s">
        <v>3377</v>
      </c>
      <c r="H631" s="692" t="s">
        <v>994</v>
      </c>
      <c r="I631" s="839" t="s">
        <v>2318</v>
      </c>
      <c r="J631" s="1185"/>
      <c r="K631" s="1348">
        <v>43756</v>
      </c>
      <c r="L631" s="1345" t="s">
        <v>3015</v>
      </c>
      <c r="M631" s="1319" t="s">
        <v>3777</v>
      </c>
      <c r="N631" s="692" t="s">
        <v>913</v>
      </c>
      <c r="O631" s="1347">
        <v>2019</v>
      </c>
      <c r="P631" s="839" t="s">
        <v>904</v>
      </c>
      <c r="Q631" s="692" t="s">
        <v>1576</v>
      </c>
      <c r="R631" s="543"/>
      <c r="S631" s="692" t="s">
        <v>1576</v>
      </c>
      <c r="T631" s="1033" t="s">
        <v>918</v>
      </c>
      <c r="U631" s="1033" t="s">
        <v>918</v>
      </c>
      <c r="V631" s="1033"/>
      <c r="W631" s="1345" t="s">
        <v>2607</v>
      </c>
      <c r="X631" s="1033"/>
      <c r="Y631" s="862"/>
    </row>
    <row r="632" spans="1:25" customFormat="1" ht="32.85" hidden="1" customHeight="1">
      <c r="A632" s="1461" t="s">
        <v>3782</v>
      </c>
      <c r="B632" s="1345" t="s">
        <v>1309</v>
      </c>
      <c r="C632" s="1345" t="s">
        <v>3780</v>
      </c>
      <c r="D632" s="137"/>
      <c r="E632" s="1499" t="s">
        <v>3778</v>
      </c>
      <c r="F632" s="862"/>
      <c r="G632" s="1033" t="s">
        <v>3779</v>
      </c>
      <c r="H632" s="692" t="s">
        <v>987</v>
      </c>
      <c r="I632" s="839" t="s">
        <v>2310</v>
      </c>
      <c r="J632" s="1195" t="s">
        <v>3781</v>
      </c>
      <c r="K632" s="1348">
        <v>43752</v>
      </c>
      <c r="L632" s="1345" t="s">
        <v>990</v>
      </c>
      <c r="M632" s="1319" t="s">
        <v>3801</v>
      </c>
      <c r="N632" s="692" t="s">
        <v>917</v>
      </c>
      <c r="O632" s="1347">
        <v>2019</v>
      </c>
      <c r="P632" s="839" t="s">
        <v>904</v>
      </c>
      <c r="Q632" s="543">
        <v>2</v>
      </c>
      <c r="R632" s="543"/>
      <c r="S632" s="543">
        <v>2</v>
      </c>
      <c r="T632" s="1033" t="s">
        <v>3784</v>
      </c>
      <c r="U632" s="1033" t="s">
        <v>864</v>
      </c>
      <c r="V632" s="1033"/>
      <c r="W632" s="1345" t="s">
        <v>3783</v>
      </c>
      <c r="X632" s="1033"/>
      <c r="Y632" s="862"/>
    </row>
    <row r="633" spans="1:25" customFormat="1" ht="32.85" hidden="1" customHeight="1">
      <c r="A633" s="137"/>
      <c r="B633" s="1345" t="s">
        <v>1128</v>
      </c>
      <c r="C633" s="1345" t="s">
        <v>3787</v>
      </c>
      <c r="D633" s="137"/>
      <c r="E633" s="1499" t="s">
        <v>3785</v>
      </c>
      <c r="F633" s="862">
        <v>37</v>
      </c>
      <c r="G633" s="1033" t="s">
        <v>3786</v>
      </c>
      <c r="H633" s="692" t="s">
        <v>987</v>
      </c>
      <c r="I633" s="839" t="s">
        <v>2318</v>
      </c>
      <c r="J633" s="1185"/>
      <c r="K633" s="1348">
        <v>43762</v>
      </c>
      <c r="L633" s="1345" t="s">
        <v>3015</v>
      </c>
      <c r="M633" s="1319" t="s">
        <v>3788</v>
      </c>
      <c r="N633" s="692" t="s">
        <v>917</v>
      </c>
      <c r="O633" s="1347">
        <v>2019</v>
      </c>
      <c r="P633" s="839" t="s">
        <v>904</v>
      </c>
      <c r="Q633" s="543" t="s">
        <v>1576</v>
      </c>
      <c r="R633" s="543"/>
      <c r="S633" s="543" t="s">
        <v>1576</v>
      </c>
      <c r="T633" s="1033" t="s">
        <v>918</v>
      </c>
      <c r="U633" s="1033" t="s">
        <v>864</v>
      </c>
      <c r="V633" s="1033"/>
      <c r="W633" s="1345" t="s">
        <v>3789</v>
      </c>
      <c r="X633" s="1033"/>
      <c r="Y633" s="862"/>
    </row>
    <row r="634" spans="1:25" customFormat="1" ht="32.85" hidden="1" customHeight="1">
      <c r="A634" s="137"/>
      <c r="B634" s="137" t="s">
        <v>602</v>
      </c>
      <c r="C634" s="1345" t="s">
        <v>93</v>
      </c>
      <c r="D634" s="137"/>
      <c r="E634" s="1499" t="s">
        <v>3790</v>
      </c>
      <c r="F634" s="862">
        <v>20</v>
      </c>
      <c r="G634" s="1033" t="s">
        <v>3791</v>
      </c>
      <c r="H634" s="692" t="s">
        <v>987</v>
      </c>
      <c r="I634" s="839" t="s">
        <v>2318</v>
      </c>
      <c r="J634" s="1185"/>
      <c r="K634" s="1348">
        <v>43764</v>
      </c>
      <c r="L634" s="1345" t="s">
        <v>3015</v>
      </c>
      <c r="M634" s="1319" t="s">
        <v>3792</v>
      </c>
      <c r="N634" s="692" t="s">
        <v>2320</v>
      </c>
      <c r="O634" s="1347">
        <v>2019</v>
      </c>
      <c r="P634" s="839" t="s">
        <v>904</v>
      </c>
      <c r="Q634" s="543" t="s">
        <v>1576</v>
      </c>
      <c r="R634" s="543"/>
      <c r="S634" s="543" t="s">
        <v>1576</v>
      </c>
      <c r="T634" s="1033" t="s">
        <v>2296</v>
      </c>
      <c r="U634" s="1033" t="s">
        <v>864</v>
      </c>
      <c r="V634" s="1033"/>
      <c r="W634" s="1345" t="s">
        <v>3450</v>
      </c>
      <c r="X634" s="1033"/>
      <c r="Y634" s="862"/>
    </row>
    <row r="635" spans="1:25" customFormat="1" ht="32.85" hidden="1" customHeight="1">
      <c r="A635" s="137"/>
      <c r="B635" s="1345" t="s">
        <v>77</v>
      </c>
      <c r="C635" s="1345" t="s">
        <v>77</v>
      </c>
      <c r="D635" s="137"/>
      <c r="E635" s="1499" t="s">
        <v>3793</v>
      </c>
      <c r="F635" s="862">
        <v>38</v>
      </c>
      <c r="G635" s="1033" t="s">
        <v>3794</v>
      </c>
      <c r="H635" s="692" t="s">
        <v>987</v>
      </c>
      <c r="I635" s="839" t="s">
        <v>2310</v>
      </c>
      <c r="J635" s="1185"/>
      <c r="K635" s="1348">
        <v>43764</v>
      </c>
      <c r="L635" s="1345" t="s">
        <v>3015</v>
      </c>
      <c r="M635" s="1319" t="s">
        <v>3795</v>
      </c>
      <c r="N635" s="692" t="s">
        <v>923</v>
      </c>
      <c r="O635" s="1347">
        <v>2019</v>
      </c>
      <c r="P635" s="839" t="s">
        <v>904</v>
      </c>
      <c r="Q635" s="543" t="s">
        <v>1576</v>
      </c>
      <c r="R635" s="543"/>
      <c r="S635" s="543" t="s">
        <v>1576</v>
      </c>
      <c r="T635" s="1033" t="s">
        <v>3796</v>
      </c>
      <c r="U635" s="1033" t="s">
        <v>3797</v>
      </c>
      <c r="V635" s="1033"/>
      <c r="W635" s="1345" t="s">
        <v>3798</v>
      </c>
      <c r="X635" s="1033"/>
      <c r="Y635" s="862"/>
    </row>
    <row r="636" spans="1:25" customFormat="1" ht="32.85" hidden="1" customHeight="1">
      <c r="A636" s="1033" t="s">
        <v>3805</v>
      </c>
      <c r="B636" s="1345" t="s">
        <v>91</v>
      </c>
      <c r="C636" s="1345" t="s">
        <v>3596</v>
      </c>
      <c r="D636" s="137"/>
      <c r="E636" s="1499" t="s">
        <v>3803</v>
      </c>
      <c r="F636" s="862"/>
      <c r="G636" s="1033" t="s">
        <v>3804</v>
      </c>
      <c r="H636" s="692" t="s">
        <v>987</v>
      </c>
      <c r="I636" s="839" t="s">
        <v>2318</v>
      </c>
      <c r="J636" s="1195" t="s">
        <v>2254</v>
      </c>
      <c r="K636" s="1418">
        <v>43755</v>
      </c>
      <c r="L636" s="1345" t="s">
        <v>990</v>
      </c>
      <c r="M636" s="1319" t="s">
        <v>3802</v>
      </c>
      <c r="N636" s="692" t="s">
        <v>2320</v>
      </c>
      <c r="O636" s="1347">
        <v>2019</v>
      </c>
      <c r="P636" s="839" t="s">
        <v>904</v>
      </c>
      <c r="Q636" s="543">
        <v>6</v>
      </c>
      <c r="R636" s="543"/>
      <c r="S636" s="543">
        <v>6</v>
      </c>
      <c r="T636" s="1033" t="s">
        <v>3771</v>
      </c>
      <c r="U636" s="1033" t="s">
        <v>864</v>
      </c>
      <c r="V636" s="1033"/>
      <c r="W636" s="1345" t="s">
        <v>2275</v>
      </c>
      <c r="X636" s="1033"/>
      <c r="Y636" s="862"/>
    </row>
    <row r="637" spans="1:25" customFormat="1" ht="52.8" hidden="1">
      <c r="A637" s="137"/>
      <c r="B637" s="1345" t="s">
        <v>918</v>
      </c>
      <c r="C637" s="1345" t="s">
        <v>3806</v>
      </c>
      <c r="D637" s="137"/>
      <c r="E637" s="1499" t="s">
        <v>3809</v>
      </c>
      <c r="F637" s="862"/>
      <c r="G637" s="1033" t="s">
        <v>3810</v>
      </c>
      <c r="H637" s="692" t="s">
        <v>994</v>
      </c>
      <c r="I637" s="839" t="s">
        <v>2310</v>
      </c>
      <c r="J637" s="1195" t="s">
        <v>2524</v>
      </c>
      <c r="K637" s="1418">
        <v>43754</v>
      </c>
      <c r="L637" s="1345" t="s">
        <v>990</v>
      </c>
      <c r="M637" s="1319" t="s">
        <v>3807</v>
      </c>
      <c r="N637" s="692" t="s">
        <v>917</v>
      </c>
      <c r="O637" s="1347">
        <v>2019</v>
      </c>
      <c r="P637" s="839" t="s">
        <v>904</v>
      </c>
      <c r="Q637" s="543">
        <v>2</v>
      </c>
      <c r="R637" s="543"/>
      <c r="S637" s="543">
        <v>2</v>
      </c>
      <c r="T637" s="1033" t="s">
        <v>3771</v>
      </c>
      <c r="U637" s="1033" t="s">
        <v>864</v>
      </c>
      <c r="V637" s="1033"/>
      <c r="W637" s="1345" t="s">
        <v>3808</v>
      </c>
      <c r="X637" s="1033"/>
      <c r="Y637" s="862"/>
    </row>
    <row r="638" spans="1:25" customFormat="1" ht="32.85" hidden="1" customHeight="1">
      <c r="A638" s="137" t="s">
        <v>3818</v>
      </c>
      <c r="B638" s="1345" t="s">
        <v>1309</v>
      </c>
      <c r="C638" s="1345" t="s">
        <v>159</v>
      </c>
      <c r="D638" s="137"/>
      <c r="E638" s="1499" t="s">
        <v>3812</v>
      </c>
      <c r="F638" s="862">
        <v>34</v>
      </c>
      <c r="G638" s="1033" t="s">
        <v>3813</v>
      </c>
      <c r="H638" s="692" t="s">
        <v>987</v>
      </c>
      <c r="I638" s="839"/>
      <c r="J638" s="1195" t="s">
        <v>2301</v>
      </c>
      <c r="K638" s="1348">
        <v>43767</v>
      </c>
      <c r="L638" s="1345" t="s">
        <v>990</v>
      </c>
      <c r="M638" s="1319" t="s">
        <v>3814</v>
      </c>
      <c r="N638" s="692" t="s">
        <v>2320</v>
      </c>
      <c r="O638" s="1347">
        <v>2019</v>
      </c>
      <c r="P638" s="839" t="s">
        <v>904</v>
      </c>
      <c r="Q638" s="543">
        <v>6</v>
      </c>
      <c r="R638" s="543"/>
      <c r="S638" s="543">
        <v>6</v>
      </c>
      <c r="T638" s="1033" t="s">
        <v>2246</v>
      </c>
      <c r="U638" s="1033" t="s">
        <v>864</v>
      </c>
      <c r="V638" s="1033"/>
      <c r="W638" s="1345" t="s">
        <v>3450</v>
      </c>
      <c r="X638" s="1033"/>
      <c r="Y638" s="862"/>
    </row>
    <row r="639" spans="1:25" customFormat="1" ht="32.85" hidden="1" customHeight="1">
      <c r="A639" s="137"/>
      <c r="B639" s="1345" t="s">
        <v>1309</v>
      </c>
      <c r="C639" s="1345" t="s">
        <v>3588</v>
      </c>
      <c r="D639" s="137"/>
      <c r="E639" s="1499" t="s">
        <v>3815</v>
      </c>
      <c r="F639" s="862">
        <v>51</v>
      </c>
      <c r="G639" s="1033" t="s">
        <v>3816</v>
      </c>
      <c r="H639" s="692" t="s">
        <v>987</v>
      </c>
      <c r="I639" s="839" t="s">
        <v>2549</v>
      </c>
      <c r="J639" s="1185"/>
      <c r="K639" s="1348">
        <v>43769</v>
      </c>
      <c r="L639" s="1345" t="s">
        <v>3015</v>
      </c>
      <c r="M639" s="1319" t="s">
        <v>3817</v>
      </c>
      <c r="N639" s="692" t="s">
        <v>913</v>
      </c>
      <c r="O639" s="1347">
        <v>2019</v>
      </c>
      <c r="P639" s="839" t="s">
        <v>904</v>
      </c>
      <c r="Q639" s="543" t="s">
        <v>1576</v>
      </c>
      <c r="R639" s="543"/>
      <c r="S639" s="543" t="s">
        <v>1576</v>
      </c>
      <c r="T639" s="1033" t="s">
        <v>918</v>
      </c>
      <c r="U639" s="1033" t="s">
        <v>3023</v>
      </c>
      <c r="V639" s="1033"/>
      <c r="W639" s="1345" t="s">
        <v>2607</v>
      </c>
      <c r="X639" s="1033"/>
      <c r="Y639" s="862"/>
    </row>
    <row r="640" spans="1:25" customFormat="1" ht="32.85" hidden="1" customHeight="1">
      <c r="A640" s="137"/>
      <c r="B640" s="1345" t="s">
        <v>1010</v>
      </c>
      <c r="C640" s="1345" t="s">
        <v>3820</v>
      </c>
      <c r="D640" s="137"/>
      <c r="E640" s="1499" t="s">
        <v>3819</v>
      </c>
      <c r="F640" s="862">
        <v>49</v>
      </c>
      <c r="G640" s="1033" t="s">
        <v>3377</v>
      </c>
      <c r="H640" s="692" t="s">
        <v>994</v>
      </c>
      <c r="I640" s="839" t="s">
        <v>2310</v>
      </c>
      <c r="J640" s="1185"/>
      <c r="K640" s="1348">
        <v>43778</v>
      </c>
      <c r="L640" s="1345" t="s">
        <v>3015</v>
      </c>
      <c r="M640" s="1319" t="s">
        <v>3821</v>
      </c>
      <c r="N640" s="692" t="s">
        <v>917</v>
      </c>
      <c r="O640" s="1347">
        <v>2019</v>
      </c>
      <c r="P640" s="839" t="s">
        <v>905</v>
      </c>
      <c r="Q640" s="543" t="s">
        <v>1576</v>
      </c>
      <c r="R640" s="543"/>
      <c r="S640" s="543" t="s">
        <v>1576</v>
      </c>
      <c r="T640" s="1033" t="s">
        <v>3822</v>
      </c>
      <c r="U640" s="1033" t="s">
        <v>3562</v>
      </c>
      <c r="V640" s="1033"/>
      <c r="W640" s="1345" t="s">
        <v>3450</v>
      </c>
      <c r="X640" s="1033"/>
      <c r="Y640" s="862"/>
    </row>
    <row r="641" spans="1:26" customFormat="1" ht="53.4" hidden="1">
      <c r="A641" s="137" t="s">
        <v>4021</v>
      </c>
      <c r="B641" s="1345" t="s">
        <v>1128</v>
      </c>
      <c r="C641" s="1460" t="s">
        <v>3823</v>
      </c>
      <c r="D641" s="137"/>
      <c r="E641" s="1499" t="s">
        <v>3825</v>
      </c>
      <c r="F641" s="862"/>
      <c r="G641" s="1033" t="s">
        <v>1448</v>
      </c>
      <c r="H641" s="692" t="s">
        <v>987</v>
      </c>
      <c r="I641" s="839" t="s">
        <v>2318</v>
      </c>
      <c r="J641" s="1185" t="s">
        <v>2831</v>
      </c>
      <c r="K641" s="1348">
        <v>43782</v>
      </c>
      <c r="L641" s="1345" t="s">
        <v>990</v>
      </c>
      <c r="M641" s="1319" t="s">
        <v>3824</v>
      </c>
      <c r="N641" s="692" t="s">
        <v>2320</v>
      </c>
      <c r="O641" s="1347">
        <v>2019</v>
      </c>
      <c r="P641" s="839" t="s">
        <v>905</v>
      </c>
      <c r="Q641" s="543">
        <v>6</v>
      </c>
      <c r="R641" s="543"/>
      <c r="S641" s="543">
        <v>6</v>
      </c>
      <c r="T641" s="1033" t="s">
        <v>2958</v>
      </c>
      <c r="U641" s="1033" t="s">
        <v>864</v>
      </c>
      <c r="V641" s="1033"/>
      <c r="W641" s="1345" t="s">
        <v>2975</v>
      </c>
      <c r="X641" s="1033"/>
      <c r="Y641" s="862"/>
      <c r="Z641" s="1618" t="s">
        <v>1448</v>
      </c>
    </row>
    <row r="642" spans="1:26" customFormat="1" ht="32.85" hidden="1" customHeight="1">
      <c r="A642" s="137"/>
      <c r="B642" s="1345" t="s">
        <v>3495</v>
      </c>
      <c r="C642" s="1345" t="s">
        <v>3826</v>
      </c>
      <c r="D642" s="137"/>
      <c r="E642" s="1507" t="s">
        <v>3355</v>
      </c>
      <c r="F642" s="862"/>
      <c r="G642" s="1033" t="s">
        <v>3356</v>
      </c>
      <c r="H642" s="692"/>
      <c r="I642" s="839"/>
      <c r="J642" s="1185"/>
      <c r="K642" s="1348">
        <v>43779</v>
      </c>
      <c r="L642" s="1345"/>
      <c r="M642" s="1319" t="s">
        <v>3828</v>
      </c>
      <c r="N642" s="692"/>
      <c r="O642" s="1347">
        <v>2019</v>
      </c>
      <c r="P642" s="839" t="s">
        <v>905</v>
      </c>
      <c r="Q642" s="543"/>
      <c r="R642" s="543"/>
      <c r="S642" s="543"/>
      <c r="T642" s="1033" t="s">
        <v>2958</v>
      </c>
      <c r="U642" s="1033" t="s">
        <v>3827</v>
      </c>
      <c r="V642" s="1033"/>
      <c r="W642" s="1345" t="s">
        <v>3648</v>
      </c>
      <c r="X642" s="1033"/>
      <c r="Y642" s="862"/>
    </row>
    <row r="643" spans="1:26" customFormat="1" ht="39.6" hidden="1">
      <c r="A643" s="137" t="s">
        <v>3832</v>
      </c>
      <c r="B643" s="1345" t="s">
        <v>91</v>
      </c>
      <c r="C643" s="1345" t="s">
        <v>3596</v>
      </c>
      <c r="D643" s="137"/>
      <c r="E643" s="1499" t="s">
        <v>3829</v>
      </c>
      <c r="F643" s="862"/>
      <c r="G643" s="1033" t="s">
        <v>3830</v>
      </c>
      <c r="H643" s="692" t="s">
        <v>987</v>
      </c>
      <c r="I643" s="839" t="s">
        <v>2310</v>
      </c>
      <c r="J643" s="1185" t="s">
        <v>3240</v>
      </c>
      <c r="K643" s="1348">
        <v>43783</v>
      </c>
      <c r="L643" s="1345" t="s">
        <v>990</v>
      </c>
      <c r="M643" s="1319" t="s">
        <v>3831</v>
      </c>
      <c r="N643" s="692" t="s">
        <v>913</v>
      </c>
      <c r="O643" s="1347">
        <v>2019</v>
      </c>
      <c r="P643" s="839" t="s">
        <v>905</v>
      </c>
      <c r="Q643" s="543">
        <v>2</v>
      </c>
      <c r="R643" s="543"/>
      <c r="S643" s="543">
        <v>2</v>
      </c>
      <c r="T643" s="1033" t="s">
        <v>2234</v>
      </c>
      <c r="U643" s="1033" t="s">
        <v>3833</v>
      </c>
      <c r="V643" s="1033"/>
      <c r="W643" s="1345" t="s">
        <v>2305</v>
      </c>
      <c r="X643" s="1033"/>
      <c r="Y643" s="862"/>
    </row>
    <row r="644" spans="1:26" customFormat="1" ht="32.85" hidden="1" customHeight="1">
      <c r="A644" s="137" t="s">
        <v>4023</v>
      </c>
      <c r="B644" s="1345" t="s">
        <v>693</v>
      </c>
      <c r="C644" s="1345" t="s">
        <v>3835</v>
      </c>
      <c r="D644" s="137"/>
      <c r="E644" s="1498" t="s">
        <v>3834</v>
      </c>
      <c r="F644" s="862">
        <v>61</v>
      </c>
      <c r="G644" s="1033" t="s">
        <v>3835</v>
      </c>
      <c r="H644" s="692" t="s">
        <v>987</v>
      </c>
      <c r="I644" s="839" t="s">
        <v>2310</v>
      </c>
      <c r="J644" s="1195" t="s">
        <v>1313</v>
      </c>
      <c r="K644" s="1348">
        <v>43787</v>
      </c>
      <c r="L644" s="1345" t="s">
        <v>990</v>
      </c>
      <c r="M644" s="1319" t="s">
        <v>3836</v>
      </c>
      <c r="N644" s="692" t="s">
        <v>2320</v>
      </c>
      <c r="O644" s="1347">
        <v>2019</v>
      </c>
      <c r="P644" s="839" t="s">
        <v>905</v>
      </c>
      <c r="Q644" s="692">
        <v>60</v>
      </c>
      <c r="R644" s="543"/>
      <c r="S644" s="692">
        <v>60</v>
      </c>
      <c r="T644" s="1033" t="s">
        <v>2958</v>
      </c>
      <c r="U644" s="1033" t="s">
        <v>864</v>
      </c>
      <c r="V644" s="1033"/>
      <c r="W644" s="1345" t="s">
        <v>3837</v>
      </c>
      <c r="X644" s="1033"/>
      <c r="Y644" s="862"/>
    </row>
    <row r="645" spans="1:26" customFormat="1" ht="32.85" hidden="1" customHeight="1">
      <c r="A645" s="137"/>
      <c r="B645" s="1345" t="s">
        <v>1223</v>
      </c>
      <c r="C645" s="1345" t="s">
        <v>3839</v>
      </c>
      <c r="D645" s="137"/>
      <c r="E645" s="1499" t="s">
        <v>3838</v>
      </c>
      <c r="F645" s="862">
        <v>40</v>
      </c>
      <c r="G645" s="1033" t="s">
        <v>3839</v>
      </c>
      <c r="H645" s="692" t="s">
        <v>994</v>
      </c>
      <c r="I645" s="839" t="s">
        <v>2549</v>
      </c>
      <c r="J645" s="1185"/>
      <c r="K645" s="1348">
        <v>43787</v>
      </c>
      <c r="L645" s="1345" t="s">
        <v>3015</v>
      </c>
      <c r="M645" s="1319" t="s">
        <v>3840</v>
      </c>
      <c r="N645" s="692" t="s">
        <v>917</v>
      </c>
      <c r="O645" s="1347">
        <v>2019</v>
      </c>
      <c r="P645" s="839" t="s">
        <v>905</v>
      </c>
      <c r="Q645" s="692" t="s">
        <v>1576</v>
      </c>
      <c r="R645" s="543"/>
      <c r="S645" s="692" t="s">
        <v>1576</v>
      </c>
      <c r="T645" s="1033" t="s">
        <v>2233</v>
      </c>
      <c r="U645" s="1033" t="s">
        <v>3562</v>
      </c>
      <c r="V645" s="1033"/>
      <c r="W645" s="1345" t="s">
        <v>3450</v>
      </c>
      <c r="X645" s="1033"/>
      <c r="Y645" s="862"/>
    </row>
    <row r="646" spans="1:26" customFormat="1" ht="32.85" hidden="1" customHeight="1">
      <c r="A646" s="137"/>
      <c r="B646" s="1345" t="s">
        <v>91</v>
      </c>
      <c r="C646" s="1345" t="s">
        <v>3842</v>
      </c>
      <c r="D646" s="137"/>
      <c r="E646" s="1499" t="s">
        <v>3841</v>
      </c>
      <c r="F646" s="862">
        <v>24</v>
      </c>
      <c r="G646" s="1033" t="s">
        <v>3377</v>
      </c>
      <c r="H646" s="692" t="s">
        <v>987</v>
      </c>
      <c r="I646" s="839" t="s">
        <v>2549</v>
      </c>
      <c r="J646" s="1185"/>
      <c r="K646" s="1348">
        <v>43787</v>
      </c>
      <c r="L646" s="1345" t="s">
        <v>3015</v>
      </c>
      <c r="M646" s="1319" t="s">
        <v>3843</v>
      </c>
      <c r="N646" s="692" t="s">
        <v>2320</v>
      </c>
      <c r="O646" s="1347">
        <v>2019</v>
      </c>
      <c r="P646" s="839" t="s">
        <v>905</v>
      </c>
      <c r="Q646" s="692" t="s">
        <v>1576</v>
      </c>
      <c r="R646" s="543"/>
      <c r="S646" s="692" t="s">
        <v>1576</v>
      </c>
      <c r="T646" s="1033" t="s">
        <v>2233</v>
      </c>
      <c r="U646" s="1033" t="s">
        <v>1960</v>
      </c>
      <c r="V646" s="1033"/>
      <c r="W646" s="1345" t="s">
        <v>3450</v>
      </c>
      <c r="X646" s="1033"/>
      <c r="Y646" s="862"/>
    </row>
    <row r="647" spans="1:26" customFormat="1" ht="32.85" hidden="1" customHeight="1">
      <c r="A647" s="137"/>
      <c r="B647" s="1345" t="s">
        <v>1128</v>
      </c>
      <c r="C647" s="1345" t="s">
        <v>3845</v>
      </c>
      <c r="D647" s="137"/>
      <c r="E647" s="1499" t="s">
        <v>3844</v>
      </c>
      <c r="F647" s="862">
        <v>27</v>
      </c>
      <c r="G647" s="1033" t="s">
        <v>3377</v>
      </c>
      <c r="H647" s="692" t="s">
        <v>987</v>
      </c>
      <c r="I647" s="839" t="s">
        <v>2310</v>
      </c>
      <c r="J647" s="1185"/>
      <c r="K647" s="1348">
        <v>43787</v>
      </c>
      <c r="L647" s="1345" t="s">
        <v>990</v>
      </c>
      <c r="M647" s="1319" t="s">
        <v>3846</v>
      </c>
      <c r="N647" s="692" t="s">
        <v>2320</v>
      </c>
      <c r="O647" s="1347">
        <v>2019</v>
      </c>
      <c r="P647" s="839" t="s">
        <v>905</v>
      </c>
      <c r="Q647" s="692">
        <v>5</v>
      </c>
      <c r="R647" s="543"/>
      <c r="S647" s="692">
        <v>5</v>
      </c>
      <c r="T647" s="1033" t="s">
        <v>3847</v>
      </c>
      <c r="U647" s="1033" t="s">
        <v>3663</v>
      </c>
      <c r="V647" s="1033"/>
      <c r="W647" s="1345" t="s">
        <v>3837</v>
      </c>
      <c r="X647" s="1033"/>
      <c r="Y647" s="862">
        <v>53</v>
      </c>
    </row>
    <row r="648" spans="1:26" customFormat="1" ht="118.8" hidden="1">
      <c r="A648" s="137"/>
      <c r="B648" s="1345" t="s">
        <v>1057</v>
      </c>
      <c r="C648" s="1345" t="s">
        <v>938</v>
      </c>
      <c r="D648" s="137"/>
      <c r="E648" s="1457" t="s">
        <v>3849</v>
      </c>
      <c r="F648" s="862"/>
      <c r="G648" s="1457" t="s">
        <v>3895</v>
      </c>
      <c r="H648" s="984" t="s">
        <v>987</v>
      </c>
      <c r="I648" s="839" t="s">
        <v>2549</v>
      </c>
      <c r="J648" s="1195" t="s">
        <v>1788</v>
      </c>
      <c r="K648" s="1348">
        <v>43786</v>
      </c>
      <c r="L648" s="1345" t="s">
        <v>990</v>
      </c>
      <c r="M648" s="1319" t="s">
        <v>3848</v>
      </c>
      <c r="N648" s="984" t="s">
        <v>917</v>
      </c>
      <c r="O648" s="1347">
        <v>2019</v>
      </c>
      <c r="P648" s="839" t="s">
        <v>905</v>
      </c>
      <c r="Q648" s="984">
        <v>30</v>
      </c>
      <c r="R648" s="862"/>
      <c r="S648" s="984">
        <v>30</v>
      </c>
      <c r="T648" s="1195" t="s">
        <v>918</v>
      </c>
      <c r="U648" s="1195" t="s">
        <v>1057</v>
      </c>
      <c r="V648" s="1195"/>
      <c r="W648" s="1345" t="s">
        <v>2340</v>
      </c>
      <c r="X648" s="1033" t="s">
        <v>3892</v>
      </c>
      <c r="Y648" s="862"/>
    </row>
    <row r="649" spans="1:26" customFormat="1" ht="32.85" hidden="1" customHeight="1" thickBot="1">
      <c r="A649" s="137"/>
      <c r="B649" s="137" t="s">
        <v>602</v>
      </c>
      <c r="C649" s="1345" t="s">
        <v>3588</v>
      </c>
      <c r="D649" s="137"/>
      <c r="E649" s="1456" t="s">
        <v>3850</v>
      </c>
      <c r="F649" s="862">
        <v>23</v>
      </c>
      <c r="G649" s="1033" t="s">
        <v>2802</v>
      </c>
      <c r="H649" s="692" t="s">
        <v>987</v>
      </c>
      <c r="I649" s="839" t="s">
        <v>2549</v>
      </c>
      <c r="J649" s="1185"/>
      <c r="K649" s="1348">
        <v>43788</v>
      </c>
      <c r="L649" s="1345" t="s">
        <v>3015</v>
      </c>
      <c r="M649" s="1319" t="s">
        <v>3851</v>
      </c>
      <c r="N649" s="692" t="s">
        <v>913</v>
      </c>
      <c r="O649" s="1347">
        <v>2019</v>
      </c>
      <c r="P649" s="839" t="s">
        <v>905</v>
      </c>
      <c r="Q649" s="692" t="s">
        <v>1576</v>
      </c>
      <c r="R649" s="543"/>
      <c r="S649" s="692" t="s">
        <v>1576</v>
      </c>
      <c r="T649" s="1033" t="s">
        <v>918</v>
      </c>
      <c r="U649" s="1033" t="s">
        <v>3023</v>
      </c>
      <c r="V649" s="1033"/>
      <c r="W649" s="1345" t="s">
        <v>2607</v>
      </c>
      <c r="X649" s="1033"/>
      <c r="Y649" s="862"/>
    </row>
    <row r="650" spans="1:26" customFormat="1" ht="32.85" hidden="1" customHeight="1" thickBot="1">
      <c r="A650" s="137"/>
      <c r="B650" s="1345" t="s">
        <v>1128</v>
      </c>
      <c r="C650" s="1345" t="s">
        <v>3853</v>
      </c>
      <c r="D650" s="137"/>
      <c r="E650" s="1456" t="s">
        <v>3852</v>
      </c>
      <c r="F650" s="862">
        <v>57</v>
      </c>
      <c r="G650" s="1033" t="s">
        <v>3592</v>
      </c>
      <c r="H650" s="692" t="s">
        <v>987</v>
      </c>
      <c r="I650" s="839" t="s">
        <v>2318</v>
      </c>
      <c r="J650" s="1185"/>
      <c r="K650" s="1348">
        <v>43788</v>
      </c>
      <c r="L650" s="1345" t="s">
        <v>3015</v>
      </c>
      <c r="M650" s="1319" t="s">
        <v>3854</v>
      </c>
      <c r="N650" s="692" t="s">
        <v>2320</v>
      </c>
      <c r="O650" s="1347">
        <v>2019</v>
      </c>
      <c r="P650" s="839" t="s">
        <v>905</v>
      </c>
      <c r="Q650" s="692" t="s">
        <v>1576</v>
      </c>
      <c r="R650" s="543"/>
      <c r="S650" s="692" t="s">
        <v>1576</v>
      </c>
      <c r="T650" s="1033" t="s">
        <v>3855</v>
      </c>
      <c r="U650" s="1033" t="s">
        <v>864</v>
      </c>
      <c r="V650" s="1033"/>
      <c r="W650" s="1345" t="s">
        <v>3837</v>
      </c>
      <c r="X650" s="1033"/>
      <c r="Y650" s="862"/>
    </row>
    <row r="651" spans="1:26" customFormat="1" ht="32.85" hidden="1" customHeight="1">
      <c r="A651" s="137"/>
      <c r="B651" s="1345" t="s">
        <v>3310</v>
      </c>
      <c r="C651" s="1345" t="s">
        <v>3857</v>
      </c>
      <c r="D651" s="137"/>
      <c r="E651" s="1498" t="s">
        <v>3856</v>
      </c>
      <c r="F651" s="862">
        <v>30</v>
      </c>
      <c r="G651" s="1033" t="s">
        <v>3377</v>
      </c>
      <c r="H651" s="692" t="s">
        <v>987</v>
      </c>
      <c r="I651" s="839" t="s">
        <v>2310</v>
      </c>
      <c r="J651" s="1185"/>
      <c r="K651" s="1348">
        <v>43789</v>
      </c>
      <c r="L651" s="1345" t="s">
        <v>3015</v>
      </c>
      <c r="M651" s="1319" t="s">
        <v>3858</v>
      </c>
      <c r="N651" s="692" t="s">
        <v>923</v>
      </c>
      <c r="O651" s="1347">
        <v>2019</v>
      </c>
      <c r="P651" s="839" t="s">
        <v>905</v>
      </c>
      <c r="Q651" s="692" t="s">
        <v>1576</v>
      </c>
      <c r="R651" s="543"/>
      <c r="S651" s="692" t="s">
        <v>1576</v>
      </c>
      <c r="T651" s="1033" t="s">
        <v>3784</v>
      </c>
      <c r="U651" s="1033" t="s">
        <v>864</v>
      </c>
      <c r="V651" s="1033"/>
      <c r="W651" s="1345" t="s">
        <v>3327</v>
      </c>
      <c r="X651" s="1033"/>
      <c r="Y651" s="862"/>
    </row>
    <row r="652" spans="1:26" customFormat="1" ht="32.85" hidden="1" customHeight="1">
      <c r="A652" s="137"/>
      <c r="B652" s="1345" t="s">
        <v>3870</v>
      </c>
      <c r="C652" s="1345" t="s">
        <v>3860</v>
      </c>
      <c r="D652" s="137"/>
      <c r="E652" s="1499" t="s">
        <v>3859</v>
      </c>
      <c r="F652" s="862">
        <v>29</v>
      </c>
      <c r="G652" s="1033" t="s">
        <v>1906</v>
      </c>
      <c r="H652" s="692" t="s">
        <v>994</v>
      </c>
      <c r="I652" s="839" t="s">
        <v>2549</v>
      </c>
      <c r="J652" s="1185"/>
      <c r="K652" s="1348">
        <v>43789</v>
      </c>
      <c r="L652" s="1345" t="s">
        <v>3015</v>
      </c>
      <c r="M652" s="1319" t="s">
        <v>3861</v>
      </c>
      <c r="N652" s="692" t="s">
        <v>913</v>
      </c>
      <c r="O652" s="1347">
        <v>2019</v>
      </c>
      <c r="P652" s="839" t="s">
        <v>905</v>
      </c>
      <c r="Q652" s="692" t="s">
        <v>1576</v>
      </c>
      <c r="R652" s="543"/>
      <c r="S652" s="692" t="s">
        <v>1576</v>
      </c>
      <c r="T652" s="1033" t="s">
        <v>918</v>
      </c>
      <c r="U652" s="1033" t="s">
        <v>1960</v>
      </c>
      <c r="V652" s="1033"/>
      <c r="W652" s="1345" t="s">
        <v>3634</v>
      </c>
      <c r="X652" s="1033"/>
      <c r="Y652" s="862"/>
    </row>
    <row r="653" spans="1:26" customFormat="1" ht="40.5" hidden="1" customHeight="1">
      <c r="A653" s="137"/>
      <c r="B653" s="1345" t="s">
        <v>1956</v>
      </c>
      <c r="C653" s="1345" t="s">
        <v>3862</v>
      </c>
      <c r="D653" s="137"/>
      <c r="E653" s="1499" t="s">
        <v>3863</v>
      </c>
      <c r="F653" s="862"/>
      <c r="G653" s="1033" t="s">
        <v>3864</v>
      </c>
      <c r="H653" s="692" t="s">
        <v>994</v>
      </c>
      <c r="I653" s="839" t="s">
        <v>2318</v>
      </c>
      <c r="J653" s="1185"/>
      <c r="K653" s="1348">
        <v>43789</v>
      </c>
      <c r="L653" s="1345" t="s">
        <v>3015</v>
      </c>
      <c r="M653" s="1319" t="s">
        <v>3865</v>
      </c>
      <c r="N653" s="692" t="s">
        <v>917</v>
      </c>
      <c r="O653" s="1347">
        <v>2019</v>
      </c>
      <c r="P653" s="839" t="s">
        <v>905</v>
      </c>
      <c r="Q653" s="692" t="s">
        <v>1576</v>
      </c>
      <c r="R653" s="543"/>
      <c r="S653" s="692" t="s">
        <v>1576</v>
      </c>
      <c r="T653" s="1033" t="s">
        <v>2958</v>
      </c>
      <c r="U653" s="1033" t="s">
        <v>864</v>
      </c>
      <c r="V653" s="1033"/>
      <c r="W653" s="1345" t="s">
        <v>918</v>
      </c>
      <c r="X653" s="1033"/>
      <c r="Y653" s="862"/>
    </row>
    <row r="654" spans="1:26" customFormat="1" ht="32.85" hidden="1" customHeight="1">
      <c r="A654" s="137"/>
      <c r="B654" s="1345" t="s">
        <v>3870</v>
      </c>
      <c r="C654" s="1345" t="s">
        <v>3868</v>
      </c>
      <c r="D654" s="137"/>
      <c r="E654" s="1499" t="s">
        <v>3866</v>
      </c>
      <c r="F654" s="862">
        <v>30</v>
      </c>
      <c r="G654" s="1033" t="s">
        <v>3867</v>
      </c>
      <c r="H654" s="692" t="s">
        <v>987</v>
      </c>
      <c r="I654" s="839" t="s">
        <v>2549</v>
      </c>
      <c r="J654" s="1185"/>
      <c r="K654" s="1348">
        <v>43789</v>
      </c>
      <c r="L654" s="1345" t="s">
        <v>3015</v>
      </c>
      <c r="M654" s="1319" t="s">
        <v>3869</v>
      </c>
      <c r="N654" s="692" t="s">
        <v>2320</v>
      </c>
      <c r="O654" s="1347">
        <v>2019</v>
      </c>
      <c r="P654" s="839" t="s">
        <v>905</v>
      </c>
      <c r="Q654" s="692" t="s">
        <v>1576</v>
      </c>
      <c r="R654" s="543"/>
      <c r="S654" s="692" t="s">
        <v>1576</v>
      </c>
      <c r="T654" s="1033" t="s">
        <v>918</v>
      </c>
      <c r="U654" s="1033" t="s">
        <v>1960</v>
      </c>
      <c r="V654" s="1033"/>
      <c r="W654" s="1345" t="s">
        <v>3450</v>
      </c>
      <c r="X654" s="1033"/>
      <c r="Y654" s="862"/>
    </row>
    <row r="655" spans="1:26" customFormat="1" ht="32.85" hidden="1" customHeight="1">
      <c r="A655" s="137"/>
      <c r="B655" s="137"/>
      <c r="C655" s="1345" t="s">
        <v>3871</v>
      </c>
      <c r="D655" s="137"/>
      <c r="E655" s="1499" t="s">
        <v>3355</v>
      </c>
      <c r="F655" s="862" t="s">
        <v>1576</v>
      </c>
      <c r="G655" s="1033" t="s">
        <v>1576</v>
      </c>
      <c r="H655" s="692" t="s">
        <v>1576</v>
      </c>
      <c r="I655" s="839" t="s">
        <v>2549</v>
      </c>
      <c r="J655" s="1185"/>
      <c r="K655" s="1348">
        <v>43792</v>
      </c>
      <c r="L655" s="1345" t="s">
        <v>1576</v>
      </c>
      <c r="M655" s="1319" t="s">
        <v>3872</v>
      </c>
      <c r="N655" s="692" t="s">
        <v>1576</v>
      </c>
      <c r="O655" s="1347">
        <v>2019</v>
      </c>
      <c r="P655" s="839" t="s">
        <v>905</v>
      </c>
      <c r="Q655" s="543" t="s">
        <v>1576</v>
      </c>
      <c r="R655" s="543"/>
      <c r="S655" s="543" t="s">
        <v>1576</v>
      </c>
      <c r="T655" s="1033" t="s">
        <v>918</v>
      </c>
      <c r="U655" s="1033" t="s">
        <v>918</v>
      </c>
      <c r="V655" s="1033"/>
      <c r="W655" s="1345" t="s">
        <v>918</v>
      </c>
      <c r="X655" s="1033"/>
      <c r="Y655" s="862"/>
      <c r="Z655" s="137"/>
    </row>
    <row r="656" spans="1:26" customFormat="1" ht="32.85" hidden="1" customHeight="1">
      <c r="A656" s="137"/>
      <c r="B656" s="1345" t="s">
        <v>1128</v>
      </c>
      <c r="C656" s="1345" t="s">
        <v>542</v>
      </c>
      <c r="D656" s="137"/>
      <c r="E656" s="1499" t="s">
        <v>3873</v>
      </c>
      <c r="F656" s="862">
        <v>46</v>
      </c>
      <c r="G656" s="1033" t="s">
        <v>3874</v>
      </c>
      <c r="H656" s="692" t="s">
        <v>987</v>
      </c>
      <c r="I656" s="839" t="s">
        <v>2549</v>
      </c>
      <c r="J656" s="1185"/>
      <c r="K656" s="1348">
        <v>43794</v>
      </c>
      <c r="L656" s="1345" t="s">
        <v>3015</v>
      </c>
      <c r="M656" s="1319" t="s">
        <v>3875</v>
      </c>
      <c r="N656" s="692" t="s">
        <v>2320</v>
      </c>
      <c r="O656" s="1347">
        <v>2019</v>
      </c>
      <c r="P656" s="839" t="s">
        <v>905</v>
      </c>
      <c r="Q656" s="543" t="s">
        <v>1576</v>
      </c>
      <c r="R656" s="543"/>
      <c r="S656" s="543" t="s">
        <v>1576</v>
      </c>
      <c r="T656" s="1033" t="s">
        <v>3876</v>
      </c>
      <c r="U656" s="1033" t="s">
        <v>864</v>
      </c>
      <c r="V656" s="1033"/>
      <c r="W656" s="1345" t="s">
        <v>3877</v>
      </c>
      <c r="X656" s="1033"/>
      <c r="Y656" s="862"/>
    </row>
    <row r="657" spans="1:25" customFormat="1" ht="66" hidden="1">
      <c r="A657" s="137" t="s">
        <v>4022</v>
      </c>
      <c r="B657" s="1345" t="s">
        <v>2609</v>
      </c>
      <c r="C657" s="1345" t="s">
        <v>3879</v>
      </c>
      <c r="D657" s="137"/>
      <c r="E657" s="1457" t="s">
        <v>3878</v>
      </c>
      <c r="F657" s="862"/>
      <c r="G657" s="1033" t="s">
        <v>3894</v>
      </c>
      <c r="H657" s="692" t="s">
        <v>987</v>
      </c>
      <c r="I657" s="839" t="s">
        <v>2318</v>
      </c>
      <c r="J657" s="1185"/>
      <c r="K657" s="1348">
        <v>43796</v>
      </c>
      <c r="L657" s="1345" t="s">
        <v>990</v>
      </c>
      <c r="M657" s="1319" t="s">
        <v>3880</v>
      </c>
      <c r="N657" s="692" t="s">
        <v>923</v>
      </c>
      <c r="O657" s="1347">
        <v>2019</v>
      </c>
      <c r="P657" s="839" t="s">
        <v>905</v>
      </c>
      <c r="Q657" s="543">
        <v>3</v>
      </c>
      <c r="R657" s="543"/>
      <c r="S657" s="543">
        <v>3</v>
      </c>
      <c r="T657" s="1033" t="s">
        <v>3881</v>
      </c>
      <c r="U657" s="1033" t="s">
        <v>864</v>
      </c>
      <c r="V657" s="1033"/>
      <c r="W657" s="1345" t="s">
        <v>3882</v>
      </c>
      <c r="X657" s="1033" t="s">
        <v>3893</v>
      </c>
      <c r="Y657" s="862"/>
    </row>
    <row r="658" spans="1:25" customFormat="1" ht="32.85" hidden="1" customHeight="1">
      <c r="A658" s="137"/>
      <c r="B658" s="1345" t="s">
        <v>1128</v>
      </c>
      <c r="C658" s="1345" t="s">
        <v>3588</v>
      </c>
      <c r="D658" s="137"/>
      <c r="E658" s="1499" t="s">
        <v>3883</v>
      </c>
      <c r="F658" s="862">
        <v>31</v>
      </c>
      <c r="G658" s="1033" t="s">
        <v>2685</v>
      </c>
      <c r="H658" s="692" t="s">
        <v>987</v>
      </c>
      <c r="I658" s="839" t="s">
        <v>2549</v>
      </c>
      <c r="J658" s="1185"/>
      <c r="K658" s="1348">
        <v>43799</v>
      </c>
      <c r="L658" s="1345" t="s">
        <v>3015</v>
      </c>
      <c r="M658" s="1319" t="s">
        <v>3884</v>
      </c>
      <c r="N658" s="692" t="s">
        <v>2320</v>
      </c>
      <c r="O658" s="1347">
        <v>2019</v>
      </c>
      <c r="P658" s="839" t="s">
        <v>905</v>
      </c>
      <c r="Q658" s="543" t="s">
        <v>1576</v>
      </c>
      <c r="R658" s="543"/>
      <c r="S658" s="543" t="s">
        <v>1576</v>
      </c>
      <c r="T658" s="1033" t="s">
        <v>3885</v>
      </c>
      <c r="U658" s="1033" t="s">
        <v>3023</v>
      </c>
      <c r="V658" s="1033"/>
      <c r="W658" s="1345" t="s">
        <v>2607</v>
      </c>
      <c r="X658" s="1033"/>
      <c r="Y658" s="862"/>
    </row>
    <row r="659" spans="1:25" customFormat="1" ht="32.85" hidden="1" customHeight="1">
      <c r="A659" s="137"/>
      <c r="B659" s="1345" t="s">
        <v>91</v>
      </c>
      <c r="C659" s="1345" t="s">
        <v>3588</v>
      </c>
      <c r="D659" s="137"/>
      <c r="E659" s="1499" t="s">
        <v>3886</v>
      </c>
      <c r="F659" s="862">
        <v>22</v>
      </c>
      <c r="G659" s="1033" t="s">
        <v>3887</v>
      </c>
      <c r="H659" s="692" t="s">
        <v>987</v>
      </c>
      <c r="I659" s="839" t="s">
        <v>2549</v>
      </c>
      <c r="J659" s="1185"/>
      <c r="K659" s="1348">
        <v>43799</v>
      </c>
      <c r="L659" s="1345" t="s">
        <v>3015</v>
      </c>
      <c r="M659" s="1319" t="s">
        <v>3888</v>
      </c>
      <c r="N659" s="692" t="s">
        <v>923</v>
      </c>
      <c r="O659" s="1347">
        <v>2019</v>
      </c>
      <c r="P659" s="839" t="s">
        <v>905</v>
      </c>
      <c r="Q659" s="543" t="s">
        <v>1576</v>
      </c>
      <c r="R659" s="543"/>
      <c r="S659" s="543" t="s">
        <v>1576</v>
      </c>
      <c r="T659" s="1033" t="s">
        <v>918</v>
      </c>
      <c r="U659" s="1033" t="s">
        <v>3023</v>
      </c>
      <c r="V659" s="1033"/>
      <c r="W659" s="1345" t="s">
        <v>3889</v>
      </c>
      <c r="X659" s="1033"/>
      <c r="Y659" s="862"/>
    </row>
    <row r="660" spans="1:25" customFormat="1" ht="32.85" hidden="1" customHeight="1">
      <c r="A660" s="137"/>
      <c r="B660" s="1345" t="s">
        <v>1223</v>
      </c>
      <c r="C660" s="1345" t="s">
        <v>3890</v>
      </c>
      <c r="D660" s="137"/>
      <c r="E660" s="1457" t="s">
        <v>3859</v>
      </c>
      <c r="F660" s="862">
        <v>29</v>
      </c>
      <c r="G660" s="1033" t="s">
        <v>1906</v>
      </c>
      <c r="H660" s="692" t="s">
        <v>994</v>
      </c>
      <c r="I660" s="839" t="s">
        <v>2310</v>
      </c>
      <c r="J660" s="1185"/>
      <c r="K660" s="1348">
        <v>43789</v>
      </c>
      <c r="L660" s="1345" t="s">
        <v>990</v>
      </c>
      <c r="M660" s="1319" t="s">
        <v>3891</v>
      </c>
      <c r="N660" s="692" t="s">
        <v>915</v>
      </c>
      <c r="O660" s="1347">
        <v>2019</v>
      </c>
      <c r="P660" s="839" t="s">
        <v>905</v>
      </c>
      <c r="Q660" s="543">
        <v>14</v>
      </c>
      <c r="R660" s="543"/>
      <c r="S660" s="543">
        <v>14</v>
      </c>
      <c r="T660" s="1033" t="s">
        <v>2649</v>
      </c>
      <c r="U660" s="1033" t="s">
        <v>3562</v>
      </c>
      <c r="V660" s="1033"/>
      <c r="W660" s="1345" t="s">
        <v>2340</v>
      </c>
      <c r="X660" s="1033"/>
      <c r="Y660" s="862"/>
    </row>
    <row r="661" spans="1:25" customFormat="1" ht="32.85" hidden="1" customHeight="1">
      <c r="A661" s="137"/>
      <c r="B661" s="1345" t="s">
        <v>952</v>
      </c>
      <c r="C661" s="1461" t="s">
        <v>3899</v>
      </c>
      <c r="D661" s="137"/>
      <c r="E661" s="1499" t="s">
        <v>3898</v>
      </c>
      <c r="F661" s="862">
        <v>29</v>
      </c>
      <c r="G661" s="1033" t="s">
        <v>3816</v>
      </c>
      <c r="H661" s="692" t="s">
        <v>987</v>
      </c>
      <c r="I661" s="839" t="s">
        <v>2549</v>
      </c>
      <c r="J661" s="1185"/>
      <c r="K661" s="1348">
        <v>43801</v>
      </c>
      <c r="L661" s="1345" t="s">
        <v>990</v>
      </c>
      <c r="M661" s="1319" t="s">
        <v>3900</v>
      </c>
      <c r="N661" s="692" t="s">
        <v>2320</v>
      </c>
      <c r="O661" s="1347">
        <v>2019</v>
      </c>
      <c r="P661" s="839" t="s">
        <v>906</v>
      </c>
      <c r="Q661" s="543">
        <v>7</v>
      </c>
      <c r="R661" s="543"/>
      <c r="S661" s="543">
        <v>7</v>
      </c>
      <c r="T661" s="1033" t="s">
        <v>2958</v>
      </c>
      <c r="U661" s="1033" t="s">
        <v>864</v>
      </c>
      <c r="V661" s="1033"/>
      <c r="W661" s="1345" t="s">
        <v>2340</v>
      </c>
      <c r="X661" s="1033"/>
      <c r="Y661" s="862"/>
    </row>
    <row r="662" spans="1:25" customFormat="1" ht="32.85" hidden="1" customHeight="1">
      <c r="A662" s="137"/>
      <c r="B662" s="1345" t="s">
        <v>1957</v>
      </c>
      <c r="C662" s="1345" t="s">
        <v>3901</v>
      </c>
      <c r="D662" s="137"/>
      <c r="E662" s="1499" t="s">
        <v>3902</v>
      </c>
      <c r="F662" s="862"/>
      <c r="G662" s="1033" t="s">
        <v>3903</v>
      </c>
      <c r="H662" s="692" t="s">
        <v>987</v>
      </c>
      <c r="I662" s="839" t="s">
        <v>2549</v>
      </c>
      <c r="J662" s="1185"/>
      <c r="K662" s="1348">
        <v>43801</v>
      </c>
      <c r="L662" s="1345" t="s">
        <v>3015</v>
      </c>
      <c r="M662" s="1319" t="s">
        <v>3904</v>
      </c>
      <c r="N662" s="692" t="s">
        <v>2320</v>
      </c>
      <c r="O662" s="1347">
        <v>2019</v>
      </c>
      <c r="P662" s="839" t="s">
        <v>906</v>
      </c>
      <c r="Q662" s="692" t="s">
        <v>1576</v>
      </c>
      <c r="R662" s="543"/>
      <c r="S662" s="692" t="s">
        <v>1576</v>
      </c>
      <c r="T662" s="1033" t="s">
        <v>2432</v>
      </c>
      <c r="U662" s="1033" t="s">
        <v>864</v>
      </c>
      <c r="V662" s="1033"/>
      <c r="W662" s="1345" t="s">
        <v>3334</v>
      </c>
      <c r="X662" s="1033"/>
      <c r="Y662" s="862"/>
    </row>
    <row r="663" spans="1:25" customFormat="1" ht="32.85" hidden="1" customHeight="1">
      <c r="A663" s="137"/>
      <c r="B663" s="1345" t="s">
        <v>1057</v>
      </c>
      <c r="C663" s="1345" t="s">
        <v>3905</v>
      </c>
      <c r="D663" s="137"/>
      <c r="E663" s="1499" t="s">
        <v>3355</v>
      </c>
      <c r="F663" s="862"/>
      <c r="G663" s="1033"/>
      <c r="H663" s="692"/>
      <c r="I663" s="839" t="s">
        <v>2549</v>
      </c>
      <c r="J663" s="1185"/>
      <c r="K663" s="1348">
        <v>43799</v>
      </c>
      <c r="L663" s="1345"/>
      <c r="M663" s="1463" t="s">
        <v>3907</v>
      </c>
      <c r="N663" s="692" t="s">
        <v>1576</v>
      </c>
      <c r="O663" s="1347">
        <v>2019</v>
      </c>
      <c r="P663" s="839" t="s">
        <v>905</v>
      </c>
      <c r="Q663" s="692" t="s">
        <v>1576</v>
      </c>
      <c r="R663" s="543"/>
      <c r="S663" s="692" t="s">
        <v>1576</v>
      </c>
      <c r="T663" s="1319" t="s">
        <v>3908</v>
      </c>
      <c r="U663" s="1033" t="s">
        <v>3909</v>
      </c>
      <c r="V663" s="1033"/>
      <c r="W663" s="1345" t="s">
        <v>3910</v>
      </c>
      <c r="X663" s="1033" t="s">
        <v>3906</v>
      </c>
      <c r="Y663" s="862"/>
    </row>
    <row r="664" spans="1:25" customFormat="1" ht="32.85" hidden="1" customHeight="1">
      <c r="A664" s="137" t="s">
        <v>4006</v>
      </c>
      <c r="B664" s="1345" t="s">
        <v>1128</v>
      </c>
      <c r="C664" s="1345" t="s">
        <v>3911</v>
      </c>
      <c r="D664" s="137"/>
      <c r="E664" s="1499" t="s">
        <v>3775</v>
      </c>
      <c r="F664" s="862">
        <v>22</v>
      </c>
      <c r="G664" s="1033" t="s">
        <v>3377</v>
      </c>
      <c r="H664" s="692" t="s">
        <v>994</v>
      </c>
      <c r="I664" s="839" t="s">
        <v>2549</v>
      </c>
      <c r="J664" s="1185" t="s">
        <v>2914</v>
      </c>
      <c r="K664" s="1348">
        <v>43803</v>
      </c>
      <c r="L664" s="1345" t="s">
        <v>990</v>
      </c>
      <c r="M664" s="1319" t="s">
        <v>3912</v>
      </c>
      <c r="N664" s="692" t="s">
        <v>2320</v>
      </c>
      <c r="O664" s="1347">
        <v>2019</v>
      </c>
      <c r="P664" s="839" t="s">
        <v>906</v>
      </c>
      <c r="Q664" s="543">
        <v>4</v>
      </c>
      <c r="R664" s="543"/>
      <c r="S664" s="543">
        <v>4</v>
      </c>
      <c r="T664" s="1033" t="s">
        <v>2958</v>
      </c>
      <c r="U664" s="1033" t="s">
        <v>864</v>
      </c>
      <c r="V664" s="1033"/>
      <c r="W664" s="1345" t="s">
        <v>3998</v>
      </c>
      <c r="X664" s="1033"/>
      <c r="Y664" s="984" t="s">
        <v>4036</v>
      </c>
    </row>
    <row r="665" spans="1:25" customFormat="1" ht="32.85" hidden="1" customHeight="1">
      <c r="A665" s="137"/>
      <c r="B665" s="1345" t="s">
        <v>91</v>
      </c>
      <c r="C665" s="1345" t="s">
        <v>3915</v>
      </c>
      <c r="D665" s="137"/>
      <c r="E665" s="1499" t="s">
        <v>3913</v>
      </c>
      <c r="F665" s="862">
        <v>48</v>
      </c>
      <c r="G665" s="1033" t="s">
        <v>3914</v>
      </c>
      <c r="H665" s="692" t="s">
        <v>987</v>
      </c>
      <c r="I665" s="839" t="s">
        <v>2549</v>
      </c>
      <c r="J665" s="1185"/>
      <c r="K665" s="1348">
        <v>43804</v>
      </c>
      <c r="L665" s="1345" t="s">
        <v>3015</v>
      </c>
      <c r="M665" s="1319" t="s">
        <v>3916</v>
      </c>
      <c r="N665" s="692" t="s">
        <v>917</v>
      </c>
      <c r="O665" s="1347">
        <v>2019</v>
      </c>
      <c r="P665" s="839" t="s">
        <v>906</v>
      </c>
      <c r="Q665" s="543"/>
      <c r="R665" s="543"/>
      <c r="S665" s="543"/>
      <c r="T665" s="1033" t="s">
        <v>918</v>
      </c>
      <c r="U665" s="1033" t="s">
        <v>864</v>
      </c>
      <c r="V665" s="1033"/>
      <c r="W665" s="1345" t="s">
        <v>3917</v>
      </c>
      <c r="X665" s="1033"/>
      <c r="Y665" s="862"/>
    </row>
    <row r="666" spans="1:25" customFormat="1" ht="32.85" hidden="1" customHeight="1">
      <c r="A666" s="137"/>
      <c r="B666" s="1345" t="s">
        <v>1128</v>
      </c>
      <c r="C666" s="1345" t="s">
        <v>3919</v>
      </c>
      <c r="D666" s="137"/>
      <c r="E666" s="1499" t="s">
        <v>3918</v>
      </c>
      <c r="F666" s="862">
        <v>42</v>
      </c>
      <c r="G666" s="1033" t="s">
        <v>3377</v>
      </c>
      <c r="H666" s="692" t="s">
        <v>987</v>
      </c>
      <c r="I666" s="839" t="s">
        <v>2318</v>
      </c>
      <c r="J666" s="1185"/>
      <c r="K666" s="1348">
        <v>43806</v>
      </c>
      <c r="L666" s="1345" t="s">
        <v>3015</v>
      </c>
      <c r="M666" s="1319" t="s">
        <v>3920</v>
      </c>
      <c r="N666" s="692" t="s">
        <v>923</v>
      </c>
      <c r="O666" s="1347">
        <v>2019</v>
      </c>
      <c r="P666" s="839" t="s">
        <v>906</v>
      </c>
      <c r="Q666" s="692" t="s">
        <v>1576</v>
      </c>
      <c r="R666" s="543"/>
      <c r="S666" s="692" t="s">
        <v>1576</v>
      </c>
      <c r="T666" s="1033" t="s">
        <v>3921</v>
      </c>
      <c r="U666" s="1033" t="s">
        <v>3922</v>
      </c>
      <c r="V666" s="1033"/>
      <c r="W666" s="1345" t="s">
        <v>3923</v>
      </c>
      <c r="X666" s="1033"/>
      <c r="Y666" s="862"/>
    </row>
    <row r="667" spans="1:25" customFormat="1" ht="39.6" hidden="1">
      <c r="A667" s="137"/>
      <c r="B667" s="1345" t="s">
        <v>1958</v>
      </c>
      <c r="C667" s="1345" t="s">
        <v>3652</v>
      </c>
      <c r="D667" s="137"/>
      <c r="E667" s="1499" t="s">
        <v>3308</v>
      </c>
      <c r="F667" s="862">
        <v>28</v>
      </c>
      <c r="G667" s="1033" t="s">
        <v>3377</v>
      </c>
      <c r="H667" s="692" t="s">
        <v>987</v>
      </c>
      <c r="I667" s="839" t="s">
        <v>2310</v>
      </c>
      <c r="J667" s="1185"/>
      <c r="K667" s="1348">
        <v>43808</v>
      </c>
      <c r="L667" s="1345" t="s">
        <v>2117</v>
      </c>
      <c r="M667" s="1476" t="s">
        <v>3991</v>
      </c>
      <c r="N667" s="692" t="s">
        <v>913</v>
      </c>
      <c r="O667" s="1347">
        <v>2019</v>
      </c>
      <c r="P667" s="839" t="s">
        <v>906</v>
      </c>
      <c r="Q667" s="692">
        <v>2</v>
      </c>
      <c r="R667" s="543"/>
      <c r="S667" s="692">
        <v>2</v>
      </c>
      <c r="T667" s="1033" t="s">
        <v>3924</v>
      </c>
      <c r="U667" s="1033" t="s">
        <v>3922</v>
      </c>
      <c r="V667" s="1033"/>
      <c r="W667" s="1345" t="s">
        <v>3450</v>
      </c>
      <c r="X667" s="1033"/>
      <c r="Y667" s="862"/>
    </row>
    <row r="668" spans="1:25" customFormat="1" ht="32.85" hidden="1" customHeight="1">
      <c r="A668" s="137"/>
      <c r="B668" s="1345" t="s">
        <v>3926</v>
      </c>
      <c r="C668" s="1345" t="s">
        <v>3927</v>
      </c>
      <c r="D668" s="137"/>
      <c r="E668" s="1499" t="s">
        <v>3925</v>
      </c>
      <c r="F668" s="862">
        <v>30</v>
      </c>
      <c r="G668" s="1033" t="s">
        <v>3928</v>
      </c>
      <c r="H668" s="692" t="s">
        <v>994</v>
      </c>
      <c r="I668" s="839" t="s">
        <v>2310</v>
      </c>
      <c r="J668" s="1185"/>
      <c r="K668" s="1348">
        <v>43808</v>
      </c>
      <c r="L668" s="1345" t="s">
        <v>3015</v>
      </c>
      <c r="M668" s="1319" t="s">
        <v>3929</v>
      </c>
      <c r="N668" s="692" t="s">
        <v>913</v>
      </c>
      <c r="O668" s="1347">
        <v>2019</v>
      </c>
      <c r="P668" s="839" t="s">
        <v>906</v>
      </c>
      <c r="Q668" s="692" t="s">
        <v>1576</v>
      </c>
      <c r="R668" s="543"/>
      <c r="S668" s="692" t="s">
        <v>1576</v>
      </c>
      <c r="T668" s="1033" t="s">
        <v>918</v>
      </c>
      <c r="U668" s="1033" t="s">
        <v>3562</v>
      </c>
      <c r="V668" s="1033"/>
      <c r="W668" s="1345" t="s">
        <v>2607</v>
      </c>
      <c r="X668" s="1033"/>
      <c r="Y668" s="862"/>
    </row>
    <row r="669" spans="1:25" customFormat="1" ht="47.1" hidden="1" customHeight="1">
      <c r="A669" s="137" t="s">
        <v>4007</v>
      </c>
      <c r="B669" s="1345" t="s">
        <v>91</v>
      </c>
      <c r="C669" s="1345" t="s">
        <v>3931</v>
      </c>
      <c r="D669" s="137"/>
      <c r="E669" s="1499" t="s">
        <v>3930</v>
      </c>
      <c r="F669" s="862"/>
      <c r="G669" s="1388" t="s">
        <v>3934</v>
      </c>
      <c r="H669" s="692" t="s">
        <v>987</v>
      </c>
      <c r="I669" s="839" t="s">
        <v>2549</v>
      </c>
      <c r="J669" s="1185"/>
      <c r="K669" s="1348">
        <v>43801</v>
      </c>
      <c r="L669" s="1345" t="s">
        <v>990</v>
      </c>
      <c r="M669" s="1476" t="s">
        <v>3932</v>
      </c>
      <c r="N669" s="692" t="s">
        <v>913</v>
      </c>
      <c r="O669" s="1347">
        <v>2019</v>
      </c>
      <c r="P669" s="839" t="s">
        <v>906</v>
      </c>
      <c r="Q669" s="543">
        <v>14</v>
      </c>
      <c r="R669" s="543"/>
      <c r="S669" s="543">
        <v>14</v>
      </c>
      <c r="T669" s="1033" t="s">
        <v>3016</v>
      </c>
      <c r="U669" s="1033" t="s">
        <v>3562</v>
      </c>
      <c r="V669" s="1033"/>
      <c r="W669" s="1345" t="s">
        <v>2607</v>
      </c>
      <c r="X669" s="1033" t="s">
        <v>3933</v>
      </c>
      <c r="Y669" s="862"/>
    </row>
    <row r="670" spans="1:25" customFormat="1" ht="32.85" hidden="1" customHeight="1">
      <c r="A670" s="1460" t="s">
        <v>3960</v>
      </c>
      <c r="B670" s="1033" t="s">
        <v>694</v>
      </c>
      <c r="C670" s="1345" t="s">
        <v>3936</v>
      </c>
      <c r="D670" s="137"/>
      <c r="E670" s="1499" t="s">
        <v>3935</v>
      </c>
      <c r="F670" s="862">
        <v>31</v>
      </c>
      <c r="G670" s="1033" t="s">
        <v>3937</v>
      </c>
      <c r="H670" s="692" t="s">
        <v>987</v>
      </c>
      <c r="I670" s="839" t="s">
        <v>2549</v>
      </c>
      <c r="J670" s="1185"/>
      <c r="K670" s="1348">
        <v>43811</v>
      </c>
      <c r="L670" s="1345" t="s">
        <v>990</v>
      </c>
      <c r="M670" s="1319" t="s">
        <v>3938</v>
      </c>
      <c r="N670" s="692" t="s">
        <v>2320</v>
      </c>
      <c r="O670" s="1347">
        <v>2019</v>
      </c>
      <c r="P670" s="839" t="s">
        <v>906</v>
      </c>
      <c r="Q670" s="692">
        <v>10</v>
      </c>
      <c r="R670" s="543"/>
      <c r="S670" s="692">
        <v>10</v>
      </c>
      <c r="T670" s="1033" t="s">
        <v>3939</v>
      </c>
      <c r="U670" s="1033" t="s">
        <v>3922</v>
      </c>
      <c r="V670" s="1033"/>
      <c r="W670" s="1345" t="s">
        <v>3940</v>
      </c>
      <c r="X670" s="1033"/>
      <c r="Y670" s="862">
        <v>51</v>
      </c>
    </row>
    <row r="671" spans="1:25" customFormat="1" ht="32.85" hidden="1" customHeight="1">
      <c r="A671" s="137"/>
      <c r="B671" s="1345" t="s">
        <v>3943</v>
      </c>
      <c r="C671" s="1345" t="s">
        <v>3944</v>
      </c>
      <c r="D671" s="137"/>
      <c r="E671" s="1499" t="s">
        <v>3941</v>
      </c>
      <c r="F671" s="862">
        <v>33</v>
      </c>
      <c r="G671" s="1033" t="s">
        <v>3942</v>
      </c>
      <c r="H671" s="692" t="s">
        <v>987</v>
      </c>
      <c r="I671" s="839" t="s">
        <v>2310</v>
      </c>
      <c r="J671" s="1185"/>
      <c r="K671" s="1348">
        <v>43811</v>
      </c>
      <c r="L671" s="1345" t="s">
        <v>3015</v>
      </c>
      <c r="M671" s="1352" t="s">
        <v>3945</v>
      </c>
      <c r="N671" s="692" t="s">
        <v>913</v>
      </c>
      <c r="O671" s="1347">
        <v>2019</v>
      </c>
      <c r="P671" s="839" t="s">
        <v>906</v>
      </c>
      <c r="Q671" s="692" t="s">
        <v>1576</v>
      </c>
      <c r="R671" s="543"/>
      <c r="S671" s="692" t="s">
        <v>1576</v>
      </c>
      <c r="T671" s="1033" t="s">
        <v>3947</v>
      </c>
      <c r="U671" s="1033" t="s">
        <v>3922</v>
      </c>
      <c r="V671" s="1033"/>
      <c r="W671" s="1345" t="s">
        <v>3946</v>
      </c>
      <c r="X671" s="1033" t="s">
        <v>3943</v>
      </c>
      <c r="Y671" s="862"/>
    </row>
    <row r="672" spans="1:25" customFormat="1" ht="32.85" hidden="1" customHeight="1">
      <c r="A672" s="137"/>
      <c r="B672" s="1345" t="s">
        <v>1223</v>
      </c>
      <c r="C672" s="1345" t="s">
        <v>3950</v>
      </c>
      <c r="D672" s="137"/>
      <c r="E672" s="1499" t="s">
        <v>3948</v>
      </c>
      <c r="F672" s="862">
        <v>21</v>
      </c>
      <c r="G672" s="1033" t="s">
        <v>3949</v>
      </c>
      <c r="H672" s="692" t="s">
        <v>987</v>
      </c>
      <c r="I672" s="839" t="s">
        <v>2549</v>
      </c>
      <c r="J672" s="1185"/>
      <c r="K672" s="1348">
        <v>43809</v>
      </c>
      <c r="L672" s="1345" t="s">
        <v>3015</v>
      </c>
      <c r="M672" s="1352" t="s">
        <v>3951</v>
      </c>
      <c r="N672" s="692" t="s">
        <v>2320</v>
      </c>
      <c r="O672" s="1347">
        <v>2019</v>
      </c>
      <c r="P672" s="839" t="s">
        <v>906</v>
      </c>
      <c r="Q672" s="692" t="s">
        <v>1576</v>
      </c>
      <c r="R672" s="543"/>
      <c r="S672" s="692" t="s">
        <v>1576</v>
      </c>
      <c r="T672" s="1033" t="s">
        <v>3952</v>
      </c>
      <c r="U672" s="1033" t="s">
        <v>3922</v>
      </c>
      <c r="V672" s="1033"/>
      <c r="W672" s="1345" t="s">
        <v>3837</v>
      </c>
      <c r="X672" s="1033"/>
      <c r="Y672" s="862"/>
    </row>
    <row r="673" spans="1:25" customFormat="1" ht="44.85" hidden="1" customHeight="1">
      <c r="A673" s="137" t="s">
        <v>4005</v>
      </c>
      <c r="B673" s="1345" t="s">
        <v>588</v>
      </c>
      <c r="C673" s="1345" t="s">
        <v>3954</v>
      </c>
      <c r="D673" s="137"/>
      <c r="E673" s="1499" t="s">
        <v>3953</v>
      </c>
      <c r="F673" s="862">
        <v>37</v>
      </c>
      <c r="G673" s="1033" t="s">
        <v>3955</v>
      </c>
      <c r="H673" s="692" t="s">
        <v>987</v>
      </c>
      <c r="I673" s="839" t="s">
        <v>2318</v>
      </c>
      <c r="J673" s="1185"/>
      <c r="K673" s="1348">
        <v>43814</v>
      </c>
      <c r="L673" s="1345" t="s">
        <v>990</v>
      </c>
      <c r="M673" s="1389" t="s">
        <v>3956</v>
      </c>
      <c r="N673" s="692" t="s">
        <v>2320</v>
      </c>
      <c r="O673" s="1347">
        <v>2019</v>
      </c>
      <c r="P673" s="839" t="s">
        <v>906</v>
      </c>
      <c r="Q673" s="692">
        <v>9</v>
      </c>
      <c r="R673" s="543"/>
      <c r="S673" s="692">
        <v>9</v>
      </c>
      <c r="T673" s="1033" t="s">
        <v>3771</v>
      </c>
      <c r="U673" s="1033" t="s">
        <v>3922</v>
      </c>
      <c r="V673" s="1033"/>
      <c r="W673" s="1345" t="s">
        <v>3882</v>
      </c>
      <c r="X673" s="1033"/>
      <c r="Y673" s="862">
        <v>75</v>
      </c>
    </row>
    <row r="674" spans="1:25" customFormat="1" ht="32.85" hidden="1" customHeight="1">
      <c r="A674" s="137"/>
      <c r="B674" s="1345" t="s">
        <v>1128</v>
      </c>
      <c r="C674" s="1345" t="s">
        <v>3958</v>
      </c>
      <c r="D674" s="137"/>
      <c r="E674" s="1499" t="s">
        <v>3957</v>
      </c>
      <c r="F674" s="862">
        <v>45</v>
      </c>
      <c r="G674" s="1033" t="s">
        <v>2956</v>
      </c>
      <c r="H674" s="692" t="s">
        <v>987</v>
      </c>
      <c r="I674" s="839" t="s">
        <v>2310</v>
      </c>
      <c r="J674" s="1185"/>
      <c r="K674" s="1348">
        <v>43813</v>
      </c>
      <c r="L674" s="1345" t="s">
        <v>3015</v>
      </c>
      <c r="M674" s="1476" t="s">
        <v>3959</v>
      </c>
      <c r="N674" s="692" t="s">
        <v>917</v>
      </c>
      <c r="O674" s="1347">
        <v>2019</v>
      </c>
      <c r="P674" s="839" t="s">
        <v>906</v>
      </c>
      <c r="Q674" s="692"/>
      <c r="R674" s="543"/>
      <c r="S674" s="692"/>
      <c r="T674" s="1033" t="s">
        <v>918</v>
      </c>
      <c r="U674" s="1033" t="s">
        <v>3562</v>
      </c>
      <c r="V674" s="1033"/>
      <c r="W674" s="1345" t="s">
        <v>3837</v>
      </c>
      <c r="X674" s="1033"/>
      <c r="Y674" s="862"/>
    </row>
    <row r="675" spans="1:25" customFormat="1" ht="32.85" hidden="1" customHeight="1">
      <c r="A675" s="137"/>
      <c r="B675" s="1345" t="s">
        <v>694</v>
      </c>
      <c r="C675" s="1345" t="s">
        <v>2877</v>
      </c>
      <c r="D675" s="137"/>
      <c r="E675" s="1499" t="s">
        <v>2928</v>
      </c>
      <c r="F675" s="862">
        <v>38</v>
      </c>
      <c r="G675" s="1033" t="s">
        <v>2167</v>
      </c>
      <c r="H675" s="692" t="s">
        <v>987</v>
      </c>
      <c r="I675" s="839" t="s">
        <v>2310</v>
      </c>
      <c r="J675" s="1185"/>
      <c r="K675" s="1348">
        <v>43819</v>
      </c>
      <c r="L675" s="1345" t="s">
        <v>3015</v>
      </c>
      <c r="M675" s="1319" t="s">
        <v>3973</v>
      </c>
      <c r="N675" s="692" t="s">
        <v>2320</v>
      </c>
      <c r="O675" s="1347">
        <v>2019</v>
      </c>
      <c r="P675" s="839" t="s">
        <v>906</v>
      </c>
      <c r="Q675" s="543"/>
      <c r="R675" s="543"/>
      <c r="S675" s="543"/>
      <c r="T675" s="1033" t="s">
        <v>3974</v>
      </c>
      <c r="U675" s="1033" t="s">
        <v>3922</v>
      </c>
      <c r="V675" s="1033"/>
      <c r="W675" s="1345" t="s">
        <v>1555</v>
      </c>
      <c r="X675" s="1033"/>
      <c r="Y675" s="862"/>
    </row>
    <row r="676" spans="1:25" customFormat="1" ht="32.85" hidden="1" customHeight="1">
      <c r="A676" s="1462" t="s">
        <v>3986</v>
      </c>
      <c r="B676" s="1345" t="s">
        <v>1128</v>
      </c>
      <c r="C676" s="1345" t="s">
        <v>3975</v>
      </c>
      <c r="D676" s="137"/>
      <c r="E676" s="1499" t="s">
        <v>3985</v>
      </c>
      <c r="F676" s="862">
        <v>58</v>
      </c>
      <c r="G676" s="1033" t="s">
        <v>2842</v>
      </c>
      <c r="H676" s="692" t="s">
        <v>987</v>
      </c>
      <c r="I676" s="839" t="s">
        <v>2549</v>
      </c>
      <c r="J676" s="1185"/>
      <c r="K676" s="1348">
        <v>43820</v>
      </c>
      <c r="L676" s="1345" t="s">
        <v>990</v>
      </c>
      <c r="M676" s="1319" t="s">
        <v>3976</v>
      </c>
      <c r="N676" s="692" t="s">
        <v>2320</v>
      </c>
      <c r="O676" s="1347">
        <v>2019</v>
      </c>
      <c r="P676" s="839" t="s">
        <v>906</v>
      </c>
      <c r="Q676" s="692">
        <v>30</v>
      </c>
      <c r="R676" s="543"/>
      <c r="S676" s="692">
        <v>30</v>
      </c>
      <c r="T676" s="1033" t="s">
        <v>3977</v>
      </c>
      <c r="U676" s="1033" t="s">
        <v>3922</v>
      </c>
      <c r="V676" s="1033"/>
      <c r="W676" s="1345" t="s">
        <v>3978</v>
      </c>
      <c r="X676" s="1033"/>
      <c r="Y676" s="984" t="s">
        <v>4036</v>
      </c>
    </row>
    <row r="677" spans="1:25" customFormat="1" ht="32.85" hidden="1" customHeight="1">
      <c r="A677" s="137"/>
      <c r="B677" s="1345" t="s">
        <v>77</v>
      </c>
      <c r="C677" s="1345" t="s">
        <v>3980</v>
      </c>
      <c r="D677" s="137"/>
      <c r="E677" s="1499" t="s">
        <v>3979</v>
      </c>
      <c r="F677" s="862">
        <v>24</v>
      </c>
      <c r="G677" s="1033" t="s">
        <v>2167</v>
      </c>
      <c r="H677" s="692" t="s">
        <v>987</v>
      </c>
      <c r="I677" s="839" t="s">
        <v>2310</v>
      </c>
      <c r="J677" s="1185"/>
      <c r="K677" s="1348">
        <v>43820</v>
      </c>
      <c r="L677" s="1345" t="s">
        <v>3015</v>
      </c>
      <c r="M677" s="1319" t="s">
        <v>3981</v>
      </c>
      <c r="N677" s="692" t="s">
        <v>2320</v>
      </c>
      <c r="O677" s="1347">
        <v>2019</v>
      </c>
      <c r="P677" s="839" t="s">
        <v>906</v>
      </c>
      <c r="Q677" s="692"/>
      <c r="R677" s="543"/>
      <c r="S677" s="692" t="s">
        <v>1576</v>
      </c>
      <c r="T677" s="1033" t="s">
        <v>2432</v>
      </c>
      <c r="U677" s="1033" t="s">
        <v>3922</v>
      </c>
      <c r="V677" s="1033"/>
      <c r="W677" s="1345" t="s">
        <v>3837</v>
      </c>
      <c r="X677" s="1033"/>
      <c r="Y677" s="862"/>
    </row>
    <row r="678" spans="1:25" s="1112" customFormat="1" ht="32.85" hidden="1" customHeight="1">
      <c r="A678" s="1185"/>
      <c r="B678" s="1345" t="s">
        <v>91</v>
      </c>
      <c r="C678" s="1345" t="s">
        <v>3983</v>
      </c>
      <c r="D678" s="1185"/>
      <c r="E678" s="1457" t="s">
        <v>3982</v>
      </c>
      <c r="F678" s="862">
        <v>18</v>
      </c>
      <c r="G678" s="1195" t="s">
        <v>2956</v>
      </c>
      <c r="H678" s="984" t="s">
        <v>987</v>
      </c>
      <c r="I678" s="839" t="s">
        <v>2310</v>
      </c>
      <c r="J678" s="1185"/>
      <c r="K678" s="1348">
        <v>43822</v>
      </c>
      <c r="L678" s="1345" t="s">
        <v>3015</v>
      </c>
      <c r="M678" s="1345" t="s">
        <v>3984</v>
      </c>
      <c r="N678" s="984" t="s">
        <v>2320</v>
      </c>
      <c r="O678" s="1347">
        <v>2019</v>
      </c>
      <c r="P678" s="839" t="s">
        <v>906</v>
      </c>
      <c r="Q678" s="984"/>
      <c r="R678" s="862"/>
      <c r="S678" s="984" t="s">
        <v>1576</v>
      </c>
      <c r="T678" s="1195" t="s">
        <v>918</v>
      </c>
      <c r="U678" s="1195" t="s">
        <v>3023</v>
      </c>
      <c r="V678" s="1195"/>
      <c r="W678" s="1345" t="s">
        <v>3450</v>
      </c>
      <c r="X678" s="1195"/>
      <c r="Y678" s="862"/>
    </row>
    <row r="679" spans="1:25" s="1112" customFormat="1" ht="32.85" hidden="1" customHeight="1">
      <c r="A679" s="1185"/>
      <c r="B679" s="1033" t="s">
        <v>1223</v>
      </c>
      <c r="C679" s="1345" t="s">
        <v>3993</v>
      </c>
      <c r="D679" s="1185"/>
      <c r="E679" s="1457" t="s">
        <v>3925</v>
      </c>
      <c r="F679" s="862">
        <v>30</v>
      </c>
      <c r="G679" s="1195" t="s">
        <v>3994</v>
      </c>
      <c r="H679" s="984" t="s">
        <v>994</v>
      </c>
      <c r="I679" s="839" t="s">
        <v>2310</v>
      </c>
      <c r="J679" s="1185"/>
      <c r="K679" s="1348">
        <v>43808</v>
      </c>
      <c r="L679" s="1345" t="s">
        <v>2117</v>
      </c>
      <c r="M679" s="1345" t="s">
        <v>3992</v>
      </c>
      <c r="N679" s="984" t="s">
        <v>915</v>
      </c>
      <c r="O679" s="1347">
        <v>2019</v>
      </c>
      <c r="P679" s="839" t="s">
        <v>906</v>
      </c>
      <c r="Q679" s="862"/>
      <c r="R679" s="862"/>
      <c r="S679" s="862"/>
      <c r="T679" s="1195" t="s">
        <v>3995</v>
      </c>
      <c r="U679" s="1195" t="s">
        <v>1960</v>
      </c>
      <c r="V679" s="1195"/>
      <c r="W679" s="1345" t="s">
        <v>3996</v>
      </c>
      <c r="X679" s="1195"/>
      <c r="Y679" s="862"/>
    </row>
    <row r="680" spans="1:25" s="1112" customFormat="1" ht="32.85" hidden="1" customHeight="1">
      <c r="A680" s="1185"/>
      <c r="B680" s="1345" t="s">
        <v>1128</v>
      </c>
      <c r="C680" s="1345" t="s">
        <v>4010</v>
      </c>
      <c r="D680" s="1185"/>
      <c r="E680" s="1457" t="s">
        <v>4008</v>
      </c>
      <c r="F680" s="862">
        <v>18</v>
      </c>
      <c r="G680" s="1195" t="s">
        <v>4009</v>
      </c>
      <c r="H680" s="984" t="s">
        <v>987</v>
      </c>
      <c r="I680" s="839" t="s">
        <v>2310</v>
      </c>
      <c r="J680" s="1185"/>
      <c r="K680" s="1348">
        <v>43833</v>
      </c>
      <c r="L680" s="1345" t="s">
        <v>3015</v>
      </c>
      <c r="M680" s="1345" t="s">
        <v>4011</v>
      </c>
      <c r="N680" s="984" t="s">
        <v>2320</v>
      </c>
      <c r="O680" s="1347">
        <v>2020</v>
      </c>
      <c r="P680" s="839" t="s">
        <v>2165</v>
      </c>
      <c r="Q680" s="984" t="s">
        <v>1576</v>
      </c>
      <c r="R680" s="862"/>
      <c r="S680" s="984" t="s">
        <v>1576</v>
      </c>
      <c r="T680" s="1195" t="s">
        <v>4012</v>
      </c>
      <c r="U680" s="1195" t="s">
        <v>3922</v>
      </c>
      <c r="V680" s="1195"/>
      <c r="W680" s="1345" t="s">
        <v>4013</v>
      </c>
      <c r="X680" s="1195"/>
      <c r="Y680" s="862"/>
    </row>
    <row r="681" spans="1:25" s="1112" customFormat="1" ht="32.85" hidden="1" customHeight="1">
      <c r="A681" s="1185"/>
      <c r="B681" s="1345" t="s">
        <v>91</v>
      </c>
      <c r="C681" s="1345" t="s">
        <v>4080</v>
      </c>
      <c r="D681" s="1185"/>
      <c r="E681" s="1457" t="s">
        <v>3349</v>
      </c>
      <c r="F681" s="862">
        <v>22</v>
      </c>
      <c r="G681" s="1195" t="s">
        <v>2163</v>
      </c>
      <c r="H681" s="984" t="s">
        <v>987</v>
      </c>
      <c r="I681" s="839" t="s">
        <v>2310</v>
      </c>
      <c r="J681" s="1185"/>
      <c r="K681" s="1348">
        <v>43836</v>
      </c>
      <c r="L681" s="1345" t="s">
        <v>3015</v>
      </c>
      <c r="M681" s="1509" t="s">
        <v>4014</v>
      </c>
      <c r="N681" s="984" t="s">
        <v>913</v>
      </c>
      <c r="O681" s="1347">
        <v>2020</v>
      </c>
      <c r="P681" s="839" t="s">
        <v>2165</v>
      </c>
      <c r="Q681" s="984" t="s">
        <v>1576</v>
      </c>
      <c r="R681" s="862"/>
      <c r="S681" s="984" t="s">
        <v>1576</v>
      </c>
      <c r="T681" s="1195" t="s">
        <v>918</v>
      </c>
      <c r="U681" s="1195" t="s">
        <v>3562</v>
      </c>
      <c r="V681" s="1195"/>
      <c r="W681" s="1345" t="s">
        <v>4015</v>
      </c>
      <c r="X681" s="1195"/>
      <c r="Y681" s="862"/>
    </row>
    <row r="682" spans="1:25" s="1112" customFormat="1" ht="32.85" hidden="1" customHeight="1">
      <c r="A682" s="1185"/>
      <c r="B682" s="1345" t="s">
        <v>91</v>
      </c>
      <c r="C682" s="1345" t="s">
        <v>4018</v>
      </c>
      <c r="D682" s="1185"/>
      <c r="E682" s="1457" t="s">
        <v>4016</v>
      </c>
      <c r="F682" s="862">
        <v>23</v>
      </c>
      <c r="G682" s="1195" t="s">
        <v>4017</v>
      </c>
      <c r="H682" s="984" t="s">
        <v>987</v>
      </c>
      <c r="I682" s="839" t="s">
        <v>2549</v>
      </c>
      <c r="J682" s="1185"/>
      <c r="K682" s="1348">
        <v>43838</v>
      </c>
      <c r="L682" s="1345" t="s">
        <v>3015</v>
      </c>
      <c r="M682" s="1345" t="s">
        <v>4019</v>
      </c>
      <c r="N682" s="984" t="s">
        <v>923</v>
      </c>
      <c r="O682" s="1347">
        <v>2020</v>
      </c>
      <c r="P682" s="839" t="s">
        <v>2165</v>
      </c>
      <c r="Q682" s="984" t="s">
        <v>1576</v>
      </c>
      <c r="R682" s="862"/>
      <c r="S682" s="984" t="s">
        <v>1576</v>
      </c>
      <c r="T682" s="1195" t="s">
        <v>3784</v>
      </c>
      <c r="U682" s="1195" t="s">
        <v>3922</v>
      </c>
      <c r="V682" s="1195"/>
      <c r="W682" s="1345" t="s">
        <v>4020</v>
      </c>
      <c r="X682" s="1195"/>
      <c r="Y682" s="862"/>
    </row>
    <row r="683" spans="1:25" s="1112" customFormat="1" ht="32.85" hidden="1" customHeight="1">
      <c r="A683" s="1185"/>
      <c r="B683" s="1345" t="s">
        <v>788</v>
      </c>
      <c r="C683" s="1345" t="s">
        <v>1956</v>
      </c>
      <c r="D683" s="1185"/>
      <c r="E683" s="1457" t="s">
        <v>4038</v>
      </c>
      <c r="F683" s="862"/>
      <c r="G683" s="1195" t="s">
        <v>3755</v>
      </c>
      <c r="H683" s="984" t="s">
        <v>987</v>
      </c>
      <c r="I683" s="839" t="s">
        <v>2310</v>
      </c>
      <c r="J683" s="1185"/>
      <c r="K683" s="1348">
        <v>43741</v>
      </c>
      <c r="L683" s="1345" t="s">
        <v>990</v>
      </c>
      <c r="M683" s="1345" t="s">
        <v>4037</v>
      </c>
      <c r="N683" s="1195" t="s">
        <v>2320</v>
      </c>
      <c r="O683" s="1347">
        <v>2019</v>
      </c>
      <c r="P683" s="839" t="s">
        <v>904</v>
      </c>
      <c r="Q683" s="862">
        <v>7</v>
      </c>
      <c r="R683" s="862"/>
      <c r="S683" s="862">
        <v>7</v>
      </c>
      <c r="T683" s="1195" t="s">
        <v>2227</v>
      </c>
      <c r="U683" s="1345" t="s">
        <v>864</v>
      </c>
      <c r="V683" s="1345"/>
      <c r="W683" s="1345" t="s">
        <v>2275</v>
      </c>
      <c r="X683" s="1195"/>
      <c r="Y683" s="862"/>
    </row>
    <row r="684" spans="1:25" s="1112" customFormat="1" ht="32.85" hidden="1" customHeight="1">
      <c r="A684" s="1185"/>
      <c r="B684" s="1345" t="s">
        <v>788</v>
      </c>
      <c r="C684" s="1345" t="s">
        <v>1957</v>
      </c>
      <c r="D684" s="1185"/>
      <c r="E684" s="1457" t="s">
        <v>4039</v>
      </c>
      <c r="F684" s="862"/>
      <c r="G684" s="1195" t="s">
        <v>4041</v>
      </c>
      <c r="H684" s="984" t="s">
        <v>987</v>
      </c>
      <c r="I684" s="839" t="s">
        <v>2310</v>
      </c>
      <c r="J684" s="1185"/>
      <c r="K684" s="1348">
        <v>43524</v>
      </c>
      <c r="L684" s="1345" t="s">
        <v>990</v>
      </c>
      <c r="M684" s="1345" t="s">
        <v>4040</v>
      </c>
      <c r="N684" s="1195" t="s">
        <v>2320</v>
      </c>
      <c r="O684" s="1347">
        <v>2019</v>
      </c>
      <c r="P684" s="839" t="s">
        <v>896</v>
      </c>
      <c r="Q684" s="862">
        <v>12</v>
      </c>
      <c r="R684" s="862"/>
      <c r="S684" s="862">
        <v>12</v>
      </c>
      <c r="T684" s="1195" t="s">
        <v>2227</v>
      </c>
      <c r="U684" s="1345" t="s">
        <v>864</v>
      </c>
      <c r="V684" s="1345"/>
      <c r="W684" s="1345" t="s">
        <v>2275</v>
      </c>
      <c r="X684" s="1195"/>
      <c r="Y684" s="862"/>
    </row>
    <row r="685" spans="1:25" s="1112" customFormat="1" ht="32.85" hidden="1" customHeight="1">
      <c r="A685" s="1185"/>
      <c r="B685" s="1345" t="s">
        <v>788</v>
      </c>
      <c r="C685" s="1345" t="s">
        <v>1957</v>
      </c>
      <c r="D685" s="1185"/>
      <c r="E685" s="1457"/>
      <c r="F685" s="862"/>
      <c r="G685" s="1195"/>
      <c r="H685" s="984" t="s">
        <v>987</v>
      </c>
      <c r="I685" s="839"/>
      <c r="J685" s="1185"/>
      <c r="K685" s="1348">
        <v>43802</v>
      </c>
      <c r="L685" s="1345" t="s">
        <v>990</v>
      </c>
      <c r="M685" s="1345"/>
      <c r="N685" s="984"/>
      <c r="O685" s="1347">
        <v>2019</v>
      </c>
      <c r="P685" s="839" t="s">
        <v>906</v>
      </c>
      <c r="Q685" s="862">
        <v>15</v>
      </c>
      <c r="R685" s="862"/>
      <c r="S685" s="862">
        <v>15</v>
      </c>
      <c r="T685" s="1195"/>
      <c r="U685" s="1195"/>
      <c r="V685" s="1195"/>
      <c r="W685" s="1345"/>
      <c r="X685" s="1195"/>
      <c r="Y685" s="862"/>
    </row>
    <row r="686" spans="1:25" s="1112" customFormat="1" ht="32.85" hidden="1" customHeight="1">
      <c r="A686" s="1185"/>
      <c r="B686" s="1345" t="s">
        <v>91</v>
      </c>
      <c r="C686" s="1345" t="s">
        <v>4043</v>
      </c>
      <c r="D686" s="1185"/>
      <c r="E686" s="1457" t="s">
        <v>4042</v>
      </c>
      <c r="F686" s="862">
        <v>20</v>
      </c>
      <c r="G686" s="1195" t="s">
        <v>2163</v>
      </c>
      <c r="H686" s="984" t="s">
        <v>994</v>
      </c>
      <c r="I686" s="839" t="s">
        <v>2318</v>
      </c>
      <c r="J686" s="1185"/>
      <c r="K686" s="1348">
        <v>43848</v>
      </c>
      <c r="L686" s="1345" t="s">
        <v>3015</v>
      </c>
      <c r="M686" s="1345" t="s">
        <v>4044</v>
      </c>
      <c r="N686" s="984" t="s">
        <v>923</v>
      </c>
      <c r="O686" s="1347">
        <v>2020</v>
      </c>
      <c r="P686" s="839" t="s">
        <v>2165</v>
      </c>
      <c r="Q686" s="862" t="s">
        <v>1576</v>
      </c>
      <c r="R686" s="862"/>
      <c r="S686" s="862" t="s">
        <v>1576</v>
      </c>
      <c r="T686" s="1195" t="s">
        <v>4045</v>
      </c>
      <c r="U686" s="1195" t="s">
        <v>918</v>
      </c>
      <c r="V686" s="1195"/>
      <c r="W686" s="1345" t="s">
        <v>3450</v>
      </c>
      <c r="X686" s="1195"/>
      <c r="Y686" s="862"/>
    </row>
    <row r="687" spans="1:25" s="1112" customFormat="1" ht="32.85" hidden="1" customHeight="1">
      <c r="A687" s="1185"/>
      <c r="B687" s="1345" t="s">
        <v>1128</v>
      </c>
      <c r="C687" s="1345" t="s">
        <v>4047</v>
      </c>
      <c r="D687" s="1185"/>
      <c r="E687" s="1457" t="s">
        <v>4046</v>
      </c>
      <c r="F687" s="862">
        <v>20</v>
      </c>
      <c r="G687" s="1195" t="s">
        <v>3234</v>
      </c>
      <c r="H687" s="984" t="s">
        <v>994</v>
      </c>
      <c r="I687" s="839" t="s">
        <v>2549</v>
      </c>
      <c r="J687" s="1185"/>
      <c r="K687" s="1348">
        <v>43839</v>
      </c>
      <c r="L687" s="1345" t="s">
        <v>3015</v>
      </c>
      <c r="M687" s="1345" t="s">
        <v>4048</v>
      </c>
      <c r="N687" s="984" t="s">
        <v>913</v>
      </c>
      <c r="O687" s="1347">
        <v>2020</v>
      </c>
      <c r="P687" s="839" t="s">
        <v>2165</v>
      </c>
      <c r="Q687" s="862" t="s">
        <v>1576</v>
      </c>
      <c r="R687" s="862"/>
      <c r="S687" s="862" t="s">
        <v>1576</v>
      </c>
      <c r="T687" s="1195" t="s">
        <v>3763</v>
      </c>
      <c r="U687" s="1195" t="s">
        <v>3922</v>
      </c>
      <c r="V687" s="1195"/>
      <c r="W687" s="1345" t="s">
        <v>3450</v>
      </c>
      <c r="X687" s="1195"/>
      <c r="Y687" s="862"/>
    </row>
    <row r="688" spans="1:25" s="1112" customFormat="1" ht="32.85" hidden="1" customHeight="1">
      <c r="A688" s="1185"/>
      <c r="B688" s="1345" t="s">
        <v>602</v>
      </c>
      <c r="C688" s="1345" t="s">
        <v>4050</v>
      </c>
      <c r="D688" s="1185"/>
      <c r="E688" s="1457" t="s">
        <v>4049</v>
      </c>
      <c r="F688" s="862">
        <v>41</v>
      </c>
      <c r="G688" s="1195" t="s">
        <v>4051</v>
      </c>
      <c r="H688" s="984" t="s">
        <v>987</v>
      </c>
      <c r="I688" s="839" t="s">
        <v>2318</v>
      </c>
      <c r="J688" s="1185"/>
      <c r="K688" s="1348">
        <v>43839</v>
      </c>
      <c r="L688" s="1345" t="s">
        <v>3015</v>
      </c>
      <c r="M688" s="1345" t="s">
        <v>4052</v>
      </c>
      <c r="N688" s="984" t="s">
        <v>923</v>
      </c>
      <c r="O688" s="1347">
        <v>2020</v>
      </c>
      <c r="P688" s="839" t="s">
        <v>2165</v>
      </c>
      <c r="Q688" s="862" t="s">
        <v>1576</v>
      </c>
      <c r="R688" s="862"/>
      <c r="S688" s="862" t="s">
        <v>1576</v>
      </c>
      <c r="T688" s="1195" t="s">
        <v>3796</v>
      </c>
      <c r="U688" s="1195" t="s">
        <v>3922</v>
      </c>
      <c r="V688" s="1195"/>
      <c r="W688" s="1345" t="s">
        <v>3798</v>
      </c>
      <c r="X688" s="1195"/>
      <c r="Y688" s="862"/>
    </row>
    <row r="689" spans="1:26" s="1112" customFormat="1" ht="32.85" hidden="1" customHeight="1">
      <c r="A689" s="1185"/>
      <c r="B689" s="1345" t="s">
        <v>3310</v>
      </c>
      <c r="C689" s="1345" t="s">
        <v>4054</v>
      </c>
      <c r="D689" s="1185"/>
      <c r="E689" s="1457" t="s">
        <v>4053</v>
      </c>
      <c r="F689" s="862">
        <v>22</v>
      </c>
      <c r="G689" s="1195" t="s">
        <v>2167</v>
      </c>
      <c r="H689" s="984" t="s">
        <v>987</v>
      </c>
      <c r="I689" s="839" t="s">
        <v>2310</v>
      </c>
      <c r="J689" s="1185"/>
      <c r="K689" s="1348">
        <v>43852</v>
      </c>
      <c r="L689" s="1345" t="s">
        <v>3015</v>
      </c>
      <c r="M689" s="1345" t="s">
        <v>4055</v>
      </c>
      <c r="N689" s="984" t="s">
        <v>2320</v>
      </c>
      <c r="O689" s="1347">
        <v>2020</v>
      </c>
      <c r="P689" s="839" t="s">
        <v>2165</v>
      </c>
      <c r="Q689" s="862" t="s">
        <v>1576</v>
      </c>
      <c r="R689" s="862"/>
      <c r="S689" s="862" t="s">
        <v>1576</v>
      </c>
      <c r="T689" s="1195" t="s">
        <v>4056</v>
      </c>
      <c r="U689" s="1195" t="s">
        <v>918</v>
      </c>
      <c r="V689" s="1195"/>
      <c r="W689" s="1345" t="s">
        <v>4057</v>
      </c>
      <c r="X689" s="1195"/>
      <c r="Y689" s="862"/>
    </row>
    <row r="690" spans="1:26" s="1112" customFormat="1" ht="32.85" hidden="1" customHeight="1">
      <c r="A690" s="1185"/>
      <c r="B690" s="1345" t="s">
        <v>694</v>
      </c>
      <c r="C690" s="1345" t="s">
        <v>4058</v>
      </c>
      <c r="D690" s="1185"/>
      <c r="E690" s="1457" t="s">
        <v>3355</v>
      </c>
      <c r="F690" s="862"/>
      <c r="G690" s="1195"/>
      <c r="H690" s="984"/>
      <c r="I690" s="839" t="s">
        <v>2310</v>
      </c>
      <c r="J690" s="1185"/>
      <c r="K690" s="1348">
        <v>43850</v>
      </c>
      <c r="L690" s="1458" t="s">
        <v>3601</v>
      </c>
      <c r="M690" s="1345" t="s">
        <v>4059</v>
      </c>
      <c r="N690" s="984"/>
      <c r="O690" s="1347">
        <v>2020</v>
      </c>
      <c r="P690" s="839" t="s">
        <v>2165</v>
      </c>
      <c r="Q690" s="862" t="s">
        <v>1576</v>
      </c>
      <c r="R690" s="862"/>
      <c r="S690" s="862" t="s">
        <v>1576</v>
      </c>
      <c r="T690" s="1195" t="s">
        <v>918</v>
      </c>
      <c r="U690" s="1195" t="s">
        <v>918</v>
      </c>
      <c r="V690" s="1195"/>
      <c r="W690" s="1345" t="s">
        <v>918</v>
      </c>
      <c r="X690" s="1195"/>
      <c r="Y690" s="862"/>
    </row>
    <row r="691" spans="1:26" s="1112" customFormat="1" ht="32.85" hidden="1" customHeight="1">
      <c r="A691" s="1541"/>
      <c r="B691" s="1520" t="s">
        <v>91</v>
      </c>
      <c r="C691" s="1520" t="s">
        <v>4061</v>
      </c>
      <c r="D691" s="1185"/>
      <c r="E691" s="1579" t="s">
        <v>4060</v>
      </c>
      <c r="F691" s="1536">
        <v>45</v>
      </c>
      <c r="G691" s="1542" t="s">
        <v>4062</v>
      </c>
      <c r="H691" s="1580" t="s">
        <v>987</v>
      </c>
      <c r="I691" s="1522" t="s">
        <v>2310</v>
      </c>
      <c r="J691" s="1541"/>
      <c r="K691" s="1587">
        <v>43857</v>
      </c>
      <c r="L691" s="1520" t="s">
        <v>3015</v>
      </c>
      <c r="M691" s="1520" t="s">
        <v>4063</v>
      </c>
      <c r="N691" s="1580" t="s">
        <v>2320</v>
      </c>
      <c r="O691" s="1521">
        <v>2020</v>
      </c>
      <c r="P691" s="1522" t="s">
        <v>2165</v>
      </c>
      <c r="Q691" s="1580" t="s">
        <v>1576</v>
      </c>
      <c r="R691" s="1536"/>
      <c r="S691" s="1580" t="s">
        <v>1576</v>
      </c>
      <c r="T691" s="1542" t="s">
        <v>4064</v>
      </c>
      <c r="U691" s="1542" t="s">
        <v>3922</v>
      </c>
      <c r="V691" s="1542"/>
      <c r="W691" s="1520" t="s">
        <v>3882</v>
      </c>
      <c r="X691" s="1542"/>
      <c r="Y691" s="1536"/>
    </row>
    <row r="692" spans="1:26" ht="48" hidden="1" customHeight="1">
      <c r="A692" s="1601"/>
      <c r="B692" s="1345" t="s">
        <v>788</v>
      </c>
      <c r="C692" s="1603" t="s">
        <v>4089</v>
      </c>
      <c r="D692" s="1516"/>
      <c r="E692" s="1605" t="s">
        <v>4572</v>
      </c>
      <c r="F692" s="1604">
        <v>29</v>
      </c>
      <c r="G692" s="1604" t="s">
        <v>4066</v>
      </c>
      <c r="H692" s="1604" t="s">
        <v>987</v>
      </c>
      <c r="I692" s="1602" t="s">
        <v>2318</v>
      </c>
      <c r="J692" s="1604"/>
      <c r="K692" s="1606">
        <v>43855</v>
      </c>
      <c r="L692" s="1603" t="s">
        <v>990</v>
      </c>
      <c r="M692" s="1607" t="s">
        <v>4067</v>
      </c>
      <c r="N692" s="1604" t="s">
        <v>2320</v>
      </c>
      <c r="O692" s="1602">
        <v>2020</v>
      </c>
      <c r="P692" s="1602" t="s">
        <v>2165</v>
      </c>
      <c r="Q692" s="1604">
        <v>12</v>
      </c>
      <c r="R692" s="1604"/>
      <c r="S692" s="1604">
        <v>12</v>
      </c>
      <c r="T692" s="1602" t="s">
        <v>4068</v>
      </c>
      <c r="U692" s="1601" t="s">
        <v>3922</v>
      </c>
      <c r="V692" s="1601"/>
      <c r="W692" s="1602" t="s">
        <v>4069</v>
      </c>
      <c r="X692" s="1604"/>
      <c r="Y692" s="1604"/>
      <c r="Z692" s="1608"/>
    </row>
    <row r="693" spans="1:26" ht="44.1" hidden="1" customHeight="1">
      <c r="A693" s="1601"/>
      <c r="B693" s="1345" t="s">
        <v>1128</v>
      </c>
      <c r="C693" s="1603" t="s">
        <v>3975</v>
      </c>
      <c r="D693" s="1516"/>
      <c r="E693" s="1613" t="s">
        <v>4070</v>
      </c>
      <c r="F693" s="1604">
        <v>55</v>
      </c>
      <c r="G693" s="1604" t="s">
        <v>2693</v>
      </c>
      <c r="H693" s="1604" t="s">
        <v>987</v>
      </c>
      <c r="I693" s="1602" t="s">
        <v>2310</v>
      </c>
      <c r="J693" s="1604" t="s">
        <v>2492</v>
      </c>
      <c r="K693" s="1606">
        <v>43855</v>
      </c>
      <c r="L693" s="1603" t="s">
        <v>990</v>
      </c>
      <c r="M693" s="1603" t="s">
        <v>4071</v>
      </c>
      <c r="N693" s="1604" t="s">
        <v>2320</v>
      </c>
      <c r="O693" s="1602">
        <v>2020</v>
      </c>
      <c r="P693" s="1602" t="s">
        <v>2165</v>
      </c>
      <c r="Q693" s="1604">
        <v>3</v>
      </c>
      <c r="R693" s="1604"/>
      <c r="S693" s="1604">
        <f>+R693+Q693</f>
        <v>3</v>
      </c>
      <c r="T693" s="1604" t="s">
        <v>2227</v>
      </c>
      <c r="U693" s="1601" t="s">
        <v>4481</v>
      </c>
      <c r="V693" s="1601"/>
      <c r="W693" s="1602" t="s">
        <v>2275</v>
      </c>
      <c r="X693" s="1604"/>
      <c r="Y693" s="1604">
        <v>52</v>
      </c>
      <c r="Z693" s="1608"/>
    </row>
    <row r="694" spans="1:26" ht="32.85" hidden="1" customHeight="1">
      <c r="A694" s="1635" t="s">
        <v>4075</v>
      </c>
      <c r="B694" s="1520" t="s">
        <v>91</v>
      </c>
      <c r="C694" s="1603" t="s">
        <v>4073</v>
      </c>
      <c r="D694" s="1516"/>
      <c r="E694" s="1605" t="s">
        <v>4072</v>
      </c>
      <c r="F694" s="1604">
        <v>45</v>
      </c>
      <c r="G694" s="1604" t="s">
        <v>4077</v>
      </c>
      <c r="H694" s="1604" t="s">
        <v>987</v>
      </c>
      <c r="I694" s="1602" t="s">
        <v>2310</v>
      </c>
      <c r="J694" s="1604" t="s">
        <v>2706</v>
      </c>
      <c r="K694" s="1606">
        <v>43855</v>
      </c>
      <c r="L694" s="1603" t="s">
        <v>990</v>
      </c>
      <c r="M694" s="1603" t="s">
        <v>4074</v>
      </c>
      <c r="N694" s="1604" t="s">
        <v>2320</v>
      </c>
      <c r="O694" s="1602">
        <v>2020</v>
      </c>
      <c r="P694" s="1602" t="s">
        <v>2165</v>
      </c>
      <c r="Q694" s="1604">
        <v>4</v>
      </c>
      <c r="R694" s="1604"/>
      <c r="S694" s="1604">
        <f>+R694+Q694</f>
        <v>4</v>
      </c>
      <c r="T694" s="1604" t="s">
        <v>4076</v>
      </c>
      <c r="U694" s="1601" t="s">
        <v>864</v>
      </c>
      <c r="V694" s="1601"/>
      <c r="W694" s="1602" t="s">
        <v>2275</v>
      </c>
      <c r="X694" s="1604"/>
      <c r="Y694" s="1604"/>
      <c r="Z694" s="1608"/>
    </row>
    <row r="695" spans="1:26" ht="32.85" hidden="1" customHeight="1">
      <c r="A695" s="1601"/>
      <c r="B695" s="1345" t="s">
        <v>91</v>
      </c>
      <c r="C695" s="1603" t="s">
        <v>4080</v>
      </c>
      <c r="D695" s="1516"/>
      <c r="E695" s="1605" t="s">
        <v>4078</v>
      </c>
      <c r="F695" s="1604"/>
      <c r="G695" s="1609" t="s">
        <v>4079</v>
      </c>
      <c r="H695" s="1604" t="s">
        <v>994</v>
      </c>
      <c r="I695" s="1602" t="s">
        <v>2310</v>
      </c>
      <c r="J695" s="1604"/>
      <c r="K695" s="1606">
        <v>43859</v>
      </c>
      <c r="L695" s="1603" t="s">
        <v>990</v>
      </c>
      <c r="M695" s="1603" t="s">
        <v>4081</v>
      </c>
      <c r="N695" s="1604" t="s">
        <v>929</v>
      </c>
      <c r="O695" s="1602">
        <v>2020</v>
      </c>
      <c r="P695" s="1602" t="s">
        <v>2165</v>
      </c>
      <c r="Q695" s="1604">
        <v>6</v>
      </c>
      <c r="R695" s="1604"/>
      <c r="S695" s="1604">
        <f>+R695+Q695</f>
        <v>6</v>
      </c>
      <c r="T695" s="1604" t="s">
        <v>4082</v>
      </c>
      <c r="U695" s="1601" t="s">
        <v>864</v>
      </c>
      <c r="V695" s="1601"/>
      <c r="W695" s="1602" t="s">
        <v>2564</v>
      </c>
      <c r="X695" s="1604"/>
      <c r="Y695" s="1604"/>
      <c r="Z695" s="1618" t="s">
        <v>1448</v>
      </c>
    </row>
    <row r="696" spans="1:26" ht="79.2" hidden="1" customHeight="1">
      <c r="A696" s="1601"/>
      <c r="B696" s="1345" t="s">
        <v>876</v>
      </c>
      <c r="C696" s="1603" t="s">
        <v>4083</v>
      </c>
      <c r="D696" s="1516"/>
      <c r="E696" s="1605" t="s">
        <v>4573</v>
      </c>
      <c r="F696" s="1604">
        <v>51</v>
      </c>
      <c r="G696" s="1604" t="s">
        <v>4085</v>
      </c>
      <c r="H696" s="1604" t="s">
        <v>987</v>
      </c>
      <c r="I696" s="1602" t="s">
        <v>2310</v>
      </c>
      <c r="J696" s="1602" t="s">
        <v>4084</v>
      </c>
      <c r="K696" s="1606">
        <v>43859</v>
      </c>
      <c r="L696" s="1603" t="s">
        <v>990</v>
      </c>
      <c r="M696" s="1603" t="s">
        <v>4086</v>
      </c>
      <c r="N696" s="1604" t="s">
        <v>2320</v>
      </c>
      <c r="O696" s="1602">
        <v>2020</v>
      </c>
      <c r="P696" s="1602" t="s">
        <v>2165</v>
      </c>
      <c r="Q696" s="1604">
        <v>77</v>
      </c>
      <c r="R696" s="1604">
        <v>200</v>
      </c>
      <c r="S696" s="1604">
        <f>+R696+Q696</f>
        <v>277</v>
      </c>
      <c r="T696" s="1604" t="s">
        <v>4087</v>
      </c>
      <c r="U696" s="1601" t="s">
        <v>864</v>
      </c>
      <c r="V696" s="1601"/>
      <c r="W696" s="1602" t="s">
        <v>4088</v>
      </c>
      <c r="X696" s="1604"/>
      <c r="Y696" s="1604"/>
      <c r="Z696" s="1608"/>
    </row>
    <row r="697" spans="1:26" s="1610" customFormat="1" ht="32.85" hidden="1" customHeight="1">
      <c r="A697" s="1604"/>
      <c r="B697" s="1345" t="s">
        <v>788</v>
      </c>
      <c r="C697" s="1602" t="s">
        <v>1957</v>
      </c>
      <c r="D697" s="1516"/>
      <c r="E697" s="1605" t="s">
        <v>4065</v>
      </c>
      <c r="F697" s="1604">
        <v>29</v>
      </c>
      <c r="G697" s="1604" t="s">
        <v>4066</v>
      </c>
      <c r="H697" s="1604"/>
      <c r="I697" s="1602"/>
      <c r="J697" s="1604"/>
      <c r="K697" s="1606"/>
      <c r="L697" s="1602" t="s">
        <v>990</v>
      </c>
      <c r="M697" s="1602"/>
      <c r="N697" s="1604"/>
      <c r="O697" s="1602">
        <v>2020</v>
      </c>
      <c r="P697" s="1602" t="s">
        <v>2165</v>
      </c>
      <c r="Q697" s="1604">
        <v>10</v>
      </c>
      <c r="R697" s="1604"/>
      <c r="S697" s="1604">
        <v>10</v>
      </c>
      <c r="T697" s="1604"/>
      <c r="U697" s="1604"/>
      <c r="V697" s="1604"/>
      <c r="W697" s="1602"/>
      <c r="X697" s="1604"/>
      <c r="Y697" s="1604"/>
    </row>
    <row r="698" spans="1:26" s="1112" customFormat="1" ht="39.6" hidden="1">
      <c r="A698" s="1577"/>
      <c r="B698" s="1518" t="s">
        <v>2194</v>
      </c>
      <c r="C698" s="1518" t="s">
        <v>3776</v>
      </c>
      <c r="D698" s="1185"/>
      <c r="E698" s="1570" t="s">
        <v>4090</v>
      </c>
      <c r="F698" s="1233">
        <v>52</v>
      </c>
      <c r="G698" s="1571" t="s">
        <v>4091</v>
      </c>
      <c r="H698" s="1571" t="s">
        <v>987</v>
      </c>
      <c r="I698" s="1524" t="s">
        <v>2310</v>
      </c>
      <c r="J698" s="1524"/>
      <c r="K698" s="1575">
        <v>43864</v>
      </c>
      <c r="L698" s="1518" t="s">
        <v>3015</v>
      </c>
      <c r="M698" s="1518" t="s">
        <v>4092</v>
      </c>
      <c r="N698" s="1571" t="s">
        <v>923</v>
      </c>
      <c r="O698" s="1523">
        <v>2020</v>
      </c>
      <c r="P698" s="1524" t="s">
        <v>896</v>
      </c>
      <c r="Q698" s="1233" t="s">
        <v>1576</v>
      </c>
      <c r="R698" s="1233"/>
      <c r="S698" s="1233" t="s">
        <v>1576</v>
      </c>
      <c r="T698" s="1576" t="s">
        <v>918</v>
      </c>
      <c r="U698" s="1576" t="s">
        <v>3922</v>
      </c>
      <c r="V698" s="1576"/>
      <c r="W698" s="1518" t="s">
        <v>4093</v>
      </c>
      <c r="X698" s="1576" t="s">
        <v>2194</v>
      </c>
      <c r="Y698" s="1233"/>
    </row>
    <row r="699" spans="1:26" s="1112" customFormat="1" ht="66" hidden="1">
      <c r="A699" s="1185"/>
      <c r="B699" s="1345" t="s">
        <v>1128</v>
      </c>
      <c r="C699" s="1345" t="s">
        <v>542</v>
      </c>
      <c r="D699" s="1185"/>
      <c r="E699" s="1457" t="s">
        <v>4094</v>
      </c>
      <c r="F699" s="862">
        <v>19</v>
      </c>
      <c r="G699" s="984" t="s">
        <v>3234</v>
      </c>
      <c r="H699" s="984" t="s">
        <v>994</v>
      </c>
      <c r="I699" s="839" t="s">
        <v>2549</v>
      </c>
      <c r="J699" s="839"/>
      <c r="K699" s="1348">
        <v>43864</v>
      </c>
      <c r="L699" s="1345" t="s">
        <v>3015</v>
      </c>
      <c r="M699" s="1345" t="s">
        <v>4095</v>
      </c>
      <c r="N699" s="984" t="s">
        <v>917</v>
      </c>
      <c r="O699" s="1347">
        <v>2020</v>
      </c>
      <c r="P699" s="839" t="s">
        <v>896</v>
      </c>
      <c r="Q699" s="862" t="s">
        <v>1576</v>
      </c>
      <c r="R699" s="862"/>
      <c r="S699" s="862" t="s">
        <v>1576</v>
      </c>
      <c r="T699" s="1195" t="s">
        <v>4097</v>
      </c>
      <c r="U699" s="1195" t="s">
        <v>3922</v>
      </c>
      <c r="V699" s="1195"/>
      <c r="W699" s="1345" t="s">
        <v>4096</v>
      </c>
      <c r="X699" s="1195"/>
      <c r="Y699" s="862"/>
    </row>
    <row r="700" spans="1:26" s="1112" customFormat="1" ht="66" hidden="1">
      <c r="A700" s="1185"/>
      <c r="B700" s="1345" t="s">
        <v>1128</v>
      </c>
      <c r="C700" s="1345" t="s">
        <v>542</v>
      </c>
      <c r="D700" s="1185"/>
      <c r="E700" s="1457" t="s">
        <v>4098</v>
      </c>
      <c r="F700" s="862">
        <v>19</v>
      </c>
      <c r="G700" s="984" t="s">
        <v>3234</v>
      </c>
      <c r="H700" s="984" t="s">
        <v>994</v>
      </c>
      <c r="I700" s="839" t="s">
        <v>2549</v>
      </c>
      <c r="J700" s="839"/>
      <c r="K700" s="1348">
        <v>43864</v>
      </c>
      <c r="L700" s="1345" t="s">
        <v>3015</v>
      </c>
      <c r="M700" s="1345" t="s">
        <v>4095</v>
      </c>
      <c r="N700" s="984" t="s">
        <v>917</v>
      </c>
      <c r="O700" s="1347">
        <v>2020</v>
      </c>
      <c r="P700" s="839" t="s">
        <v>896</v>
      </c>
      <c r="Q700" s="862" t="s">
        <v>1576</v>
      </c>
      <c r="R700" s="862"/>
      <c r="S700" s="862" t="s">
        <v>1576</v>
      </c>
      <c r="T700" s="1195" t="s">
        <v>4097</v>
      </c>
      <c r="U700" s="1195" t="s">
        <v>3922</v>
      </c>
      <c r="V700" s="1195"/>
      <c r="W700" s="1345" t="s">
        <v>4096</v>
      </c>
      <c r="X700" s="1195"/>
      <c r="Y700" s="862"/>
    </row>
    <row r="701" spans="1:26" s="1112" customFormat="1" ht="66" hidden="1">
      <c r="A701" s="1185"/>
      <c r="B701" s="1345" t="s">
        <v>1128</v>
      </c>
      <c r="C701" s="1345" t="s">
        <v>542</v>
      </c>
      <c r="D701" s="1185"/>
      <c r="E701" s="1457" t="s">
        <v>4099</v>
      </c>
      <c r="F701" s="862">
        <v>19</v>
      </c>
      <c r="G701" s="984" t="s">
        <v>3234</v>
      </c>
      <c r="H701" s="984" t="s">
        <v>994</v>
      </c>
      <c r="I701" s="839" t="s">
        <v>2549</v>
      </c>
      <c r="J701" s="839"/>
      <c r="K701" s="1348">
        <v>43864</v>
      </c>
      <c r="L701" s="1345" t="s">
        <v>3015</v>
      </c>
      <c r="M701" s="1345" t="s">
        <v>4095</v>
      </c>
      <c r="N701" s="984" t="s">
        <v>917</v>
      </c>
      <c r="O701" s="1347">
        <v>2020</v>
      </c>
      <c r="P701" s="839" t="s">
        <v>896</v>
      </c>
      <c r="Q701" s="862" t="s">
        <v>1576</v>
      </c>
      <c r="R701" s="862"/>
      <c r="S701" s="862" t="s">
        <v>1576</v>
      </c>
      <c r="T701" s="1195" t="s">
        <v>4097</v>
      </c>
      <c r="U701" s="1195" t="s">
        <v>3922</v>
      </c>
      <c r="V701" s="1195"/>
      <c r="W701" s="1345" t="s">
        <v>4096</v>
      </c>
      <c r="X701" s="1195"/>
      <c r="Y701" s="862"/>
    </row>
    <row r="702" spans="1:26" s="1112" customFormat="1" ht="66" hidden="1">
      <c r="A702" s="1185"/>
      <c r="B702" s="1345" t="s">
        <v>1128</v>
      </c>
      <c r="C702" s="1345" t="s">
        <v>542</v>
      </c>
      <c r="D702" s="1185"/>
      <c r="E702" s="1457" t="s">
        <v>4100</v>
      </c>
      <c r="F702" s="862">
        <v>19</v>
      </c>
      <c r="G702" s="984" t="s">
        <v>3234</v>
      </c>
      <c r="H702" s="984" t="s">
        <v>994</v>
      </c>
      <c r="I702" s="839" t="s">
        <v>2549</v>
      </c>
      <c r="J702" s="839"/>
      <c r="K702" s="1348">
        <v>43864</v>
      </c>
      <c r="L702" s="1345" t="s">
        <v>3015</v>
      </c>
      <c r="M702" s="1345" t="s">
        <v>4095</v>
      </c>
      <c r="N702" s="984" t="s">
        <v>917</v>
      </c>
      <c r="O702" s="1347">
        <v>2020</v>
      </c>
      <c r="P702" s="839" t="s">
        <v>896</v>
      </c>
      <c r="Q702" s="862" t="s">
        <v>1576</v>
      </c>
      <c r="R702" s="862"/>
      <c r="S702" s="862" t="s">
        <v>1576</v>
      </c>
      <c r="T702" s="1195" t="s">
        <v>4097</v>
      </c>
      <c r="U702" s="1195" t="s">
        <v>3922</v>
      </c>
      <c r="V702" s="1195"/>
      <c r="W702" s="1345" t="s">
        <v>4096</v>
      </c>
      <c r="X702" s="1195"/>
      <c r="Y702" s="862"/>
    </row>
    <row r="703" spans="1:26" s="1112" customFormat="1" ht="26.4" hidden="1">
      <c r="A703" s="1185"/>
      <c r="B703" s="1345" t="s">
        <v>588</v>
      </c>
      <c r="C703" s="1345" t="s">
        <v>4102</v>
      </c>
      <c r="D703" s="1185"/>
      <c r="E703" s="1457" t="s">
        <v>4101</v>
      </c>
      <c r="F703" s="862">
        <v>49</v>
      </c>
      <c r="G703" s="984" t="s">
        <v>3377</v>
      </c>
      <c r="H703" s="984" t="s">
        <v>987</v>
      </c>
      <c r="I703" s="839" t="s">
        <v>2310</v>
      </c>
      <c r="J703" s="839"/>
      <c r="K703" s="1348">
        <v>43866</v>
      </c>
      <c r="L703" s="1345" t="s">
        <v>3015</v>
      </c>
      <c r="M703" s="1345" t="s">
        <v>4103</v>
      </c>
      <c r="N703" s="984" t="s">
        <v>917</v>
      </c>
      <c r="O703" s="1347">
        <v>2020</v>
      </c>
      <c r="P703" s="839" t="s">
        <v>896</v>
      </c>
      <c r="Q703" s="862" t="s">
        <v>1576</v>
      </c>
      <c r="R703" s="862"/>
      <c r="S703" s="862" t="s">
        <v>1576</v>
      </c>
      <c r="T703" s="1195" t="s">
        <v>4104</v>
      </c>
      <c r="U703" s="1195" t="s">
        <v>3922</v>
      </c>
      <c r="V703" s="1195"/>
      <c r="W703" s="1345" t="s">
        <v>4105</v>
      </c>
      <c r="X703" s="1195"/>
      <c r="Y703" s="862"/>
    </row>
    <row r="704" spans="1:26" s="1112" customFormat="1" ht="39.6" hidden="1">
      <c r="A704" s="1185"/>
      <c r="B704" s="1345" t="s">
        <v>4106</v>
      </c>
      <c r="C704" s="1345" t="s">
        <v>4107</v>
      </c>
      <c r="D704" s="1185"/>
      <c r="E704" s="1457" t="s">
        <v>3355</v>
      </c>
      <c r="F704" s="862"/>
      <c r="G704" s="984"/>
      <c r="H704" s="984"/>
      <c r="I704" s="839" t="s">
        <v>2318</v>
      </c>
      <c r="J704" s="839"/>
      <c r="K704" s="1348">
        <v>43864</v>
      </c>
      <c r="L704" s="1345"/>
      <c r="M704" s="1345" t="s">
        <v>4108</v>
      </c>
      <c r="N704" s="984"/>
      <c r="O704" s="1347">
        <v>2020</v>
      </c>
      <c r="P704" s="839" t="s">
        <v>896</v>
      </c>
      <c r="Q704" s="862" t="s">
        <v>1576</v>
      </c>
      <c r="R704" s="862"/>
      <c r="S704" s="862" t="s">
        <v>1576</v>
      </c>
      <c r="T704" s="1195" t="s">
        <v>918</v>
      </c>
      <c r="U704" s="1195" t="s">
        <v>918</v>
      </c>
      <c r="V704" s="1195"/>
      <c r="W704" s="1345" t="s">
        <v>918</v>
      </c>
      <c r="X704" s="1195"/>
      <c r="Y704" s="862"/>
    </row>
    <row r="705" spans="1:26" s="1112" customFormat="1" ht="26.4" hidden="1">
      <c r="A705" s="1541"/>
      <c r="B705" s="1520" t="s">
        <v>1128</v>
      </c>
      <c r="C705" s="1520" t="s">
        <v>4110</v>
      </c>
      <c r="D705" s="1185"/>
      <c r="E705" s="1579" t="s">
        <v>4109</v>
      </c>
      <c r="F705" s="1536">
        <v>58</v>
      </c>
      <c r="G705" s="1580" t="s">
        <v>2218</v>
      </c>
      <c r="H705" s="1580" t="s">
        <v>987</v>
      </c>
      <c r="I705" s="1522" t="s">
        <v>2318</v>
      </c>
      <c r="J705" s="1522"/>
      <c r="K705" s="1587">
        <v>43871</v>
      </c>
      <c r="L705" s="1520" t="s">
        <v>3015</v>
      </c>
      <c r="M705" s="1520" t="s">
        <v>4111</v>
      </c>
      <c r="N705" s="1580" t="s">
        <v>2320</v>
      </c>
      <c r="O705" s="1521">
        <v>2020</v>
      </c>
      <c r="P705" s="1522" t="s">
        <v>896</v>
      </c>
      <c r="Q705" s="1536" t="s">
        <v>1576</v>
      </c>
      <c r="R705" s="1536"/>
      <c r="S705" s="1536" t="s">
        <v>1576</v>
      </c>
      <c r="T705" s="1542" t="s">
        <v>3796</v>
      </c>
      <c r="U705" s="1542" t="s">
        <v>3922</v>
      </c>
      <c r="V705" s="1542"/>
      <c r="W705" s="1520" t="s">
        <v>3796</v>
      </c>
      <c r="X705" s="1542"/>
      <c r="Y705" s="1536"/>
    </row>
    <row r="706" spans="1:26" ht="27.6" hidden="1">
      <c r="A706" s="1605" t="s">
        <v>4113</v>
      </c>
      <c r="B706" s="1033" t="s">
        <v>694</v>
      </c>
      <c r="C706" s="1603" t="s">
        <v>694</v>
      </c>
      <c r="D706" s="1516"/>
      <c r="E706" s="1605" t="s">
        <v>4112</v>
      </c>
      <c r="F706" s="1604">
        <v>22</v>
      </c>
      <c r="G706" s="1604" t="s">
        <v>2167</v>
      </c>
      <c r="H706" s="1604" t="s">
        <v>987</v>
      </c>
      <c r="I706" s="1602" t="s">
        <v>2549</v>
      </c>
      <c r="J706" s="1602" t="s">
        <v>2496</v>
      </c>
      <c r="K706" s="1606">
        <v>43871</v>
      </c>
      <c r="L706" s="1603" t="s">
        <v>990</v>
      </c>
      <c r="M706" s="1603" t="s">
        <v>4154</v>
      </c>
      <c r="N706" s="1604" t="s">
        <v>2320</v>
      </c>
      <c r="O706" s="1602">
        <v>2020</v>
      </c>
      <c r="P706" s="1602" t="s">
        <v>896</v>
      </c>
      <c r="Q706" s="1604">
        <v>20</v>
      </c>
      <c r="R706" s="1604"/>
      <c r="S706" s="1604">
        <f>+R706+Q706</f>
        <v>20</v>
      </c>
      <c r="T706" s="1604" t="s">
        <v>4155</v>
      </c>
      <c r="U706" s="1601" t="s">
        <v>864</v>
      </c>
      <c r="V706" s="1601"/>
      <c r="W706" s="1602" t="s">
        <v>2340</v>
      </c>
      <c r="X706" s="1604"/>
      <c r="Y706" s="1604"/>
      <c r="Z706" s="1608"/>
    </row>
    <row r="707" spans="1:26" ht="41.4" hidden="1">
      <c r="A707" s="1601"/>
      <c r="B707" s="1345" t="s">
        <v>1128</v>
      </c>
      <c r="C707" s="1603" t="s">
        <v>4115</v>
      </c>
      <c r="D707" s="1516"/>
      <c r="E707" s="1605" t="s">
        <v>4114</v>
      </c>
      <c r="F707" s="1604"/>
      <c r="G707" s="1604" t="s">
        <v>2218</v>
      </c>
      <c r="H707" s="1604" t="s">
        <v>987</v>
      </c>
      <c r="I707" s="1602" t="s">
        <v>2549</v>
      </c>
      <c r="J707" s="1602" t="s">
        <v>2706</v>
      </c>
      <c r="K707" s="1606">
        <v>43874</v>
      </c>
      <c r="L707" s="1603" t="s">
        <v>990</v>
      </c>
      <c r="M707" s="1603" t="s">
        <v>4116</v>
      </c>
      <c r="N707" s="1604" t="s">
        <v>2320</v>
      </c>
      <c r="O707" s="1602">
        <v>2020</v>
      </c>
      <c r="P707" s="1602" t="s">
        <v>896</v>
      </c>
      <c r="Q707" s="1604">
        <v>3</v>
      </c>
      <c r="R707" s="1604"/>
      <c r="S707" s="1604">
        <f>+R707+Q707</f>
        <v>3</v>
      </c>
      <c r="T707" s="1604" t="s">
        <v>2958</v>
      </c>
      <c r="U707" s="1601" t="s">
        <v>4481</v>
      </c>
      <c r="V707" s="1601"/>
      <c r="W707" s="1602" t="s">
        <v>2238</v>
      </c>
      <c r="X707" s="1604"/>
      <c r="Y707" s="1604"/>
      <c r="Z707" s="1608"/>
    </row>
    <row r="708" spans="1:26" s="1112" customFormat="1" ht="26.4" hidden="1">
      <c r="A708" s="1577"/>
      <c r="B708" s="1518" t="s">
        <v>1309</v>
      </c>
      <c r="C708" s="1518" t="s">
        <v>4118</v>
      </c>
      <c r="D708" s="1185"/>
      <c r="E708" s="1570" t="s">
        <v>4117</v>
      </c>
      <c r="F708" s="1233">
        <v>33</v>
      </c>
      <c r="G708" s="1571" t="s">
        <v>2480</v>
      </c>
      <c r="H708" s="1571" t="s">
        <v>987</v>
      </c>
      <c r="I708" s="1524" t="s">
        <v>2549</v>
      </c>
      <c r="J708" s="1524"/>
      <c r="K708" s="1575">
        <v>43874</v>
      </c>
      <c r="L708" s="1518" t="s">
        <v>3601</v>
      </c>
      <c r="M708" s="1518" t="s">
        <v>4119</v>
      </c>
      <c r="N708" s="1571" t="s">
        <v>923</v>
      </c>
      <c r="O708" s="1523">
        <v>2020</v>
      </c>
      <c r="P708" s="1524" t="s">
        <v>896</v>
      </c>
      <c r="Q708" s="1571" t="s">
        <v>1576</v>
      </c>
      <c r="R708" s="1233"/>
      <c r="S708" s="1571" t="s">
        <v>1576</v>
      </c>
      <c r="T708" s="1576" t="s">
        <v>918</v>
      </c>
      <c r="U708" s="1576" t="s">
        <v>3922</v>
      </c>
      <c r="V708" s="1576"/>
      <c r="W708" s="1518" t="s">
        <v>4120</v>
      </c>
      <c r="X708" s="1576"/>
      <c r="Y708" s="1233"/>
    </row>
    <row r="709" spans="1:26" s="1112" customFormat="1" ht="39.6" hidden="1">
      <c r="A709" s="1185"/>
      <c r="B709" s="1345" t="s">
        <v>77</v>
      </c>
      <c r="C709" s="1345" t="s">
        <v>4122</v>
      </c>
      <c r="D709" s="1185"/>
      <c r="E709" s="1457" t="s">
        <v>4121</v>
      </c>
      <c r="F709" s="862">
        <v>23</v>
      </c>
      <c r="G709" s="984" t="s">
        <v>2167</v>
      </c>
      <c r="H709" s="984" t="s">
        <v>987</v>
      </c>
      <c r="I709" s="839" t="s">
        <v>2318</v>
      </c>
      <c r="J709" s="839"/>
      <c r="K709" s="1348">
        <v>43876</v>
      </c>
      <c r="L709" s="1345" t="s">
        <v>3015</v>
      </c>
      <c r="M709" s="1345" t="s">
        <v>4123</v>
      </c>
      <c r="N709" s="984" t="s">
        <v>923</v>
      </c>
      <c r="O709" s="1347">
        <v>2020</v>
      </c>
      <c r="P709" s="839" t="s">
        <v>896</v>
      </c>
      <c r="Q709" s="984" t="s">
        <v>1576</v>
      </c>
      <c r="R709" s="862"/>
      <c r="S709" s="984" t="s">
        <v>1576</v>
      </c>
      <c r="T709" s="1195" t="s">
        <v>3796</v>
      </c>
      <c r="U709" s="1195" t="s">
        <v>3922</v>
      </c>
      <c r="V709" s="1195"/>
      <c r="W709" s="1345" t="s">
        <v>4124</v>
      </c>
      <c r="X709" s="1195"/>
      <c r="Y709" s="862"/>
    </row>
    <row r="710" spans="1:26" s="1112" customFormat="1" hidden="1">
      <c r="A710" s="1195"/>
      <c r="B710" s="1602" t="s">
        <v>1128</v>
      </c>
      <c r="C710" s="1602" t="s">
        <v>4110</v>
      </c>
      <c r="D710" s="1185"/>
      <c r="E710" s="1605" t="s">
        <v>4125</v>
      </c>
      <c r="F710" s="1604">
        <v>19</v>
      </c>
      <c r="G710" s="1618" t="s">
        <v>3029</v>
      </c>
      <c r="H710" s="1604" t="s">
        <v>994</v>
      </c>
      <c r="I710" s="1602" t="s">
        <v>2549</v>
      </c>
      <c r="J710" s="1602"/>
      <c r="K710" s="1606">
        <v>43869</v>
      </c>
      <c r="L710" s="1603" t="s">
        <v>3015</v>
      </c>
      <c r="M710" s="1603" t="s">
        <v>4126</v>
      </c>
      <c r="N710" s="1604" t="s">
        <v>913</v>
      </c>
      <c r="O710" s="1602">
        <v>2020</v>
      </c>
      <c r="P710" s="1602" t="s">
        <v>896</v>
      </c>
      <c r="Q710" s="1604" t="s">
        <v>1576</v>
      </c>
      <c r="R710" s="1604"/>
      <c r="S710" s="1604" t="s">
        <v>1576</v>
      </c>
      <c r="T710" s="1601" t="s">
        <v>918</v>
      </c>
      <c r="U710" s="1604" t="s">
        <v>4127</v>
      </c>
      <c r="V710" s="1601"/>
      <c r="W710" s="1602" t="s">
        <v>3450</v>
      </c>
      <c r="X710" s="1601"/>
      <c r="Y710" s="1604"/>
      <c r="Z710" s="1604" t="s">
        <v>2019</v>
      </c>
    </row>
    <row r="711" spans="1:26" s="1112" customFormat="1" ht="26.4" hidden="1">
      <c r="A711" s="1542"/>
      <c r="B711" s="1520" t="s">
        <v>77</v>
      </c>
      <c r="C711" s="1520" t="s">
        <v>2167</v>
      </c>
      <c r="D711" s="1185"/>
      <c r="E711" s="1579" t="s">
        <v>4128</v>
      </c>
      <c r="F711" s="1536">
        <v>35</v>
      </c>
      <c r="G711" s="1580" t="s">
        <v>2167</v>
      </c>
      <c r="H711" s="1580" t="s">
        <v>987</v>
      </c>
      <c r="I711" s="1522" t="s">
        <v>2549</v>
      </c>
      <c r="J711" s="1522"/>
      <c r="K711" s="1587">
        <v>43879</v>
      </c>
      <c r="L711" s="1520" t="s">
        <v>3015</v>
      </c>
      <c r="M711" s="1520" t="s">
        <v>4129</v>
      </c>
      <c r="N711" s="1580" t="s">
        <v>925</v>
      </c>
      <c r="O711" s="1521">
        <v>2020</v>
      </c>
      <c r="P711" s="1522" t="s">
        <v>896</v>
      </c>
      <c r="Q711" s="1580" t="s">
        <v>1576</v>
      </c>
      <c r="R711" s="1536"/>
      <c r="S711" s="1580" t="s">
        <v>1576</v>
      </c>
      <c r="T711" s="1542" t="s">
        <v>2958</v>
      </c>
      <c r="U711" s="1542" t="s">
        <v>864</v>
      </c>
      <c r="V711" s="1542"/>
      <c r="W711" s="1520" t="s">
        <v>2238</v>
      </c>
      <c r="X711" s="1542"/>
      <c r="Y711" s="1536"/>
    </row>
    <row r="712" spans="1:26" hidden="1">
      <c r="A712" s="1601" t="s">
        <v>4132</v>
      </c>
      <c r="B712" s="1520" t="s">
        <v>91</v>
      </c>
      <c r="C712" s="1603" t="s">
        <v>4080</v>
      </c>
      <c r="D712" s="1516"/>
      <c r="E712" s="1605" t="s">
        <v>4130</v>
      </c>
      <c r="F712" s="1604">
        <v>22</v>
      </c>
      <c r="G712" s="1604" t="s">
        <v>2163</v>
      </c>
      <c r="H712" s="1604" t="s">
        <v>994</v>
      </c>
      <c r="I712" s="1602" t="s">
        <v>2549</v>
      </c>
      <c r="J712" s="1602" t="s">
        <v>4133</v>
      </c>
      <c r="K712" s="1606">
        <v>43879</v>
      </c>
      <c r="L712" s="1603" t="s">
        <v>990</v>
      </c>
      <c r="M712" s="1603" t="s">
        <v>4131</v>
      </c>
      <c r="N712" s="1604" t="s">
        <v>913</v>
      </c>
      <c r="O712" s="1602">
        <v>2020</v>
      </c>
      <c r="P712" s="1602" t="s">
        <v>896</v>
      </c>
      <c r="Q712" s="1604">
        <v>9</v>
      </c>
      <c r="R712" s="1604"/>
      <c r="S712" s="1604">
        <f>+R712+Q712</f>
        <v>9</v>
      </c>
      <c r="T712" s="1604" t="s">
        <v>918</v>
      </c>
      <c r="U712" s="1601" t="s">
        <v>864</v>
      </c>
      <c r="V712" s="1601"/>
      <c r="W712" s="1602" t="s">
        <v>3631</v>
      </c>
      <c r="X712" s="1604"/>
      <c r="Y712" s="1604"/>
      <c r="Z712" s="1608"/>
    </row>
    <row r="713" spans="1:26" s="1112" customFormat="1" ht="66" hidden="1">
      <c r="A713" s="1590" t="s">
        <v>4135</v>
      </c>
      <c r="B713" s="1508" t="s">
        <v>1958</v>
      </c>
      <c r="C713" s="1508" t="s">
        <v>4136</v>
      </c>
      <c r="D713" s="1185"/>
      <c r="E713" s="1544" t="s">
        <v>4134</v>
      </c>
      <c r="F713" s="1538"/>
      <c r="G713" s="1510" t="s">
        <v>2167</v>
      </c>
      <c r="H713" s="1510" t="s">
        <v>987</v>
      </c>
      <c r="I713" s="1511" t="s">
        <v>2310</v>
      </c>
      <c r="J713" s="1511" t="s">
        <v>4137</v>
      </c>
      <c r="K713" s="1591">
        <v>43878</v>
      </c>
      <c r="L713" s="1508" t="s">
        <v>2117</v>
      </c>
      <c r="M713" s="1508" t="s">
        <v>4138</v>
      </c>
      <c r="N713" s="1510" t="s">
        <v>2320</v>
      </c>
      <c r="O713" s="1512">
        <v>2020</v>
      </c>
      <c r="P713" s="1511" t="s">
        <v>896</v>
      </c>
      <c r="Q713" s="1510">
        <v>3</v>
      </c>
      <c r="R713" s="1538"/>
      <c r="S713" s="1510">
        <v>3</v>
      </c>
      <c r="T713" s="1546" t="s">
        <v>2232</v>
      </c>
      <c r="U713" s="1546" t="s">
        <v>3922</v>
      </c>
      <c r="V713" s="1546"/>
      <c r="W713" s="1508" t="s">
        <v>2975</v>
      </c>
      <c r="X713" s="1546"/>
      <c r="Y713" s="1538"/>
    </row>
    <row r="714" spans="1:26" ht="41.4" hidden="1">
      <c r="A714" s="1601"/>
      <c r="B714" s="1602" t="s">
        <v>2609</v>
      </c>
      <c r="C714" s="1603" t="s">
        <v>971</v>
      </c>
      <c r="D714" s="1516" t="s">
        <v>4417</v>
      </c>
      <c r="E714" s="1605" t="s">
        <v>4139</v>
      </c>
      <c r="F714" s="1604"/>
      <c r="G714" s="1604" t="s">
        <v>4140</v>
      </c>
      <c r="H714" s="1604" t="s">
        <v>987</v>
      </c>
      <c r="I714" s="1602" t="s">
        <v>2318</v>
      </c>
      <c r="J714" s="1602" t="s">
        <v>2034</v>
      </c>
      <c r="K714" s="1606">
        <v>43880</v>
      </c>
      <c r="L714" s="1603" t="s">
        <v>990</v>
      </c>
      <c r="M714" s="1603" t="s">
        <v>4141</v>
      </c>
      <c r="N714" s="1604" t="s">
        <v>915</v>
      </c>
      <c r="O714" s="1602">
        <v>2020</v>
      </c>
      <c r="P714" s="1602" t="s">
        <v>896</v>
      </c>
      <c r="Q714" s="1604">
        <v>3</v>
      </c>
      <c r="R714" s="1604"/>
      <c r="S714" s="1604">
        <f>+R714+Q714</f>
        <v>3</v>
      </c>
      <c r="T714" s="1604" t="s">
        <v>2461</v>
      </c>
      <c r="U714" s="1601" t="s">
        <v>864</v>
      </c>
      <c r="V714" s="1601"/>
      <c r="W714" s="1602" t="s">
        <v>2975</v>
      </c>
      <c r="X714" s="1604"/>
      <c r="Y714" s="1604"/>
      <c r="Z714" s="1608"/>
    </row>
    <row r="715" spans="1:26" ht="41.4" hidden="1">
      <c r="A715" s="1601"/>
      <c r="B715" s="1602" t="s">
        <v>591</v>
      </c>
      <c r="C715" s="1603" t="s">
        <v>3609</v>
      </c>
      <c r="D715" s="1516"/>
      <c r="E715" s="1605" t="s">
        <v>4142</v>
      </c>
      <c r="F715" s="1604"/>
      <c r="G715" s="1604" t="s">
        <v>3251</v>
      </c>
      <c r="H715" s="1604" t="s">
        <v>987</v>
      </c>
      <c r="I715" s="1602" t="s">
        <v>2549</v>
      </c>
      <c r="J715" s="1602" t="s">
        <v>2862</v>
      </c>
      <c r="K715" s="1606">
        <v>43881</v>
      </c>
      <c r="L715" s="1603" t="s">
        <v>990</v>
      </c>
      <c r="M715" s="1603" t="s">
        <v>4143</v>
      </c>
      <c r="N715" s="1604" t="s">
        <v>2320</v>
      </c>
      <c r="O715" s="1602">
        <v>2020</v>
      </c>
      <c r="P715" s="1602" t="s">
        <v>896</v>
      </c>
      <c r="Q715" s="1604">
        <v>34</v>
      </c>
      <c r="R715" s="1604"/>
      <c r="S715" s="1604">
        <f>+R715+Q715</f>
        <v>34</v>
      </c>
      <c r="T715" s="1604" t="s">
        <v>2958</v>
      </c>
      <c r="U715" s="1601" t="s">
        <v>864</v>
      </c>
      <c r="V715" s="1601"/>
      <c r="W715" s="1602" t="s">
        <v>2975</v>
      </c>
      <c r="X715" s="1604"/>
      <c r="Y715" s="1604"/>
      <c r="Z715" s="1608"/>
    </row>
    <row r="716" spans="1:26" s="1112" customFormat="1" ht="26.4" hidden="1">
      <c r="A716" s="1577"/>
      <c r="B716" s="1518" t="s">
        <v>1128</v>
      </c>
      <c r="C716" s="1518" t="s">
        <v>429</v>
      </c>
      <c r="D716" s="1185"/>
      <c r="E716" s="1570" t="s">
        <v>4144</v>
      </c>
      <c r="F716" s="1233">
        <v>22</v>
      </c>
      <c r="G716" s="1571" t="s">
        <v>4145</v>
      </c>
      <c r="H716" s="1571" t="s">
        <v>987</v>
      </c>
      <c r="I716" s="1524" t="s">
        <v>2310</v>
      </c>
      <c r="J716" s="1524"/>
      <c r="K716" s="1575">
        <v>43884</v>
      </c>
      <c r="L716" s="1518" t="s">
        <v>3015</v>
      </c>
      <c r="M716" s="1518" t="s">
        <v>4146</v>
      </c>
      <c r="N716" s="1571" t="s">
        <v>2320</v>
      </c>
      <c r="O716" s="1523">
        <v>2020</v>
      </c>
      <c r="P716" s="1524" t="s">
        <v>896</v>
      </c>
      <c r="Q716" s="1571" t="s">
        <v>1576</v>
      </c>
      <c r="R716" s="1233"/>
      <c r="S716" s="1571" t="s">
        <v>1576</v>
      </c>
      <c r="T716" s="1576" t="s">
        <v>918</v>
      </c>
      <c r="U716" s="1576" t="s">
        <v>3922</v>
      </c>
      <c r="V716" s="1576"/>
      <c r="W716" s="1518" t="s">
        <v>3837</v>
      </c>
      <c r="X716" s="1576"/>
      <c r="Y716" s="1233"/>
    </row>
    <row r="717" spans="1:26" s="1112" customFormat="1" ht="26.4" hidden="1">
      <c r="A717" s="1541"/>
      <c r="B717" s="1520" t="s">
        <v>1128</v>
      </c>
      <c r="C717" s="1520" t="s">
        <v>4147</v>
      </c>
      <c r="D717" s="1185"/>
      <c r="E717" s="1579" t="s">
        <v>2994</v>
      </c>
      <c r="F717" s="1536">
        <v>46</v>
      </c>
      <c r="G717" s="1580" t="s">
        <v>3251</v>
      </c>
      <c r="H717" s="1580" t="s">
        <v>987</v>
      </c>
      <c r="I717" s="1522" t="s">
        <v>2318</v>
      </c>
      <c r="J717" s="1522"/>
      <c r="K717" s="1587">
        <v>43887</v>
      </c>
      <c r="L717" s="1520" t="s">
        <v>3015</v>
      </c>
      <c r="M717" s="1520" t="s">
        <v>4148</v>
      </c>
      <c r="N717" s="1580" t="s">
        <v>917</v>
      </c>
      <c r="O717" s="1521">
        <v>2020</v>
      </c>
      <c r="P717" s="1522" t="s">
        <v>896</v>
      </c>
      <c r="Q717" s="1580" t="s">
        <v>1576</v>
      </c>
      <c r="R717" s="1536"/>
      <c r="S717" s="1580" t="s">
        <v>1576</v>
      </c>
      <c r="T717" s="1542" t="s">
        <v>918</v>
      </c>
      <c r="U717" s="1542" t="s">
        <v>3922</v>
      </c>
      <c r="V717" s="1542"/>
      <c r="W717" s="1520" t="s">
        <v>4149</v>
      </c>
      <c r="X717" s="1542"/>
      <c r="Y717" s="1536"/>
    </row>
    <row r="718" spans="1:26" ht="31.2" hidden="1" customHeight="1">
      <c r="A718" s="1601" t="s">
        <v>4153</v>
      </c>
      <c r="B718" s="1520" t="s">
        <v>91</v>
      </c>
      <c r="C718" s="1603" t="s">
        <v>3462</v>
      </c>
      <c r="D718" s="1516"/>
      <c r="E718" s="1605" t="s">
        <v>4151</v>
      </c>
      <c r="F718" s="1604"/>
      <c r="G718" s="1614" t="s">
        <v>4150</v>
      </c>
      <c r="H718" s="1604" t="s">
        <v>987</v>
      </c>
      <c r="I718" s="1602" t="s">
        <v>2549</v>
      </c>
      <c r="J718" s="1602" t="s">
        <v>1648</v>
      </c>
      <c r="K718" s="1606">
        <v>43886</v>
      </c>
      <c r="L718" s="1603" t="s">
        <v>990</v>
      </c>
      <c r="M718" s="1603" t="s">
        <v>4152</v>
      </c>
      <c r="N718" s="1604" t="s">
        <v>923</v>
      </c>
      <c r="O718" s="1602">
        <v>2020</v>
      </c>
      <c r="P718" s="1602" t="s">
        <v>896</v>
      </c>
      <c r="Q718" s="1604">
        <v>1</v>
      </c>
      <c r="R718" s="1604"/>
      <c r="S718" s="1604">
        <f>+R718+Q718</f>
        <v>1</v>
      </c>
      <c r="T718" s="1604" t="s">
        <v>2294</v>
      </c>
      <c r="U718" s="1611" t="s">
        <v>4436</v>
      </c>
      <c r="V718" s="1611"/>
      <c r="W718" s="1602" t="s">
        <v>2564</v>
      </c>
      <c r="X718" s="1604"/>
      <c r="Y718" s="1604"/>
      <c r="Z718" s="1608"/>
    </row>
    <row r="719" spans="1:26" ht="27.6" hidden="1" customHeight="1">
      <c r="A719" s="1601"/>
      <c r="B719" s="1345" t="s">
        <v>1223</v>
      </c>
      <c r="C719" s="1603" t="s">
        <v>6056</v>
      </c>
      <c r="D719" s="1516"/>
      <c r="E719" s="1605" t="s">
        <v>4156</v>
      </c>
      <c r="F719" s="1604"/>
      <c r="G719" s="1612" t="s">
        <v>4159</v>
      </c>
      <c r="H719" s="1604" t="s">
        <v>987</v>
      </c>
      <c r="I719" s="1602" t="s">
        <v>2549</v>
      </c>
      <c r="J719" s="1602" t="s">
        <v>4157</v>
      </c>
      <c r="K719" s="1606">
        <v>43873</v>
      </c>
      <c r="L719" s="1603" t="s">
        <v>990</v>
      </c>
      <c r="M719" s="1603" t="s">
        <v>4158</v>
      </c>
      <c r="N719" s="1604" t="s">
        <v>929</v>
      </c>
      <c r="O719" s="1602">
        <v>2020</v>
      </c>
      <c r="P719" s="1602" t="s">
        <v>896</v>
      </c>
      <c r="Q719" s="1604">
        <v>3</v>
      </c>
      <c r="R719" s="1604"/>
      <c r="S719" s="1604">
        <f>+R719+Q719</f>
        <v>3</v>
      </c>
      <c r="T719" s="1604" t="s">
        <v>3523</v>
      </c>
      <c r="U719" s="1601" t="s">
        <v>864</v>
      </c>
      <c r="V719" s="1601"/>
      <c r="W719" s="1602" t="s">
        <v>3359</v>
      </c>
      <c r="X719" s="1604" t="s">
        <v>1228</v>
      </c>
      <c r="Y719" s="1604"/>
      <c r="Z719" s="1608"/>
    </row>
    <row r="720" spans="1:26" s="1112" customFormat="1" ht="79.2" hidden="1">
      <c r="A720" s="1577"/>
      <c r="B720" s="1518" t="s">
        <v>1006</v>
      </c>
      <c r="C720" s="1518" t="s">
        <v>4163</v>
      </c>
      <c r="D720" s="1185"/>
      <c r="E720" s="1570" t="s">
        <v>3355</v>
      </c>
      <c r="F720" s="1233"/>
      <c r="G720" s="1571"/>
      <c r="H720" s="1571"/>
      <c r="I720" s="1524" t="s">
        <v>2318</v>
      </c>
      <c r="J720" s="1524"/>
      <c r="K720" s="1575">
        <v>43887</v>
      </c>
      <c r="L720" s="1518" t="s">
        <v>1576</v>
      </c>
      <c r="M720" s="1518" t="s">
        <v>4164</v>
      </c>
      <c r="N720" s="1571"/>
      <c r="O720" s="1523">
        <v>2020</v>
      </c>
      <c r="P720" s="1524" t="s">
        <v>896</v>
      </c>
      <c r="Q720" s="1571"/>
      <c r="R720" s="1233"/>
      <c r="S720" s="1571"/>
      <c r="T720" s="1576" t="s">
        <v>918</v>
      </c>
      <c r="U720" s="1576" t="s">
        <v>918</v>
      </c>
      <c r="V720" s="1576"/>
      <c r="W720" s="1518" t="s">
        <v>4165</v>
      </c>
      <c r="X720" s="1576"/>
      <c r="Y720" s="1233"/>
    </row>
    <row r="721" spans="1:26" s="1112" customFormat="1" ht="52.8" hidden="1">
      <c r="A721" s="1185"/>
      <c r="B721" s="1345" t="s">
        <v>1073</v>
      </c>
      <c r="C721" s="1345" t="s">
        <v>4166</v>
      </c>
      <c r="D721" s="1185"/>
      <c r="E721" s="1457" t="s">
        <v>4167</v>
      </c>
      <c r="F721" s="862"/>
      <c r="G721" s="984"/>
      <c r="H721" s="984" t="s">
        <v>987</v>
      </c>
      <c r="I721" s="839" t="s">
        <v>2318</v>
      </c>
      <c r="J721" s="839"/>
      <c r="K721" s="1348">
        <v>43891</v>
      </c>
      <c r="L721" s="1345" t="s">
        <v>1576</v>
      </c>
      <c r="M721" s="1345" t="s">
        <v>4168</v>
      </c>
      <c r="N721" s="984"/>
      <c r="O721" s="1347">
        <v>2020</v>
      </c>
      <c r="P721" s="839" t="s">
        <v>897</v>
      </c>
      <c r="Q721" s="984"/>
      <c r="R721" s="862"/>
      <c r="S721" s="984"/>
      <c r="T721" s="1195" t="s">
        <v>918</v>
      </c>
      <c r="U721" s="1195" t="s">
        <v>3922</v>
      </c>
      <c r="V721" s="1195"/>
      <c r="W721" s="1345" t="s">
        <v>918</v>
      </c>
      <c r="X721" s="1195"/>
      <c r="Y721" s="862"/>
    </row>
    <row r="722" spans="1:26" s="1112" customFormat="1" ht="39.6" hidden="1">
      <c r="A722" s="1185"/>
      <c r="B722" s="1345" t="s">
        <v>694</v>
      </c>
      <c r="C722" s="1345" t="s">
        <v>4170</v>
      </c>
      <c r="D722" s="1185"/>
      <c r="E722" s="1457" t="s">
        <v>4169</v>
      </c>
      <c r="F722" s="862">
        <v>24</v>
      </c>
      <c r="G722" s="984" t="s">
        <v>4171</v>
      </c>
      <c r="H722" s="984" t="s">
        <v>987</v>
      </c>
      <c r="I722" s="839" t="s">
        <v>2310</v>
      </c>
      <c r="J722" s="839"/>
      <c r="K722" s="1348">
        <v>43893</v>
      </c>
      <c r="L722" s="1345" t="s">
        <v>3015</v>
      </c>
      <c r="M722" s="1345" t="s">
        <v>4172</v>
      </c>
      <c r="N722" s="984" t="s">
        <v>925</v>
      </c>
      <c r="O722" s="1347">
        <v>2020</v>
      </c>
      <c r="P722" s="839" t="s">
        <v>897</v>
      </c>
      <c r="Q722" s="984" t="s">
        <v>1576</v>
      </c>
      <c r="R722" s="984"/>
      <c r="S722" s="984" t="s">
        <v>1576</v>
      </c>
      <c r="T722" s="1195" t="s">
        <v>918</v>
      </c>
      <c r="U722" s="1195" t="s">
        <v>4173</v>
      </c>
      <c r="V722" s="1195"/>
      <c r="W722" s="1345" t="s">
        <v>4174</v>
      </c>
      <c r="X722" s="1195"/>
      <c r="Y722" s="862"/>
    </row>
    <row r="723" spans="1:26" s="1112" customFormat="1" hidden="1">
      <c r="A723" s="1541"/>
      <c r="B723" s="1604" t="s">
        <v>91</v>
      </c>
      <c r="C723" s="2974" t="s">
        <v>4176</v>
      </c>
      <c r="D723" s="1185"/>
      <c r="E723" s="1679" t="s">
        <v>4175</v>
      </c>
      <c r="F723" s="1683">
        <v>18</v>
      </c>
      <c r="G723" s="1618" t="s">
        <v>3029</v>
      </c>
      <c r="H723" s="1683" t="s">
        <v>994</v>
      </c>
      <c r="I723" s="2974" t="s">
        <v>2310</v>
      </c>
      <c r="J723" s="2974"/>
      <c r="K723" s="2979">
        <v>43893</v>
      </c>
      <c r="L723" s="1682" t="s">
        <v>3015</v>
      </c>
      <c r="M723" s="2980" t="s">
        <v>4177</v>
      </c>
      <c r="N723" s="1683" t="s">
        <v>2320</v>
      </c>
      <c r="O723" s="2974">
        <v>2020</v>
      </c>
      <c r="P723" s="2974" t="s">
        <v>897</v>
      </c>
      <c r="Q723" s="1683" t="s">
        <v>1576</v>
      </c>
      <c r="R723" s="1683"/>
      <c r="S723" s="1683" t="s">
        <v>1576</v>
      </c>
      <c r="T723" s="1680" t="s">
        <v>4178</v>
      </c>
      <c r="U723" s="1683" t="s">
        <v>918</v>
      </c>
      <c r="V723" s="1680"/>
      <c r="W723" s="2974" t="s">
        <v>2238</v>
      </c>
      <c r="X723" s="1680"/>
      <c r="Y723" s="1683"/>
      <c r="Z723" s="1604" t="s">
        <v>2019</v>
      </c>
    </row>
    <row r="724" spans="1:26" ht="55.2" hidden="1">
      <c r="A724" s="1601"/>
      <c r="B724" s="1345" t="s">
        <v>1958</v>
      </c>
      <c r="C724" s="1602" t="s">
        <v>3864</v>
      </c>
      <c r="D724" s="1516"/>
      <c r="E724" s="1605" t="s">
        <v>4179</v>
      </c>
      <c r="F724" s="1604"/>
      <c r="G724" s="1604" t="s">
        <v>2167</v>
      </c>
      <c r="H724" s="1604"/>
      <c r="I724" s="1602" t="s">
        <v>2549</v>
      </c>
      <c r="J724" s="1602" t="s">
        <v>4180</v>
      </c>
      <c r="K724" s="1606">
        <v>43894</v>
      </c>
      <c r="L724" s="1603" t="s">
        <v>990</v>
      </c>
      <c r="M724" s="1603" t="s">
        <v>4242</v>
      </c>
      <c r="N724" s="1604" t="s">
        <v>2320</v>
      </c>
      <c r="O724" s="1602">
        <v>2020</v>
      </c>
      <c r="P724" s="1602" t="s">
        <v>897</v>
      </c>
      <c r="Q724" s="1604">
        <v>3</v>
      </c>
      <c r="R724" s="1604"/>
      <c r="S724" s="1604">
        <f>+R724+Q724</f>
        <v>3</v>
      </c>
      <c r="T724" s="1604" t="s">
        <v>2232</v>
      </c>
      <c r="U724" s="1611" t="s">
        <v>4483</v>
      </c>
      <c r="V724" s="1611"/>
      <c r="W724" s="1602" t="s">
        <v>2975</v>
      </c>
      <c r="X724" s="1604"/>
      <c r="Y724" s="1604"/>
      <c r="Z724" s="1608"/>
    </row>
    <row r="725" spans="1:26" s="1112" customFormat="1" ht="26.4" hidden="1">
      <c r="A725" s="1592"/>
      <c r="B725" s="1508" t="s">
        <v>1128</v>
      </c>
      <c r="C725" s="1508" t="s">
        <v>542</v>
      </c>
      <c r="D725" s="1185"/>
      <c r="E725" s="1544" t="s">
        <v>4182</v>
      </c>
      <c r="F725" s="1538">
        <v>18</v>
      </c>
      <c r="G725" s="1508" t="s">
        <v>4183</v>
      </c>
      <c r="H725" s="1510" t="s">
        <v>987</v>
      </c>
      <c r="I725" s="1511" t="s">
        <v>2310</v>
      </c>
      <c r="J725" s="1511"/>
      <c r="K725" s="1591">
        <v>43895</v>
      </c>
      <c r="L725" s="1508" t="s">
        <v>3601</v>
      </c>
      <c r="M725" s="1508" t="s">
        <v>4184</v>
      </c>
      <c r="N725" s="1510" t="s">
        <v>2320</v>
      </c>
      <c r="O725" s="1512">
        <v>2020</v>
      </c>
      <c r="P725" s="1511" t="s">
        <v>897</v>
      </c>
      <c r="Q725" s="1510" t="s">
        <v>1576</v>
      </c>
      <c r="R725" s="1538"/>
      <c r="S725" s="1510" t="s">
        <v>1576</v>
      </c>
      <c r="T725" s="1546" t="s">
        <v>918</v>
      </c>
      <c r="U725" s="1546" t="s">
        <v>3922</v>
      </c>
      <c r="V725" s="1546"/>
      <c r="W725" s="1508" t="s">
        <v>3837</v>
      </c>
      <c r="X725" s="1546"/>
      <c r="Y725" s="1538"/>
    </row>
    <row r="726" spans="1:26" ht="55.2" hidden="1">
      <c r="A726" s="1601"/>
      <c r="B726" s="1345" t="s">
        <v>788</v>
      </c>
      <c r="C726" s="1603" t="s">
        <v>1956</v>
      </c>
      <c r="D726" s="1516"/>
      <c r="E726" s="1605" t="s">
        <v>4185</v>
      </c>
      <c r="F726" s="1604"/>
      <c r="G726" s="1604" t="s">
        <v>4186</v>
      </c>
      <c r="H726" s="1604" t="s">
        <v>987</v>
      </c>
      <c r="I726" s="1602" t="s">
        <v>2310</v>
      </c>
      <c r="J726" s="1602"/>
      <c r="K726" s="1606">
        <v>43895</v>
      </c>
      <c r="L726" s="1603" t="s">
        <v>990</v>
      </c>
      <c r="M726" s="1613" t="s">
        <v>4202</v>
      </c>
      <c r="N726" s="1604" t="s">
        <v>2320</v>
      </c>
      <c r="O726" s="1602">
        <v>2020</v>
      </c>
      <c r="P726" s="1602" t="s">
        <v>897</v>
      </c>
      <c r="Q726" s="1604">
        <v>10</v>
      </c>
      <c r="R726" s="1604"/>
      <c r="S726" s="1604">
        <v>10</v>
      </c>
      <c r="T726" s="1604" t="s">
        <v>4187</v>
      </c>
      <c r="U726" s="1601" t="s">
        <v>3922</v>
      </c>
      <c r="V726" s="1601"/>
      <c r="W726" s="1602" t="s">
        <v>4188</v>
      </c>
      <c r="X726" s="1604"/>
      <c r="Y726" s="1604"/>
      <c r="Z726" s="1608"/>
    </row>
    <row r="727" spans="1:26" s="1112" customFormat="1" ht="39.6" hidden="1">
      <c r="A727" s="1592"/>
      <c r="B727" s="1508" t="s">
        <v>693</v>
      </c>
      <c r="C727" s="1508" t="s">
        <v>693</v>
      </c>
      <c r="D727" s="1185"/>
      <c r="E727" s="1544" t="s">
        <v>4189</v>
      </c>
      <c r="F727" s="1538">
        <v>41</v>
      </c>
      <c r="G727" s="1510" t="s">
        <v>3311</v>
      </c>
      <c r="H727" s="1510" t="s">
        <v>987</v>
      </c>
      <c r="I727" s="1511" t="s">
        <v>2310</v>
      </c>
      <c r="J727" s="1511"/>
      <c r="K727" s="1591">
        <v>43895</v>
      </c>
      <c r="L727" s="1508" t="s">
        <v>3015</v>
      </c>
      <c r="M727" s="1508" t="s">
        <v>4190</v>
      </c>
      <c r="N727" s="1510" t="s">
        <v>917</v>
      </c>
      <c r="O727" s="1512">
        <v>2020</v>
      </c>
      <c r="P727" s="1511" t="s">
        <v>897</v>
      </c>
      <c r="Q727" s="1510" t="s">
        <v>1576</v>
      </c>
      <c r="R727" s="1538"/>
      <c r="S727" s="1510" t="s">
        <v>1576</v>
      </c>
      <c r="T727" s="1546" t="s">
        <v>3784</v>
      </c>
      <c r="U727" s="1546" t="s">
        <v>918</v>
      </c>
      <c r="V727" s="1546"/>
      <c r="W727" s="1508" t="s">
        <v>4191</v>
      </c>
      <c r="X727" s="1546"/>
      <c r="Y727" s="1538"/>
    </row>
    <row r="728" spans="1:26" ht="69" hidden="1">
      <c r="A728" s="1601"/>
      <c r="B728" s="1345" t="s">
        <v>2943</v>
      </c>
      <c r="C728" s="1603" t="s">
        <v>4205</v>
      </c>
      <c r="D728" s="1516"/>
      <c r="E728" s="1605" t="s">
        <v>4192</v>
      </c>
      <c r="F728" s="1604"/>
      <c r="G728" s="1604" t="s">
        <v>3804</v>
      </c>
      <c r="H728" s="1604" t="s">
        <v>987</v>
      </c>
      <c r="I728" s="1602" t="s">
        <v>2310</v>
      </c>
      <c r="J728" s="1602" t="s">
        <v>4193</v>
      </c>
      <c r="K728" s="1606">
        <v>43895</v>
      </c>
      <c r="L728" s="1603" t="s">
        <v>990</v>
      </c>
      <c r="M728" s="1615" t="s">
        <v>4203</v>
      </c>
      <c r="N728" s="1604" t="s">
        <v>913</v>
      </c>
      <c r="O728" s="1602">
        <v>2020</v>
      </c>
      <c r="P728" s="1602" t="s">
        <v>897</v>
      </c>
      <c r="Q728" s="1604">
        <v>3</v>
      </c>
      <c r="R728" s="1604"/>
      <c r="S728" s="1604">
        <v>3</v>
      </c>
      <c r="T728" s="1604" t="s">
        <v>2452</v>
      </c>
      <c r="U728" s="1601" t="s">
        <v>3922</v>
      </c>
      <c r="V728" s="1601"/>
      <c r="W728" s="1602" t="s">
        <v>4194</v>
      </c>
      <c r="X728" s="1604"/>
      <c r="Y728" s="1604"/>
      <c r="Z728" s="1608"/>
    </row>
    <row r="729" spans="1:26" ht="69" hidden="1">
      <c r="A729" s="1601"/>
      <c r="B729" s="1345" t="s">
        <v>2943</v>
      </c>
      <c r="C729" s="1603" t="s">
        <v>4206</v>
      </c>
      <c r="D729" s="1516"/>
      <c r="E729" s="1605" t="s">
        <v>4195</v>
      </c>
      <c r="F729" s="1604"/>
      <c r="G729" s="1604" t="s">
        <v>2448</v>
      </c>
      <c r="H729" s="1604" t="s">
        <v>987</v>
      </c>
      <c r="I729" s="1602" t="s">
        <v>2310</v>
      </c>
      <c r="J729" s="1602" t="s">
        <v>2496</v>
      </c>
      <c r="K729" s="1606">
        <v>43895</v>
      </c>
      <c r="L729" s="1603" t="s">
        <v>990</v>
      </c>
      <c r="M729" s="1613" t="s">
        <v>4196</v>
      </c>
      <c r="N729" s="1604" t="s">
        <v>913</v>
      </c>
      <c r="O729" s="1602">
        <v>2020</v>
      </c>
      <c r="P729" s="1602" t="s">
        <v>897</v>
      </c>
      <c r="Q729" s="1604">
        <v>40</v>
      </c>
      <c r="R729" s="1604"/>
      <c r="S729" s="1604">
        <v>25</v>
      </c>
      <c r="T729" s="1604" t="s">
        <v>4204</v>
      </c>
      <c r="U729" s="1601" t="s">
        <v>3922</v>
      </c>
      <c r="V729" s="1601"/>
      <c r="W729" s="1602" t="s">
        <v>2340</v>
      </c>
      <c r="X729" s="1604"/>
      <c r="Y729" s="1604" t="s">
        <v>993</v>
      </c>
      <c r="Z729" s="1608"/>
    </row>
    <row r="730" spans="1:26" ht="96.6" hidden="1">
      <c r="A730" s="1601" t="s">
        <v>4199</v>
      </c>
      <c r="B730" s="1345" t="s">
        <v>1128</v>
      </c>
      <c r="C730" s="1614" t="s">
        <v>4237</v>
      </c>
      <c r="D730" s="1516"/>
      <c r="E730" s="1605" t="s">
        <v>4197</v>
      </c>
      <c r="F730" s="1604">
        <v>50</v>
      </c>
      <c r="G730" s="1616" t="s">
        <v>4238</v>
      </c>
      <c r="H730" s="1604" t="s">
        <v>987</v>
      </c>
      <c r="I730" s="1602" t="s">
        <v>2310</v>
      </c>
      <c r="J730" s="1602"/>
      <c r="K730" s="1606">
        <v>43899</v>
      </c>
      <c r="L730" s="1603" t="s">
        <v>990</v>
      </c>
      <c r="M730" s="1603" t="s">
        <v>4239</v>
      </c>
      <c r="N730" s="1604" t="s">
        <v>913</v>
      </c>
      <c r="O730" s="1602">
        <v>2020</v>
      </c>
      <c r="P730" s="1602" t="s">
        <v>897</v>
      </c>
      <c r="Q730" s="1604">
        <v>60</v>
      </c>
      <c r="R730" s="1604">
        <v>3000</v>
      </c>
      <c r="S730" s="1604">
        <f>+R730+Q730</f>
        <v>3060</v>
      </c>
      <c r="T730" s="1604" t="s">
        <v>4241</v>
      </c>
      <c r="U730" s="1601" t="s">
        <v>558</v>
      </c>
      <c r="V730" s="1601"/>
      <c r="W730" s="1602" t="s">
        <v>4240</v>
      </c>
      <c r="X730" s="1604" t="s">
        <v>4198</v>
      </c>
      <c r="Y730" s="1604"/>
      <c r="Z730" s="1608"/>
    </row>
    <row r="731" spans="1:26" customFormat="1" ht="26.4" hidden="1">
      <c r="A731" s="1593"/>
      <c r="B731" s="1508" t="s">
        <v>1128</v>
      </c>
      <c r="C731" s="1508" t="s">
        <v>429</v>
      </c>
      <c r="D731" s="137"/>
      <c r="E731" s="1544" t="s">
        <v>4200</v>
      </c>
      <c r="F731" s="1538">
        <v>44</v>
      </c>
      <c r="G731" s="1510" t="s">
        <v>3592</v>
      </c>
      <c r="H731" s="1594" t="s">
        <v>987</v>
      </c>
      <c r="I731" s="1511" t="s">
        <v>2318</v>
      </c>
      <c r="J731" s="1511"/>
      <c r="K731" s="1591">
        <v>43901</v>
      </c>
      <c r="L731" s="1508" t="s">
        <v>3015</v>
      </c>
      <c r="M731" s="1595" t="s">
        <v>4201</v>
      </c>
      <c r="N731" s="1594" t="s">
        <v>2320</v>
      </c>
      <c r="O731" s="1512">
        <v>2020</v>
      </c>
      <c r="P731" s="1511" t="s">
        <v>897</v>
      </c>
      <c r="Q731" s="1594" t="s">
        <v>1576</v>
      </c>
      <c r="R731" s="1527"/>
      <c r="S731" s="1594" t="s">
        <v>1576</v>
      </c>
      <c r="T731" s="1596" t="s">
        <v>918</v>
      </c>
      <c r="U731" s="1596" t="s">
        <v>4181</v>
      </c>
      <c r="V731" s="1596"/>
      <c r="W731" s="1508" t="s">
        <v>3450</v>
      </c>
      <c r="X731" s="1596"/>
      <c r="Y731" s="1538"/>
    </row>
    <row r="732" spans="1:26" s="1433" customFormat="1" ht="55.2" hidden="1">
      <c r="A732" s="1611"/>
      <c r="B732" s="1345" t="s">
        <v>1128</v>
      </c>
      <c r="C732" s="1602" t="s">
        <v>4209</v>
      </c>
      <c r="D732" s="1517"/>
      <c r="E732" s="1603" t="s">
        <v>4207</v>
      </c>
      <c r="F732" s="1604"/>
      <c r="G732" s="1604" t="s">
        <v>4208</v>
      </c>
      <c r="H732" s="1604" t="s">
        <v>987</v>
      </c>
      <c r="I732" s="1602" t="s">
        <v>2318</v>
      </c>
      <c r="J732" s="1602" t="s">
        <v>2575</v>
      </c>
      <c r="K732" s="1606">
        <v>43903</v>
      </c>
      <c r="L732" s="1603" t="s">
        <v>990</v>
      </c>
      <c r="M732" s="1617" t="s">
        <v>4210</v>
      </c>
      <c r="N732" s="1604" t="s">
        <v>2320</v>
      </c>
      <c r="O732" s="1602">
        <v>2020</v>
      </c>
      <c r="P732" s="1602" t="s">
        <v>897</v>
      </c>
      <c r="Q732" s="1618">
        <v>8</v>
      </c>
      <c r="R732" s="1618"/>
      <c r="S732" s="1604">
        <f>+R732+Q732</f>
        <v>8</v>
      </c>
      <c r="T732" s="1618" t="s">
        <v>2227</v>
      </c>
      <c r="U732" s="1601" t="s">
        <v>4481</v>
      </c>
      <c r="V732" s="1601"/>
      <c r="W732" s="1602" t="s">
        <v>2275</v>
      </c>
      <c r="X732" s="1618"/>
      <c r="Y732" s="1604"/>
    </row>
    <row r="733" spans="1:26" s="1433" customFormat="1" ht="82.5" hidden="1" customHeight="1">
      <c r="A733" s="1611"/>
      <c r="B733" s="1345" t="s">
        <v>1128</v>
      </c>
      <c r="C733" s="1602" t="s">
        <v>4211</v>
      </c>
      <c r="D733" s="1517"/>
      <c r="E733" s="1611" t="s">
        <v>4212</v>
      </c>
      <c r="F733" s="1604"/>
      <c r="G733" s="1604"/>
      <c r="H733" s="1604" t="s">
        <v>987</v>
      </c>
      <c r="I733" s="1602" t="s">
        <v>2310</v>
      </c>
      <c r="J733" s="1602" t="s">
        <v>2493</v>
      </c>
      <c r="K733" s="1606">
        <v>43906</v>
      </c>
      <c r="L733" s="1603" t="s">
        <v>990</v>
      </c>
      <c r="M733" s="1603" t="s">
        <v>4213</v>
      </c>
      <c r="N733" s="1604" t="s">
        <v>913</v>
      </c>
      <c r="O733" s="1602">
        <v>2020</v>
      </c>
      <c r="P733" s="1602" t="s">
        <v>897</v>
      </c>
      <c r="Q733" s="1618">
        <v>3</v>
      </c>
      <c r="R733" s="1618"/>
      <c r="S733" s="1604">
        <f>+R733+Q733</f>
        <v>3</v>
      </c>
      <c r="T733" s="1618" t="s">
        <v>4214</v>
      </c>
      <c r="U733" s="1601" t="s">
        <v>864</v>
      </c>
      <c r="V733" s="1601"/>
      <c r="W733" s="1602" t="s">
        <v>1946</v>
      </c>
      <c r="X733" s="1618"/>
      <c r="Y733" s="1604"/>
    </row>
    <row r="734" spans="1:26" s="1433" customFormat="1" ht="55.2" hidden="1">
      <c r="A734" s="1611"/>
      <c r="B734" s="1602" t="s">
        <v>591</v>
      </c>
      <c r="C734" s="1602" t="s">
        <v>4215</v>
      </c>
      <c r="D734" s="1517"/>
      <c r="E734" s="1603" t="s">
        <v>4216</v>
      </c>
      <c r="F734" s="1604"/>
      <c r="G734" s="1637" t="s">
        <v>4217</v>
      </c>
      <c r="H734" s="1604" t="s">
        <v>987</v>
      </c>
      <c r="I734" s="1602" t="s">
        <v>2310</v>
      </c>
      <c r="J734" s="1602" t="s">
        <v>2254</v>
      </c>
      <c r="K734" s="1606">
        <v>43905</v>
      </c>
      <c r="L734" s="1603" t="s">
        <v>990</v>
      </c>
      <c r="M734" s="1617" t="s">
        <v>4219</v>
      </c>
      <c r="N734" s="1618" t="s">
        <v>2320</v>
      </c>
      <c r="O734" s="1602">
        <v>2020</v>
      </c>
      <c r="P734" s="1602" t="s">
        <v>897</v>
      </c>
      <c r="Q734" s="1618">
        <v>39</v>
      </c>
      <c r="R734" s="1618"/>
      <c r="S734" s="1604">
        <f>+R734+Q734</f>
        <v>39</v>
      </c>
      <c r="T734" s="1618" t="s">
        <v>4224</v>
      </c>
      <c r="U734" s="1601" t="s">
        <v>558</v>
      </c>
      <c r="V734" s="1601"/>
      <c r="W734" s="1602" t="s">
        <v>4221</v>
      </c>
      <c r="X734" s="1604" t="s">
        <v>4218</v>
      </c>
      <c r="Y734" s="1604"/>
    </row>
    <row r="735" spans="1:26" s="1433" customFormat="1" ht="41.4" hidden="1">
      <c r="A735" s="1611"/>
      <c r="B735" s="1345" t="s">
        <v>1958</v>
      </c>
      <c r="C735" s="1604" t="s">
        <v>4222</v>
      </c>
      <c r="D735" s="1516" t="s">
        <v>4417</v>
      </c>
      <c r="E735" s="1601" t="s">
        <v>4220</v>
      </c>
      <c r="F735" s="1604"/>
      <c r="G735" s="1601" t="s">
        <v>1023</v>
      </c>
      <c r="H735" s="1604" t="s">
        <v>987</v>
      </c>
      <c r="I735" s="1602" t="s">
        <v>2318</v>
      </c>
      <c r="J735" s="1602" t="s">
        <v>2748</v>
      </c>
      <c r="K735" s="1606">
        <v>43914</v>
      </c>
      <c r="L735" s="1603" t="s">
        <v>990</v>
      </c>
      <c r="M735" s="1617" t="s">
        <v>4223</v>
      </c>
      <c r="N735" s="1618" t="s">
        <v>917</v>
      </c>
      <c r="O735" s="1602">
        <v>2020</v>
      </c>
      <c r="P735" s="1602" t="s">
        <v>897</v>
      </c>
      <c r="Q735" s="1618">
        <v>10</v>
      </c>
      <c r="R735" s="1618"/>
      <c r="S735" s="1604">
        <f>+R735+Q735</f>
        <v>10</v>
      </c>
      <c r="T735" s="1618" t="s">
        <v>2233</v>
      </c>
      <c r="U735" s="1601" t="s">
        <v>864</v>
      </c>
      <c r="V735" s="1601"/>
      <c r="W735" s="1602" t="s">
        <v>2564</v>
      </c>
      <c r="X735" s="1618"/>
      <c r="Y735" s="1604"/>
    </row>
    <row r="736" spans="1:26" s="1433" customFormat="1" ht="55.2" hidden="1">
      <c r="A736" s="1611"/>
      <c r="B736" s="1520" t="s">
        <v>91</v>
      </c>
      <c r="C736" s="1604" t="s">
        <v>4626</v>
      </c>
      <c r="D736" s="1517"/>
      <c r="E736" s="1611" t="s">
        <v>4228</v>
      </c>
      <c r="F736" s="1604">
        <v>48</v>
      </c>
      <c r="G736" s="1604" t="s">
        <v>4225</v>
      </c>
      <c r="H736" s="1604" t="s">
        <v>987</v>
      </c>
      <c r="I736" s="1602" t="s">
        <v>2310</v>
      </c>
      <c r="J736" s="1602" t="s">
        <v>2496</v>
      </c>
      <c r="K736" s="1606">
        <v>43914</v>
      </c>
      <c r="L736" s="1603" t="s">
        <v>990</v>
      </c>
      <c r="M736" s="1603" t="s">
        <v>4226</v>
      </c>
      <c r="N736" s="1618" t="s">
        <v>3416</v>
      </c>
      <c r="O736" s="1602">
        <v>2020</v>
      </c>
      <c r="P736" s="1602" t="s">
        <v>897</v>
      </c>
      <c r="Q736" s="1618">
        <v>3</v>
      </c>
      <c r="R736" s="1618"/>
      <c r="S736" s="1604">
        <f>+R736+Q736</f>
        <v>3</v>
      </c>
      <c r="T736" s="1618" t="s">
        <v>4227</v>
      </c>
      <c r="U736" s="1601" t="s">
        <v>864</v>
      </c>
      <c r="V736" s="1601"/>
      <c r="W736" s="1602" t="s">
        <v>3540</v>
      </c>
      <c r="X736" s="1618"/>
      <c r="Y736" s="1604"/>
    </row>
    <row r="737" spans="1:25" s="1433" customFormat="1" ht="69" hidden="1">
      <c r="A737" s="1611"/>
      <c r="B737" s="1345" t="s">
        <v>2943</v>
      </c>
      <c r="C737" s="1603" t="s">
        <v>4230</v>
      </c>
      <c r="D737"/>
      <c r="E737" s="1619" t="s">
        <v>4229</v>
      </c>
      <c r="F737" s="1604">
        <v>38</v>
      </c>
      <c r="G737" s="1638" t="s">
        <v>4231</v>
      </c>
      <c r="H737" s="1604" t="s">
        <v>987</v>
      </c>
      <c r="I737" s="1602" t="s">
        <v>2310</v>
      </c>
      <c r="J737" s="1604" t="s">
        <v>2495</v>
      </c>
      <c r="K737" s="1606">
        <v>43911</v>
      </c>
      <c r="L737" s="1603" t="s">
        <v>990</v>
      </c>
      <c r="M737" s="1615" t="s">
        <v>4232</v>
      </c>
      <c r="N737" s="1618" t="s">
        <v>2320</v>
      </c>
      <c r="O737" s="1602">
        <v>2020</v>
      </c>
      <c r="P737" s="1602" t="s">
        <v>897</v>
      </c>
      <c r="Q737" s="1618">
        <v>40</v>
      </c>
      <c r="R737" s="1618"/>
      <c r="S737" s="1618">
        <v>25</v>
      </c>
      <c r="T737" s="1618" t="s">
        <v>2958</v>
      </c>
      <c r="U737" s="1601" t="s">
        <v>3922</v>
      </c>
      <c r="V737" s="1601"/>
      <c r="W737" s="1602" t="s">
        <v>2975</v>
      </c>
      <c r="X737" s="1618"/>
      <c r="Y737" s="1611"/>
    </row>
    <row r="738" spans="1:25" s="1433" customFormat="1" ht="26.1" hidden="1" customHeight="1">
      <c r="A738" s="1611"/>
      <c r="B738" s="1033" t="s">
        <v>1053</v>
      </c>
      <c r="C738" s="1604" t="s">
        <v>4234</v>
      </c>
      <c r="D738"/>
      <c r="E738" s="1611" t="s">
        <v>4233</v>
      </c>
      <c r="F738" s="1604">
        <v>43</v>
      </c>
      <c r="G738" s="1601" t="s">
        <v>4235</v>
      </c>
      <c r="H738" s="1604" t="s">
        <v>987</v>
      </c>
      <c r="I738" s="1602" t="s">
        <v>2310</v>
      </c>
      <c r="J738" s="1604" t="s">
        <v>2775</v>
      </c>
      <c r="K738" s="1606">
        <v>43916</v>
      </c>
      <c r="L738" s="1603" t="s">
        <v>990</v>
      </c>
      <c r="M738" s="1601" t="s">
        <v>4236</v>
      </c>
      <c r="N738" s="1604" t="s">
        <v>913</v>
      </c>
      <c r="O738" s="1602">
        <v>2020</v>
      </c>
      <c r="P738" s="1602" t="s">
        <v>897</v>
      </c>
      <c r="Q738" s="1618">
        <v>9</v>
      </c>
      <c r="R738" s="1618"/>
      <c r="S738" s="1604">
        <f>+R738+Q738</f>
        <v>9</v>
      </c>
      <c r="T738" s="1618" t="s">
        <v>4204</v>
      </c>
      <c r="U738" s="1601" t="s">
        <v>864</v>
      </c>
      <c r="V738" s="1601"/>
      <c r="W738" s="1602" t="s">
        <v>2275</v>
      </c>
      <c r="X738" s="1618"/>
      <c r="Y738" s="1611" t="s">
        <v>1105</v>
      </c>
    </row>
    <row r="739" spans="1:25" s="1433" customFormat="1" ht="28.2" hidden="1" customHeight="1">
      <c r="A739" s="1611"/>
      <c r="B739" s="1345" t="s">
        <v>952</v>
      </c>
      <c r="C739" s="1611"/>
      <c r="D739"/>
      <c r="E739" s="1619"/>
      <c r="F739" s="1604"/>
      <c r="G739" s="1611"/>
      <c r="H739" s="1618"/>
      <c r="I739" s="1618"/>
      <c r="J739" s="1604"/>
      <c r="K739" s="1606">
        <v>43916</v>
      </c>
      <c r="L739" s="1603" t="s">
        <v>990</v>
      </c>
      <c r="M739" s="1615"/>
      <c r="N739" s="1618"/>
      <c r="O739" s="1602">
        <v>2020</v>
      </c>
      <c r="P739" s="1602" t="s">
        <v>897</v>
      </c>
      <c r="Q739" s="1618">
        <v>4</v>
      </c>
      <c r="R739" s="1618"/>
      <c r="S739" s="1618">
        <v>4</v>
      </c>
      <c r="T739" s="1618"/>
      <c r="U739" s="1611"/>
      <c r="V739" s="1611"/>
      <c r="W739" s="1618"/>
      <c r="X739" s="1618"/>
      <c r="Y739" s="1611"/>
    </row>
    <row r="740" spans="1:25" s="1433" customFormat="1" ht="124.2" hidden="1">
      <c r="A740" s="1604" t="s">
        <v>4243</v>
      </c>
      <c r="B740" s="137" t="s">
        <v>602</v>
      </c>
      <c r="C740" s="1602" t="s">
        <v>4244</v>
      </c>
      <c r="D740" s="1519"/>
      <c r="E740" s="1604" t="s">
        <v>4245</v>
      </c>
      <c r="F740" s="1604"/>
      <c r="G740" s="1612" t="s">
        <v>3897</v>
      </c>
      <c r="H740" s="1604"/>
      <c r="I740" s="1602" t="s">
        <v>2318</v>
      </c>
      <c r="J740" s="1602"/>
      <c r="K740" s="1606">
        <v>43924</v>
      </c>
      <c r="L740" s="1602" t="s">
        <v>990</v>
      </c>
      <c r="M740" s="1602" t="s">
        <v>4246</v>
      </c>
      <c r="N740" s="1604" t="s">
        <v>923</v>
      </c>
      <c r="O740" s="1602">
        <v>2020</v>
      </c>
      <c r="P740" s="1602" t="s">
        <v>898</v>
      </c>
      <c r="Q740" s="1604">
        <v>3</v>
      </c>
      <c r="R740" s="1604"/>
      <c r="S740" s="1604">
        <f t="shared" ref="S740:S749" si="0">+R740+Q740</f>
        <v>3</v>
      </c>
      <c r="T740" s="1604" t="s">
        <v>2224</v>
      </c>
      <c r="U740" s="1601" t="s">
        <v>864</v>
      </c>
      <c r="V740" s="1601"/>
      <c r="W740" s="1602" t="s">
        <v>3450</v>
      </c>
      <c r="X740" s="1604" t="s">
        <v>2669</v>
      </c>
      <c r="Y740" s="1604"/>
    </row>
    <row r="741" spans="1:25" s="1433" customFormat="1" ht="151.80000000000001" hidden="1">
      <c r="A741" s="1604" t="s">
        <v>4248</v>
      </c>
      <c r="B741" s="1520" t="s">
        <v>91</v>
      </c>
      <c r="C741" s="1602" t="s">
        <v>4249</v>
      </c>
      <c r="D741" s="1519"/>
      <c r="E741" s="1605" t="s">
        <v>4250</v>
      </c>
      <c r="F741" s="1604"/>
      <c r="G741" s="1604" t="s">
        <v>4251</v>
      </c>
      <c r="H741" s="1604"/>
      <c r="I741" s="1602" t="s">
        <v>2310</v>
      </c>
      <c r="J741" s="1602" t="s">
        <v>4252</v>
      </c>
      <c r="K741" s="1606">
        <v>43927</v>
      </c>
      <c r="L741" s="1602" t="s">
        <v>990</v>
      </c>
      <c r="M741" s="1602" t="s">
        <v>4253</v>
      </c>
      <c r="N741" s="1604" t="s">
        <v>2320</v>
      </c>
      <c r="O741" s="1602">
        <v>2020</v>
      </c>
      <c r="P741" s="1602" t="s">
        <v>898</v>
      </c>
      <c r="Q741" s="1604">
        <v>19</v>
      </c>
      <c r="R741" s="1604"/>
      <c r="S741" s="1604">
        <f t="shared" si="0"/>
        <v>19</v>
      </c>
      <c r="T741" s="1604" t="s">
        <v>2958</v>
      </c>
      <c r="U741" s="1601" t="s">
        <v>558</v>
      </c>
      <c r="V741" s="1601"/>
      <c r="W741" s="1602" t="s">
        <v>4254</v>
      </c>
      <c r="X741" s="1604"/>
      <c r="Y741" s="1604"/>
    </row>
    <row r="742" spans="1:25" s="1433" customFormat="1" ht="179.4" hidden="1">
      <c r="A742" s="1604"/>
      <c r="B742" s="1604" t="s">
        <v>693</v>
      </c>
      <c r="C742" s="1604" t="s">
        <v>4255</v>
      </c>
      <c r="D742" s="1519"/>
      <c r="E742" s="1605" t="s">
        <v>4256</v>
      </c>
      <c r="F742" s="1604"/>
      <c r="G742" s="1604" t="s">
        <v>4251</v>
      </c>
      <c r="H742" s="1604"/>
      <c r="I742" s="1604" t="s">
        <v>2318</v>
      </c>
      <c r="J742" s="1602" t="s">
        <v>2070</v>
      </c>
      <c r="K742" s="1620">
        <v>43931</v>
      </c>
      <c r="L742" s="1602" t="s">
        <v>990</v>
      </c>
      <c r="M742" s="1602" t="s">
        <v>4257</v>
      </c>
      <c r="N742" s="1604" t="s">
        <v>2320</v>
      </c>
      <c r="O742" s="1602">
        <v>2020</v>
      </c>
      <c r="P742" s="1602" t="s">
        <v>898</v>
      </c>
      <c r="Q742" s="1604">
        <v>3</v>
      </c>
      <c r="R742" s="1604"/>
      <c r="S742" s="1604">
        <f t="shared" si="0"/>
        <v>3</v>
      </c>
      <c r="T742" s="1604" t="s">
        <v>4258</v>
      </c>
      <c r="U742" s="1601" t="s">
        <v>558</v>
      </c>
      <c r="V742" s="1601"/>
      <c r="W742" s="1604" t="s">
        <v>2238</v>
      </c>
      <c r="X742" s="1604"/>
      <c r="Y742" s="1604"/>
    </row>
    <row r="743" spans="1:25" s="1433" customFormat="1" ht="109.95" hidden="1" customHeight="1">
      <c r="A743" s="1604" t="s">
        <v>4259</v>
      </c>
      <c r="B743" s="1604" t="s">
        <v>588</v>
      </c>
      <c r="C743" s="1604" t="s">
        <v>4260</v>
      </c>
      <c r="D743" s="1519"/>
      <c r="E743" s="1605" t="s">
        <v>4261</v>
      </c>
      <c r="F743" s="1604"/>
      <c r="G743" s="1604" t="s">
        <v>4262</v>
      </c>
      <c r="H743" s="1604"/>
      <c r="I743" s="1604" t="s">
        <v>2318</v>
      </c>
      <c r="J743" s="1602" t="s">
        <v>2575</v>
      </c>
      <c r="K743" s="1620">
        <v>43936</v>
      </c>
      <c r="L743" s="1602" t="s">
        <v>990</v>
      </c>
      <c r="M743" s="1602" t="s">
        <v>4263</v>
      </c>
      <c r="N743" s="1604" t="s">
        <v>2320</v>
      </c>
      <c r="O743" s="1602">
        <v>2020</v>
      </c>
      <c r="P743" s="1602" t="s">
        <v>898</v>
      </c>
      <c r="Q743" s="1604">
        <v>3</v>
      </c>
      <c r="R743" s="1604"/>
      <c r="S743" s="1604">
        <f t="shared" si="0"/>
        <v>3</v>
      </c>
      <c r="T743" s="1604" t="s">
        <v>2294</v>
      </c>
      <c r="U743" s="1601" t="s">
        <v>864</v>
      </c>
      <c r="V743" s="1601"/>
      <c r="W743" s="1604" t="s">
        <v>2564</v>
      </c>
      <c r="X743" s="1604"/>
      <c r="Y743" s="1604"/>
    </row>
    <row r="744" spans="1:25" s="1433" customFormat="1" ht="165.6" hidden="1">
      <c r="A744" s="1604"/>
      <c r="B744" s="1345" t="s">
        <v>1958</v>
      </c>
      <c r="C744" s="1604" t="s">
        <v>4264</v>
      </c>
      <c r="D744" s="1519"/>
      <c r="E744" s="1605" t="s">
        <v>4265</v>
      </c>
      <c r="F744" s="1604"/>
      <c r="G744" s="1604" t="s">
        <v>4266</v>
      </c>
      <c r="H744" s="1604"/>
      <c r="I744" s="1604" t="s">
        <v>2310</v>
      </c>
      <c r="J744" s="1602" t="s">
        <v>4267</v>
      </c>
      <c r="K744" s="1620">
        <v>43945</v>
      </c>
      <c r="L744" s="1602" t="s">
        <v>990</v>
      </c>
      <c r="M744" s="1602" t="s">
        <v>4268</v>
      </c>
      <c r="N744" s="1604" t="s">
        <v>2320</v>
      </c>
      <c r="O744" s="1602">
        <v>2020</v>
      </c>
      <c r="P744" s="1602" t="s">
        <v>898</v>
      </c>
      <c r="Q744" s="1604">
        <v>17</v>
      </c>
      <c r="R744" s="1604"/>
      <c r="S744" s="1604">
        <f t="shared" si="0"/>
        <v>17</v>
      </c>
      <c r="T744" s="1604" t="s">
        <v>4269</v>
      </c>
      <c r="U744" s="1601" t="s">
        <v>558</v>
      </c>
      <c r="V744" s="1601"/>
      <c r="W744" s="1604" t="s">
        <v>4254</v>
      </c>
      <c r="X744" s="1604"/>
      <c r="Y744" s="1604"/>
    </row>
    <row r="745" spans="1:25" s="1433" customFormat="1" ht="96.6" hidden="1">
      <c r="A745" s="1604"/>
      <c r="B745" s="1345" t="s">
        <v>1309</v>
      </c>
      <c r="C745" s="1604" t="s">
        <v>4270</v>
      </c>
      <c r="D745" s="1516" t="s">
        <v>4417</v>
      </c>
      <c r="E745" s="1605" t="s">
        <v>4271</v>
      </c>
      <c r="F745" s="1604"/>
      <c r="G745" s="1604" t="s">
        <v>1023</v>
      </c>
      <c r="H745" s="1604"/>
      <c r="I745" s="1604" t="s">
        <v>2310</v>
      </c>
      <c r="J745" s="1602" t="s">
        <v>4272</v>
      </c>
      <c r="K745" s="1620">
        <v>43948</v>
      </c>
      <c r="L745" s="1602" t="s">
        <v>990</v>
      </c>
      <c r="M745" s="1602" t="s">
        <v>4273</v>
      </c>
      <c r="N745" s="1604" t="s">
        <v>2320</v>
      </c>
      <c r="O745" s="1602">
        <v>2020</v>
      </c>
      <c r="P745" s="1602" t="s">
        <v>898</v>
      </c>
      <c r="Q745" s="1604">
        <v>5</v>
      </c>
      <c r="R745" s="1604"/>
      <c r="S745" s="1604">
        <f t="shared" si="0"/>
        <v>5</v>
      </c>
      <c r="T745" s="1604" t="s">
        <v>3679</v>
      </c>
      <c r="U745" s="1601" t="s">
        <v>864</v>
      </c>
      <c r="V745" s="1601"/>
      <c r="W745" s="1604" t="s">
        <v>3450</v>
      </c>
      <c r="X745" s="1604"/>
      <c r="Y745" s="1604"/>
    </row>
    <row r="746" spans="1:25" s="1433" customFormat="1" ht="110.4" hidden="1">
      <c r="A746" s="1604"/>
      <c r="B746" s="1604" t="s">
        <v>591</v>
      </c>
      <c r="C746" s="1604" t="s">
        <v>4274</v>
      </c>
      <c r="D746" s="1519"/>
      <c r="E746" s="1605" t="s">
        <v>4275</v>
      </c>
      <c r="F746" s="1604"/>
      <c r="G746" s="1604" t="s">
        <v>4276</v>
      </c>
      <c r="H746" s="1604"/>
      <c r="I746" s="1604" t="s">
        <v>2310</v>
      </c>
      <c r="J746" s="1602"/>
      <c r="K746" s="1620">
        <v>43957</v>
      </c>
      <c r="L746" s="1602" t="s">
        <v>990</v>
      </c>
      <c r="M746" s="1602" t="s">
        <v>4277</v>
      </c>
      <c r="N746" s="1604" t="s">
        <v>913</v>
      </c>
      <c r="O746" s="1604">
        <v>2020</v>
      </c>
      <c r="P746" s="1604" t="s">
        <v>899</v>
      </c>
      <c r="Q746" s="1604">
        <v>16</v>
      </c>
      <c r="R746" s="1604"/>
      <c r="S746" s="1604">
        <f t="shared" si="0"/>
        <v>16</v>
      </c>
      <c r="T746" s="1604" t="s">
        <v>2296</v>
      </c>
      <c r="U746" s="1601" t="s">
        <v>864</v>
      </c>
      <c r="V746" s="1601"/>
      <c r="W746" s="1604" t="s">
        <v>2564</v>
      </c>
      <c r="X746" s="1604"/>
      <c r="Y746" s="1604"/>
    </row>
    <row r="747" spans="1:25" s="1433" customFormat="1" ht="69" hidden="1">
      <c r="A747" s="1604"/>
      <c r="B747" s="1345" t="s">
        <v>602</v>
      </c>
      <c r="C747" s="1604" t="s">
        <v>3298</v>
      </c>
      <c r="D747" s="1519"/>
      <c r="E747" s="1604" t="s">
        <v>4278</v>
      </c>
      <c r="F747" s="1604"/>
      <c r="G747" s="1612" t="s">
        <v>4296</v>
      </c>
      <c r="H747" s="1604"/>
      <c r="I747" s="1604" t="s">
        <v>2310</v>
      </c>
      <c r="J747" s="1602"/>
      <c r="K747" s="1620">
        <v>43960</v>
      </c>
      <c r="L747" s="1602" t="s">
        <v>990</v>
      </c>
      <c r="M747" s="1602" t="s">
        <v>4279</v>
      </c>
      <c r="N747" s="1604" t="s">
        <v>913</v>
      </c>
      <c r="O747" s="1604">
        <v>2020</v>
      </c>
      <c r="P747" s="1604" t="s">
        <v>899</v>
      </c>
      <c r="Q747" s="1604">
        <v>7</v>
      </c>
      <c r="R747" s="1604"/>
      <c r="S747" s="1604">
        <f t="shared" si="0"/>
        <v>7</v>
      </c>
      <c r="T747" s="1604" t="s">
        <v>4280</v>
      </c>
      <c r="U747" s="1601" t="s">
        <v>864</v>
      </c>
      <c r="V747" s="1601"/>
      <c r="W747" s="1604" t="s">
        <v>2607</v>
      </c>
      <c r="X747" s="1604" t="s">
        <v>1105</v>
      </c>
      <c r="Y747" s="1604"/>
    </row>
    <row r="748" spans="1:25" s="1433" customFormat="1" ht="82.8" hidden="1">
      <c r="A748" s="1604"/>
      <c r="B748" s="1345" t="s">
        <v>1128</v>
      </c>
      <c r="C748" s="1604" t="s">
        <v>4010</v>
      </c>
      <c r="D748" s="1519"/>
      <c r="E748" s="1605" t="s">
        <v>4281</v>
      </c>
      <c r="F748" s="1604">
        <v>42</v>
      </c>
      <c r="G748" s="1604" t="s">
        <v>1023</v>
      </c>
      <c r="H748" s="1604"/>
      <c r="I748" s="1604" t="s">
        <v>2318</v>
      </c>
      <c r="J748" s="1602"/>
      <c r="K748" s="1620">
        <v>43965</v>
      </c>
      <c r="L748" s="1602" t="s">
        <v>990</v>
      </c>
      <c r="M748" s="1602" t="s">
        <v>4282</v>
      </c>
      <c r="N748" s="1604" t="s">
        <v>925</v>
      </c>
      <c r="O748" s="1604">
        <v>2020</v>
      </c>
      <c r="P748" s="1604" t="s">
        <v>899</v>
      </c>
      <c r="Q748" s="1604">
        <v>30</v>
      </c>
      <c r="R748" s="1604"/>
      <c r="S748" s="1604">
        <f t="shared" si="0"/>
        <v>30</v>
      </c>
      <c r="T748" s="1604" t="s">
        <v>2233</v>
      </c>
      <c r="U748" s="1601" t="s">
        <v>864</v>
      </c>
      <c r="V748" s="1601"/>
      <c r="W748" s="1604" t="s">
        <v>4283</v>
      </c>
      <c r="X748" s="1604"/>
      <c r="Y748" s="1604"/>
    </row>
    <row r="749" spans="1:25" s="1433" customFormat="1" ht="96.6" hidden="1">
      <c r="A749" s="1604"/>
      <c r="B749" s="1604" t="s">
        <v>693</v>
      </c>
      <c r="C749" s="1604" t="s">
        <v>4284</v>
      </c>
      <c r="D749" s="1516" t="s">
        <v>4417</v>
      </c>
      <c r="E749" s="1605" t="s">
        <v>4285</v>
      </c>
      <c r="F749" s="1604"/>
      <c r="G749" s="1604" t="s">
        <v>1157</v>
      </c>
      <c r="H749" s="1604"/>
      <c r="I749" s="1604" t="s">
        <v>2310</v>
      </c>
      <c r="J749" s="1602" t="s">
        <v>4286</v>
      </c>
      <c r="K749" s="1620">
        <v>43973</v>
      </c>
      <c r="L749" s="1602" t="s">
        <v>990</v>
      </c>
      <c r="M749" s="1602" t="s">
        <v>4287</v>
      </c>
      <c r="N749" s="1604" t="s">
        <v>2320</v>
      </c>
      <c r="O749" s="1604">
        <v>2020</v>
      </c>
      <c r="P749" s="1604" t="s">
        <v>899</v>
      </c>
      <c r="Q749" s="1604">
        <v>30</v>
      </c>
      <c r="R749" s="1604"/>
      <c r="S749" s="1604">
        <f t="shared" si="0"/>
        <v>30</v>
      </c>
      <c r="T749" s="1604" t="s">
        <v>2958</v>
      </c>
      <c r="U749" s="1601" t="s">
        <v>864</v>
      </c>
      <c r="V749" s="1601"/>
      <c r="W749" s="1604" t="s">
        <v>2340</v>
      </c>
      <c r="X749" s="1604"/>
      <c r="Y749" s="1604"/>
    </row>
    <row r="750" spans="1:25" s="1433" customFormat="1" ht="36" hidden="1" customHeight="1">
      <c r="A750" s="1611"/>
      <c r="B750" s="1345" t="s">
        <v>2943</v>
      </c>
      <c r="C750" s="1604" t="s">
        <v>4289</v>
      </c>
      <c r="D750"/>
      <c r="E750" s="1619"/>
      <c r="F750" s="1604"/>
      <c r="G750" s="1611"/>
      <c r="H750" s="1618"/>
      <c r="I750" s="1618"/>
      <c r="J750" s="1604"/>
      <c r="K750" s="1621"/>
      <c r="L750" s="1602" t="s">
        <v>990</v>
      </c>
      <c r="M750" s="1615" t="s">
        <v>4288</v>
      </c>
      <c r="N750" s="1618" t="s">
        <v>925</v>
      </c>
      <c r="O750" s="1602">
        <v>2020</v>
      </c>
      <c r="P750" s="1602" t="s">
        <v>898</v>
      </c>
      <c r="Q750" s="1618">
        <v>4500</v>
      </c>
      <c r="R750" s="1618">
        <v>4500</v>
      </c>
      <c r="S750" s="1618">
        <v>4500</v>
      </c>
      <c r="T750" s="1604" t="s">
        <v>4269</v>
      </c>
      <c r="U750" s="1602" t="s">
        <v>4247</v>
      </c>
      <c r="V750" s="1602"/>
      <c r="W750" s="1604" t="s">
        <v>4240</v>
      </c>
      <c r="X750" s="1618"/>
      <c r="Y750" s="1611"/>
    </row>
    <row r="751" spans="1:25" s="1433" customFormat="1" ht="55.2" hidden="1">
      <c r="A751" s="1611"/>
      <c r="B751" s="1345" t="s">
        <v>2943</v>
      </c>
      <c r="C751" s="1602" t="s">
        <v>4293</v>
      </c>
      <c r="D751" s="1517"/>
      <c r="E751" s="1604" t="s">
        <v>4290</v>
      </c>
      <c r="F751" s="1604"/>
      <c r="G751" s="1604" t="s">
        <v>4292</v>
      </c>
      <c r="H751" s="1618"/>
      <c r="I751" s="1604" t="s">
        <v>2318</v>
      </c>
      <c r="J751" s="1604" t="s">
        <v>2168</v>
      </c>
      <c r="K751" s="1620">
        <v>43973</v>
      </c>
      <c r="L751" s="1602" t="s">
        <v>990</v>
      </c>
      <c r="M751" s="1615" t="s">
        <v>4291</v>
      </c>
      <c r="N751" s="1604" t="s">
        <v>2320</v>
      </c>
      <c r="O751" s="1604">
        <v>2020</v>
      </c>
      <c r="P751" s="1604" t="s">
        <v>899</v>
      </c>
      <c r="Q751" s="1604">
        <v>30</v>
      </c>
      <c r="R751" s="1604"/>
      <c r="S751" s="1604">
        <v>30</v>
      </c>
      <c r="T751" s="1604" t="s">
        <v>2958</v>
      </c>
      <c r="U751" s="1602" t="s">
        <v>4247</v>
      </c>
      <c r="V751" s="1602"/>
      <c r="W751" s="1604" t="s">
        <v>2340</v>
      </c>
      <c r="X751" s="1618"/>
      <c r="Y751" s="1611"/>
    </row>
    <row r="752" spans="1:25" s="1433" customFormat="1" ht="57.6" hidden="1" customHeight="1">
      <c r="A752" s="1611"/>
      <c r="B752" s="1345" t="s">
        <v>1128</v>
      </c>
      <c r="C752" s="1604" t="s">
        <v>4298</v>
      </c>
      <c r="D752" s="1582"/>
      <c r="E752" s="1605" t="s">
        <v>4297</v>
      </c>
      <c r="F752" s="1604"/>
      <c r="G752" s="1604" t="s">
        <v>4299</v>
      </c>
      <c r="H752" s="1618"/>
      <c r="I752" s="1604" t="s">
        <v>2318</v>
      </c>
      <c r="J752" s="1604" t="s">
        <v>2497</v>
      </c>
      <c r="K752" s="1620">
        <v>43989</v>
      </c>
      <c r="L752" s="1602" t="s">
        <v>990</v>
      </c>
      <c r="M752" s="1613" t="s">
        <v>4300</v>
      </c>
      <c r="N752" s="1604" t="s">
        <v>913</v>
      </c>
      <c r="O752" s="1604">
        <v>2020</v>
      </c>
      <c r="P752" s="1604" t="s">
        <v>900</v>
      </c>
      <c r="Q752" s="1604">
        <v>7</v>
      </c>
      <c r="R752" s="1604"/>
      <c r="S752" s="1604">
        <f>+R752+Q752</f>
        <v>7</v>
      </c>
      <c r="T752" s="1604" t="s">
        <v>4204</v>
      </c>
      <c r="U752" s="1601" t="s">
        <v>864</v>
      </c>
      <c r="V752" s="1601"/>
      <c r="W752" s="1604" t="s">
        <v>2607</v>
      </c>
      <c r="X752" s="1618"/>
      <c r="Y752" s="1611"/>
    </row>
    <row r="753" spans="1:26" s="1433" customFormat="1" ht="39" hidden="1" customHeight="1">
      <c r="A753" s="1611"/>
      <c r="B753" s="1604" t="s">
        <v>591</v>
      </c>
      <c r="C753" s="1604" t="s">
        <v>429</v>
      </c>
      <c r="D753" s="1516" t="s">
        <v>4417</v>
      </c>
      <c r="E753" s="1619" t="s">
        <v>4302</v>
      </c>
      <c r="F753" s="1604"/>
      <c r="G753" s="1604" t="s">
        <v>4303</v>
      </c>
      <c r="H753" s="1618"/>
      <c r="I753" s="1604" t="s">
        <v>2549</v>
      </c>
      <c r="J753" s="1604" t="s">
        <v>1601</v>
      </c>
      <c r="K753" s="1620">
        <v>44014</v>
      </c>
      <c r="L753" s="1602" t="s">
        <v>990</v>
      </c>
      <c r="M753" s="1615" t="s">
        <v>4304</v>
      </c>
      <c r="N753" s="1618" t="s">
        <v>2320</v>
      </c>
      <c r="O753" s="1604">
        <v>2020</v>
      </c>
      <c r="P753" s="1604" t="s">
        <v>901</v>
      </c>
      <c r="Q753" s="1604">
        <v>7</v>
      </c>
      <c r="R753" s="1604"/>
      <c r="S753" s="1604">
        <f>+R753+Q753</f>
        <v>7</v>
      </c>
      <c r="T753" s="1604" t="s">
        <v>4305</v>
      </c>
      <c r="U753" s="1603" t="s">
        <v>918</v>
      </c>
      <c r="V753" s="1603"/>
      <c r="W753" s="1618" t="s">
        <v>4306</v>
      </c>
      <c r="X753" s="1618"/>
      <c r="Y753" s="1611"/>
    </row>
    <row r="754" spans="1:26" s="1433" customFormat="1" ht="39" hidden="1" customHeight="1">
      <c r="A754" s="1611"/>
      <c r="B754" s="1345" t="s">
        <v>77</v>
      </c>
      <c r="C754" s="1604" t="s">
        <v>4307</v>
      </c>
      <c r="D754" s="1517"/>
      <c r="E754" s="1619" t="s">
        <v>4308</v>
      </c>
      <c r="F754" s="1604"/>
      <c r="G754" s="1604" t="s">
        <v>4310</v>
      </c>
      <c r="H754" s="1618"/>
      <c r="I754" s="1604" t="s">
        <v>2310</v>
      </c>
      <c r="J754" s="1604" t="s">
        <v>2489</v>
      </c>
      <c r="K754" s="1620">
        <v>44018</v>
      </c>
      <c r="L754" s="1602" t="s">
        <v>990</v>
      </c>
      <c r="M754" s="1615" t="s">
        <v>4309</v>
      </c>
      <c r="N754" s="1618" t="s">
        <v>3416</v>
      </c>
      <c r="O754" s="1604">
        <v>2020</v>
      </c>
      <c r="P754" s="1604" t="s">
        <v>901</v>
      </c>
      <c r="Q754" s="1604">
        <v>5</v>
      </c>
      <c r="R754" s="1604"/>
      <c r="S754" s="1604">
        <f>+R754+Q754</f>
        <v>5</v>
      </c>
      <c r="T754" s="1602" t="s">
        <v>2941</v>
      </c>
      <c r="U754" s="1601" t="s">
        <v>864</v>
      </c>
      <c r="V754" s="1601"/>
      <c r="W754" s="1618" t="s">
        <v>2238</v>
      </c>
      <c r="X754" s="1618"/>
      <c r="Y754" s="1611"/>
    </row>
    <row r="755" spans="1:26" s="1433" customFormat="1" ht="39" hidden="1" customHeight="1">
      <c r="A755" s="1611"/>
      <c r="B755" s="1345" t="s">
        <v>1128</v>
      </c>
      <c r="C755" s="1611"/>
      <c r="D755" s="1516" t="s">
        <v>4417</v>
      </c>
      <c r="E755" s="1619" t="s">
        <v>4312</v>
      </c>
      <c r="F755" s="1604"/>
      <c r="G755" s="1604" t="s">
        <v>3251</v>
      </c>
      <c r="H755" s="1618"/>
      <c r="I755" s="1604" t="s">
        <v>2318</v>
      </c>
      <c r="J755" s="1604" t="s">
        <v>4311</v>
      </c>
      <c r="K755" s="1620">
        <v>44020</v>
      </c>
      <c r="L755" s="1602" t="s">
        <v>990</v>
      </c>
      <c r="M755" s="1615" t="s">
        <v>4313</v>
      </c>
      <c r="N755" s="1618" t="s">
        <v>2320</v>
      </c>
      <c r="O755" s="1604">
        <v>2020</v>
      </c>
      <c r="P755" s="1604" t="s">
        <v>901</v>
      </c>
      <c r="Q755" s="1618">
        <v>8</v>
      </c>
      <c r="R755" s="1618"/>
      <c r="S755" s="1604">
        <f>+R755+Q755</f>
        <v>8</v>
      </c>
      <c r="T755" s="1604" t="s">
        <v>4314</v>
      </c>
      <c r="U755" s="1601" t="s">
        <v>4481</v>
      </c>
      <c r="V755" s="1601"/>
      <c r="W755" s="1618" t="s">
        <v>2607</v>
      </c>
      <c r="X755" s="1618"/>
      <c r="Y755" s="1611"/>
    </row>
    <row r="756" spans="1:26" s="1433" customFormat="1" ht="39" hidden="1" customHeight="1">
      <c r="A756" s="1611"/>
      <c r="B756" s="1345" t="s">
        <v>876</v>
      </c>
      <c r="C756" s="1611"/>
      <c r="D756" s="1517"/>
      <c r="E756" s="1619" t="s">
        <v>4315</v>
      </c>
      <c r="F756" s="1604"/>
      <c r="G756" s="1604" t="s">
        <v>4316</v>
      </c>
      <c r="H756" s="1618"/>
      <c r="I756" s="1604" t="s">
        <v>2310</v>
      </c>
      <c r="J756" s="1604" t="s">
        <v>2492</v>
      </c>
      <c r="K756" s="1620">
        <v>44019</v>
      </c>
      <c r="L756" s="1602" t="s">
        <v>990</v>
      </c>
      <c r="M756" s="1615" t="s">
        <v>4317</v>
      </c>
      <c r="N756" s="1618" t="s">
        <v>917</v>
      </c>
      <c r="O756" s="1604">
        <v>2020</v>
      </c>
      <c r="P756" s="1604" t="s">
        <v>901</v>
      </c>
      <c r="Q756" s="1618">
        <v>17</v>
      </c>
      <c r="R756" s="1618"/>
      <c r="S756" s="1604">
        <f>+R756+Q756</f>
        <v>17</v>
      </c>
      <c r="T756" s="1604" t="s">
        <v>2230</v>
      </c>
      <c r="U756" s="1601" t="s">
        <v>864</v>
      </c>
      <c r="V756" s="1601"/>
      <c r="W756" s="1618" t="s">
        <v>3634</v>
      </c>
      <c r="X756" s="1618"/>
      <c r="Y756" s="1611"/>
    </row>
    <row r="757" spans="1:26" s="1433" customFormat="1" ht="39" hidden="1" customHeight="1">
      <c r="A757" s="1611"/>
      <c r="B757" s="1345" t="s">
        <v>952</v>
      </c>
      <c r="C757" s="1611"/>
      <c r="D757"/>
      <c r="E757" s="1619" t="s">
        <v>4318</v>
      </c>
      <c r="F757" s="1604"/>
      <c r="G757" s="1604" t="s">
        <v>4320</v>
      </c>
      <c r="H757" s="1618"/>
      <c r="I757" s="1604" t="s">
        <v>2318</v>
      </c>
      <c r="J757" s="1604" t="s">
        <v>4319</v>
      </c>
      <c r="K757" s="1620">
        <v>44019</v>
      </c>
      <c r="L757" s="1602" t="s">
        <v>990</v>
      </c>
      <c r="M757" s="1615" t="s">
        <v>4321</v>
      </c>
      <c r="N757" s="1618" t="s">
        <v>915</v>
      </c>
      <c r="O757" s="1604">
        <v>2020</v>
      </c>
      <c r="P757" s="1604" t="s">
        <v>901</v>
      </c>
      <c r="Q757" s="1618">
        <v>7</v>
      </c>
      <c r="R757" s="1618"/>
      <c r="S757" s="1618">
        <v>7</v>
      </c>
      <c r="T757" s="1604" t="s">
        <v>2227</v>
      </c>
      <c r="U757" s="1602" t="s">
        <v>4247</v>
      </c>
      <c r="V757" s="1602"/>
      <c r="W757" s="1618" t="s">
        <v>3334</v>
      </c>
      <c r="X757" s="1618"/>
      <c r="Y757" s="1611"/>
    </row>
    <row r="758" spans="1:26" s="1433" customFormat="1" ht="39" hidden="1" customHeight="1">
      <c r="A758" s="1611"/>
      <c r="B758" s="1033" t="s">
        <v>694</v>
      </c>
      <c r="C758" s="1611"/>
      <c r="D758" s="1517"/>
      <c r="E758" s="1603" t="s">
        <v>4322</v>
      </c>
      <c r="F758" s="1604"/>
      <c r="G758" s="1604" t="s">
        <v>4325</v>
      </c>
      <c r="H758" s="1618"/>
      <c r="I758" s="1604" t="s">
        <v>2549</v>
      </c>
      <c r="J758" s="1604" t="s">
        <v>2254</v>
      </c>
      <c r="K758" s="1620">
        <v>44033</v>
      </c>
      <c r="L758" s="1602" t="s">
        <v>990</v>
      </c>
      <c r="M758" s="1615" t="s">
        <v>4323</v>
      </c>
      <c r="N758" s="1618" t="s">
        <v>913</v>
      </c>
      <c r="O758" s="1604">
        <v>2020</v>
      </c>
      <c r="P758" s="1604" t="s">
        <v>901</v>
      </c>
      <c r="Q758" s="1618">
        <v>4</v>
      </c>
      <c r="R758" s="1618"/>
      <c r="S758" s="1604">
        <f>+R758+Q758</f>
        <v>4</v>
      </c>
      <c r="T758" s="1604" t="s">
        <v>4324</v>
      </c>
      <c r="U758" s="1611" t="s">
        <v>4483</v>
      </c>
      <c r="V758" s="1611"/>
      <c r="W758" s="1618" t="s">
        <v>2564</v>
      </c>
      <c r="X758" s="1618"/>
      <c r="Y758" s="1611"/>
    </row>
    <row r="759" spans="1:26" s="1433" customFormat="1" ht="30" hidden="1" customHeight="1">
      <c r="A759" s="1611"/>
      <c r="B759" s="1345" t="s">
        <v>1128</v>
      </c>
      <c r="C759" s="1636" t="s">
        <v>4329</v>
      </c>
      <c r="D759" s="1517"/>
      <c r="E759" s="1639" t="s">
        <v>4326</v>
      </c>
      <c r="F759" s="1604"/>
      <c r="G759" s="1604" t="s">
        <v>4330</v>
      </c>
      <c r="H759" s="1618"/>
      <c r="I759" s="1604" t="s">
        <v>2310</v>
      </c>
      <c r="J759" s="1604" t="s">
        <v>4327</v>
      </c>
      <c r="K759" s="1620">
        <v>44039</v>
      </c>
      <c r="L759" s="1602" t="s">
        <v>990</v>
      </c>
      <c r="M759" s="1636" t="s">
        <v>4328</v>
      </c>
      <c r="N759" s="1618" t="s">
        <v>2320</v>
      </c>
      <c r="O759" s="1604">
        <v>2020</v>
      </c>
      <c r="P759" s="1604" t="s">
        <v>901</v>
      </c>
      <c r="Q759" s="1618">
        <v>1</v>
      </c>
      <c r="R759" s="1618"/>
      <c r="S759" s="1604">
        <f>+R759+Q759</f>
        <v>1</v>
      </c>
      <c r="T759" s="1604" t="s">
        <v>2227</v>
      </c>
      <c r="U759" s="1601" t="s">
        <v>864</v>
      </c>
      <c r="V759" s="1601"/>
      <c r="W759" s="1618" t="s">
        <v>2564</v>
      </c>
      <c r="X759" s="1618"/>
      <c r="Y759" s="1611"/>
    </row>
    <row r="760" spans="1:26" s="1433" customFormat="1" ht="53.7" hidden="1" customHeight="1">
      <c r="A760" s="1611"/>
      <c r="B760" s="1604" t="s">
        <v>588</v>
      </c>
      <c r="C760" s="1611"/>
      <c r="D760" s="1582"/>
      <c r="E760" s="1605" t="s">
        <v>4331</v>
      </c>
      <c r="F760" s="1604"/>
      <c r="G760" s="1604" t="s">
        <v>4332</v>
      </c>
      <c r="H760" s="1618"/>
      <c r="I760" s="1618"/>
      <c r="J760" s="1604" t="s">
        <v>2644</v>
      </c>
      <c r="K760" s="1621">
        <v>44036</v>
      </c>
      <c r="L760" s="1602" t="s">
        <v>990</v>
      </c>
      <c r="M760" s="1622" t="s">
        <v>4333</v>
      </c>
      <c r="N760" s="1618" t="s">
        <v>2320</v>
      </c>
      <c r="O760" s="1604">
        <v>2020</v>
      </c>
      <c r="P760" s="1604" t="s">
        <v>901</v>
      </c>
      <c r="Q760" s="1618">
        <v>15</v>
      </c>
      <c r="R760" s="1618"/>
      <c r="S760" s="1604">
        <f>+R760+Q760</f>
        <v>15</v>
      </c>
      <c r="T760" s="1604" t="s">
        <v>2227</v>
      </c>
      <c r="U760" s="1601" t="s">
        <v>864</v>
      </c>
      <c r="V760" s="1601"/>
      <c r="W760" s="1618" t="s">
        <v>2275</v>
      </c>
      <c r="X760" s="1618" t="s">
        <v>2814</v>
      </c>
      <c r="Y760" s="1611"/>
    </row>
    <row r="761" spans="1:26" ht="55.2" hidden="1" customHeight="1">
      <c r="A761" s="1601"/>
      <c r="B761" s="1345" t="s">
        <v>1309</v>
      </c>
      <c r="C761" s="1601"/>
      <c r="D761" s="1516"/>
      <c r="E761" s="1603" t="s">
        <v>4348</v>
      </c>
      <c r="F761" s="1604"/>
      <c r="G761" s="1602" t="s">
        <v>4349</v>
      </c>
      <c r="H761" s="1604"/>
      <c r="I761" s="1604" t="s">
        <v>2549</v>
      </c>
      <c r="J761" s="1604" t="s">
        <v>4347</v>
      </c>
      <c r="K761" s="1620">
        <v>44047</v>
      </c>
      <c r="L761" s="1602" t="s">
        <v>990</v>
      </c>
      <c r="M761" s="1613" t="s">
        <v>4344</v>
      </c>
      <c r="N761" s="1604" t="s">
        <v>923</v>
      </c>
      <c r="O761" s="1604">
        <v>2020</v>
      </c>
      <c r="P761" s="1604" t="s">
        <v>902</v>
      </c>
      <c r="Q761" s="1604">
        <v>3</v>
      </c>
      <c r="R761" s="1604"/>
      <c r="S761" s="1604">
        <f>+R761+Q761</f>
        <v>3</v>
      </c>
      <c r="T761" s="1604" t="s">
        <v>4345</v>
      </c>
      <c r="U761" s="1601" t="s">
        <v>864</v>
      </c>
      <c r="V761" s="1601"/>
      <c r="W761" s="1604" t="s">
        <v>2238</v>
      </c>
      <c r="X761" s="1604" t="s">
        <v>4346</v>
      </c>
      <c r="Y761" s="1601"/>
      <c r="Z761" s="1608"/>
    </row>
    <row r="762" spans="1:26" s="1112" customFormat="1" ht="30" hidden="1" customHeight="1">
      <c r="A762" s="1592"/>
      <c r="B762" s="1345" t="s">
        <v>2609</v>
      </c>
      <c r="C762" s="1345" t="s">
        <v>3879</v>
      </c>
      <c r="D762" s="1185"/>
      <c r="E762" s="1544" t="s">
        <v>4352</v>
      </c>
      <c r="F762" s="1538"/>
      <c r="G762" s="1540" t="s">
        <v>4353</v>
      </c>
      <c r="H762" s="1538"/>
      <c r="I762" s="1510" t="s">
        <v>2310</v>
      </c>
      <c r="J762" s="1538"/>
      <c r="K762" s="1537">
        <v>44053</v>
      </c>
      <c r="L762" s="1511" t="s">
        <v>2117</v>
      </c>
      <c r="M762" s="1545" t="s">
        <v>4350</v>
      </c>
      <c r="N762" s="1538" t="s">
        <v>923</v>
      </c>
      <c r="O762" s="1538">
        <v>2020</v>
      </c>
      <c r="P762" s="1538" t="s">
        <v>902</v>
      </c>
      <c r="Q762" s="1538">
        <v>2</v>
      </c>
      <c r="R762" s="1538"/>
      <c r="S762" s="1538">
        <v>2</v>
      </c>
      <c r="T762" s="1510" t="s">
        <v>4351</v>
      </c>
      <c r="U762" s="1511" t="s">
        <v>4247</v>
      </c>
      <c r="V762" s="1511"/>
      <c r="W762" s="1510" t="s">
        <v>2564</v>
      </c>
      <c r="X762" s="1510" t="s">
        <v>1105</v>
      </c>
      <c r="Y762" s="1592"/>
    </row>
    <row r="763" spans="1:26" s="1433" customFormat="1" ht="46.2" hidden="1" customHeight="1">
      <c r="A763" s="1611"/>
      <c r="B763" s="1345" t="s">
        <v>1128</v>
      </c>
      <c r="C763" s="1617" t="s">
        <v>4357</v>
      </c>
      <c r="D763" s="1516" t="s">
        <v>4417</v>
      </c>
      <c r="E763" s="1605" t="s">
        <v>4354</v>
      </c>
      <c r="F763" s="1604"/>
      <c r="G763" s="1602" t="s">
        <v>4355</v>
      </c>
      <c r="H763" s="1618"/>
      <c r="I763" s="1604" t="s">
        <v>2310</v>
      </c>
      <c r="J763" s="1604" t="s">
        <v>2523</v>
      </c>
      <c r="K763" s="1620">
        <v>44054</v>
      </c>
      <c r="L763" s="1602" t="s">
        <v>990</v>
      </c>
      <c r="M763" s="1613" t="s">
        <v>4358</v>
      </c>
      <c r="N763" s="1604" t="s">
        <v>929</v>
      </c>
      <c r="O763" s="1604">
        <v>2020</v>
      </c>
      <c r="P763" s="1604" t="s">
        <v>902</v>
      </c>
      <c r="Q763" s="1604">
        <v>3</v>
      </c>
      <c r="R763" s="1604"/>
      <c r="S763" s="1604">
        <f t="shared" ref="S763:S768" si="1">+R763+Q763</f>
        <v>3</v>
      </c>
      <c r="T763" s="1604" t="s">
        <v>4359</v>
      </c>
      <c r="U763" s="1601" t="s">
        <v>864</v>
      </c>
      <c r="V763" s="1601"/>
      <c r="W763" s="1604" t="s">
        <v>4356</v>
      </c>
      <c r="X763" s="1604" t="s">
        <v>1228</v>
      </c>
      <c r="Y763" s="1611"/>
    </row>
    <row r="764" spans="1:26" s="1433" customFormat="1" ht="56.7" hidden="1" customHeight="1">
      <c r="A764" s="1611"/>
      <c r="B764" s="1345" t="s">
        <v>77</v>
      </c>
      <c r="C764" s="1640" t="s">
        <v>4361</v>
      </c>
      <c r="D764" s="1516" t="s">
        <v>4417</v>
      </c>
      <c r="E764" s="1605" t="s">
        <v>4360</v>
      </c>
      <c r="F764" s="1604"/>
      <c r="G764" s="1602" t="s">
        <v>2144</v>
      </c>
      <c r="H764" s="1618"/>
      <c r="I764" s="1604" t="s">
        <v>2310</v>
      </c>
      <c r="J764" s="1604" t="s">
        <v>2168</v>
      </c>
      <c r="K764" s="1621">
        <v>44058</v>
      </c>
      <c r="L764" s="1602" t="s">
        <v>990</v>
      </c>
      <c r="M764" s="1615" t="s">
        <v>4362</v>
      </c>
      <c r="N764" s="1604" t="s">
        <v>929</v>
      </c>
      <c r="O764" s="1604">
        <v>2020</v>
      </c>
      <c r="P764" s="1604" t="s">
        <v>902</v>
      </c>
      <c r="Q764" s="1604">
        <v>4</v>
      </c>
      <c r="R764" s="1604"/>
      <c r="S764" s="1604">
        <f t="shared" si="1"/>
        <v>4</v>
      </c>
      <c r="T764" s="1604" t="s">
        <v>4363</v>
      </c>
      <c r="U764" s="1601" t="s">
        <v>864</v>
      </c>
      <c r="V764" s="1601"/>
      <c r="W764" s="1604" t="s">
        <v>4364</v>
      </c>
      <c r="X764" s="1618"/>
      <c r="Y764" s="1611"/>
    </row>
    <row r="765" spans="1:26" s="1433" customFormat="1" ht="44.7" hidden="1" customHeight="1">
      <c r="A765" s="1611"/>
      <c r="B765" s="1604" t="s">
        <v>693</v>
      </c>
      <c r="C765" s="1641" t="s">
        <v>4369</v>
      </c>
      <c r="D765" s="1516" t="s">
        <v>4417</v>
      </c>
      <c r="E765" s="1619" t="s">
        <v>4365</v>
      </c>
      <c r="F765" s="1604">
        <v>28</v>
      </c>
      <c r="G765" s="1602" t="s">
        <v>4366</v>
      </c>
      <c r="H765" s="1618"/>
      <c r="I765" s="1618" t="s">
        <v>2318</v>
      </c>
      <c r="J765" s="1604" t="s">
        <v>2168</v>
      </c>
      <c r="K765" s="1621">
        <v>44057</v>
      </c>
      <c r="L765" s="1602" t="s">
        <v>990</v>
      </c>
      <c r="M765" s="1615" t="s">
        <v>4368</v>
      </c>
      <c r="N765" s="1604" t="s">
        <v>929</v>
      </c>
      <c r="O765" s="1604">
        <v>2020</v>
      </c>
      <c r="P765" s="1604" t="s">
        <v>902</v>
      </c>
      <c r="Q765" s="1604">
        <v>2</v>
      </c>
      <c r="R765" s="1618"/>
      <c r="S765" s="1604">
        <f t="shared" si="1"/>
        <v>2</v>
      </c>
      <c r="T765" s="1604" t="s">
        <v>3796</v>
      </c>
      <c r="U765" s="1601" t="s">
        <v>864</v>
      </c>
      <c r="V765" s="1601"/>
      <c r="W765" s="1604" t="s">
        <v>4367</v>
      </c>
      <c r="X765" s="1618"/>
      <c r="Y765" s="1611"/>
    </row>
    <row r="766" spans="1:26" s="1433" customFormat="1" ht="33.6" hidden="1" customHeight="1">
      <c r="A766" s="1611"/>
      <c r="B766" s="1604" t="s">
        <v>1006</v>
      </c>
      <c r="C766" s="1642" t="s">
        <v>4371</v>
      </c>
      <c r="D766" s="1517"/>
      <c r="E766" s="1619" t="s">
        <v>4370</v>
      </c>
      <c r="F766" s="1604"/>
      <c r="G766" s="1602" t="s">
        <v>4372</v>
      </c>
      <c r="H766" s="1618"/>
      <c r="I766" s="1618" t="s">
        <v>2549</v>
      </c>
      <c r="J766" s="1604" t="s">
        <v>2070</v>
      </c>
      <c r="K766" s="1621">
        <v>44046</v>
      </c>
      <c r="L766" s="1602" t="s">
        <v>990</v>
      </c>
      <c r="M766" s="1615" t="s">
        <v>4383</v>
      </c>
      <c r="N766" s="1604" t="s">
        <v>913</v>
      </c>
      <c r="O766" s="1604">
        <v>2020</v>
      </c>
      <c r="P766" s="1604" t="s">
        <v>902</v>
      </c>
      <c r="Q766" s="1604">
        <v>2</v>
      </c>
      <c r="R766" s="1618"/>
      <c r="S766" s="1604">
        <f t="shared" si="1"/>
        <v>2</v>
      </c>
      <c r="T766" s="1604" t="s">
        <v>2233</v>
      </c>
      <c r="U766" s="1611" t="s">
        <v>4436</v>
      </c>
      <c r="V766" s="1611"/>
      <c r="W766" s="1604" t="s">
        <v>2564</v>
      </c>
      <c r="X766" s="1618"/>
      <c r="Y766" s="1611"/>
    </row>
    <row r="767" spans="1:26" s="1433" customFormat="1" ht="40.5" hidden="1" customHeight="1">
      <c r="A767" s="1611"/>
      <c r="B767" s="1345" t="s">
        <v>1128</v>
      </c>
      <c r="C767" s="1643" t="s">
        <v>4375</v>
      </c>
      <c r="D767" s="1517"/>
      <c r="E767" s="1644" t="s">
        <v>4373</v>
      </c>
      <c r="F767" s="1604"/>
      <c r="G767" s="1602" t="s">
        <v>2925</v>
      </c>
      <c r="H767" s="1618"/>
      <c r="I767" s="1618" t="s">
        <v>2549</v>
      </c>
      <c r="J767" s="1604" t="s">
        <v>4374</v>
      </c>
      <c r="K767" s="1620">
        <v>44070</v>
      </c>
      <c r="L767" s="1602" t="s">
        <v>990</v>
      </c>
      <c r="M767" s="1615" t="s">
        <v>4376</v>
      </c>
      <c r="N767" s="1604" t="s">
        <v>2320</v>
      </c>
      <c r="O767" s="1604">
        <v>2020</v>
      </c>
      <c r="P767" s="1604" t="s">
        <v>902</v>
      </c>
      <c r="Q767" s="1604">
        <v>3</v>
      </c>
      <c r="R767" s="1618"/>
      <c r="S767" s="1604">
        <f t="shared" si="1"/>
        <v>3</v>
      </c>
      <c r="T767" s="1604" t="s">
        <v>2316</v>
      </c>
      <c r="U767" s="1601" t="s">
        <v>864</v>
      </c>
      <c r="V767" s="1601"/>
      <c r="W767" s="1604" t="s">
        <v>2238</v>
      </c>
      <c r="X767" s="1618"/>
      <c r="Y767" s="1611"/>
    </row>
    <row r="768" spans="1:26" s="1433" customFormat="1" ht="46.5" hidden="1" customHeight="1">
      <c r="A768" s="1611"/>
      <c r="B768" s="1602" t="s">
        <v>918</v>
      </c>
      <c r="C768" s="1611"/>
      <c r="D768" s="1517"/>
      <c r="E768" s="1644" t="s">
        <v>4377</v>
      </c>
      <c r="F768" s="1604"/>
      <c r="G768" s="1602" t="s">
        <v>1118</v>
      </c>
      <c r="H768" s="1618"/>
      <c r="I768" s="1618" t="s">
        <v>2549</v>
      </c>
      <c r="J768" s="1604" t="s">
        <v>2489</v>
      </c>
      <c r="K768" s="1620">
        <v>44072</v>
      </c>
      <c r="L768" s="1602" t="s">
        <v>990</v>
      </c>
      <c r="M768" s="1615" t="s">
        <v>4378</v>
      </c>
      <c r="N768" s="1604" t="s">
        <v>925</v>
      </c>
      <c r="O768" s="1604">
        <v>2020</v>
      </c>
      <c r="P768" s="1604" t="s">
        <v>902</v>
      </c>
      <c r="Q768" s="1604">
        <v>75</v>
      </c>
      <c r="R768" s="1618"/>
      <c r="S768" s="1604">
        <f t="shared" si="1"/>
        <v>75</v>
      </c>
      <c r="T768" s="1604" t="s">
        <v>2233</v>
      </c>
      <c r="U768" s="1601" t="s">
        <v>4436</v>
      </c>
      <c r="V768" s="1601"/>
      <c r="W768" s="1604" t="s">
        <v>2607</v>
      </c>
      <c r="X768" s="1618"/>
      <c r="Y768" s="1611"/>
    </row>
    <row r="769" spans="1:25" s="1433" customFormat="1" ht="73.5" hidden="1" customHeight="1">
      <c r="A769" s="1611"/>
      <c r="B769" s="1345" t="s">
        <v>788</v>
      </c>
      <c r="C769" s="1603" t="s">
        <v>4379</v>
      </c>
      <c r="D769" s="1583"/>
      <c r="E769" s="1601" t="s">
        <v>4380</v>
      </c>
      <c r="F769" s="1604"/>
      <c r="G769" s="1602" t="s">
        <v>4381</v>
      </c>
      <c r="H769" s="1618"/>
      <c r="I769" s="1604" t="s">
        <v>2549</v>
      </c>
      <c r="J769" s="1604" t="s">
        <v>2523</v>
      </c>
      <c r="K769" s="1620">
        <v>44062</v>
      </c>
      <c r="L769" s="1602" t="s">
        <v>990</v>
      </c>
      <c r="M769" s="1603" t="s">
        <v>4382</v>
      </c>
      <c r="N769" s="1604" t="s">
        <v>923</v>
      </c>
      <c r="O769" s="1604">
        <v>2020</v>
      </c>
      <c r="P769" s="1604" t="s">
        <v>902</v>
      </c>
      <c r="Q769" s="1604">
        <v>10</v>
      </c>
      <c r="R769" s="1618"/>
      <c r="S769" s="1604">
        <v>10</v>
      </c>
      <c r="T769" s="1604" t="s">
        <v>2227</v>
      </c>
      <c r="U769" s="1602" t="s">
        <v>4247</v>
      </c>
      <c r="V769" s="1602"/>
      <c r="W769" s="1604" t="s">
        <v>2564</v>
      </c>
      <c r="X769" s="1618"/>
      <c r="Y769" s="1611"/>
    </row>
    <row r="770" spans="1:25" s="1433" customFormat="1" ht="24.6" hidden="1" customHeight="1">
      <c r="A770" s="1611"/>
      <c r="B770" s="1345" t="s">
        <v>1128</v>
      </c>
      <c r="C770" s="1601"/>
      <c r="D770" s="1516"/>
      <c r="E770" s="1601" t="s">
        <v>4392</v>
      </c>
      <c r="F770" s="1604"/>
      <c r="G770" s="1602" t="s">
        <v>1118</v>
      </c>
      <c r="H770" s="1604"/>
      <c r="I770" s="1604" t="s">
        <v>4393</v>
      </c>
      <c r="J770" s="1604" t="s">
        <v>1047</v>
      </c>
      <c r="K770" s="1620">
        <v>44083</v>
      </c>
      <c r="L770" s="1602" t="s">
        <v>990</v>
      </c>
      <c r="M770" s="1613" t="s">
        <v>4385</v>
      </c>
      <c r="N770" s="1604" t="s">
        <v>2320</v>
      </c>
      <c r="O770" s="1604">
        <v>2020</v>
      </c>
      <c r="P770" s="1604" t="s">
        <v>2426</v>
      </c>
      <c r="Q770" s="1604">
        <v>2</v>
      </c>
      <c r="R770" s="1604"/>
      <c r="S770" s="1604">
        <f t="shared" ref="S770:S776" si="2">+R770+Q770</f>
        <v>2</v>
      </c>
      <c r="T770" s="1604" t="s">
        <v>2227</v>
      </c>
      <c r="U770" s="1601" t="s">
        <v>864</v>
      </c>
      <c r="V770" s="1601"/>
      <c r="W770" s="1604" t="s">
        <v>2564</v>
      </c>
      <c r="X770" s="1604"/>
      <c r="Y770" s="1601"/>
    </row>
    <row r="771" spans="1:25" s="1433" customFormat="1" ht="20.100000000000001" hidden="1" customHeight="1">
      <c r="A771" s="1611"/>
      <c r="B771" s="1604" t="s">
        <v>1006</v>
      </c>
      <c r="C771" s="1601" t="s">
        <v>972</v>
      </c>
      <c r="D771" s="1516"/>
      <c r="E771" s="1601" t="s">
        <v>4394</v>
      </c>
      <c r="F771" s="1604"/>
      <c r="G771" s="1602" t="s">
        <v>4395</v>
      </c>
      <c r="H771" s="1604"/>
      <c r="I771" s="1604" t="s">
        <v>2310</v>
      </c>
      <c r="J771" s="1604" t="s">
        <v>2492</v>
      </c>
      <c r="K771" s="1620">
        <v>44083</v>
      </c>
      <c r="L771" s="1602" t="s">
        <v>990</v>
      </c>
      <c r="M771" s="1613" t="s">
        <v>4386</v>
      </c>
      <c r="N771" s="1604" t="s">
        <v>923</v>
      </c>
      <c r="O771" s="1604">
        <v>2020</v>
      </c>
      <c r="P771" s="1604" t="s">
        <v>2426</v>
      </c>
      <c r="Q771" s="1604">
        <v>2</v>
      </c>
      <c r="R771" s="1604"/>
      <c r="S771" s="1604">
        <f t="shared" si="2"/>
        <v>2</v>
      </c>
      <c r="T771" s="1604" t="s">
        <v>2227</v>
      </c>
      <c r="U771" s="1601" t="s">
        <v>864</v>
      </c>
      <c r="V771" s="1601"/>
      <c r="W771" s="1604" t="s">
        <v>2564</v>
      </c>
      <c r="X771" s="1604"/>
      <c r="Y771" s="1601"/>
    </row>
    <row r="772" spans="1:25" s="1433" customFormat="1" ht="19.2" hidden="1" customHeight="1">
      <c r="A772" s="1611"/>
      <c r="B772" s="1345" t="s">
        <v>1128</v>
      </c>
      <c r="C772" s="1601"/>
      <c r="D772" s="1516" t="s">
        <v>4417</v>
      </c>
      <c r="E772" s="1603" t="s">
        <v>4396</v>
      </c>
      <c r="F772" s="1604"/>
      <c r="G772" s="1602" t="s">
        <v>1118</v>
      </c>
      <c r="H772" s="1604"/>
      <c r="I772" s="1604" t="s">
        <v>2310</v>
      </c>
      <c r="J772" s="1604" t="s">
        <v>4397</v>
      </c>
      <c r="K772" s="1620">
        <v>44090</v>
      </c>
      <c r="L772" s="1602" t="s">
        <v>990</v>
      </c>
      <c r="M772" s="1613" t="s">
        <v>4387</v>
      </c>
      <c r="N772" s="1604" t="s">
        <v>2320</v>
      </c>
      <c r="O772" s="1604">
        <v>2020</v>
      </c>
      <c r="P772" s="1604" t="s">
        <v>2426</v>
      </c>
      <c r="Q772" s="1604">
        <v>2</v>
      </c>
      <c r="R772" s="1604"/>
      <c r="S772" s="1604">
        <f t="shared" si="2"/>
        <v>2</v>
      </c>
      <c r="T772" s="1604" t="s">
        <v>1241</v>
      </c>
      <c r="U772" s="1601" t="s">
        <v>864</v>
      </c>
      <c r="V772" s="1601"/>
      <c r="W772" s="1604" t="s">
        <v>4254</v>
      </c>
      <c r="X772" s="1604" t="s">
        <v>2814</v>
      </c>
      <c r="Y772" s="1601"/>
    </row>
    <row r="773" spans="1:25" s="1433" customFormat="1" ht="24" hidden="1" customHeight="1">
      <c r="A773" s="1611"/>
      <c r="B773" s="1345" t="s">
        <v>876</v>
      </c>
      <c r="C773" s="1601"/>
      <c r="D773" s="1516"/>
      <c r="E773" s="1645" t="s">
        <v>4406</v>
      </c>
      <c r="F773" s="1604"/>
      <c r="G773" s="1614" t="s">
        <v>4407</v>
      </c>
      <c r="H773" s="1604"/>
      <c r="I773" s="1604" t="s">
        <v>2549</v>
      </c>
      <c r="J773" s="1604" t="s">
        <v>2492</v>
      </c>
      <c r="K773" s="1620">
        <v>44099</v>
      </c>
      <c r="L773" s="1602" t="s">
        <v>990</v>
      </c>
      <c r="M773" s="1613" t="s">
        <v>4388</v>
      </c>
      <c r="N773" s="1604" t="s">
        <v>917</v>
      </c>
      <c r="O773" s="1604">
        <v>2020</v>
      </c>
      <c r="P773" s="1604" t="s">
        <v>2426</v>
      </c>
      <c r="Q773" s="1604">
        <v>36</v>
      </c>
      <c r="R773" s="1604"/>
      <c r="S773" s="1604">
        <f t="shared" si="2"/>
        <v>36</v>
      </c>
      <c r="T773" s="1604" t="s">
        <v>2649</v>
      </c>
      <c r="U773" s="1601" t="s">
        <v>864</v>
      </c>
      <c r="V773" s="1601"/>
      <c r="W773" s="1604" t="s">
        <v>2340</v>
      </c>
      <c r="X773" s="1604" t="s">
        <v>4405</v>
      </c>
      <c r="Y773" s="1601"/>
    </row>
    <row r="774" spans="1:25" s="1433" customFormat="1" ht="24.6" hidden="1" customHeight="1">
      <c r="A774" s="1601"/>
      <c r="B774" s="1520" t="s">
        <v>91</v>
      </c>
      <c r="C774" s="1601" t="s">
        <v>4080</v>
      </c>
      <c r="D774" s="1516" t="s">
        <v>4417</v>
      </c>
      <c r="E774" s="1646" t="s">
        <v>4398</v>
      </c>
      <c r="F774" s="1604"/>
      <c r="G774" s="1614" t="s">
        <v>4399</v>
      </c>
      <c r="H774" s="1604"/>
      <c r="I774" s="1604" t="s">
        <v>2310</v>
      </c>
      <c r="J774" s="1604" t="s">
        <v>4400</v>
      </c>
      <c r="K774" s="1620">
        <v>44093</v>
      </c>
      <c r="L774" s="1602" t="s">
        <v>990</v>
      </c>
      <c r="M774" s="1613" t="s">
        <v>4389</v>
      </c>
      <c r="N774" s="1604" t="s">
        <v>925</v>
      </c>
      <c r="O774" s="1604">
        <v>2020</v>
      </c>
      <c r="P774" s="1604" t="s">
        <v>2426</v>
      </c>
      <c r="Q774" s="1604">
        <v>2</v>
      </c>
      <c r="R774" s="1604"/>
      <c r="S774" s="1604">
        <f t="shared" si="2"/>
        <v>2</v>
      </c>
      <c r="T774" s="1604" t="s">
        <v>4408</v>
      </c>
      <c r="U774" s="1601" t="s">
        <v>558</v>
      </c>
      <c r="V774" s="1601"/>
      <c r="W774" s="1604" t="s">
        <v>2238</v>
      </c>
      <c r="X774" s="1604"/>
      <c r="Y774" s="1601"/>
    </row>
    <row r="775" spans="1:25" s="1433" customFormat="1" ht="27.6" hidden="1">
      <c r="A775" s="1601"/>
      <c r="B775" s="1345" t="s">
        <v>1309</v>
      </c>
      <c r="C775" s="1601"/>
      <c r="D775" s="1516"/>
      <c r="E775" s="1646" t="s">
        <v>4401</v>
      </c>
      <c r="F775" s="1604"/>
      <c r="G775" s="1602" t="s">
        <v>2534</v>
      </c>
      <c r="H775" s="1604"/>
      <c r="I775" s="1604" t="s">
        <v>2549</v>
      </c>
      <c r="J775" s="1647" t="s">
        <v>4402</v>
      </c>
      <c r="K775" s="1620">
        <v>44096</v>
      </c>
      <c r="L775" s="1602" t="s">
        <v>990</v>
      </c>
      <c r="M775" s="1613" t="s">
        <v>4390</v>
      </c>
      <c r="N775" s="1604" t="s">
        <v>2320</v>
      </c>
      <c r="O775" s="1604">
        <v>2020</v>
      </c>
      <c r="P775" s="1604" t="s">
        <v>2426</v>
      </c>
      <c r="Q775" s="1604">
        <v>3</v>
      </c>
      <c r="R775" s="1604"/>
      <c r="S775" s="1604">
        <f t="shared" si="2"/>
        <v>3</v>
      </c>
      <c r="T775" s="1604" t="s">
        <v>2227</v>
      </c>
      <c r="U775" s="1601" t="s">
        <v>864</v>
      </c>
      <c r="V775" s="1601"/>
      <c r="W775" s="1604" t="s">
        <v>4254</v>
      </c>
      <c r="X775" s="1604"/>
      <c r="Y775" s="1601"/>
    </row>
    <row r="776" spans="1:25" s="1433" customFormat="1" hidden="1">
      <c r="A776" s="1601"/>
      <c r="B776" s="1033" t="s">
        <v>1223</v>
      </c>
      <c r="C776" s="1601"/>
      <c r="D776" s="1516"/>
      <c r="E776" s="1636" t="s">
        <v>4403</v>
      </c>
      <c r="F776" s="1604">
        <v>25</v>
      </c>
      <c r="G776" s="1648" t="s">
        <v>4404</v>
      </c>
      <c r="H776" s="1604"/>
      <c r="I776" s="1604" t="s">
        <v>2310</v>
      </c>
      <c r="J776" s="1604"/>
      <c r="K776" s="1620">
        <v>44096</v>
      </c>
      <c r="L776" s="1602" t="s">
        <v>990</v>
      </c>
      <c r="M776" s="1613" t="s">
        <v>4391</v>
      </c>
      <c r="N776" s="1604" t="s">
        <v>913</v>
      </c>
      <c r="O776" s="1604">
        <v>2020</v>
      </c>
      <c r="P776" s="1604" t="s">
        <v>2426</v>
      </c>
      <c r="Q776" s="1604">
        <v>2</v>
      </c>
      <c r="R776" s="1604"/>
      <c r="S776" s="1604">
        <f t="shared" si="2"/>
        <v>2</v>
      </c>
      <c r="T776" s="1604" t="s">
        <v>2233</v>
      </c>
      <c r="U776" s="1601" t="s">
        <v>4436</v>
      </c>
      <c r="V776" s="1601"/>
      <c r="W776" s="1604" t="s">
        <v>3461</v>
      </c>
      <c r="X776" s="1604"/>
      <c r="Y776" s="1601"/>
    </row>
    <row r="777" spans="1:25" s="1433" customFormat="1" ht="29.7" hidden="1" customHeight="1">
      <c r="A777" s="1601"/>
      <c r="B777" s="1345" t="s">
        <v>789</v>
      </c>
      <c r="C777" s="1611"/>
      <c r="D777"/>
      <c r="E777" s="1623" t="s">
        <v>4409</v>
      </c>
      <c r="F777" s="1604"/>
      <c r="G777" s="1624" t="s">
        <v>1113</v>
      </c>
      <c r="H777" s="1618"/>
      <c r="I777" s="1604" t="s">
        <v>2310</v>
      </c>
      <c r="J777" s="1604" t="s">
        <v>1044</v>
      </c>
      <c r="K777" s="1625">
        <v>44057</v>
      </c>
      <c r="L777" s="1602" t="s">
        <v>990</v>
      </c>
      <c r="M777" s="1613" t="s">
        <v>4410</v>
      </c>
      <c r="N777" s="1604" t="s">
        <v>2320</v>
      </c>
      <c r="O777" s="1604">
        <v>2020</v>
      </c>
      <c r="P777" s="1604" t="s">
        <v>902</v>
      </c>
      <c r="Q777" s="1618">
        <v>7</v>
      </c>
      <c r="R777" s="1618"/>
      <c r="S777" s="1618">
        <v>7</v>
      </c>
      <c r="T777" s="1604" t="s">
        <v>2227</v>
      </c>
      <c r="U777" s="1611"/>
      <c r="V777" s="1611"/>
      <c r="W777" s="1618" t="s">
        <v>2275</v>
      </c>
      <c r="X777" s="1618"/>
      <c r="Y777" s="1611"/>
    </row>
    <row r="778" spans="1:25" s="1433" customFormat="1" ht="55.2" hidden="1">
      <c r="A778" s="1601"/>
      <c r="B778" s="1345" t="s">
        <v>788</v>
      </c>
      <c r="C778" s="1611" t="s">
        <v>4411</v>
      </c>
      <c r="D778"/>
      <c r="E778" s="1619"/>
      <c r="F778" s="1604"/>
      <c r="G778" s="1617" t="s">
        <v>4412</v>
      </c>
      <c r="H778" s="1618"/>
      <c r="I778" s="1604" t="s">
        <v>2549</v>
      </c>
      <c r="J778" s="1604" t="s">
        <v>1044</v>
      </c>
      <c r="K778" s="1620">
        <v>44095</v>
      </c>
      <c r="L778" s="1602" t="s">
        <v>990</v>
      </c>
      <c r="M778" s="1615" t="s">
        <v>4413</v>
      </c>
      <c r="N778" s="1604" t="s">
        <v>2320</v>
      </c>
      <c r="O778" s="1604">
        <v>2020</v>
      </c>
      <c r="P778" s="1604" t="s">
        <v>2426</v>
      </c>
      <c r="Q778" s="1604">
        <v>10</v>
      </c>
      <c r="R778" s="1604"/>
      <c r="S778" s="1604">
        <v>10</v>
      </c>
      <c r="T778" s="1604" t="s">
        <v>2227</v>
      </c>
      <c r="U778" s="1611"/>
      <c r="V778" s="1611"/>
      <c r="W778" s="1604" t="s">
        <v>2564</v>
      </c>
      <c r="X778" s="1618"/>
      <c r="Y778" s="1611"/>
    </row>
    <row r="779" spans="1:25" s="1433" customFormat="1" ht="55.2" hidden="1">
      <c r="A779" s="1601"/>
      <c r="B779" s="1345" t="s">
        <v>788</v>
      </c>
      <c r="C779" s="1611" t="s">
        <v>1956</v>
      </c>
      <c r="D779"/>
      <c r="E779" s="1644" t="s">
        <v>4414</v>
      </c>
      <c r="F779" s="1604"/>
      <c r="G779" s="1644" t="s">
        <v>4415</v>
      </c>
      <c r="H779" s="1618"/>
      <c r="I779" s="1604" t="s">
        <v>2549</v>
      </c>
      <c r="J779" s="1604" t="s">
        <v>1044</v>
      </c>
      <c r="K779" s="1649">
        <v>44102</v>
      </c>
      <c r="L779" s="1602" t="s">
        <v>990</v>
      </c>
      <c r="M779" s="1615" t="s">
        <v>4416</v>
      </c>
      <c r="N779" s="1604" t="s">
        <v>2320</v>
      </c>
      <c r="O779" s="1604">
        <v>2020</v>
      </c>
      <c r="P779" s="1604" t="s">
        <v>2426</v>
      </c>
      <c r="Q779" s="1604">
        <v>10</v>
      </c>
      <c r="R779" s="1604"/>
      <c r="S779" s="1604">
        <v>10</v>
      </c>
      <c r="T779" s="1604" t="s">
        <v>2227</v>
      </c>
      <c r="U779" s="1611"/>
      <c r="V779" s="1611"/>
      <c r="W779" s="1604" t="s">
        <v>4254</v>
      </c>
      <c r="X779" s="1618"/>
      <c r="Y779" s="1611"/>
    </row>
    <row r="780" spans="1:25" customFormat="1" ht="25.5" hidden="1" customHeight="1">
      <c r="A780" s="1592"/>
      <c r="B780" s="1345" t="s">
        <v>952</v>
      </c>
      <c r="E780" s="556"/>
      <c r="F780" s="836"/>
      <c r="G780" s="1121"/>
      <c r="H780" s="8"/>
      <c r="I780" s="8"/>
      <c r="J780" s="1538"/>
      <c r="K780" s="1597"/>
      <c r="M780" s="1598"/>
      <c r="N780" s="1527"/>
      <c r="O780" s="1538">
        <v>2020</v>
      </c>
      <c r="P780" s="1510" t="s">
        <v>2426</v>
      </c>
      <c r="Q780" s="1538">
        <v>90</v>
      </c>
      <c r="R780" s="8"/>
      <c r="S780" s="8"/>
      <c r="T780" s="8"/>
      <c r="W780" s="1594"/>
      <c r="X780" s="8"/>
    </row>
    <row r="781" spans="1:25" s="1433" customFormat="1" ht="24.6" hidden="1" customHeight="1">
      <c r="A781" s="1601"/>
      <c r="B781" s="1604" t="s">
        <v>1006</v>
      </c>
      <c r="C781" s="1601"/>
      <c r="D781" s="1516"/>
      <c r="E781" s="1605" t="s">
        <v>4425</v>
      </c>
      <c r="F781" s="1604">
        <v>45</v>
      </c>
      <c r="G781" s="1650" t="s">
        <v>1157</v>
      </c>
      <c r="H781" s="1604"/>
      <c r="I781" s="1604" t="s">
        <v>2318</v>
      </c>
      <c r="J781" s="1604" t="s">
        <v>4426</v>
      </c>
      <c r="K781" s="1620">
        <v>44113</v>
      </c>
      <c r="L781" s="1602" t="s">
        <v>990</v>
      </c>
      <c r="M781" s="1613" t="s">
        <v>4418</v>
      </c>
      <c r="N781" s="1604" t="s">
        <v>917</v>
      </c>
      <c r="O781" s="1604">
        <v>2020</v>
      </c>
      <c r="P781" s="1604" t="s">
        <v>904</v>
      </c>
      <c r="Q781" s="1604">
        <v>9</v>
      </c>
      <c r="R781" s="1604"/>
      <c r="S781" s="1604">
        <f t="shared" ref="S781:S787" si="3">+R781+Q781</f>
        <v>9</v>
      </c>
      <c r="T781" s="1604" t="s">
        <v>2649</v>
      </c>
      <c r="U781" s="1601" t="s">
        <v>864</v>
      </c>
      <c r="V781" s="1601"/>
      <c r="W781" s="1604" t="s">
        <v>3461</v>
      </c>
      <c r="X781" s="1604"/>
      <c r="Y781" s="1601"/>
    </row>
    <row r="782" spans="1:25" s="1433" customFormat="1" ht="27.6" hidden="1">
      <c r="A782" s="1601"/>
      <c r="B782" s="1520" t="s">
        <v>91</v>
      </c>
      <c r="C782" s="1601" t="s">
        <v>3713</v>
      </c>
      <c r="D782" s="1516"/>
      <c r="E782" s="1651" t="s">
        <v>4428</v>
      </c>
      <c r="F782" s="1604"/>
      <c r="G782" s="1603" t="s">
        <v>4429</v>
      </c>
      <c r="H782" s="1604"/>
      <c r="I782" s="1604" t="s">
        <v>2549</v>
      </c>
      <c r="J782" s="1647" t="s">
        <v>4427</v>
      </c>
      <c r="K782" s="1620">
        <v>44117</v>
      </c>
      <c r="L782" s="1602" t="s">
        <v>990</v>
      </c>
      <c r="M782" s="1613" t="s">
        <v>4444</v>
      </c>
      <c r="N782" s="1604" t="s">
        <v>923</v>
      </c>
      <c r="O782" s="1604">
        <v>2020</v>
      </c>
      <c r="P782" s="1604" t="s">
        <v>904</v>
      </c>
      <c r="Q782" s="1604">
        <v>1</v>
      </c>
      <c r="R782" s="1604"/>
      <c r="S782" s="1604">
        <f t="shared" si="3"/>
        <v>1</v>
      </c>
      <c r="T782" s="1604" t="s">
        <v>2227</v>
      </c>
      <c r="U782" s="1601" t="s">
        <v>864</v>
      </c>
      <c r="V782" s="1601"/>
      <c r="W782" s="1604" t="s">
        <v>2564</v>
      </c>
      <c r="X782" s="1604"/>
      <c r="Y782" s="1601"/>
    </row>
    <row r="783" spans="1:25" s="1433" customFormat="1" ht="31.2" hidden="1" customHeight="1">
      <c r="A783" s="1601"/>
      <c r="B783" s="1345" t="s">
        <v>1128</v>
      </c>
      <c r="C783" s="1601"/>
      <c r="D783" s="1516"/>
      <c r="E783" s="1636" t="s">
        <v>4430</v>
      </c>
      <c r="F783" s="1604">
        <v>31</v>
      </c>
      <c r="G783" s="1603" t="s">
        <v>3251</v>
      </c>
      <c r="H783" s="1604"/>
      <c r="I783" s="1604" t="s">
        <v>2310</v>
      </c>
      <c r="J783" s="1604" t="s">
        <v>2254</v>
      </c>
      <c r="K783" s="1620">
        <v>44120</v>
      </c>
      <c r="L783" s="1602" t="s">
        <v>990</v>
      </c>
      <c r="M783" s="1613" t="s">
        <v>4419</v>
      </c>
      <c r="N783" s="1602" t="s">
        <v>4424</v>
      </c>
      <c r="O783" s="1604">
        <v>2020</v>
      </c>
      <c r="P783" s="1604" t="s">
        <v>904</v>
      </c>
      <c r="Q783" s="1604">
        <v>2</v>
      </c>
      <c r="R783" s="1604"/>
      <c r="S783" s="1604">
        <f t="shared" si="3"/>
        <v>2</v>
      </c>
      <c r="T783" s="1604" t="s">
        <v>4431</v>
      </c>
      <c r="U783" s="1601" t="s">
        <v>918</v>
      </c>
      <c r="V783" s="1601"/>
      <c r="W783" s="1604" t="s">
        <v>4432</v>
      </c>
      <c r="X783" s="1604"/>
      <c r="Y783" s="1601"/>
    </row>
    <row r="784" spans="1:25" s="1433" customFormat="1" ht="26.7" hidden="1" customHeight="1">
      <c r="A784" s="1601"/>
      <c r="B784" s="1345" t="s">
        <v>1128</v>
      </c>
      <c r="C784" s="1601"/>
      <c r="D784" s="1516"/>
      <c r="E784" s="1636" t="s">
        <v>4433</v>
      </c>
      <c r="F784" s="1604"/>
      <c r="G784" s="1636" t="s">
        <v>1014</v>
      </c>
      <c r="H784" s="1604"/>
      <c r="I784" s="1604" t="s">
        <v>2318</v>
      </c>
      <c r="J784" s="1648" t="s">
        <v>2523</v>
      </c>
      <c r="K784" s="1620">
        <v>44124</v>
      </c>
      <c r="L784" s="1602" t="s">
        <v>990</v>
      </c>
      <c r="M784" s="1613" t="s">
        <v>4420</v>
      </c>
      <c r="N784" s="1604" t="s">
        <v>925</v>
      </c>
      <c r="O784" s="1604">
        <v>2020</v>
      </c>
      <c r="P784" s="1604" t="s">
        <v>904</v>
      </c>
      <c r="Q784" s="1604">
        <v>2</v>
      </c>
      <c r="R784" s="1604"/>
      <c r="S784" s="1604">
        <f t="shared" si="3"/>
        <v>2</v>
      </c>
      <c r="T784" s="1604" t="s">
        <v>2233</v>
      </c>
      <c r="U784" s="1601" t="s">
        <v>864</v>
      </c>
      <c r="V784" s="1601"/>
      <c r="W784" s="1604" t="s">
        <v>3461</v>
      </c>
      <c r="X784" s="1604"/>
      <c r="Y784" s="1601"/>
    </row>
    <row r="785" spans="1:26" s="1433" customFormat="1" ht="24" hidden="1" customHeight="1">
      <c r="A785" s="1601"/>
      <c r="B785" s="1345" t="s">
        <v>1309</v>
      </c>
      <c r="C785" s="1601"/>
      <c r="D785" s="1516"/>
      <c r="E785" s="1611" t="s">
        <v>4434</v>
      </c>
      <c r="F785" s="1604"/>
      <c r="G785" s="1636" t="s">
        <v>4629</v>
      </c>
      <c r="H785" s="1604"/>
      <c r="I785" s="1604" t="s">
        <v>2549</v>
      </c>
      <c r="J785" s="1604" t="s">
        <v>2771</v>
      </c>
      <c r="K785" s="1620">
        <v>44125</v>
      </c>
      <c r="L785" s="1602" t="s">
        <v>990</v>
      </c>
      <c r="M785" s="1613" t="s">
        <v>4421</v>
      </c>
      <c r="N785" s="1604" t="s">
        <v>915</v>
      </c>
      <c r="O785" s="1604">
        <v>2020</v>
      </c>
      <c r="P785" s="1604" t="s">
        <v>904</v>
      </c>
      <c r="Q785" s="1604">
        <v>5</v>
      </c>
      <c r="R785" s="1604"/>
      <c r="S785" s="1604">
        <f t="shared" si="3"/>
        <v>5</v>
      </c>
      <c r="T785" s="1604" t="s">
        <v>4435</v>
      </c>
      <c r="U785" s="1611" t="s">
        <v>4436</v>
      </c>
      <c r="V785" s="1611"/>
      <c r="W785" s="1604" t="s">
        <v>2607</v>
      </c>
      <c r="X785" s="1604"/>
      <c r="Y785" s="1601"/>
    </row>
    <row r="786" spans="1:26" s="1433" customFormat="1" ht="27" hidden="1" customHeight="1">
      <c r="A786" s="1601"/>
      <c r="B786" s="1345" t="s">
        <v>1128</v>
      </c>
      <c r="C786" s="1601"/>
      <c r="D786" s="1583"/>
      <c r="E786" s="1652" t="s">
        <v>4437</v>
      </c>
      <c r="F786" s="1604">
        <v>38</v>
      </c>
      <c r="G786" s="1636" t="s">
        <v>1014</v>
      </c>
      <c r="H786" s="1604"/>
      <c r="I786" s="1604" t="s">
        <v>2549</v>
      </c>
      <c r="J786" s="1604" t="s">
        <v>2489</v>
      </c>
      <c r="K786" s="1620">
        <v>44127</v>
      </c>
      <c r="L786" s="1602" t="s">
        <v>990</v>
      </c>
      <c r="M786" s="1613" t="s">
        <v>4422</v>
      </c>
      <c r="N786" s="1604" t="s">
        <v>913</v>
      </c>
      <c r="O786" s="1604">
        <v>2020</v>
      </c>
      <c r="P786" s="1604" t="s">
        <v>904</v>
      </c>
      <c r="Q786" s="1604">
        <v>5</v>
      </c>
      <c r="R786" s="1604"/>
      <c r="S786" s="1604">
        <f t="shared" si="3"/>
        <v>5</v>
      </c>
      <c r="T786" s="1604" t="s">
        <v>2296</v>
      </c>
      <c r="U786" s="1601" t="s">
        <v>864</v>
      </c>
      <c r="V786" s="1601"/>
      <c r="W786" s="1604" t="s">
        <v>2564</v>
      </c>
      <c r="X786" s="1604"/>
      <c r="Y786" s="1601"/>
    </row>
    <row r="787" spans="1:26" s="1433" customFormat="1" ht="27.6" hidden="1">
      <c r="A787" s="1601"/>
      <c r="B787" s="1345" t="s">
        <v>876</v>
      </c>
      <c r="C787" s="1601"/>
      <c r="D787" s="1516"/>
      <c r="E787" s="1636" t="s">
        <v>4438</v>
      </c>
      <c r="F787" s="1604"/>
      <c r="G787" s="1603" t="s">
        <v>2842</v>
      </c>
      <c r="H787" s="1604"/>
      <c r="I787" s="1604" t="s">
        <v>2310</v>
      </c>
      <c r="J787" s="1602" t="s">
        <v>4439</v>
      </c>
      <c r="K787" s="1620">
        <v>44135</v>
      </c>
      <c r="L787" s="1602" t="s">
        <v>990</v>
      </c>
      <c r="M787" s="1613" t="s">
        <v>4423</v>
      </c>
      <c r="N787" s="1604" t="s">
        <v>2320</v>
      </c>
      <c r="O787" s="1604">
        <v>2020</v>
      </c>
      <c r="P787" s="1604" t="s">
        <v>904</v>
      </c>
      <c r="Q787" s="1604">
        <v>19</v>
      </c>
      <c r="R787" s="1604"/>
      <c r="S787" s="1604">
        <f t="shared" si="3"/>
        <v>19</v>
      </c>
      <c r="T787" s="1604" t="s">
        <v>2227</v>
      </c>
      <c r="U787" s="1601" t="s">
        <v>864</v>
      </c>
      <c r="V787" s="1601"/>
      <c r="W787" s="1604" t="s">
        <v>2564</v>
      </c>
      <c r="X787" s="1604"/>
      <c r="Y787" s="1601"/>
    </row>
    <row r="788" spans="1:26" s="1433" customFormat="1" ht="58.2" hidden="1" customHeight="1">
      <c r="A788" s="1601"/>
      <c r="B788" s="1345" t="s">
        <v>2943</v>
      </c>
      <c r="C788" s="1602" t="s">
        <v>4442</v>
      </c>
      <c r="D788" s="1584"/>
      <c r="E788" s="1605" t="s">
        <v>4443</v>
      </c>
      <c r="F788" s="1604"/>
      <c r="G788" s="1604" t="s">
        <v>4627</v>
      </c>
      <c r="H788" s="1604"/>
      <c r="I788" s="1604" t="s">
        <v>2549</v>
      </c>
      <c r="J788" s="1604" t="s">
        <v>3384</v>
      </c>
      <c r="K788" s="1620">
        <v>44128</v>
      </c>
      <c r="L788" s="1604" t="s">
        <v>990</v>
      </c>
      <c r="M788" s="1613" t="s">
        <v>4441</v>
      </c>
      <c r="N788" s="1604" t="s">
        <v>913</v>
      </c>
      <c r="O788" s="1604">
        <v>2020</v>
      </c>
      <c r="P788" s="1604" t="s">
        <v>904</v>
      </c>
      <c r="Q788" s="1604">
        <v>3</v>
      </c>
      <c r="R788" s="1604"/>
      <c r="S788" s="1604">
        <v>3</v>
      </c>
      <c r="T788" s="1604" t="s">
        <v>2227</v>
      </c>
      <c r="U788" s="1604" t="s">
        <v>4247</v>
      </c>
      <c r="V788" s="1604"/>
      <c r="W788" s="1604" t="s">
        <v>3882</v>
      </c>
      <c r="X788" s="1604"/>
      <c r="Y788" s="1604"/>
    </row>
    <row r="789" spans="1:26" s="1433" customFormat="1" hidden="1">
      <c r="A789" s="1601"/>
      <c r="B789" s="1520" t="s">
        <v>91</v>
      </c>
      <c r="C789" s="1611" t="s">
        <v>3650</v>
      </c>
      <c r="D789" s="1517"/>
      <c r="E789" s="1643" t="s">
        <v>4452</v>
      </c>
      <c r="F789" s="1604"/>
      <c r="G789" s="1653" t="s">
        <v>4453</v>
      </c>
      <c r="H789" s="1618"/>
      <c r="I789" s="1604" t="s">
        <v>2318</v>
      </c>
      <c r="J789" s="1604" t="s">
        <v>4454</v>
      </c>
      <c r="K789" s="1620">
        <v>44138</v>
      </c>
      <c r="L789" s="1602" t="s">
        <v>990</v>
      </c>
      <c r="M789" s="1613" t="s">
        <v>4445</v>
      </c>
      <c r="N789" s="1604" t="s">
        <v>2320</v>
      </c>
      <c r="O789" s="1604">
        <v>2020</v>
      </c>
      <c r="P789" s="1604" t="s">
        <v>905</v>
      </c>
      <c r="Q789" s="1604">
        <v>19</v>
      </c>
      <c r="R789" s="1618"/>
      <c r="S789" s="1604">
        <f>+R789+Q789</f>
        <v>19</v>
      </c>
      <c r="T789" s="1618" t="s">
        <v>2626</v>
      </c>
      <c r="U789" s="1601" t="s">
        <v>864</v>
      </c>
      <c r="V789" s="1601"/>
      <c r="W789" s="1604" t="s">
        <v>4254</v>
      </c>
      <c r="X789" s="1618"/>
      <c r="Y789" s="1611"/>
    </row>
    <row r="790" spans="1:26" s="1433" customFormat="1" ht="41.4" hidden="1">
      <c r="A790" s="1601"/>
      <c r="B790" s="1345" t="s">
        <v>77</v>
      </c>
      <c r="C790" s="1611" t="s">
        <v>4455</v>
      </c>
      <c r="D790" s="1517"/>
      <c r="E790" s="1641" t="s">
        <v>4456</v>
      </c>
      <c r="F790" s="1604"/>
      <c r="G790" s="1602" t="s">
        <v>1228</v>
      </c>
      <c r="H790" s="1618"/>
      <c r="I790" s="1604" t="s">
        <v>2310</v>
      </c>
      <c r="J790" s="1604" t="s">
        <v>2748</v>
      </c>
      <c r="K790" s="1620">
        <v>44139</v>
      </c>
      <c r="L790" s="1602" t="s">
        <v>990</v>
      </c>
      <c r="M790" s="1603" t="s">
        <v>4446</v>
      </c>
      <c r="N790" s="1604" t="s">
        <v>2320</v>
      </c>
      <c r="O790" s="1604">
        <v>2020</v>
      </c>
      <c r="P790" s="1604" t="s">
        <v>905</v>
      </c>
      <c r="Q790" s="1604">
        <v>11</v>
      </c>
      <c r="R790" s="1618"/>
      <c r="S790" s="1604">
        <f>+R790+Q790</f>
        <v>11</v>
      </c>
      <c r="T790" s="1618" t="s">
        <v>2234</v>
      </c>
      <c r="U790" s="1601" t="s">
        <v>4482</v>
      </c>
      <c r="V790" s="1601"/>
      <c r="W790" s="1604" t="s">
        <v>2564</v>
      </c>
      <c r="X790" s="1618" t="s">
        <v>1228</v>
      </c>
      <c r="Y790" s="1611"/>
    </row>
    <row r="791" spans="1:26" s="1433" customFormat="1" ht="27.6" hidden="1">
      <c r="A791" s="1601"/>
      <c r="B791" s="1033" t="s">
        <v>1223</v>
      </c>
      <c r="C791" s="1611" t="s">
        <v>2194</v>
      </c>
      <c r="D791" s="1517"/>
      <c r="E791" s="1611" t="s">
        <v>4460</v>
      </c>
      <c r="F791" s="1604"/>
      <c r="G791" s="1602" t="s">
        <v>4461</v>
      </c>
      <c r="H791" s="1618"/>
      <c r="I791" s="1604" t="s">
        <v>2549</v>
      </c>
      <c r="J791" s="1604" t="s">
        <v>1402</v>
      </c>
      <c r="K791" s="1620">
        <v>44159</v>
      </c>
      <c r="L791" s="1602" t="s">
        <v>990</v>
      </c>
      <c r="M791" s="1603" t="s">
        <v>4447</v>
      </c>
      <c r="N791" s="1604" t="s">
        <v>3416</v>
      </c>
      <c r="O791" s="1604">
        <v>2020</v>
      </c>
      <c r="P791" s="1604" t="s">
        <v>905</v>
      </c>
      <c r="Q791" s="1604">
        <v>4</v>
      </c>
      <c r="R791" s="1618"/>
      <c r="S791" s="1604">
        <f>+R791+Q791</f>
        <v>4</v>
      </c>
      <c r="T791" s="1618" t="s">
        <v>4450</v>
      </c>
      <c r="U791" s="1601" t="s">
        <v>918</v>
      </c>
      <c r="V791" s="1601"/>
      <c r="W791" s="1604" t="s">
        <v>4451</v>
      </c>
      <c r="X791" s="1618" t="s">
        <v>2194</v>
      </c>
      <c r="Y791" s="1611"/>
    </row>
    <row r="792" spans="1:26" s="1433" customFormat="1" ht="27.6" hidden="1">
      <c r="A792" s="1601"/>
      <c r="B792" s="1345" t="s">
        <v>876</v>
      </c>
      <c r="C792" s="1611" t="s">
        <v>3320</v>
      </c>
      <c r="D792" s="1517"/>
      <c r="E792" s="1619" t="s">
        <v>4462</v>
      </c>
      <c r="F792" s="1604"/>
      <c r="G792" s="1602" t="s">
        <v>4449</v>
      </c>
      <c r="H792" s="1618"/>
      <c r="I792" s="1604"/>
      <c r="J792" s="1604"/>
      <c r="K792" s="1620">
        <v>44165</v>
      </c>
      <c r="L792" s="1602" t="s">
        <v>990</v>
      </c>
      <c r="M792" s="1643" t="s">
        <v>4448</v>
      </c>
      <c r="N792" s="1604" t="s">
        <v>925</v>
      </c>
      <c r="O792" s="1604">
        <v>2020</v>
      </c>
      <c r="P792" s="1604" t="s">
        <v>905</v>
      </c>
      <c r="Q792" s="1604">
        <v>43</v>
      </c>
      <c r="R792" s="1618"/>
      <c r="S792" s="1604">
        <f>+R792+Q792</f>
        <v>43</v>
      </c>
      <c r="T792" s="1618" t="s">
        <v>2234</v>
      </c>
      <c r="U792" s="1601" t="s">
        <v>4482</v>
      </c>
      <c r="V792" s="1601"/>
      <c r="W792" s="1604" t="s">
        <v>2564</v>
      </c>
      <c r="X792" s="1618" t="s">
        <v>4449</v>
      </c>
      <c r="Y792" s="1611"/>
    </row>
    <row r="793" spans="1:26" s="1433" customFormat="1" ht="41.4" hidden="1">
      <c r="A793" s="1601"/>
      <c r="B793" s="1345" t="s">
        <v>952</v>
      </c>
      <c r="C793" s="1611" t="s">
        <v>4457</v>
      </c>
      <c r="D793"/>
      <c r="E793" s="1611" t="s">
        <v>4458</v>
      </c>
      <c r="F793" s="1604"/>
      <c r="G793" s="1603" t="s">
        <v>4459</v>
      </c>
      <c r="H793" s="1618"/>
      <c r="I793" s="1604" t="s">
        <v>2318</v>
      </c>
      <c r="J793" s="1604" t="s">
        <v>2644</v>
      </c>
      <c r="K793" s="1620">
        <v>44150</v>
      </c>
      <c r="L793" s="1602" t="s">
        <v>990</v>
      </c>
      <c r="M793" s="1613" t="s">
        <v>4463</v>
      </c>
      <c r="N793" s="1604" t="s">
        <v>4464</v>
      </c>
      <c r="O793" s="1604">
        <v>2020</v>
      </c>
      <c r="P793" s="1604" t="s">
        <v>905</v>
      </c>
      <c r="Q793" s="1604">
        <v>30</v>
      </c>
      <c r="R793" s="1618"/>
      <c r="S793" s="1618">
        <v>30</v>
      </c>
      <c r="T793" s="1618" t="s">
        <v>2296</v>
      </c>
      <c r="U793" s="1601" t="s">
        <v>4247</v>
      </c>
      <c r="V793" s="1601"/>
      <c r="W793" s="1604" t="s">
        <v>3631</v>
      </c>
      <c r="X793" s="1618"/>
      <c r="Y793" s="1611"/>
    </row>
    <row r="794" spans="1:26" s="1433" customFormat="1" hidden="1">
      <c r="A794" s="1601"/>
      <c r="B794" s="1033" t="s">
        <v>1223</v>
      </c>
      <c r="C794" s="1611"/>
      <c r="D794" s="1517"/>
      <c r="E794" s="1611" t="s">
        <v>4477</v>
      </c>
      <c r="F794" s="1604"/>
      <c r="G794" s="1611" t="s">
        <v>1014</v>
      </c>
      <c r="H794" s="1618"/>
      <c r="I794" s="1604" t="s">
        <v>2310</v>
      </c>
      <c r="J794" s="1604" t="s">
        <v>2489</v>
      </c>
      <c r="K794" s="1620">
        <v>44180</v>
      </c>
      <c r="L794" s="1602" t="s">
        <v>990</v>
      </c>
      <c r="M794" s="1636" t="s">
        <v>4465</v>
      </c>
      <c r="N794" s="1618" t="s">
        <v>917</v>
      </c>
      <c r="O794" s="1604">
        <v>2020</v>
      </c>
      <c r="P794" s="1618" t="s">
        <v>906</v>
      </c>
      <c r="Q794" s="1618">
        <v>6</v>
      </c>
      <c r="R794" s="1618"/>
      <c r="S794" s="1604">
        <f>+R794+Q794</f>
        <v>6</v>
      </c>
      <c r="T794" s="1618" t="s">
        <v>2233</v>
      </c>
      <c r="U794" s="1611" t="s">
        <v>4436</v>
      </c>
      <c r="V794" s="1611"/>
      <c r="W794" s="1618" t="s">
        <v>2564</v>
      </c>
      <c r="X794" s="1618"/>
      <c r="Y794" s="1611"/>
    </row>
    <row r="795" spans="1:26" s="1433" customFormat="1" hidden="1">
      <c r="A795" s="1601"/>
      <c r="B795" s="1618" t="s">
        <v>591</v>
      </c>
      <c r="C795" s="1611"/>
      <c r="D795" s="1585" t="s">
        <v>998</v>
      </c>
      <c r="E795" s="1603" t="s">
        <v>4478</v>
      </c>
      <c r="F795" s="1604"/>
      <c r="G795" s="1619" t="s">
        <v>2842</v>
      </c>
      <c r="H795" s="1618"/>
      <c r="I795" s="1604" t="s">
        <v>2549</v>
      </c>
      <c r="J795" s="1604" t="s">
        <v>2644</v>
      </c>
      <c r="K795" s="1620">
        <v>44181</v>
      </c>
      <c r="L795" s="1602" t="s">
        <v>990</v>
      </c>
      <c r="M795" s="1636" t="s">
        <v>4466</v>
      </c>
      <c r="N795" s="1618" t="s">
        <v>923</v>
      </c>
      <c r="O795" s="1604">
        <v>2020</v>
      </c>
      <c r="P795" s="1618" t="s">
        <v>906</v>
      </c>
      <c r="Q795" s="1618">
        <v>4</v>
      </c>
      <c r="R795" s="1618"/>
      <c r="S795" s="1604">
        <f>+R795+Q795</f>
        <v>4</v>
      </c>
      <c r="T795" s="1618" t="s">
        <v>4467</v>
      </c>
      <c r="U795" s="1601" t="s">
        <v>918</v>
      </c>
      <c r="V795" s="1601"/>
      <c r="W795" s="1618" t="s">
        <v>2564</v>
      </c>
      <c r="X795" s="1618"/>
      <c r="Y795" s="1611"/>
    </row>
    <row r="796" spans="1:26" ht="41.4" hidden="1">
      <c r="A796" s="1601"/>
      <c r="B796" s="1033" t="s">
        <v>694</v>
      </c>
      <c r="C796" s="1601"/>
      <c r="D796" s="1517"/>
      <c r="E796" s="1654" t="s">
        <v>4479</v>
      </c>
      <c r="F796" s="1604"/>
      <c r="G796" s="1655" t="s">
        <v>4480</v>
      </c>
      <c r="H796" s="1604"/>
      <c r="I796" s="1604" t="s">
        <v>2310</v>
      </c>
      <c r="J796" s="1601" t="s">
        <v>2496</v>
      </c>
      <c r="K796" s="1626">
        <v>44194</v>
      </c>
      <c r="L796" s="1603" t="s">
        <v>990</v>
      </c>
      <c r="M796" s="1607" t="s">
        <v>4468</v>
      </c>
      <c r="N796" s="1604" t="s">
        <v>2320</v>
      </c>
      <c r="O796" s="1604">
        <v>2020</v>
      </c>
      <c r="P796" s="1601" t="s">
        <v>906</v>
      </c>
      <c r="Q796" s="1601">
        <v>30</v>
      </c>
      <c r="R796" s="1601"/>
      <c r="S796" s="1601">
        <f>+R796+Q796</f>
        <v>30</v>
      </c>
      <c r="T796" s="1604" t="s">
        <v>4470</v>
      </c>
      <c r="U796" s="1601" t="s">
        <v>558</v>
      </c>
      <c r="V796" s="1601"/>
      <c r="W796" s="1604" t="s">
        <v>2238</v>
      </c>
      <c r="X796" s="1614" t="s">
        <v>4469</v>
      </c>
      <c r="Y796" s="1601"/>
      <c r="Z796" s="1608"/>
    </row>
    <row r="797" spans="1:26" s="1433" customFormat="1" ht="27.6" hidden="1">
      <c r="A797" s="1601"/>
      <c r="B797" s="1618" t="s">
        <v>2906</v>
      </c>
      <c r="C797" s="1603" t="s">
        <v>4475</v>
      </c>
      <c r="D797" s="1517"/>
      <c r="E797" s="1611" t="s">
        <v>4472</v>
      </c>
      <c r="F797" s="1604"/>
      <c r="G797" s="1617" t="s">
        <v>4476</v>
      </c>
      <c r="H797" s="1618"/>
      <c r="I797" s="1618" t="s">
        <v>2310</v>
      </c>
      <c r="J797" s="1604" t="s">
        <v>2523</v>
      </c>
      <c r="K797" s="1620">
        <v>44173</v>
      </c>
      <c r="L797" s="1602" t="s">
        <v>990</v>
      </c>
      <c r="M797" s="1636" t="s">
        <v>4471</v>
      </c>
      <c r="N797" s="1618"/>
      <c r="O797" s="1604">
        <v>2020</v>
      </c>
      <c r="P797" s="1618" t="s">
        <v>906</v>
      </c>
      <c r="Q797" s="1618">
        <v>45</v>
      </c>
      <c r="R797" s="1618">
        <v>75</v>
      </c>
      <c r="S797" s="1618">
        <f>+R797+Q797</f>
        <v>120</v>
      </c>
      <c r="T797" s="1618" t="s">
        <v>4474</v>
      </c>
      <c r="U797" s="1601" t="s">
        <v>4247</v>
      </c>
      <c r="V797" s="1601"/>
      <c r="W797" s="1618" t="s">
        <v>4088</v>
      </c>
      <c r="X797" s="1602" t="s">
        <v>4473</v>
      </c>
      <c r="Y797" s="1611"/>
    </row>
    <row r="798" spans="1:26" s="1627" customFormat="1" ht="20.100000000000001" hidden="1" customHeight="1">
      <c r="A798" s="1601"/>
      <c r="B798" s="1033" t="s">
        <v>1053</v>
      </c>
      <c r="C798" s="1605"/>
      <c r="D798" s="1586"/>
      <c r="E798" s="1605" t="s">
        <v>4503</v>
      </c>
      <c r="F798" s="1604">
        <v>30</v>
      </c>
      <c r="G798" s="1613" t="s">
        <v>4235</v>
      </c>
      <c r="H798" s="1604"/>
      <c r="I798" s="1604" t="s">
        <v>2310</v>
      </c>
      <c r="J798" s="1605" t="s">
        <v>2644</v>
      </c>
      <c r="K798" s="1656">
        <v>44201</v>
      </c>
      <c r="L798" s="1613" t="s">
        <v>990</v>
      </c>
      <c r="M798" s="1635" t="s">
        <v>4628</v>
      </c>
      <c r="N798" s="1604" t="s">
        <v>917</v>
      </c>
      <c r="O798" s="1604">
        <v>2021</v>
      </c>
      <c r="P798" s="1604" t="s">
        <v>2165</v>
      </c>
      <c r="Q798" s="1604">
        <v>6</v>
      </c>
      <c r="R798" s="1604"/>
      <c r="S798" s="1604">
        <v>6</v>
      </c>
      <c r="T798" s="1605" t="s">
        <v>4494</v>
      </c>
      <c r="U798" s="1601" t="s">
        <v>4247</v>
      </c>
      <c r="V798" s="1601"/>
      <c r="W798" s="1604" t="s">
        <v>4221</v>
      </c>
      <c r="X798" s="1604" t="s">
        <v>1105</v>
      </c>
      <c r="Y798" s="1605"/>
    </row>
    <row r="799" spans="1:26" s="1627" customFormat="1" ht="20.100000000000001" hidden="1" customHeight="1">
      <c r="A799" s="1604" t="s">
        <v>5040</v>
      </c>
      <c r="B799" s="1345" t="s">
        <v>1309</v>
      </c>
      <c r="C799" s="1605"/>
      <c r="D799" s="1586"/>
      <c r="E799" s="1605" t="s">
        <v>4504</v>
      </c>
      <c r="F799" s="1604">
        <v>22</v>
      </c>
      <c r="G799" s="1613" t="s">
        <v>4505</v>
      </c>
      <c r="H799" s="1604"/>
      <c r="I799" s="1604" t="s">
        <v>2310</v>
      </c>
      <c r="J799" s="1605"/>
      <c r="K799" s="1656">
        <v>44202</v>
      </c>
      <c r="L799" s="1613" t="s">
        <v>990</v>
      </c>
      <c r="M799" s="1613" t="s">
        <v>4492</v>
      </c>
      <c r="N799" s="1604" t="s">
        <v>917</v>
      </c>
      <c r="O799" s="1604">
        <v>2021</v>
      </c>
      <c r="P799" s="1604" t="s">
        <v>2165</v>
      </c>
      <c r="Q799" s="1604">
        <v>0</v>
      </c>
      <c r="R799" s="1604">
        <v>6000</v>
      </c>
      <c r="S799" s="1604">
        <v>6000</v>
      </c>
      <c r="T799" s="1605" t="s">
        <v>4493</v>
      </c>
      <c r="U799" s="1601" t="s">
        <v>4247</v>
      </c>
      <c r="V799" s="1601"/>
      <c r="W799" s="1604" t="s">
        <v>4495</v>
      </c>
      <c r="X799" s="1604"/>
      <c r="Y799" s="1605" t="s">
        <v>5161</v>
      </c>
    </row>
    <row r="800" spans="1:26" s="1627" customFormat="1" ht="20.100000000000001" hidden="1" customHeight="1">
      <c r="A800" s="1604" t="s">
        <v>5042</v>
      </c>
      <c r="B800" s="1345" t="s">
        <v>77</v>
      </c>
      <c r="C800" s="1605" t="s">
        <v>5076</v>
      </c>
      <c r="D800" s="1586"/>
      <c r="E800" s="1605" t="s">
        <v>4506</v>
      </c>
      <c r="F800" s="1628"/>
      <c r="G800" s="1613" t="s">
        <v>1416</v>
      </c>
      <c r="H800" s="1604"/>
      <c r="I800" s="1604" t="s">
        <v>2310</v>
      </c>
      <c r="J800" s="1605" t="s">
        <v>2254</v>
      </c>
      <c r="K800" s="1656">
        <v>44202</v>
      </c>
      <c r="L800" s="1613" t="s">
        <v>990</v>
      </c>
      <c r="M800" s="1613" t="s">
        <v>4496</v>
      </c>
      <c r="N800" s="1604" t="s">
        <v>923</v>
      </c>
      <c r="O800" s="1604">
        <v>2021</v>
      </c>
      <c r="P800" s="1604" t="s">
        <v>2165</v>
      </c>
      <c r="Q800" s="1604">
        <v>8</v>
      </c>
      <c r="R800" s="1604"/>
      <c r="S800" s="1604">
        <v>8</v>
      </c>
      <c r="T800" s="1605" t="s">
        <v>2649</v>
      </c>
      <c r="U800" s="1601" t="s">
        <v>4247</v>
      </c>
      <c r="V800" s="1601"/>
      <c r="W800" s="1604" t="s">
        <v>2564</v>
      </c>
      <c r="X800" s="1604" t="s">
        <v>6013</v>
      </c>
      <c r="Y800" s="1605"/>
    </row>
    <row r="801" spans="1:26" s="1627" customFormat="1" ht="20.100000000000001" hidden="1" customHeight="1">
      <c r="A801" s="1604" t="s">
        <v>5041</v>
      </c>
      <c r="B801" s="1520" t="s">
        <v>91</v>
      </c>
      <c r="C801" s="1605" t="s">
        <v>3764</v>
      </c>
      <c r="D801" s="1586"/>
      <c r="E801" s="1605" t="s">
        <v>4574</v>
      </c>
      <c r="F801" s="1628">
        <v>48</v>
      </c>
      <c r="G801" s="1613" t="s">
        <v>1191</v>
      </c>
      <c r="H801" s="1604"/>
      <c r="I801" s="1604" t="s">
        <v>2310</v>
      </c>
      <c r="J801" s="1605" t="s">
        <v>4507</v>
      </c>
      <c r="K801" s="1656">
        <v>44213</v>
      </c>
      <c r="L801" s="1613" t="s">
        <v>990</v>
      </c>
      <c r="M801" s="1613" t="s">
        <v>4497</v>
      </c>
      <c r="N801" s="1604" t="s">
        <v>915</v>
      </c>
      <c r="O801" s="1604">
        <v>2021</v>
      </c>
      <c r="P801" s="1604" t="s">
        <v>2165</v>
      </c>
      <c r="Q801" s="1604">
        <v>19</v>
      </c>
      <c r="R801" s="1604"/>
      <c r="S801" s="1604">
        <v>19</v>
      </c>
      <c r="T801" s="1605" t="s">
        <v>2233</v>
      </c>
      <c r="U801" s="1601" t="s">
        <v>4247</v>
      </c>
      <c r="V801" s="1601"/>
      <c r="W801" s="1604" t="s">
        <v>2607</v>
      </c>
      <c r="X801" s="1604"/>
      <c r="Y801" s="1605" t="s">
        <v>5162</v>
      </c>
    </row>
    <row r="802" spans="1:26" s="1627" customFormat="1" ht="20.100000000000001" hidden="1" customHeight="1">
      <c r="A802" s="1601"/>
      <c r="B802" s="1605" t="s">
        <v>429</v>
      </c>
      <c r="C802" s="1605"/>
      <c r="D802" s="1586"/>
      <c r="E802" s="1605" t="s">
        <v>4575</v>
      </c>
      <c r="F802" s="1628">
        <v>40</v>
      </c>
      <c r="G802" s="1613" t="s">
        <v>4517</v>
      </c>
      <c r="H802" s="1604"/>
      <c r="I802" s="1604" t="s">
        <v>2310</v>
      </c>
      <c r="J802" s="1605" t="s">
        <v>2488</v>
      </c>
      <c r="K802" s="1656">
        <v>44215</v>
      </c>
      <c r="L802" s="1613" t="s">
        <v>2794</v>
      </c>
      <c r="M802" s="1613" t="s">
        <v>4498</v>
      </c>
      <c r="N802" s="1604" t="s">
        <v>915</v>
      </c>
      <c r="O802" s="1604">
        <v>2021</v>
      </c>
      <c r="P802" s="1604" t="s">
        <v>2165</v>
      </c>
      <c r="Q802" s="1604">
        <v>3</v>
      </c>
      <c r="R802" s="1604"/>
      <c r="S802" s="1604">
        <v>3</v>
      </c>
      <c r="T802" s="1605" t="s">
        <v>2824</v>
      </c>
      <c r="U802" s="1605" t="s">
        <v>4247</v>
      </c>
      <c r="V802" s="1605"/>
      <c r="W802" s="1604" t="s">
        <v>2607</v>
      </c>
      <c r="X802" s="1604"/>
      <c r="Y802" s="1605"/>
    </row>
    <row r="803" spans="1:26" s="1627" customFormat="1" ht="20.100000000000001" hidden="1" customHeight="1">
      <c r="A803" s="1601"/>
      <c r="B803" s="1605" t="s">
        <v>6050</v>
      </c>
      <c r="C803" s="1605" t="s">
        <v>4499</v>
      </c>
      <c r="D803" s="1586"/>
      <c r="E803" s="1605" t="s">
        <v>4508</v>
      </c>
      <c r="F803" s="1628"/>
      <c r="G803" s="1613"/>
      <c r="H803" s="1604"/>
      <c r="I803" s="1604" t="s">
        <v>2310</v>
      </c>
      <c r="J803" s="1605" t="s">
        <v>2301</v>
      </c>
      <c r="K803" s="1656">
        <v>44215</v>
      </c>
      <c r="L803" s="1613" t="s">
        <v>990</v>
      </c>
      <c r="M803" s="1613" t="s">
        <v>4500</v>
      </c>
      <c r="N803" s="1604" t="s">
        <v>917</v>
      </c>
      <c r="O803" s="1604">
        <v>2021</v>
      </c>
      <c r="P803" s="1604" t="s">
        <v>2165</v>
      </c>
      <c r="Q803" s="1604">
        <v>2</v>
      </c>
      <c r="R803" s="1604"/>
      <c r="S803" s="1604">
        <v>2</v>
      </c>
      <c r="T803" s="1605" t="s">
        <v>4511</v>
      </c>
      <c r="U803" s="1601" t="s">
        <v>4247</v>
      </c>
      <c r="V803" s="1601"/>
      <c r="W803" s="1604" t="s">
        <v>4510</v>
      </c>
      <c r="X803" s="1604" t="s">
        <v>4509</v>
      </c>
      <c r="Y803" s="1605"/>
    </row>
    <row r="804" spans="1:26" s="1627" customFormat="1" ht="20.100000000000001" hidden="1" customHeight="1">
      <c r="A804" s="1604" t="s">
        <v>5044</v>
      </c>
      <c r="B804" s="1605" t="s">
        <v>6050</v>
      </c>
      <c r="C804" s="1605" t="s">
        <v>4499</v>
      </c>
      <c r="D804" s="1586"/>
      <c r="E804" s="1605" t="s">
        <v>5043</v>
      </c>
      <c r="F804" s="1628"/>
      <c r="G804" s="1613"/>
      <c r="H804" s="1604"/>
      <c r="I804" s="1604" t="s">
        <v>2310</v>
      </c>
      <c r="J804" s="1605" t="s">
        <v>2301</v>
      </c>
      <c r="K804" s="1656">
        <v>44215</v>
      </c>
      <c r="L804" s="1613" t="s">
        <v>990</v>
      </c>
      <c r="M804" s="1613" t="s">
        <v>4500</v>
      </c>
      <c r="N804" s="1604" t="s">
        <v>917</v>
      </c>
      <c r="O804" s="1604">
        <v>2021</v>
      </c>
      <c r="P804" s="1604" t="s">
        <v>2165</v>
      </c>
      <c r="Q804" s="1604">
        <v>2</v>
      </c>
      <c r="R804" s="1604"/>
      <c r="S804" s="1604">
        <v>2</v>
      </c>
      <c r="T804" s="1605" t="s">
        <v>4511</v>
      </c>
      <c r="U804" s="1601" t="s">
        <v>4247</v>
      </c>
      <c r="V804" s="1601"/>
      <c r="W804" s="1604" t="s">
        <v>2238</v>
      </c>
      <c r="X804" s="1604" t="s">
        <v>4509</v>
      </c>
      <c r="Y804" s="1605"/>
    </row>
    <row r="805" spans="1:26" s="1627" customFormat="1" ht="20.100000000000001" hidden="1" customHeight="1">
      <c r="A805" s="1601"/>
      <c r="B805" s="1345" t="s">
        <v>876</v>
      </c>
      <c r="C805" s="1820" t="s">
        <v>4782</v>
      </c>
      <c r="D805" s="1586"/>
      <c r="E805" s="1605" t="s">
        <v>4512</v>
      </c>
      <c r="F805" s="1628"/>
      <c r="G805" s="1613" t="s">
        <v>2842</v>
      </c>
      <c r="H805" s="1604"/>
      <c r="I805" s="1604" t="s">
        <v>2310</v>
      </c>
      <c r="J805" s="1605" t="s">
        <v>4513</v>
      </c>
      <c r="K805" s="1656">
        <v>44224</v>
      </c>
      <c r="L805" s="1613" t="s">
        <v>990</v>
      </c>
      <c r="M805" s="1613" t="s">
        <v>4501</v>
      </c>
      <c r="N805" s="1604" t="s">
        <v>2320</v>
      </c>
      <c r="O805" s="1604">
        <v>2021</v>
      </c>
      <c r="P805" s="1604" t="s">
        <v>2165</v>
      </c>
      <c r="Q805" s="1604">
        <v>49</v>
      </c>
      <c r="R805" s="1604"/>
      <c r="S805" s="1604">
        <v>49</v>
      </c>
      <c r="T805" s="1605" t="s">
        <v>1241</v>
      </c>
      <c r="U805" s="1601" t="s">
        <v>558</v>
      </c>
      <c r="V805" s="1601"/>
      <c r="W805" s="1604" t="s">
        <v>3837</v>
      </c>
      <c r="X805" s="1604"/>
      <c r="Y805" s="1605" t="s">
        <v>5167</v>
      </c>
    </row>
    <row r="806" spans="1:26" s="1627" customFormat="1" ht="27.6" hidden="1">
      <c r="A806" s="1601"/>
      <c r="B806" s="1345" t="s">
        <v>1057</v>
      </c>
      <c r="C806" s="1605" t="s">
        <v>4523</v>
      </c>
      <c r="D806" s="1586"/>
      <c r="E806" s="1605" t="s">
        <v>4514</v>
      </c>
      <c r="F806" s="1628"/>
      <c r="G806" s="1613" t="s">
        <v>4515</v>
      </c>
      <c r="H806" s="1604"/>
      <c r="I806" s="1604" t="s">
        <v>2310</v>
      </c>
      <c r="J806" s="1604" t="s">
        <v>2523</v>
      </c>
      <c r="K806" s="1656">
        <v>44226</v>
      </c>
      <c r="L806" s="1613" t="s">
        <v>990</v>
      </c>
      <c r="M806" s="1613" t="s">
        <v>4502</v>
      </c>
      <c r="N806" s="1604" t="s">
        <v>2320</v>
      </c>
      <c r="O806" s="1604">
        <v>2021</v>
      </c>
      <c r="P806" s="1604" t="s">
        <v>2165</v>
      </c>
      <c r="Q806" s="1604">
        <v>3</v>
      </c>
      <c r="R806" s="1604"/>
      <c r="S806" s="1604">
        <v>3</v>
      </c>
      <c r="T806" s="1605" t="s">
        <v>2294</v>
      </c>
      <c r="U806" s="1601" t="s">
        <v>4516</v>
      </c>
      <c r="V806" s="1601"/>
      <c r="W806" s="1604" t="s">
        <v>2607</v>
      </c>
      <c r="X806" s="1604" t="s">
        <v>1228</v>
      </c>
      <c r="Y806" s="1605"/>
    </row>
    <row r="807" spans="1:26" s="1627" customFormat="1" ht="41.4" hidden="1">
      <c r="A807" s="1604" t="s">
        <v>5072</v>
      </c>
      <c r="B807" s="1345" t="s">
        <v>1057</v>
      </c>
      <c r="C807" s="1605"/>
      <c r="D807" s="1586"/>
      <c r="E807" s="1605" t="s">
        <v>5073</v>
      </c>
      <c r="F807" s="1628"/>
      <c r="G807" s="1613" t="s">
        <v>2956</v>
      </c>
      <c r="H807" s="1604"/>
      <c r="I807" s="1604" t="s">
        <v>2310</v>
      </c>
      <c r="J807" s="1605" t="s">
        <v>2497</v>
      </c>
      <c r="K807" s="1656">
        <v>44227</v>
      </c>
      <c r="L807" s="1613" t="s">
        <v>990</v>
      </c>
      <c r="M807" s="1613" t="s">
        <v>4519</v>
      </c>
      <c r="N807" s="1604" t="s">
        <v>925</v>
      </c>
      <c r="O807" s="1604">
        <v>2021</v>
      </c>
      <c r="P807" s="1604" t="s">
        <v>2165</v>
      </c>
      <c r="Q807" s="1604">
        <v>60</v>
      </c>
      <c r="R807" s="1604"/>
      <c r="S807" s="1604">
        <v>60</v>
      </c>
      <c r="T807" s="1605" t="s">
        <v>2234</v>
      </c>
      <c r="U807" s="1601" t="s">
        <v>1057</v>
      </c>
      <c r="V807" s="1601"/>
      <c r="W807" s="1604" t="s">
        <v>2340</v>
      </c>
      <c r="X807" s="1602" t="s">
        <v>4518</v>
      </c>
      <c r="Y807" s="1605"/>
    </row>
    <row r="808" spans="1:26" s="1627" customFormat="1" ht="41.4" hidden="1">
      <c r="A808" s="1601"/>
      <c r="B808" s="1345" t="s">
        <v>1057</v>
      </c>
      <c r="C808" s="1605"/>
      <c r="D808" s="1586"/>
      <c r="E808" s="1605" t="s">
        <v>4522</v>
      </c>
      <c r="F808" s="1628"/>
      <c r="G808" s="1635" t="s">
        <v>4520</v>
      </c>
      <c r="H808" s="1604"/>
      <c r="I808" s="1604" t="s">
        <v>2310</v>
      </c>
      <c r="J808" s="1605" t="s">
        <v>2644</v>
      </c>
      <c r="K808" s="1656">
        <v>44219</v>
      </c>
      <c r="L808" s="1613" t="s">
        <v>990</v>
      </c>
      <c r="M808" s="1613" t="s">
        <v>4521</v>
      </c>
      <c r="N808" s="1604" t="s">
        <v>2320</v>
      </c>
      <c r="O808" s="1604">
        <v>2021</v>
      </c>
      <c r="P808" s="1604" t="s">
        <v>2165</v>
      </c>
      <c r="Q808" s="1604">
        <v>7</v>
      </c>
      <c r="R808" s="1604"/>
      <c r="S808" s="1604">
        <v>7</v>
      </c>
      <c r="T808" s="1605" t="s">
        <v>2316</v>
      </c>
      <c r="U808" s="1601" t="s">
        <v>1057</v>
      </c>
      <c r="V808" s="1601"/>
      <c r="W808" s="1604" t="s">
        <v>2564</v>
      </c>
      <c r="X808" s="1604" t="s">
        <v>1385</v>
      </c>
      <c r="Y808" s="1605"/>
    </row>
    <row r="809" spans="1:26" s="1112" customFormat="1" ht="52.8" hidden="1">
      <c r="A809" s="1577"/>
      <c r="B809" s="1570" t="s">
        <v>429</v>
      </c>
      <c r="C809" s="1572" t="s">
        <v>4528</v>
      </c>
      <c r="D809" s="1570" t="s">
        <v>454</v>
      </c>
      <c r="E809" s="1573" t="s">
        <v>4532</v>
      </c>
      <c r="F809" s="1523">
        <v>24</v>
      </c>
      <c r="G809" s="1573" t="s">
        <v>1014</v>
      </c>
      <c r="H809" s="1571" t="s">
        <v>994</v>
      </c>
      <c r="I809" s="1524" t="s">
        <v>2310</v>
      </c>
      <c r="J809" s="1574" t="s">
        <v>1449</v>
      </c>
      <c r="K809" s="1575">
        <v>44214</v>
      </c>
      <c r="L809" s="1570" t="s">
        <v>3015</v>
      </c>
      <c r="M809" s="1574" t="s">
        <v>4541</v>
      </c>
      <c r="N809" s="1512" t="s">
        <v>2320</v>
      </c>
      <c r="O809" s="1233">
        <v>2021</v>
      </c>
      <c r="P809" s="1570" t="s">
        <v>2165</v>
      </c>
      <c r="Q809" s="1233">
        <v>0</v>
      </c>
      <c r="R809" s="1233"/>
      <c r="S809" s="1233">
        <v>0</v>
      </c>
      <c r="T809" s="1572" t="s">
        <v>4548</v>
      </c>
      <c r="U809" s="1576" t="s">
        <v>4550</v>
      </c>
      <c r="V809" s="1576"/>
      <c r="W809" s="1571" t="s">
        <v>2275</v>
      </c>
      <c r="X809" s="1233"/>
      <c r="Y809" s="1577"/>
    </row>
    <row r="810" spans="1:26" s="1112" customFormat="1" ht="87" hidden="1" customHeight="1">
      <c r="A810" s="1185" t="s">
        <v>4527</v>
      </c>
      <c r="B810" s="1457" t="s">
        <v>429</v>
      </c>
      <c r="C810" s="1342" t="s">
        <v>4529</v>
      </c>
      <c r="D810" s="1342" t="s">
        <v>4529</v>
      </c>
      <c r="E810" s="1342" t="s">
        <v>4533</v>
      </c>
      <c r="F810" s="1347">
        <v>39</v>
      </c>
      <c r="G810" s="1342" t="s">
        <v>4537</v>
      </c>
      <c r="H810" s="984" t="s">
        <v>987</v>
      </c>
      <c r="I810" s="839" t="s">
        <v>2318</v>
      </c>
      <c r="J810" s="1346" t="s">
        <v>1408</v>
      </c>
      <c r="K810" s="1348">
        <v>44215</v>
      </c>
      <c r="L810" s="1457" t="s">
        <v>2794</v>
      </c>
      <c r="M810" s="1346" t="s">
        <v>4542</v>
      </c>
      <c r="N810" s="1347" t="s">
        <v>4546</v>
      </c>
      <c r="O810" s="862">
        <v>2021</v>
      </c>
      <c r="P810" s="1457" t="s">
        <v>2165</v>
      </c>
      <c r="Q810" s="984" t="s">
        <v>4547</v>
      </c>
      <c r="R810" s="862"/>
      <c r="S810" s="984" t="s">
        <v>4547</v>
      </c>
      <c r="T810" s="1342" t="s">
        <v>4549</v>
      </c>
      <c r="U810" s="1195" t="s">
        <v>4551</v>
      </c>
      <c r="V810" s="1195"/>
      <c r="W810" s="984" t="s">
        <v>2607</v>
      </c>
      <c r="X810" s="862"/>
      <c r="Y810" s="1185"/>
    </row>
    <row r="811" spans="1:26" s="1112" customFormat="1" ht="66" hidden="1">
      <c r="A811" s="1185"/>
      <c r="B811" s="1457" t="s">
        <v>429</v>
      </c>
      <c r="C811" s="1342" t="s">
        <v>4530</v>
      </c>
      <c r="D811" s="1342" t="s">
        <v>4529</v>
      </c>
      <c r="E811" s="1342" t="s">
        <v>4534</v>
      </c>
      <c r="F811" s="1347">
        <v>63</v>
      </c>
      <c r="G811" s="1349" t="s">
        <v>4538</v>
      </c>
      <c r="H811" s="984" t="s">
        <v>987</v>
      </c>
      <c r="I811" s="2972" t="s">
        <v>2318</v>
      </c>
      <c r="J811" s="1346" t="s">
        <v>2715</v>
      </c>
      <c r="K811" s="1348">
        <v>44223</v>
      </c>
      <c r="L811" s="1457" t="s">
        <v>3015</v>
      </c>
      <c r="M811" s="1346" t="s">
        <v>4543</v>
      </c>
      <c r="N811" s="1347" t="s">
        <v>1576</v>
      </c>
      <c r="O811" s="862">
        <v>2021</v>
      </c>
      <c r="P811" s="1457" t="s">
        <v>2165</v>
      </c>
      <c r="Q811" s="862">
        <v>0</v>
      </c>
      <c r="R811" s="862"/>
      <c r="S811" s="862">
        <v>0</v>
      </c>
      <c r="T811" s="1342" t="s">
        <v>4549</v>
      </c>
      <c r="U811" s="1195" t="s">
        <v>4551</v>
      </c>
      <c r="V811" s="1195"/>
      <c r="W811" s="984" t="s">
        <v>3645</v>
      </c>
      <c r="X811" s="862"/>
      <c r="Y811" s="1185"/>
    </row>
    <row r="812" spans="1:26" s="1112" customFormat="1" ht="92.4" hidden="1">
      <c r="A812" s="1185"/>
      <c r="B812" s="1457" t="s">
        <v>429</v>
      </c>
      <c r="C812" s="1342" t="s">
        <v>4531</v>
      </c>
      <c r="D812" s="1457" t="s">
        <v>454</v>
      </c>
      <c r="E812" s="1342" t="s">
        <v>4535</v>
      </c>
      <c r="F812" s="1347"/>
      <c r="G812" s="1342" t="s">
        <v>1118</v>
      </c>
      <c r="H812" s="984" t="s">
        <v>987</v>
      </c>
      <c r="I812" s="839" t="s">
        <v>2310</v>
      </c>
      <c r="J812" s="1346" t="s">
        <v>4539</v>
      </c>
      <c r="K812" s="1348">
        <v>44244</v>
      </c>
      <c r="L812" s="1457" t="s">
        <v>3015</v>
      </c>
      <c r="M812" s="1346" t="s">
        <v>4544</v>
      </c>
      <c r="N812" s="1347" t="s">
        <v>2476</v>
      </c>
      <c r="O812" s="862">
        <v>2021</v>
      </c>
      <c r="P812" s="984" t="s">
        <v>896</v>
      </c>
      <c r="Q812" s="862">
        <v>0</v>
      </c>
      <c r="R812" s="862"/>
      <c r="S812" s="862">
        <v>0</v>
      </c>
      <c r="T812" s="1342" t="s">
        <v>1218</v>
      </c>
      <c r="U812" s="1195" t="s">
        <v>4552</v>
      </c>
      <c r="V812" s="1195"/>
      <c r="W812" s="984" t="s">
        <v>4554</v>
      </c>
      <c r="X812" s="862"/>
      <c r="Y812" s="1185"/>
    </row>
    <row r="813" spans="1:26" s="1112" customFormat="1" ht="66" hidden="1">
      <c r="A813" s="1541"/>
      <c r="B813" s="1579" t="s">
        <v>429</v>
      </c>
      <c r="C813" s="1543" t="s">
        <v>4529</v>
      </c>
      <c r="D813" s="1342" t="s">
        <v>4529</v>
      </c>
      <c r="E813" s="1543" t="s">
        <v>4536</v>
      </c>
      <c r="F813" s="1521">
        <v>44</v>
      </c>
      <c r="G813" s="1588" t="s">
        <v>2599</v>
      </c>
      <c r="H813" s="1580" t="s">
        <v>987</v>
      </c>
      <c r="I813" s="2973" t="s">
        <v>2310</v>
      </c>
      <c r="J813" s="1589" t="s">
        <v>1402</v>
      </c>
      <c r="K813" s="1587">
        <v>44250</v>
      </c>
      <c r="L813" s="1579" t="s">
        <v>4540</v>
      </c>
      <c r="M813" s="1521" t="s">
        <v>4545</v>
      </c>
      <c r="N813" s="1521" t="s">
        <v>1576</v>
      </c>
      <c r="O813" s="1536">
        <v>2021</v>
      </c>
      <c r="P813" s="1580" t="s">
        <v>896</v>
      </c>
      <c r="Q813" s="1536">
        <v>0</v>
      </c>
      <c r="R813" s="1536"/>
      <c r="S813" s="1536">
        <v>0</v>
      </c>
      <c r="T813" s="1543" t="s">
        <v>4549</v>
      </c>
      <c r="U813" s="1542" t="s">
        <v>4553</v>
      </c>
      <c r="V813" s="1542"/>
      <c r="W813" s="1580" t="s">
        <v>3645</v>
      </c>
      <c r="X813" s="1536"/>
      <c r="Y813" s="1541"/>
    </row>
    <row r="814" spans="1:26" ht="27.6" hidden="1">
      <c r="A814" s="1604" t="s">
        <v>5045</v>
      </c>
      <c r="B814" s="1345" t="s">
        <v>1958</v>
      </c>
      <c r="C814" s="1605"/>
      <c r="D814" s="1586"/>
      <c r="E814" s="1603" t="s">
        <v>4562</v>
      </c>
      <c r="F814" s="1628"/>
      <c r="G814" s="1603" t="s">
        <v>1023</v>
      </c>
      <c r="H814" s="1604"/>
      <c r="I814" s="1604" t="s">
        <v>2310</v>
      </c>
      <c r="J814" s="1605" t="s">
        <v>2494</v>
      </c>
      <c r="K814" s="1656">
        <v>44230</v>
      </c>
      <c r="L814" s="1613" t="s">
        <v>990</v>
      </c>
      <c r="M814" s="1613" t="s">
        <v>4555</v>
      </c>
      <c r="N814" s="1604" t="s">
        <v>2320</v>
      </c>
      <c r="O814" s="1604">
        <v>2021</v>
      </c>
      <c r="P814" s="1604" t="s">
        <v>896</v>
      </c>
      <c r="Q814" s="1604">
        <v>17</v>
      </c>
      <c r="R814" s="1604"/>
      <c r="S814" s="1604">
        <v>17</v>
      </c>
      <c r="T814" s="1605" t="s">
        <v>4559</v>
      </c>
      <c r="U814" s="1601" t="s">
        <v>4247</v>
      </c>
      <c r="V814" s="1601"/>
      <c r="W814" s="1604" t="s">
        <v>2607</v>
      </c>
      <c r="X814" s="1604"/>
      <c r="Y814" s="1601" t="s">
        <v>5161</v>
      </c>
      <c r="Z814" s="1608" t="s">
        <v>5430</v>
      </c>
    </row>
    <row r="815" spans="1:26" ht="27.6" hidden="1">
      <c r="A815" s="1604" t="s">
        <v>5046</v>
      </c>
      <c r="B815" s="137" t="s">
        <v>602</v>
      </c>
      <c r="C815" s="1605" t="s">
        <v>4571</v>
      </c>
      <c r="D815" s="1586"/>
      <c r="E815" s="1636" t="s">
        <v>4563</v>
      </c>
      <c r="F815" s="1628"/>
      <c r="G815" s="1607" t="s">
        <v>4630</v>
      </c>
      <c r="H815" s="1604"/>
      <c r="I815" s="1604" t="s">
        <v>2310</v>
      </c>
      <c r="J815" s="1605" t="s">
        <v>2494</v>
      </c>
      <c r="K815" s="1656">
        <v>44231</v>
      </c>
      <c r="L815" s="1613" t="s">
        <v>990</v>
      </c>
      <c r="M815" s="1613" t="s">
        <v>4556</v>
      </c>
      <c r="N815" s="1604" t="s">
        <v>2320</v>
      </c>
      <c r="O815" s="1604">
        <v>2021</v>
      </c>
      <c r="P815" s="1604" t="s">
        <v>896</v>
      </c>
      <c r="Q815" s="1604">
        <v>12</v>
      </c>
      <c r="R815" s="1604"/>
      <c r="S815" s="1604">
        <v>12</v>
      </c>
      <c r="T815" s="1605" t="s">
        <v>4204</v>
      </c>
      <c r="U815" s="1601" t="s">
        <v>4247</v>
      </c>
      <c r="V815" s="1601"/>
      <c r="W815" s="1604" t="s">
        <v>4561</v>
      </c>
      <c r="X815" s="1604" t="s">
        <v>1228</v>
      </c>
      <c r="Y815" s="1601"/>
      <c r="Z815" s="1608"/>
    </row>
    <row r="816" spans="1:26" ht="27.6" hidden="1">
      <c r="A816" s="1604" t="s">
        <v>5047</v>
      </c>
      <c r="B816" s="1820" t="s">
        <v>2323</v>
      </c>
      <c r="C816" s="1601"/>
      <c r="D816" s="1516"/>
      <c r="E816" s="1642" t="s">
        <v>4564</v>
      </c>
      <c r="F816" s="1628">
        <v>47</v>
      </c>
      <c r="G816" s="1642" t="s">
        <v>1023</v>
      </c>
      <c r="H816" s="1604"/>
      <c r="I816" s="1604" t="s">
        <v>2310</v>
      </c>
      <c r="J816" s="1605"/>
      <c r="K816" s="1656">
        <v>44237</v>
      </c>
      <c r="L816" s="1613" t="s">
        <v>990</v>
      </c>
      <c r="M816" s="1613" t="s">
        <v>4557</v>
      </c>
      <c r="N816" s="1604" t="s">
        <v>2320</v>
      </c>
      <c r="O816" s="1604">
        <v>2021</v>
      </c>
      <c r="P816" s="1604" t="s">
        <v>896</v>
      </c>
      <c r="Q816" s="1604">
        <v>7</v>
      </c>
      <c r="R816" s="1604"/>
      <c r="S816" s="1604">
        <v>7</v>
      </c>
      <c r="T816" s="1605" t="s">
        <v>3679</v>
      </c>
      <c r="U816" s="1601" t="s">
        <v>4247</v>
      </c>
      <c r="V816" s="1601"/>
      <c r="W816" s="1604" t="s">
        <v>4254</v>
      </c>
      <c r="X816" s="1604"/>
      <c r="Y816" s="1601" t="s">
        <v>5170</v>
      </c>
      <c r="Z816" s="1608"/>
    </row>
    <row r="817" spans="1:26" ht="27.6" hidden="1">
      <c r="A817" s="1601"/>
      <c r="B817" s="1345" t="s">
        <v>789</v>
      </c>
      <c r="C817" s="1601"/>
      <c r="D817" s="1516"/>
      <c r="E817" s="1642" t="s">
        <v>4565</v>
      </c>
      <c r="F817" s="1628">
        <v>24</v>
      </c>
      <c r="G817" s="1603" t="s">
        <v>4566</v>
      </c>
      <c r="H817" s="1604"/>
      <c r="I817" s="1604" t="s">
        <v>2310</v>
      </c>
      <c r="J817" s="1605" t="s">
        <v>4567</v>
      </c>
      <c r="K817" s="1656">
        <v>44242</v>
      </c>
      <c r="L817" s="1613" t="s">
        <v>990</v>
      </c>
      <c r="M817" s="1613" t="s">
        <v>4558</v>
      </c>
      <c r="N817" s="1604" t="s">
        <v>913</v>
      </c>
      <c r="O817" s="1604">
        <v>2021</v>
      </c>
      <c r="P817" s="1604" t="s">
        <v>896</v>
      </c>
      <c r="Q817" s="1604">
        <v>3</v>
      </c>
      <c r="R817" s="1604"/>
      <c r="S817" s="1604">
        <v>3</v>
      </c>
      <c r="T817" s="1605" t="s">
        <v>4560</v>
      </c>
      <c r="U817" s="1605" t="s">
        <v>4247</v>
      </c>
      <c r="V817" s="1605"/>
      <c r="W817" s="1604" t="s">
        <v>2275</v>
      </c>
      <c r="X817" s="1604"/>
      <c r="Y817" s="1601"/>
      <c r="Z817" s="1608"/>
    </row>
    <row r="818" spans="1:26" hidden="1">
      <c r="A818" s="1601"/>
      <c r="B818" s="1345" t="s">
        <v>789</v>
      </c>
      <c r="C818" s="1601"/>
      <c r="E818" s="1605"/>
      <c r="F818" s="1604"/>
      <c r="G818" s="1603"/>
      <c r="H818" s="1604"/>
      <c r="I818" s="1604"/>
      <c r="J818" s="1605"/>
      <c r="K818" s="1656">
        <v>44254</v>
      </c>
      <c r="L818" s="1613" t="s">
        <v>990</v>
      </c>
      <c r="M818" s="1613" t="s">
        <v>4568</v>
      </c>
      <c r="N818" s="1604" t="s">
        <v>915</v>
      </c>
      <c r="O818" s="1604">
        <v>2021</v>
      </c>
      <c r="P818" s="1604" t="s">
        <v>896</v>
      </c>
      <c r="Q818" s="1604">
        <v>21</v>
      </c>
      <c r="R818" s="1604"/>
      <c r="S818" s="1604">
        <v>21</v>
      </c>
      <c r="T818" s="1605" t="s">
        <v>2234</v>
      </c>
      <c r="U818" s="1605" t="s">
        <v>4247</v>
      </c>
      <c r="V818" s="1605"/>
      <c r="W818" s="1604" t="s">
        <v>2607</v>
      </c>
      <c r="X818" s="1604"/>
      <c r="Y818" s="1601"/>
      <c r="Z818" s="1608"/>
    </row>
    <row r="819" spans="1:26" ht="15" hidden="1" customHeight="1">
      <c r="A819" s="1604" t="s">
        <v>4577</v>
      </c>
      <c r="B819" s="1033" t="s">
        <v>1053</v>
      </c>
      <c r="C819" s="1601" t="s">
        <v>998</v>
      </c>
      <c r="D819" s="1581"/>
      <c r="E819" s="1605" t="s">
        <v>4576</v>
      </c>
      <c r="F819" s="1602">
        <v>42</v>
      </c>
      <c r="G819" s="1605" t="s">
        <v>2842</v>
      </c>
      <c r="H819" s="1604"/>
      <c r="I819" s="1604" t="s">
        <v>2310</v>
      </c>
      <c r="J819" s="1656" t="s">
        <v>2496</v>
      </c>
      <c r="K819" s="1656">
        <v>44256</v>
      </c>
      <c r="L819" s="1613" t="s">
        <v>990</v>
      </c>
      <c r="M819" s="1605" t="s">
        <v>4633</v>
      </c>
      <c r="N819" s="1604" t="s">
        <v>2320</v>
      </c>
      <c r="O819" s="1604">
        <v>2021</v>
      </c>
      <c r="P819" s="1604" t="s">
        <v>897</v>
      </c>
      <c r="Q819" s="1604">
        <v>60</v>
      </c>
      <c r="R819" s="1604"/>
      <c r="S819" s="1604">
        <v>60</v>
      </c>
      <c r="T819" s="1605" t="s">
        <v>4578</v>
      </c>
      <c r="U819" s="1601" t="s">
        <v>558</v>
      </c>
      <c r="V819" s="1601"/>
      <c r="W819" s="1604" t="s">
        <v>3837</v>
      </c>
      <c r="X819" s="1601"/>
      <c r="Y819" s="1601" t="s">
        <v>5171</v>
      </c>
      <c r="Z819" s="1608"/>
    </row>
    <row r="820" spans="1:26" ht="15" hidden="1" customHeight="1">
      <c r="A820" s="1601"/>
      <c r="B820" s="1820" t="s">
        <v>588</v>
      </c>
      <c r="C820" s="1601" t="s">
        <v>4581</v>
      </c>
      <c r="D820" s="1341"/>
      <c r="E820" s="1613" t="s">
        <v>4579</v>
      </c>
      <c r="F820" s="1604">
        <v>43</v>
      </c>
      <c r="G820" s="1601" t="s">
        <v>2167</v>
      </c>
      <c r="H820" s="1604"/>
      <c r="I820" s="1620" t="s">
        <v>2318</v>
      </c>
      <c r="J820" s="1656" t="s">
        <v>4580</v>
      </c>
      <c r="K820" s="1656">
        <v>44262</v>
      </c>
      <c r="L820" s="1605" t="s">
        <v>990</v>
      </c>
      <c r="M820" s="1605" t="s">
        <v>4634</v>
      </c>
      <c r="N820" s="1604" t="s">
        <v>2320</v>
      </c>
      <c r="O820" s="1604">
        <v>2021</v>
      </c>
      <c r="P820" s="1604" t="s">
        <v>897</v>
      </c>
      <c r="Q820" s="1604">
        <v>28</v>
      </c>
      <c r="R820" s="1604"/>
      <c r="S820" s="1604">
        <v>28</v>
      </c>
      <c r="T820" s="1605" t="s">
        <v>4583</v>
      </c>
      <c r="U820" s="1601" t="s">
        <v>4247</v>
      </c>
      <c r="V820" s="1601"/>
      <c r="W820" s="1604" t="s">
        <v>4582</v>
      </c>
      <c r="X820" s="1601"/>
      <c r="Y820" s="1601" t="s">
        <v>5175</v>
      </c>
      <c r="Z820" s="1608"/>
    </row>
    <row r="821" spans="1:26" ht="15" hidden="1" customHeight="1">
      <c r="A821" s="1604" t="s">
        <v>5049</v>
      </c>
      <c r="B821" s="1345" t="s">
        <v>1128</v>
      </c>
      <c r="C821" s="1601" t="s">
        <v>4587</v>
      </c>
      <c r="D821" s="1342"/>
      <c r="E821" s="1605" t="s">
        <v>4584</v>
      </c>
      <c r="F821" s="1604">
        <v>27</v>
      </c>
      <c r="G821" s="1605" t="s">
        <v>3251</v>
      </c>
      <c r="H821" s="1620"/>
      <c r="I821" s="1620" t="s">
        <v>2310</v>
      </c>
      <c r="J821" s="1602" t="s">
        <v>4585</v>
      </c>
      <c r="K821" s="1656">
        <v>44267</v>
      </c>
      <c r="L821" s="1605" t="s">
        <v>990</v>
      </c>
      <c r="M821" s="1605" t="s">
        <v>4635</v>
      </c>
      <c r="N821" s="1604" t="s">
        <v>2320</v>
      </c>
      <c r="O821" s="1604">
        <v>2021</v>
      </c>
      <c r="P821" s="1604" t="s">
        <v>897</v>
      </c>
      <c r="Q821" s="1604">
        <v>6</v>
      </c>
      <c r="R821" s="1604"/>
      <c r="S821" s="1604">
        <v>6</v>
      </c>
      <c r="T821" s="1605" t="s">
        <v>4586</v>
      </c>
      <c r="U821" s="1601" t="s">
        <v>4247</v>
      </c>
      <c r="V821" s="1601"/>
      <c r="W821" s="1604" t="s">
        <v>3334</v>
      </c>
      <c r="X821" s="1601"/>
      <c r="Y821" s="1601"/>
      <c r="Z821" s="1608"/>
    </row>
    <row r="822" spans="1:26" ht="15" hidden="1" customHeight="1">
      <c r="A822" s="1604" t="s">
        <v>5050</v>
      </c>
      <c r="B822" s="1345" t="s">
        <v>77</v>
      </c>
      <c r="C822" s="1601" t="s">
        <v>4588</v>
      </c>
      <c r="D822" s="1341"/>
      <c r="E822" s="1605" t="s">
        <v>4589</v>
      </c>
      <c r="F822" s="1604">
        <v>33</v>
      </c>
      <c r="G822" s="1656" t="s">
        <v>2167</v>
      </c>
      <c r="H822" s="1620"/>
      <c r="I822" s="1620" t="s">
        <v>2310</v>
      </c>
      <c r="J822" s="1656" t="s">
        <v>2301</v>
      </c>
      <c r="K822" s="1656">
        <v>44271</v>
      </c>
      <c r="L822" s="1605" t="s">
        <v>990</v>
      </c>
      <c r="M822" s="1605" t="s">
        <v>4636</v>
      </c>
      <c r="N822" s="1604" t="s">
        <v>2320</v>
      </c>
      <c r="O822" s="1604">
        <v>2021</v>
      </c>
      <c r="P822" s="1604" t="s">
        <v>897</v>
      </c>
      <c r="Q822" s="1604">
        <v>3</v>
      </c>
      <c r="R822" s="1605"/>
      <c r="S822" s="1604">
        <v>3</v>
      </c>
      <c r="T822" s="1605" t="s">
        <v>4590</v>
      </c>
      <c r="U822" s="1601" t="s">
        <v>4247</v>
      </c>
      <c r="V822" s="1601"/>
      <c r="W822" s="1604" t="s">
        <v>4591</v>
      </c>
      <c r="X822" s="1601"/>
      <c r="Y822" s="1601"/>
      <c r="Z822" s="1608"/>
    </row>
    <row r="823" spans="1:26" ht="15" hidden="1" customHeight="1">
      <c r="A823" s="1604" t="s">
        <v>5056</v>
      </c>
      <c r="B823" s="1605" t="s">
        <v>693</v>
      </c>
      <c r="C823" s="1601" t="s">
        <v>4593</v>
      </c>
      <c r="D823" s="1457"/>
      <c r="E823" s="1605" t="s">
        <v>4592</v>
      </c>
      <c r="F823" s="1604">
        <v>39</v>
      </c>
      <c r="G823" s="1656" t="s">
        <v>2842</v>
      </c>
      <c r="H823" s="1620"/>
      <c r="I823" s="1620" t="s">
        <v>2549</v>
      </c>
      <c r="J823" s="1656" t="s">
        <v>2681</v>
      </c>
      <c r="K823" s="1656">
        <v>44272</v>
      </c>
      <c r="L823" s="1605" t="s">
        <v>990</v>
      </c>
      <c r="M823" s="1605" t="s">
        <v>4643</v>
      </c>
      <c r="N823" s="1604" t="s">
        <v>2320</v>
      </c>
      <c r="O823" s="1604">
        <v>2021</v>
      </c>
      <c r="P823" s="1604" t="s">
        <v>897</v>
      </c>
      <c r="Q823" s="1604">
        <v>10</v>
      </c>
      <c r="R823" s="1604"/>
      <c r="S823" s="1604">
        <v>10</v>
      </c>
      <c r="T823" s="1605" t="s">
        <v>4594</v>
      </c>
      <c r="U823" s="1601" t="s">
        <v>4247</v>
      </c>
      <c r="V823" s="1601"/>
      <c r="W823" s="1604" t="s">
        <v>2275</v>
      </c>
      <c r="X823" s="1601"/>
      <c r="Y823" s="1601"/>
      <c r="Z823" s="1608"/>
    </row>
    <row r="824" spans="1:26" s="1827" customFormat="1" ht="15" hidden="1" customHeight="1">
      <c r="A824" s="1604" t="s">
        <v>5057</v>
      </c>
      <c r="B824" s="1345" t="s">
        <v>1309</v>
      </c>
      <c r="C824" s="1824" t="s">
        <v>4597</v>
      </c>
      <c r="D824" s="1341"/>
      <c r="E824" s="1820" t="s">
        <v>4595</v>
      </c>
      <c r="F824" s="1823">
        <v>52</v>
      </c>
      <c r="G824" s="1825" t="s">
        <v>4171</v>
      </c>
      <c r="H824" s="1826"/>
      <c r="I824" s="1826" t="s">
        <v>2310</v>
      </c>
      <c r="J824" s="1825" t="s">
        <v>4596</v>
      </c>
      <c r="K824" s="1825">
        <v>44277</v>
      </c>
      <c r="L824" s="1820" t="s">
        <v>990</v>
      </c>
      <c r="M824" s="1820" t="s">
        <v>4637</v>
      </c>
      <c r="N824" s="1823" t="s">
        <v>4424</v>
      </c>
      <c r="O824" s="1823">
        <v>2021</v>
      </c>
      <c r="P824" s="1823" t="s">
        <v>897</v>
      </c>
      <c r="Q824" s="1823">
        <v>3</v>
      </c>
      <c r="R824" s="1823"/>
      <c r="S824" s="1823">
        <v>3</v>
      </c>
      <c r="T824" s="1820" t="s">
        <v>2246</v>
      </c>
      <c r="U824" s="1824" t="s">
        <v>4247</v>
      </c>
      <c r="V824" s="1824"/>
      <c r="W824" s="1823" t="s">
        <v>4424</v>
      </c>
      <c r="X824" s="1824"/>
      <c r="Y824" s="1824" t="s">
        <v>5158</v>
      </c>
    </row>
    <row r="825" spans="1:26" ht="15" hidden="1" customHeight="1">
      <c r="A825" s="1604" t="s">
        <v>5048</v>
      </c>
      <c r="B825" s="1520" t="s">
        <v>91</v>
      </c>
      <c r="C825" s="1601" t="s">
        <v>4598</v>
      </c>
      <c r="D825" s="1600"/>
      <c r="E825" s="1605" t="s">
        <v>4599</v>
      </c>
      <c r="F825" s="1604">
        <v>25</v>
      </c>
      <c r="G825" s="1656" t="s">
        <v>4600</v>
      </c>
      <c r="H825" s="1620"/>
      <c r="I825" s="1620" t="s">
        <v>2549</v>
      </c>
      <c r="J825" s="1656" t="s">
        <v>4601</v>
      </c>
      <c r="K825" s="1656">
        <v>44280</v>
      </c>
      <c r="L825" s="1605" t="s">
        <v>990</v>
      </c>
      <c r="M825" s="1605" t="s">
        <v>4638</v>
      </c>
      <c r="N825" s="1604" t="s">
        <v>2320</v>
      </c>
      <c r="O825" s="1604">
        <v>2021</v>
      </c>
      <c r="P825" s="1604" t="s">
        <v>897</v>
      </c>
      <c r="Q825" s="1604">
        <v>13</v>
      </c>
      <c r="R825" s="1604"/>
      <c r="S825" s="1604">
        <v>13</v>
      </c>
      <c r="T825" s="1605" t="s">
        <v>4602</v>
      </c>
      <c r="U825" s="1601" t="s">
        <v>4247</v>
      </c>
      <c r="V825" s="1601"/>
      <c r="W825" s="1604" t="s">
        <v>2564</v>
      </c>
      <c r="X825" s="1601"/>
      <c r="Y825" s="1605" t="s">
        <v>5163</v>
      </c>
      <c r="Z825" s="1608"/>
    </row>
    <row r="826" spans="1:26" ht="15" hidden="1" customHeight="1">
      <c r="A826" s="1629"/>
      <c r="B826" s="1345" t="s">
        <v>1057</v>
      </c>
      <c r="C826" s="1601" t="s">
        <v>693</v>
      </c>
      <c r="D826" s="1600"/>
      <c r="E826" s="1605" t="s">
        <v>4605</v>
      </c>
      <c r="F826" s="1620" t="s">
        <v>1576</v>
      </c>
      <c r="G826" s="1656" t="s">
        <v>4604</v>
      </c>
      <c r="H826" s="1620"/>
      <c r="I826" s="1620" t="s">
        <v>2549</v>
      </c>
      <c r="J826" s="1656" t="s">
        <v>4603</v>
      </c>
      <c r="K826" s="1656">
        <v>44279</v>
      </c>
      <c r="L826" s="1605" t="s">
        <v>990</v>
      </c>
      <c r="M826" s="1605" t="s">
        <v>4639</v>
      </c>
      <c r="N826" s="1604" t="s">
        <v>917</v>
      </c>
      <c r="O826" s="1604">
        <v>2021</v>
      </c>
      <c r="P826" s="1604" t="s">
        <v>897</v>
      </c>
      <c r="Q826" s="1604">
        <v>2</v>
      </c>
      <c r="R826" s="1604"/>
      <c r="S826" s="1604">
        <v>2</v>
      </c>
      <c r="T826" s="1605" t="s">
        <v>4606</v>
      </c>
      <c r="U826" s="1601" t="s">
        <v>1057</v>
      </c>
      <c r="V826" s="1601"/>
      <c r="W826" s="1604" t="s">
        <v>2564</v>
      </c>
      <c r="X826" s="1604" t="s">
        <v>4615</v>
      </c>
      <c r="Y826" s="1601"/>
      <c r="Z826" s="1608"/>
    </row>
    <row r="827" spans="1:26" ht="15" hidden="1" customHeight="1">
      <c r="A827" s="1630"/>
      <c r="B827" s="1605" t="s">
        <v>788</v>
      </c>
      <c r="C827" s="1601" t="s">
        <v>6070</v>
      </c>
      <c r="D827" s="1600"/>
      <c r="E827" s="1656" t="s">
        <v>4607</v>
      </c>
      <c r="F827" s="1604">
        <v>34</v>
      </c>
      <c r="G827" s="1656" t="s">
        <v>4608</v>
      </c>
      <c r="H827" s="1620"/>
      <c r="I827" s="1620" t="s">
        <v>2318</v>
      </c>
      <c r="J827" s="1656" t="s">
        <v>4609</v>
      </c>
      <c r="K827" s="1656">
        <v>44268</v>
      </c>
      <c r="L827" s="1605" t="s">
        <v>990</v>
      </c>
      <c r="M827" s="1605" t="s">
        <v>4640</v>
      </c>
      <c r="N827" s="1604" t="s">
        <v>923</v>
      </c>
      <c r="O827" s="1604">
        <v>2021</v>
      </c>
      <c r="P827" s="1604" t="s">
        <v>897</v>
      </c>
      <c r="Q827" s="1604">
        <v>5</v>
      </c>
      <c r="R827" s="1604"/>
      <c r="S827" s="1604">
        <v>5</v>
      </c>
      <c r="T827" s="1605" t="s">
        <v>4610</v>
      </c>
      <c r="U827" s="1601" t="s">
        <v>4247</v>
      </c>
      <c r="V827" s="1601"/>
      <c r="W827" s="1604" t="s">
        <v>3450</v>
      </c>
      <c r="X827" s="1601"/>
      <c r="Y827" s="1601"/>
      <c r="Z827" s="1608"/>
    </row>
    <row r="828" spans="1:26" ht="15" hidden="1" customHeight="1">
      <c r="A828" s="1630"/>
      <c r="B828" s="1605" t="s">
        <v>2943</v>
      </c>
      <c r="C828" s="1605" t="s">
        <v>4611</v>
      </c>
      <c r="D828" s="1599"/>
      <c r="E828" s="1656" t="s">
        <v>4612</v>
      </c>
      <c r="F828" s="1620"/>
      <c r="G828" s="1656" t="s">
        <v>4613</v>
      </c>
      <c r="H828" s="1620"/>
      <c r="I828" s="1620" t="s">
        <v>2310</v>
      </c>
      <c r="J828" s="1605" t="s">
        <v>2706</v>
      </c>
      <c r="K828" s="1656">
        <v>44272</v>
      </c>
      <c r="L828" s="1605" t="s">
        <v>990</v>
      </c>
      <c r="M828" s="1613" t="s">
        <v>4641</v>
      </c>
      <c r="N828" s="1604" t="s">
        <v>2320</v>
      </c>
      <c r="O828" s="1604">
        <v>2021</v>
      </c>
      <c r="P828" s="1604" t="s">
        <v>897</v>
      </c>
      <c r="Q828" s="1604">
        <v>7</v>
      </c>
      <c r="R828" s="1604"/>
      <c r="S828" s="1604">
        <v>7</v>
      </c>
      <c r="T828" s="1605" t="s">
        <v>4614</v>
      </c>
      <c r="U828" s="1601" t="s">
        <v>558</v>
      </c>
      <c r="V828" s="1601"/>
      <c r="W828" s="1604" t="s">
        <v>3837</v>
      </c>
      <c r="X828" s="1604" t="s">
        <v>4616</v>
      </c>
      <c r="Y828" s="1601"/>
      <c r="Z828" s="1608"/>
    </row>
    <row r="829" spans="1:26" ht="15" hidden="1" customHeight="1">
      <c r="A829" s="1630"/>
      <c r="B829" s="1605" t="s">
        <v>952</v>
      </c>
      <c r="C829" s="1601" t="s">
        <v>4617</v>
      </c>
      <c r="D829" s="1599"/>
      <c r="E829" s="1656" t="s">
        <v>4618</v>
      </c>
      <c r="F829" s="1604">
        <v>46</v>
      </c>
      <c r="G829" s="1656" t="s">
        <v>4619</v>
      </c>
      <c r="H829" s="1620"/>
      <c r="I829" s="1604" t="s">
        <v>2310</v>
      </c>
      <c r="J829" s="1605" t="s">
        <v>4620</v>
      </c>
      <c r="K829" s="1656">
        <v>44280</v>
      </c>
      <c r="L829" s="1605" t="s">
        <v>990</v>
      </c>
      <c r="M829" s="1605" t="s">
        <v>4642</v>
      </c>
      <c r="N829" s="1604" t="s">
        <v>2320</v>
      </c>
      <c r="O829" s="1604">
        <v>2021</v>
      </c>
      <c r="P829" s="1604" t="s">
        <v>897</v>
      </c>
      <c r="Q829" s="1604">
        <v>90</v>
      </c>
      <c r="R829" s="1601"/>
      <c r="S829" s="1604">
        <v>90</v>
      </c>
      <c r="T829" s="1605" t="s">
        <v>4621</v>
      </c>
      <c r="U829" s="1601" t="s">
        <v>4247</v>
      </c>
      <c r="V829" s="1601"/>
      <c r="W829" s="1604" t="s">
        <v>2340</v>
      </c>
      <c r="X829" s="1601"/>
      <c r="Y829" s="1601"/>
      <c r="Z829" s="1608"/>
    </row>
    <row r="830" spans="1:26" hidden="1">
      <c r="A830" s="1631"/>
      <c r="B830" s="1345" t="s">
        <v>602</v>
      </c>
      <c r="C830" s="1605" t="s">
        <v>2645</v>
      </c>
      <c r="E830" s="1605" t="s">
        <v>4622</v>
      </c>
      <c r="F830" s="1604">
        <v>0</v>
      </c>
      <c r="G830" s="1666" t="s">
        <v>1576</v>
      </c>
      <c r="H830" s="1604"/>
      <c r="I830" s="1604" t="s">
        <v>2310</v>
      </c>
      <c r="J830" s="1665" t="s">
        <v>1576</v>
      </c>
      <c r="K830" s="1656">
        <v>44266</v>
      </c>
      <c r="L830" s="1601" t="s">
        <v>4624</v>
      </c>
      <c r="M830" s="1613" t="s">
        <v>4625</v>
      </c>
      <c r="N830" s="1604" t="s">
        <v>1576</v>
      </c>
      <c r="O830" s="1604">
        <v>2021</v>
      </c>
      <c r="P830" s="1604" t="s">
        <v>897</v>
      </c>
      <c r="Q830" s="1604">
        <v>0</v>
      </c>
      <c r="R830" s="1604"/>
      <c r="S830" s="1604">
        <v>0</v>
      </c>
      <c r="T830" s="1605" t="s">
        <v>1576</v>
      </c>
      <c r="U830" s="1604" t="s">
        <v>1576</v>
      </c>
      <c r="V830" s="1604"/>
      <c r="W830" s="1604" t="s">
        <v>1576</v>
      </c>
      <c r="X830" s="1604"/>
      <c r="Y830" s="1601"/>
      <c r="Z830" s="1601"/>
    </row>
    <row r="831" spans="1:26" hidden="1">
      <c r="A831" s="1631"/>
      <c r="B831" s="1345" t="s">
        <v>602</v>
      </c>
      <c r="C831" s="1605" t="s">
        <v>93</v>
      </c>
      <c r="E831" s="1605" t="s">
        <v>4622</v>
      </c>
      <c r="F831" s="1604">
        <v>0</v>
      </c>
      <c r="G831" s="1666" t="s">
        <v>1576</v>
      </c>
      <c r="H831" s="1604"/>
      <c r="I831" s="1604" t="s">
        <v>2318</v>
      </c>
      <c r="J831" s="1665" t="s">
        <v>1576</v>
      </c>
      <c r="K831" s="1656">
        <v>44279</v>
      </c>
      <c r="L831" s="1601" t="s">
        <v>4624</v>
      </c>
      <c r="M831" s="1605" t="s">
        <v>4623</v>
      </c>
      <c r="N831" s="1604" t="s">
        <v>1576</v>
      </c>
      <c r="O831" s="1604">
        <v>2021</v>
      </c>
      <c r="P831" s="1604" t="s">
        <v>897</v>
      </c>
      <c r="Q831" s="1604">
        <v>0</v>
      </c>
      <c r="R831" s="1604"/>
      <c r="S831" s="1604">
        <v>0</v>
      </c>
      <c r="T831" s="1605" t="s">
        <v>1576</v>
      </c>
      <c r="U831" s="1604" t="s">
        <v>1576</v>
      </c>
      <c r="V831" s="1604"/>
      <c r="W831" s="1604" t="s">
        <v>1576</v>
      </c>
      <c r="X831" s="1604"/>
      <c r="Y831" s="1601"/>
      <c r="Z831" s="1601"/>
    </row>
    <row r="832" spans="1:26" hidden="1">
      <c r="A832" s="1631"/>
      <c r="B832" s="1520" t="s">
        <v>91</v>
      </c>
      <c r="C832" s="1601" t="s">
        <v>4631</v>
      </c>
      <c r="D832" s="1605" t="s">
        <v>4622</v>
      </c>
      <c r="E832" s="1605" t="s">
        <v>4622</v>
      </c>
      <c r="F832" s="1602">
        <v>0</v>
      </c>
      <c r="G832" s="1666" t="s">
        <v>1576</v>
      </c>
      <c r="H832" s="1604"/>
      <c r="I832" s="1604" t="s">
        <v>2549</v>
      </c>
      <c r="J832" s="1665" t="s">
        <v>1576</v>
      </c>
      <c r="K832" s="1656">
        <v>44272</v>
      </c>
      <c r="L832" s="1601" t="s">
        <v>4624</v>
      </c>
      <c r="M832" s="1605" t="s">
        <v>4632</v>
      </c>
      <c r="N832" s="1604" t="s">
        <v>1576</v>
      </c>
      <c r="O832" s="1604">
        <v>2021</v>
      </c>
      <c r="P832" s="1604" t="s">
        <v>897</v>
      </c>
      <c r="Q832" s="1604">
        <v>0</v>
      </c>
      <c r="R832" s="1604"/>
      <c r="S832" s="1604">
        <v>0</v>
      </c>
      <c r="T832" s="1605" t="s">
        <v>1576</v>
      </c>
      <c r="U832" s="1604" t="s">
        <v>1576</v>
      </c>
      <c r="V832" s="1604"/>
      <c r="W832" s="1604" t="s">
        <v>1576</v>
      </c>
      <c r="X832" s="1604"/>
      <c r="Y832" s="1601"/>
      <c r="Z832" s="1601"/>
    </row>
    <row r="833" spans="1:26" hidden="1">
      <c r="A833" s="1604" t="s">
        <v>5052</v>
      </c>
      <c r="B833" s="1345" t="s">
        <v>602</v>
      </c>
      <c r="C833" s="1601" t="s">
        <v>6054</v>
      </c>
      <c r="D833" s="1605"/>
      <c r="E833" s="1656" t="s">
        <v>5051</v>
      </c>
      <c r="F833" s="1620" t="s">
        <v>1576</v>
      </c>
      <c r="G833" s="1656" t="s">
        <v>4645</v>
      </c>
      <c r="H833" s="1620"/>
      <c r="I833" s="1620" t="s">
        <v>2549</v>
      </c>
      <c r="J833" s="1620" t="s">
        <v>1576</v>
      </c>
      <c r="K833" s="1656">
        <v>44291</v>
      </c>
      <c r="L833" s="1605" t="s">
        <v>990</v>
      </c>
      <c r="M833" s="1605" t="s">
        <v>4646</v>
      </c>
      <c r="N833" s="1604" t="s">
        <v>913</v>
      </c>
      <c r="O833" s="1604">
        <v>2021</v>
      </c>
      <c r="P833" s="1604" t="s">
        <v>898</v>
      </c>
      <c r="Q833" s="1604">
        <v>7</v>
      </c>
      <c r="R833" s="1604"/>
      <c r="S833" s="1604">
        <v>7</v>
      </c>
      <c r="T833" s="1605" t="s">
        <v>4549</v>
      </c>
      <c r="U833" s="1601" t="s">
        <v>4247</v>
      </c>
      <c r="V833" s="1601"/>
      <c r="W833" s="1604" t="s">
        <v>4582</v>
      </c>
      <c r="X833" s="1604" t="s">
        <v>4647</v>
      </c>
      <c r="Y833" s="1601"/>
      <c r="Z833" s="1608"/>
    </row>
    <row r="834" spans="1:26" hidden="1">
      <c r="A834" s="1601"/>
      <c r="B834" s="1033" t="s">
        <v>1223</v>
      </c>
      <c r="C834" s="1601" t="s">
        <v>4648</v>
      </c>
      <c r="D834" s="1656"/>
      <c r="E834" s="1656" t="s">
        <v>4649</v>
      </c>
      <c r="F834" s="1604">
        <v>33</v>
      </c>
      <c r="G834" s="1656" t="s">
        <v>4650</v>
      </c>
      <c r="H834" s="1620"/>
      <c r="I834" s="1620" t="s">
        <v>2318</v>
      </c>
      <c r="J834" s="1620" t="s">
        <v>1576</v>
      </c>
      <c r="K834" s="1656">
        <v>44297</v>
      </c>
      <c r="L834" s="1605" t="s">
        <v>990</v>
      </c>
      <c r="M834" s="1605" t="s">
        <v>4651</v>
      </c>
      <c r="N834" s="1604" t="s">
        <v>913</v>
      </c>
      <c r="O834" s="1604">
        <v>2021</v>
      </c>
      <c r="P834" s="1604" t="s">
        <v>898</v>
      </c>
      <c r="Q834" s="1604">
        <v>14</v>
      </c>
      <c r="R834" s="1604"/>
      <c r="S834" s="1604">
        <v>14</v>
      </c>
      <c r="T834" s="1605" t="s">
        <v>2294</v>
      </c>
      <c r="U834" s="1605" t="s">
        <v>918</v>
      </c>
      <c r="V834" s="1605"/>
      <c r="W834" s="1604" t="s">
        <v>4582</v>
      </c>
      <c r="X834" s="1601"/>
      <c r="Y834" s="1601"/>
      <c r="Z834" s="1608"/>
    </row>
    <row r="835" spans="1:26" s="1827" customFormat="1" hidden="1">
      <c r="A835" s="1604" t="s">
        <v>5058</v>
      </c>
      <c r="B835" s="1345" t="s">
        <v>1309</v>
      </c>
      <c r="C835" s="1824" t="s">
        <v>4652</v>
      </c>
      <c r="D835" s="1656"/>
      <c r="E835" s="1824" t="s">
        <v>4653</v>
      </c>
      <c r="F835" s="1823">
        <v>23</v>
      </c>
      <c r="G835" s="1825" t="s">
        <v>2167</v>
      </c>
      <c r="H835" s="1826"/>
      <c r="I835" s="1826" t="s">
        <v>2310</v>
      </c>
      <c r="J835" s="1826" t="s">
        <v>1576</v>
      </c>
      <c r="K835" s="1825">
        <v>44307</v>
      </c>
      <c r="L835" s="1820" t="s">
        <v>990</v>
      </c>
      <c r="M835" s="1823" t="s">
        <v>4684</v>
      </c>
      <c r="N835" s="1823" t="s">
        <v>2320</v>
      </c>
      <c r="O835" s="1823">
        <v>2021</v>
      </c>
      <c r="P835" s="1823" t="s">
        <v>898</v>
      </c>
      <c r="Q835" s="1823">
        <v>7</v>
      </c>
      <c r="R835" s="1823"/>
      <c r="S835" s="1823">
        <v>7</v>
      </c>
      <c r="T835" s="1820" t="s">
        <v>4654</v>
      </c>
      <c r="U835" s="1820" t="s">
        <v>4247</v>
      </c>
      <c r="V835" s="1820"/>
      <c r="W835" s="1823" t="s">
        <v>3334</v>
      </c>
      <c r="X835" s="1824"/>
      <c r="Y835" s="1824" t="s">
        <v>5161</v>
      </c>
    </row>
    <row r="836" spans="1:26" hidden="1">
      <c r="A836" s="1601"/>
      <c r="B836" s="1820" t="s">
        <v>3279</v>
      </c>
      <c r="C836" s="1601" t="s">
        <v>4655</v>
      </c>
      <c r="D836" s="1601"/>
      <c r="E836" s="1601" t="s">
        <v>4656</v>
      </c>
      <c r="F836" s="1604">
        <v>54</v>
      </c>
      <c r="G836" s="1656" t="s">
        <v>3955</v>
      </c>
      <c r="H836" s="1620"/>
      <c r="I836" s="1620" t="s">
        <v>2310</v>
      </c>
      <c r="J836" s="1656" t="s">
        <v>4657</v>
      </c>
      <c r="K836" s="1656">
        <v>44312</v>
      </c>
      <c r="L836" s="1605" t="s">
        <v>990</v>
      </c>
      <c r="M836" s="1604" t="s">
        <v>4682</v>
      </c>
      <c r="N836" s="1604" t="s">
        <v>923</v>
      </c>
      <c r="O836" s="1604">
        <v>2021</v>
      </c>
      <c r="P836" s="1604" t="s">
        <v>898</v>
      </c>
      <c r="Q836" s="1604">
        <v>8</v>
      </c>
      <c r="R836" s="1604"/>
      <c r="S836" s="1604">
        <v>8</v>
      </c>
      <c r="T836" s="1605" t="s">
        <v>4658</v>
      </c>
      <c r="U836" s="1605" t="s">
        <v>4247</v>
      </c>
      <c r="V836" s="1605"/>
      <c r="W836" s="1604" t="s">
        <v>4591</v>
      </c>
      <c r="X836" s="1601"/>
      <c r="Y836" s="1601" t="s">
        <v>5175</v>
      </c>
      <c r="Z836" s="1608"/>
    </row>
    <row r="837" spans="1:26" hidden="1">
      <c r="A837" s="1604" t="s">
        <v>5053</v>
      </c>
      <c r="B837" s="1520" t="s">
        <v>91</v>
      </c>
      <c r="C837" s="1601" t="s">
        <v>4080</v>
      </c>
      <c r="D837" s="1670"/>
      <c r="E837" s="1605" t="s">
        <v>4659</v>
      </c>
      <c r="F837" s="1604">
        <v>40</v>
      </c>
      <c r="G837" s="1656" t="s">
        <v>4660</v>
      </c>
      <c r="H837" s="1620"/>
      <c r="I837" s="1620" t="s">
        <v>2310</v>
      </c>
      <c r="J837" s="1656" t="s">
        <v>1601</v>
      </c>
      <c r="K837" s="1656">
        <v>44314</v>
      </c>
      <c r="L837" s="1605" t="s">
        <v>990</v>
      </c>
      <c r="M837" s="1605" t="s">
        <v>4683</v>
      </c>
      <c r="N837" s="1604" t="s">
        <v>917</v>
      </c>
      <c r="O837" s="1604">
        <v>2021</v>
      </c>
      <c r="P837" s="1604" t="s">
        <v>898</v>
      </c>
      <c r="Q837" s="1604">
        <v>6</v>
      </c>
      <c r="R837" s="1604"/>
      <c r="S837" s="1604">
        <v>6</v>
      </c>
      <c r="T837" s="1605" t="s">
        <v>4661</v>
      </c>
      <c r="U837" s="1605" t="s">
        <v>4247</v>
      </c>
      <c r="V837" s="1605"/>
      <c r="W837" s="1604" t="s">
        <v>2238</v>
      </c>
      <c r="X837" s="1601"/>
      <c r="Y837" s="1601"/>
      <c r="Z837" s="1608"/>
    </row>
    <row r="838" spans="1:26" ht="27.6" hidden="1">
      <c r="A838" s="1672"/>
      <c r="B838" s="1605" t="s">
        <v>788</v>
      </c>
      <c r="C838" s="1605" t="s">
        <v>4666</v>
      </c>
      <c r="E838" s="1605" t="s">
        <v>4662</v>
      </c>
      <c r="F838" s="1620" t="s">
        <v>1576</v>
      </c>
      <c r="G838" s="1671" t="s">
        <v>4663</v>
      </c>
      <c r="H838" s="1604"/>
      <c r="I838" s="1604" t="s">
        <v>2549</v>
      </c>
      <c r="J838" s="1605" t="s">
        <v>2168</v>
      </c>
      <c r="K838" s="1656">
        <v>44300</v>
      </c>
      <c r="L838" s="1605" t="s">
        <v>990</v>
      </c>
      <c r="M838" s="1613" t="s">
        <v>4664</v>
      </c>
      <c r="N838" s="1604" t="s">
        <v>917</v>
      </c>
      <c r="O838" s="1604">
        <v>2021</v>
      </c>
      <c r="P838" s="1604" t="s">
        <v>898</v>
      </c>
      <c r="Q838" s="1604">
        <v>18</v>
      </c>
      <c r="R838" s="1604"/>
      <c r="S838" s="1604">
        <v>18</v>
      </c>
      <c r="T838" s="1605" t="s">
        <v>4665</v>
      </c>
      <c r="U838" s="1605" t="s">
        <v>4247</v>
      </c>
      <c r="V838" s="1605"/>
      <c r="W838" s="1604" t="s">
        <v>2238</v>
      </c>
      <c r="X838" s="1604"/>
      <c r="Y838" s="1601"/>
      <c r="Z838" s="1608"/>
    </row>
    <row r="839" spans="1:26" ht="27.6" hidden="1">
      <c r="A839" s="1673"/>
      <c r="B839" s="1345" t="s">
        <v>789</v>
      </c>
      <c r="C839" s="1680" t="s">
        <v>4668</v>
      </c>
      <c r="E839" s="1679" t="s">
        <v>4669</v>
      </c>
      <c r="F839" s="1681" t="s">
        <v>1576</v>
      </c>
      <c r="G839" s="1682" t="s">
        <v>4670</v>
      </c>
      <c r="H839" s="1683"/>
      <c r="I839" s="1683" t="s">
        <v>2549</v>
      </c>
      <c r="J839" s="1679" t="s">
        <v>4671</v>
      </c>
      <c r="K839" s="1684">
        <v>44311</v>
      </c>
      <c r="L839" s="1679" t="s">
        <v>990</v>
      </c>
      <c r="M839" s="1685" t="s">
        <v>4667</v>
      </c>
      <c r="N839" s="1683" t="s">
        <v>925</v>
      </c>
      <c r="O839" s="1683">
        <v>2021</v>
      </c>
      <c r="P839" s="1683" t="s">
        <v>898</v>
      </c>
      <c r="Q839" s="1683">
        <v>3</v>
      </c>
      <c r="R839" s="1683"/>
      <c r="S839" s="1683">
        <v>3</v>
      </c>
      <c r="T839" s="1679" t="s">
        <v>4672</v>
      </c>
      <c r="U839" s="1679" t="s">
        <v>4247</v>
      </c>
      <c r="V839" s="1679"/>
      <c r="W839" s="1683" t="s">
        <v>2238</v>
      </c>
      <c r="X839" s="1683"/>
      <c r="Y839" s="1680"/>
      <c r="Z839" s="1608"/>
    </row>
    <row r="840" spans="1:26" ht="24" hidden="1" customHeight="1">
      <c r="A840" s="1673"/>
      <c r="B840" s="1605" t="s">
        <v>2943</v>
      </c>
      <c r="C840" s="1605" t="s">
        <v>4679</v>
      </c>
      <c r="E840" s="1605" t="s">
        <v>4675</v>
      </c>
      <c r="F840" s="1604">
        <v>28</v>
      </c>
      <c r="G840" s="1603" t="s">
        <v>4676</v>
      </c>
      <c r="H840" s="1604"/>
      <c r="I840" s="1604" t="s">
        <v>2549</v>
      </c>
      <c r="J840" s="1605" t="s">
        <v>2523</v>
      </c>
      <c r="K840" s="1656">
        <v>44303</v>
      </c>
      <c r="L840" s="1605" t="s">
        <v>990</v>
      </c>
      <c r="M840" s="1613" t="s">
        <v>4680</v>
      </c>
      <c r="N840" s="1604" t="s">
        <v>923</v>
      </c>
      <c r="O840" s="1604">
        <v>2021</v>
      </c>
      <c r="P840" s="1604" t="s">
        <v>898</v>
      </c>
      <c r="Q840" s="1604">
        <v>3</v>
      </c>
      <c r="R840" s="1604"/>
      <c r="S840" s="1604">
        <v>3</v>
      </c>
      <c r="T840" s="1605" t="s">
        <v>4677</v>
      </c>
      <c r="U840" s="1605" t="s">
        <v>4247</v>
      </c>
      <c r="V840" s="1605"/>
      <c r="W840" s="1604" t="s">
        <v>2564</v>
      </c>
      <c r="X840" s="1604" t="s">
        <v>993</v>
      </c>
      <c r="Y840" s="1601"/>
      <c r="Z840" s="1608"/>
    </row>
    <row r="841" spans="1:26" hidden="1">
      <c r="A841" s="1604" t="s">
        <v>5055</v>
      </c>
      <c r="B841" s="1345" t="s">
        <v>1128</v>
      </c>
      <c r="C841" s="1601" t="s">
        <v>4685</v>
      </c>
      <c r="D841" s="1686"/>
      <c r="E841" s="1605" t="s">
        <v>1623</v>
      </c>
      <c r="F841" s="1604">
        <v>41</v>
      </c>
      <c r="G841" s="1656" t="s">
        <v>3251</v>
      </c>
      <c r="H841" s="1620"/>
      <c r="I841" s="1620" t="s">
        <v>2310</v>
      </c>
      <c r="J841" s="1656" t="s">
        <v>2715</v>
      </c>
      <c r="K841" s="1656">
        <v>44319</v>
      </c>
      <c r="L841" s="1605" t="s">
        <v>990</v>
      </c>
      <c r="M841" s="1605" t="s">
        <v>4686</v>
      </c>
      <c r="N841" s="1604" t="s">
        <v>923</v>
      </c>
      <c r="O841" s="1604">
        <v>2021</v>
      </c>
      <c r="P841" s="1604" t="s">
        <v>899</v>
      </c>
      <c r="Q841" s="1604">
        <v>2</v>
      </c>
      <c r="R841" s="1604"/>
      <c r="S841" s="1604">
        <v>2</v>
      </c>
      <c r="T841" s="1605" t="s">
        <v>4687</v>
      </c>
      <c r="U841" s="1605" t="s">
        <v>4247</v>
      </c>
      <c r="V841" s="1605"/>
      <c r="W841" s="1604" t="s">
        <v>2564</v>
      </c>
      <c r="X841" s="1601"/>
      <c r="Y841" s="1601"/>
      <c r="Z841" s="1608"/>
    </row>
    <row r="842" spans="1:26" ht="27.6" hidden="1">
      <c r="A842" s="1604" t="s">
        <v>5054</v>
      </c>
      <c r="B842" s="1345" t="s">
        <v>77</v>
      </c>
      <c r="C842" s="1601" t="s">
        <v>4688</v>
      </c>
      <c r="E842" s="1605" t="s">
        <v>4689</v>
      </c>
      <c r="F842" s="1604">
        <v>54</v>
      </c>
      <c r="G842" s="1603" t="s">
        <v>4690</v>
      </c>
      <c r="H842" s="1604"/>
      <c r="I842" s="1604" t="s">
        <v>2310</v>
      </c>
      <c r="J842" s="1605" t="s">
        <v>2488</v>
      </c>
      <c r="K842" s="1656">
        <v>44329</v>
      </c>
      <c r="L842" s="1605" t="s">
        <v>990</v>
      </c>
      <c r="M842" s="1613" t="s">
        <v>4691</v>
      </c>
      <c r="N842" s="1604" t="s">
        <v>923</v>
      </c>
      <c r="O842" s="1604">
        <v>2021</v>
      </c>
      <c r="P842" s="1604" t="s">
        <v>899</v>
      </c>
      <c r="Q842" s="1604">
        <v>10</v>
      </c>
      <c r="R842" s="1604"/>
      <c r="S842" s="1604">
        <v>10</v>
      </c>
      <c r="T842" s="1605" t="s">
        <v>4692</v>
      </c>
      <c r="U842" s="1605" t="s">
        <v>4247</v>
      </c>
      <c r="V842" s="1605"/>
      <c r="W842" s="1604" t="s">
        <v>2564</v>
      </c>
      <c r="X842" s="1604"/>
      <c r="Y842" s="1601"/>
      <c r="Z842" s="1608"/>
    </row>
    <row r="843" spans="1:26" ht="27.6" hidden="1">
      <c r="A843" s="1601"/>
      <c r="B843" s="1520" t="s">
        <v>91</v>
      </c>
      <c r="C843" s="1601" t="s">
        <v>4080</v>
      </c>
      <c r="E843" s="1605" t="s">
        <v>4693</v>
      </c>
      <c r="F843" s="1604">
        <v>36</v>
      </c>
      <c r="G843" s="1603" t="s">
        <v>4694</v>
      </c>
      <c r="H843" s="1604"/>
      <c r="I843" s="1604" t="s">
        <v>2549</v>
      </c>
      <c r="J843" s="1605" t="s">
        <v>4696</v>
      </c>
      <c r="K843" s="1656">
        <v>44344</v>
      </c>
      <c r="L843" s="1605" t="s">
        <v>990</v>
      </c>
      <c r="M843" s="1613" t="s">
        <v>4695</v>
      </c>
      <c r="N843" s="1604" t="s">
        <v>2320</v>
      </c>
      <c r="O843" s="1604">
        <v>2021</v>
      </c>
      <c r="P843" s="1604" t="s">
        <v>899</v>
      </c>
      <c r="Q843" s="1604">
        <v>1</v>
      </c>
      <c r="R843" s="1604"/>
      <c r="S843" s="1604">
        <v>1</v>
      </c>
      <c r="T843" s="1605" t="s">
        <v>4155</v>
      </c>
      <c r="U843" s="1605" t="s">
        <v>4247</v>
      </c>
      <c r="V843" s="1605"/>
      <c r="W843" s="1604" t="s">
        <v>2564</v>
      </c>
      <c r="X843" s="1604"/>
      <c r="Y843" s="1601" t="s">
        <v>5164</v>
      </c>
      <c r="Z843" s="1608"/>
    </row>
    <row r="844" spans="1:26" hidden="1">
      <c r="A844" s="1604" t="s">
        <v>5060</v>
      </c>
      <c r="B844" s="1345" t="s">
        <v>77</v>
      </c>
      <c r="C844" s="1601" t="s">
        <v>4697</v>
      </c>
      <c r="E844" s="1605" t="s">
        <v>4698</v>
      </c>
      <c r="F844" s="1604">
        <v>29</v>
      </c>
      <c r="G844" s="1603" t="s">
        <v>2167</v>
      </c>
      <c r="H844" s="1604"/>
      <c r="I844" s="1604" t="s">
        <v>2310</v>
      </c>
      <c r="J844" s="1605" t="s">
        <v>3490</v>
      </c>
      <c r="K844" s="1656">
        <v>44345</v>
      </c>
      <c r="L844" s="1605" t="s">
        <v>990</v>
      </c>
      <c r="M844" s="1613" t="s">
        <v>4699</v>
      </c>
      <c r="N844" s="1604" t="s">
        <v>925</v>
      </c>
      <c r="O844" s="1604">
        <v>2021</v>
      </c>
      <c r="P844" s="1604" t="s">
        <v>899</v>
      </c>
      <c r="Q844" s="1604">
        <v>3</v>
      </c>
      <c r="R844" s="1604"/>
      <c r="S844" s="1604">
        <v>3</v>
      </c>
      <c r="T844" s="1605" t="s">
        <v>2234</v>
      </c>
      <c r="U844" s="1605" t="s">
        <v>4247</v>
      </c>
      <c r="V844" s="1605"/>
      <c r="W844" s="1604" t="s">
        <v>2564</v>
      </c>
      <c r="X844" s="1604"/>
      <c r="Y844" s="1601"/>
      <c r="Z844" s="1608"/>
    </row>
    <row r="845" spans="1:26" hidden="1">
      <c r="A845" s="1629"/>
      <c r="B845" s="1605" t="s">
        <v>693</v>
      </c>
      <c r="C845" s="1601" t="s">
        <v>4700</v>
      </c>
      <c r="E845" s="1605" t="s">
        <v>4701</v>
      </c>
      <c r="F845" s="1604"/>
      <c r="G845" s="1603" t="s">
        <v>4703</v>
      </c>
      <c r="H845" s="1604"/>
      <c r="I845" s="1604" t="s">
        <v>2310</v>
      </c>
      <c r="J845" s="1605" t="s">
        <v>2070</v>
      </c>
      <c r="K845" s="1656">
        <v>44340</v>
      </c>
      <c r="L845" s="1605" t="s">
        <v>990</v>
      </c>
      <c r="M845" s="1613" t="s">
        <v>4702</v>
      </c>
      <c r="N845" s="1604" t="s">
        <v>923</v>
      </c>
      <c r="O845" s="1604">
        <v>2021</v>
      </c>
      <c r="P845" s="1604" t="s">
        <v>899</v>
      </c>
      <c r="Q845" s="1604">
        <v>3</v>
      </c>
      <c r="R845" s="1604"/>
      <c r="S845" s="1604">
        <v>3</v>
      </c>
      <c r="T845" s="1605" t="s">
        <v>4704</v>
      </c>
      <c r="U845" s="1605" t="s">
        <v>4247</v>
      </c>
      <c r="V845" s="1605"/>
      <c r="W845" s="1604" t="s">
        <v>2564</v>
      </c>
      <c r="X845" s="1604" t="s">
        <v>4615</v>
      </c>
      <c r="Y845" s="1601"/>
      <c r="Z845" s="1608"/>
    </row>
    <row r="846" spans="1:26" ht="16.2" hidden="1" customHeight="1">
      <c r="A846" s="1687"/>
      <c r="B846" s="1605" t="s">
        <v>952</v>
      </c>
      <c r="C846" s="1601" t="s">
        <v>4711</v>
      </c>
      <c r="E846" s="1605" t="s">
        <v>4705</v>
      </c>
      <c r="F846" s="1604"/>
      <c r="G846" s="1603" t="s">
        <v>4706</v>
      </c>
      <c r="H846" s="1604"/>
      <c r="I846" s="1604" t="s">
        <v>2549</v>
      </c>
      <c r="J846" s="1605" t="s">
        <v>4706</v>
      </c>
      <c r="K846" s="1656">
        <v>44335</v>
      </c>
      <c r="L846" s="1605" t="s">
        <v>990</v>
      </c>
      <c r="M846" s="1613" t="s">
        <v>4707</v>
      </c>
      <c r="N846" s="1604" t="s">
        <v>2320</v>
      </c>
      <c r="O846" s="1604">
        <v>2021</v>
      </c>
      <c r="P846" s="1604" t="s">
        <v>899</v>
      </c>
      <c r="Q846" s="1604">
        <v>40</v>
      </c>
      <c r="R846" s="1604"/>
      <c r="S846" s="1604">
        <v>40</v>
      </c>
      <c r="T846" s="1605" t="s">
        <v>4708</v>
      </c>
      <c r="U846" s="1605" t="s">
        <v>4247</v>
      </c>
      <c r="V846" s="1605"/>
      <c r="W846" s="1604" t="s">
        <v>4709</v>
      </c>
      <c r="X846" s="1604" t="s">
        <v>4710</v>
      </c>
      <c r="Y846" s="1601"/>
      <c r="Z846" s="1608"/>
    </row>
    <row r="847" spans="1:26" hidden="1">
      <c r="A847" s="1672"/>
      <c r="B847" s="1345" t="s">
        <v>788</v>
      </c>
      <c r="C847" s="1680" t="s">
        <v>3753</v>
      </c>
      <c r="E847" s="1679" t="s">
        <v>4738</v>
      </c>
      <c r="F847" s="1683"/>
      <c r="G847" s="1682" t="s">
        <v>2480</v>
      </c>
      <c r="H847" s="1683"/>
      <c r="I847" s="1683" t="s">
        <v>2549</v>
      </c>
      <c r="J847" s="1679" t="s">
        <v>4736</v>
      </c>
      <c r="K847" s="1684">
        <v>44351</v>
      </c>
      <c r="L847" s="1679" t="s">
        <v>990</v>
      </c>
      <c r="M847" s="1685" t="s">
        <v>4737</v>
      </c>
      <c r="N847" s="1683" t="s">
        <v>917</v>
      </c>
      <c r="O847" s="1683">
        <v>2021</v>
      </c>
      <c r="P847" s="1683" t="s">
        <v>900</v>
      </c>
      <c r="Q847" s="1683">
        <v>20</v>
      </c>
      <c r="R847" s="1683"/>
      <c r="S847" s="1683">
        <v>20</v>
      </c>
      <c r="T847" s="1679" t="s">
        <v>2234</v>
      </c>
      <c r="U847" s="1679" t="s">
        <v>4247</v>
      </c>
      <c r="V847" s="1679"/>
      <c r="W847" s="1683" t="s">
        <v>2564</v>
      </c>
      <c r="X847" s="1683" t="s">
        <v>4739</v>
      </c>
      <c r="Y847" s="1680"/>
      <c r="Z847" s="1608"/>
    </row>
    <row r="848" spans="1:26" hidden="1">
      <c r="A848" s="1672"/>
      <c r="B848" s="1345" t="s">
        <v>788</v>
      </c>
      <c r="C848" s="1680" t="s">
        <v>1955</v>
      </c>
      <c r="E848" s="1679" t="s">
        <v>4756</v>
      </c>
      <c r="F848" s="1683">
        <v>31</v>
      </c>
      <c r="G848" s="1682" t="s">
        <v>4757</v>
      </c>
      <c r="H848" s="1683"/>
      <c r="I848" s="1683" t="s">
        <v>2549</v>
      </c>
      <c r="J848" s="1679" t="s">
        <v>2706</v>
      </c>
      <c r="K848" s="1656">
        <v>44361</v>
      </c>
      <c r="L848" s="1679" t="s">
        <v>990</v>
      </c>
      <c r="M848" s="1685" t="s">
        <v>4758</v>
      </c>
      <c r="N848" s="1683" t="s">
        <v>2320</v>
      </c>
      <c r="O848" s="1683">
        <v>2021</v>
      </c>
      <c r="P848" s="1683" t="s">
        <v>900</v>
      </c>
      <c r="Q848" s="1683">
        <v>10</v>
      </c>
      <c r="R848" s="1683"/>
      <c r="S848" s="1683">
        <v>10</v>
      </c>
      <c r="T848" s="1679" t="s">
        <v>4759</v>
      </c>
      <c r="U848" s="1679" t="s">
        <v>4247</v>
      </c>
      <c r="V848" s="1679"/>
      <c r="W848" s="1683" t="s">
        <v>3837</v>
      </c>
      <c r="X848" s="1683"/>
      <c r="Y848" s="1680"/>
      <c r="Z848" s="1608"/>
    </row>
    <row r="849" spans="1:26" hidden="1">
      <c r="A849" s="1604" t="s">
        <v>5059</v>
      </c>
      <c r="B849" s="1033" t="s">
        <v>694</v>
      </c>
      <c r="C849" s="1601" t="s">
        <v>4741</v>
      </c>
      <c r="E849" s="1605" t="s">
        <v>4742</v>
      </c>
      <c r="F849" s="1604">
        <v>38</v>
      </c>
      <c r="G849" s="1603" t="s">
        <v>4171</v>
      </c>
      <c r="H849" s="1604"/>
      <c r="I849" s="1604" t="s">
        <v>2549</v>
      </c>
      <c r="J849" s="1605" t="s">
        <v>4743</v>
      </c>
      <c r="K849" s="1656">
        <v>44354</v>
      </c>
      <c r="L849" s="1605" t="s">
        <v>990</v>
      </c>
      <c r="M849" s="1613" t="s">
        <v>4744</v>
      </c>
      <c r="N849" s="1604" t="s">
        <v>2320</v>
      </c>
      <c r="O849" s="1604">
        <v>2021</v>
      </c>
      <c r="P849" s="1604" t="s">
        <v>900</v>
      </c>
      <c r="Q849" s="1604">
        <v>16</v>
      </c>
      <c r="R849" s="1604"/>
      <c r="S849" s="1604">
        <v>16</v>
      </c>
      <c r="T849" s="1605" t="s">
        <v>4745</v>
      </c>
      <c r="U849" s="1605" t="s">
        <v>4247</v>
      </c>
      <c r="V849" s="1605"/>
      <c r="W849" s="1604" t="s">
        <v>3837</v>
      </c>
      <c r="X849" s="1604"/>
      <c r="Y849" s="1601"/>
      <c r="Z849" s="1608"/>
    </row>
    <row r="850" spans="1:26" hidden="1">
      <c r="A850" s="1601"/>
      <c r="B850" s="1520" t="s">
        <v>91</v>
      </c>
      <c r="C850" s="1601" t="s">
        <v>4788</v>
      </c>
      <c r="E850" s="1605" t="s">
        <v>4746</v>
      </c>
      <c r="F850" s="1604">
        <v>47</v>
      </c>
      <c r="G850" s="1603" t="s">
        <v>4747</v>
      </c>
      <c r="H850" s="1604"/>
      <c r="I850" s="1604" t="s">
        <v>2318</v>
      </c>
      <c r="J850" s="1605" t="s">
        <v>4743</v>
      </c>
      <c r="K850" s="1656">
        <v>44356</v>
      </c>
      <c r="L850" s="1605" t="s">
        <v>990</v>
      </c>
      <c r="M850" s="1613" t="s">
        <v>4748</v>
      </c>
      <c r="N850" s="1604" t="s">
        <v>917</v>
      </c>
      <c r="O850" s="1604">
        <v>2021</v>
      </c>
      <c r="P850" s="1604" t="s">
        <v>900</v>
      </c>
      <c r="Q850" s="1604">
        <v>2</v>
      </c>
      <c r="R850" s="1604"/>
      <c r="S850" s="1604">
        <v>2</v>
      </c>
      <c r="T850" s="1605" t="s">
        <v>4749</v>
      </c>
      <c r="U850" s="1605" t="s">
        <v>4247</v>
      </c>
      <c r="V850" s="1605"/>
      <c r="W850" s="1604" t="s">
        <v>2238</v>
      </c>
      <c r="X850" s="1604"/>
      <c r="Y850" s="1601" t="s">
        <v>5165</v>
      </c>
      <c r="Z850" s="1608"/>
    </row>
    <row r="851" spans="1:26" ht="27.6" hidden="1">
      <c r="A851" s="1629"/>
      <c r="B851" s="1605" t="s">
        <v>591</v>
      </c>
      <c r="C851" s="1605" t="s">
        <v>4750</v>
      </c>
      <c r="E851" s="1605" t="s">
        <v>4751</v>
      </c>
      <c r="F851" s="1604"/>
      <c r="G851" s="1603" t="s">
        <v>4752</v>
      </c>
      <c r="H851" s="1604"/>
      <c r="I851" s="1604" t="s">
        <v>2549</v>
      </c>
      <c r="J851" s="1605" t="s">
        <v>2496</v>
      </c>
      <c r="K851" s="1656">
        <v>44359</v>
      </c>
      <c r="L851" s="1605" t="s">
        <v>990</v>
      </c>
      <c r="M851" s="1613" t="s">
        <v>4753</v>
      </c>
      <c r="N851" s="1604" t="s">
        <v>913</v>
      </c>
      <c r="O851" s="1604">
        <v>2021</v>
      </c>
      <c r="P851" s="1604" t="s">
        <v>900</v>
      </c>
      <c r="Q851" s="1604">
        <v>3</v>
      </c>
      <c r="R851" s="1604"/>
      <c r="S851" s="1604">
        <v>3</v>
      </c>
      <c r="T851" s="1605" t="s">
        <v>4754</v>
      </c>
      <c r="U851" s="1605" t="s">
        <v>4247</v>
      </c>
      <c r="V851" s="1605"/>
      <c r="W851" s="1604" t="s">
        <v>3837</v>
      </c>
      <c r="X851" s="1604" t="s">
        <v>4755</v>
      </c>
      <c r="Y851" s="1601"/>
      <c r="Z851" s="1608"/>
    </row>
    <row r="852" spans="1:26" ht="13.5" hidden="1" customHeight="1">
      <c r="A852" s="1672"/>
      <c r="B852" s="1605" t="s">
        <v>4760</v>
      </c>
      <c r="C852" s="1601" t="s">
        <v>4761</v>
      </c>
      <c r="E852" s="1603" t="s">
        <v>4763</v>
      </c>
      <c r="F852" s="1604"/>
      <c r="G852" s="1603" t="s">
        <v>4764</v>
      </c>
      <c r="H852" s="1604"/>
      <c r="I852" s="1604" t="s">
        <v>2310</v>
      </c>
      <c r="J852" s="1605" t="s">
        <v>2496</v>
      </c>
      <c r="K852" s="1656">
        <v>44355</v>
      </c>
      <c r="L852" s="1605" t="s">
        <v>990</v>
      </c>
      <c r="M852" s="1613" t="s">
        <v>4762</v>
      </c>
      <c r="N852" s="1604" t="s">
        <v>2320</v>
      </c>
      <c r="O852" s="1604">
        <v>2021</v>
      </c>
      <c r="P852" s="1604" t="s">
        <v>900</v>
      </c>
      <c r="Q852" s="1604">
        <v>4</v>
      </c>
      <c r="R852" s="1604"/>
      <c r="S852" s="1604">
        <v>4</v>
      </c>
      <c r="T852" s="1605" t="s">
        <v>4765</v>
      </c>
      <c r="U852" s="1605" t="s">
        <v>4247</v>
      </c>
      <c r="V852" s="1605"/>
      <c r="W852" s="1604" t="s">
        <v>2275</v>
      </c>
      <c r="X852" s="1603" t="s">
        <v>4796</v>
      </c>
      <c r="Y852" s="1601"/>
      <c r="Z852" s="1608"/>
    </row>
    <row r="853" spans="1:26" hidden="1">
      <c r="A853" s="1601"/>
      <c r="B853" s="1605" t="s">
        <v>384</v>
      </c>
      <c r="C853" s="1601" t="s">
        <v>4766</v>
      </c>
      <c r="E853" s="1605" t="s">
        <v>4767</v>
      </c>
      <c r="F853" s="1604">
        <v>47</v>
      </c>
      <c r="G853" s="1603" t="s">
        <v>4768</v>
      </c>
      <c r="H853" s="1604"/>
      <c r="I853" s="1604" t="s">
        <v>2549</v>
      </c>
      <c r="J853" s="1605" t="s">
        <v>2488</v>
      </c>
      <c r="K853" s="1656">
        <v>44364</v>
      </c>
      <c r="L853" s="1605" t="s">
        <v>990</v>
      </c>
      <c r="M853" s="1613" t="s">
        <v>4769</v>
      </c>
      <c r="N853" s="1604" t="s">
        <v>2320</v>
      </c>
      <c r="O853" s="1604">
        <v>2021</v>
      </c>
      <c r="P853" s="1604" t="s">
        <v>900</v>
      </c>
      <c r="Q853" s="1604">
        <v>7</v>
      </c>
      <c r="R853" s="1604"/>
      <c r="S853" s="1604">
        <v>7</v>
      </c>
      <c r="T853" s="1605" t="s">
        <v>4770</v>
      </c>
      <c r="U853" s="1605" t="s">
        <v>4247</v>
      </c>
      <c r="V853" s="1605"/>
      <c r="W853" s="1604" t="s">
        <v>3837</v>
      </c>
      <c r="X853" s="1604"/>
      <c r="Y853" s="1601"/>
      <c r="Z853" s="1608"/>
    </row>
    <row r="854" spans="1:26" ht="41.4" hidden="1">
      <c r="A854" s="1672"/>
      <c r="B854" s="1345" t="s">
        <v>788</v>
      </c>
      <c r="C854" s="1601" t="s">
        <v>1955</v>
      </c>
      <c r="E854" s="1605" t="s">
        <v>4771</v>
      </c>
      <c r="F854" s="1604">
        <v>35</v>
      </c>
      <c r="G854" s="1603" t="s">
        <v>4772</v>
      </c>
      <c r="H854" s="1604"/>
      <c r="I854" s="1604" t="s">
        <v>2549</v>
      </c>
      <c r="J854" s="1605" t="s">
        <v>2644</v>
      </c>
      <c r="K854" s="1656">
        <v>44365</v>
      </c>
      <c r="L854" s="1605" t="s">
        <v>990</v>
      </c>
      <c r="M854" s="1613" t="s">
        <v>4773</v>
      </c>
      <c r="N854" s="1604" t="s">
        <v>923</v>
      </c>
      <c r="O854" s="1604">
        <v>2021</v>
      </c>
      <c r="P854" s="1604" t="s">
        <v>900</v>
      </c>
      <c r="Q854" s="1604">
        <v>10</v>
      </c>
      <c r="R854" s="1604"/>
      <c r="S854" s="1604">
        <v>10</v>
      </c>
      <c r="T854" s="1605" t="s">
        <v>4665</v>
      </c>
      <c r="U854" s="1605" t="s">
        <v>4247</v>
      </c>
      <c r="V854" s="1605"/>
      <c r="W854" s="1604" t="s">
        <v>2238</v>
      </c>
      <c r="X854" s="1604"/>
      <c r="Y854" s="1601"/>
      <c r="Z854" s="1608"/>
    </row>
    <row r="855" spans="1:26" hidden="1">
      <c r="A855" s="1601"/>
      <c r="B855" s="1033" t="s">
        <v>1053</v>
      </c>
      <c r="C855" s="1601" t="s">
        <v>998</v>
      </c>
      <c r="E855" s="1605" t="s">
        <v>4774</v>
      </c>
      <c r="F855" s="1604">
        <v>35</v>
      </c>
      <c r="G855" s="1603" t="s">
        <v>2842</v>
      </c>
      <c r="H855" s="1604"/>
      <c r="I855" s="1604" t="s">
        <v>2318</v>
      </c>
      <c r="J855" s="1605" t="s">
        <v>2488</v>
      </c>
      <c r="K855" s="1656">
        <v>44362</v>
      </c>
      <c r="L855" s="1605" t="s">
        <v>990</v>
      </c>
      <c r="M855" s="1613" t="s">
        <v>4775</v>
      </c>
      <c r="N855" s="1604" t="s">
        <v>923</v>
      </c>
      <c r="O855" s="1604">
        <v>2021</v>
      </c>
      <c r="P855" s="1604" t="s">
        <v>900</v>
      </c>
      <c r="Q855" s="1604">
        <v>7</v>
      </c>
      <c r="R855" s="1604"/>
      <c r="S855" s="1604">
        <v>7</v>
      </c>
      <c r="T855" s="1605" t="s">
        <v>4776</v>
      </c>
      <c r="U855" s="1605" t="s">
        <v>4247</v>
      </c>
      <c r="V855" s="1605"/>
      <c r="W855" s="1604" t="s">
        <v>4777</v>
      </c>
      <c r="X855" s="1604"/>
      <c r="Y855" s="1601" t="s">
        <v>5172</v>
      </c>
      <c r="Z855" s="1608"/>
    </row>
    <row r="856" spans="1:26" ht="41.4" hidden="1">
      <c r="A856" s="1604" t="s">
        <v>5062</v>
      </c>
      <c r="B856" s="1345" t="s">
        <v>77</v>
      </c>
      <c r="C856" s="1601" t="s">
        <v>4778</v>
      </c>
      <c r="E856" s="1605" t="s">
        <v>4779</v>
      </c>
      <c r="F856" s="1604">
        <v>29</v>
      </c>
      <c r="G856" s="1603" t="s">
        <v>2209</v>
      </c>
      <c r="H856" s="1604"/>
      <c r="I856" s="1604" t="s">
        <v>2310</v>
      </c>
      <c r="J856" s="1605" t="s">
        <v>2070</v>
      </c>
      <c r="K856" s="1656">
        <v>44364</v>
      </c>
      <c r="L856" s="1605" t="s">
        <v>990</v>
      </c>
      <c r="M856" s="1613" t="s">
        <v>4780</v>
      </c>
      <c r="N856" s="1604" t="s">
        <v>923</v>
      </c>
      <c r="O856" s="1604">
        <v>2021</v>
      </c>
      <c r="P856" s="1604" t="s">
        <v>900</v>
      </c>
      <c r="Q856" s="1604">
        <v>2</v>
      </c>
      <c r="R856" s="1604"/>
      <c r="S856" s="1604">
        <v>2</v>
      </c>
      <c r="T856" s="1605" t="s">
        <v>2294</v>
      </c>
      <c r="U856" s="1605" t="s">
        <v>4247</v>
      </c>
      <c r="V856" s="1605"/>
      <c r="W856" s="1604" t="s">
        <v>4781</v>
      </c>
      <c r="X856" s="1604"/>
      <c r="Y856" s="1601"/>
      <c r="Z856" s="1608"/>
    </row>
    <row r="857" spans="1:26" hidden="1">
      <c r="A857" s="1601"/>
      <c r="B857" s="1345" t="s">
        <v>876</v>
      </c>
      <c r="C857" s="1601" t="s">
        <v>6063</v>
      </c>
      <c r="E857" s="1605" t="s">
        <v>4783</v>
      </c>
      <c r="F857" s="1604">
        <v>33</v>
      </c>
      <c r="G857" s="1603" t="s">
        <v>4784</v>
      </c>
      <c r="H857" s="1604"/>
      <c r="I857" s="1604" t="s">
        <v>2549</v>
      </c>
      <c r="J857" s="1605" t="s">
        <v>2706</v>
      </c>
      <c r="K857" s="1656">
        <v>44365</v>
      </c>
      <c r="L857" s="1605" t="s">
        <v>990</v>
      </c>
      <c r="M857" s="1613" t="s">
        <v>4785</v>
      </c>
      <c r="N857" s="1604" t="s">
        <v>2320</v>
      </c>
      <c r="O857" s="1604">
        <v>2021</v>
      </c>
      <c r="P857" s="1604" t="s">
        <v>900</v>
      </c>
      <c r="Q857" s="1604">
        <v>30</v>
      </c>
      <c r="R857" s="1604"/>
      <c r="S857" s="1604">
        <v>30</v>
      </c>
      <c r="T857" s="1605" t="s">
        <v>4786</v>
      </c>
      <c r="U857" s="1605" t="s">
        <v>4247</v>
      </c>
      <c r="V857" s="1605"/>
      <c r="W857" s="1604" t="s">
        <v>3837</v>
      </c>
      <c r="X857" s="1604"/>
      <c r="Y857" s="1601" t="s">
        <v>5168</v>
      </c>
      <c r="Z857" s="1608"/>
    </row>
    <row r="858" spans="1:26" ht="14.4" hidden="1">
      <c r="A858" s="1601"/>
      <c r="B858" s="1605" t="s">
        <v>918</v>
      </c>
      <c r="C858" s="1601" t="s">
        <v>4788</v>
      </c>
      <c r="E858" s="1605" t="s">
        <v>4787</v>
      </c>
      <c r="F858" s="1604">
        <v>30</v>
      </c>
      <c r="G858" s="1603" t="s">
        <v>3251</v>
      </c>
      <c r="H858" s="1604"/>
      <c r="I858" s="1604" t="s">
        <v>2318</v>
      </c>
      <c r="J858" s="1605" t="s">
        <v>2706</v>
      </c>
      <c r="K858" s="1656">
        <v>44365</v>
      </c>
      <c r="L858" s="1605" t="s">
        <v>990</v>
      </c>
      <c r="M858" s="1613" t="s">
        <v>4790</v>
      </c>
      <c r="N858" s="1604" t="s">
        <v>2320</v>
      </c>
      <c r="O858" s="1604">
        <v>2021</v>
      </c>
      <c r="P858" s="1604" t="s">
        <v>900</v>
      </c>
      <c r="Q858" s="1604">
        <v>8</v>
      </c>
      <c r="R858" s="1604"/>
      <c r="S858" s="1604">
        <v>8</v>
      </c>
      <c r="T858" s="1766" t="s">
        <v>4789</v>
      </c>
      <c r="U858" s="1605" t="s">
        <v>4247</v>
      </c>
      <c r="V858" s="1605"/>
      <c r="W858" s="1604" t="s">
        <v>4791</v>
      </c>
      <c r="X858" s="1604"/>
      <c r="Y858" s="1601"/>
      <c r="Z858" s="1608"/>
    </row>
    <row r="859" spans="1:26" hidden="1">
      <c r="A859" s="1604" t="s">
        <v>5061</v>
      </c>
      <c r="B859" s="1033" t="s">
        <v>694</v>
      </c>
      <c r="C859" s="1601" t="s">
        <v>4792</v>
      </c>
      <c r="E859" s="1605" t="s">
        <v>4793</v>
      </c>
      <c r="F859" s="1604">
        <v>21</v>
      </c>
      <c r="G859" s="1603" t="s">
        <v>2167</v>
      </c>
      <c r="H859" s="1604"/>
      <c r="I859" s="1604" t="s">
        <v>2549</v>
      </c>
      <c r="J859" s="1605" t="s">
        <v>2466</v>
      </c>
      <c r="K859" s="1656">
        <v>44366</v>
      </c>
      <c r="L859" s="1605" t="s">
        <v>990</v>
      </c>
      <c r="M859" s="1613" t="s">
        <v>4794</v>
      </c>
      <c r="N859" s="1604" t="s">
        <v>2320</v>
      </c>
      <c r="O859" s="1604">
        <v>2021</v>
      </c>
      <c r="P859" s="1604" t="s">
        <v>900</v>
      </c>
      <c r="Q859" s="1604">
        <v>11</v>
      </c>
      <c r="R859" s="1604"/>
      <c r="S859" s="1604">
        <v>11</v>
      </c>
      <c r="T859" s="1605" t="s">
        <v>4795</v>
      </c>
      <c r="U859" s="1605" t="s">
        <v>4247</v>
      </c>
      <c r="V859" s="1605"/>
      <c r="W859" s="1604" t="s">
        <v>3837</v>
      </c>
      <c r="X859" s="1604"/>
      <c r="Y859" s="1601"/>
      <c r="Z859" s="1608"/>
    </row>
    <row r="860" spans="1:26" hidden="1">
      <c r="A860" s="1601"/>
      <c r="B860" s="1520" t="s">
        <v>91</v>
      </c>
      <c r="C860" s="1601" t="s">
        <v>4788</v>
      </c>
      <c r="E860" s="1782" t="s">
        <v>4797</v>
      </c>
      <c r="F860" s="1604">
        <v>40</v>
      </c>
      <c r="G860" s="1603" t="s">
        <v>3422</v>
      </c>
      <c r="H860" s="1604"/>
      <c r="I860" s="1604" t="s">
        <v>2549</v>
      </c>
      <c r="J860" s="1605" t="s">
        <v>2494</v>
      </c>
      <c r="K860" s="1656">
        <v>44389</v>
      </c>
      <c r="L860" s="1605" t="s">
        <v>990</v>
      </c>
      <c r="M860" s="1613" t="s">
        <v>4798</v>
      </c>
      <c r="N860" s="1604" t="s">
        <v>2320</v>
      </c>
      <c r="O860" s="1604">
        <v>2021</v>
      </c>
      <c r="P860" s="1604" t="s">
        <v>901</v>
      </c>
      <c r="Q860" s="1604">
        <v>2</v>
      </c>
      <c r="R860" s="1604"/>
      <c r="S860" s="1604">
        <v>2</v>
      </c>
      <c r="T860" s="1605" t="s">
        <v>4799</v>
      </c>
      <c r="U860" s="1605" t="s">
        <v>4247</v>
      </c>
      <c r="V860" s="1605"/>
      <c r="W860" s="1604" t="s">
        <v>4093</v>
      </c>
      <c r="X860" s="1604"/>
      <c r="Y860" s="1601" t="s">
        <v>5166</v>
      </c>
      <c r="Z860" s="1608"/>
    </row>
    <row r="861" spans="1:26" ht="13.2" hidden="1" customHeight="1">
      <c r="A861" s="1687"/>
      <c r="B861" s="1605" t="s">
        <v>4760</v>
      </c>
      <c r="C861" s="1601" t="s">
        <v>4843</v>
      </c>
      <c r="E861" s="1782" t="s">
        <v>4800</v>
      </c>
      <c r="F861" s="1604">
        <v>43</v>
      </c>
      <c r="G861" s="1603" t="s">
        <v>4801</v>
      </c>
      <c r="H861" s="1604"/>
      <c r="I861" s="1604" t="s">
        <v>2318</v>
      </c>
      <c r="J861" s="1605" t="s">
        <v>4802</v>
      </c>
      <c r="K861" s="1656">
        <v>44387</v>
      </c>
      <c r="L861" s="1605" t="s">
        <v>990</v>
      </c>
      <c r="M861" s="1613" t="s">
        <v>4803</v>
      </c>
      <c r="N861" s="1604" t="s">
        <v>2320</v>
      </c>
      <c r="O861" s="1604">
        <v>2021</v>
      </c>
      <c r="P861" s="1604" t="s">
        <v>901</v>
      </c>
      <c r="Q861" s="1604">
        <v>4</v>
      </c>
      <c r="R861" s="1604"/>
      <c r="S861" s="1604">
        <v>4</v>
      </c>
      <c r="T861" s="1605" t="s">
        <v>4804</v>
      </c>
      <c r="U861" s="1605" t="s">
        <v>4247</v>
      </c>
      <c r="V861" s="1605"/>
      <c r="W861" s="1604" t="s">
        <v>2275</v>
      </c>
      <c r="X861" s="1604"/>
      <c r="Y861" s="1601"/>
      <c r="Z861" s="1608"/>
    </row>
    <row r="862" spans="1:26" hidden="1">
      <c r="A862" s="1604" t="s">
        <v>5067</v>
      </c>
      <c r="B862" s="1605" t="s">
        <v>602</v>
      </c>
      <c r="C862" s="1601" t="s">
        <v>6064</v>
      </c>
      <c r="E862" s="1782" t="s">
        <v>4805</v>
      </c>
      <c r="F862" s="1604"/>
      <c r="G862" s="1603" t="s">
        <v>4807</v>
      </c>
      <c r="H862" s="1604"/>
      <c r="I862" s="1604" t="s">
        <v>4808</v>
      </c>
      <c r="J862" s="1605" t="s">
        <v>3490</v>
      </c>
      <c r="K862" s="1656">
        <v>44382</v>
      </c>
      <c r="L862" s="1605" t="s">
        <v>990</v>
      </c>
      <c r="M862" s="1613" t="s">
        <v>4811</v>
      </c>
      <c r="N862" s="1604" t="s">
        <v>2320</v>
      </c>
      <c r="O862" s="1604">
        <v>2021</v>
      </c>
      <c r="P862" s="1604" t="s">
        <v>901</v>
      </c>
      <c r="Q862" s="1604">
        <v>8</v>
      </c>
      <c r="R862" s="1604"/>
      <c r="S862" s="1604">
        <v>8</v>
      </c>
      <c r="T862" s="1605" t="s">
        <v>4809</v>
      </c>
      <c r="U862" s="1605" t="s">
        <v>4247</v>
      </c>
      <c r="V862" s="1605"/>
      <c r="W862" s="1604" t="s">
        <v>2275</v>
      </c>
      <c r="X862" s="1604" t="s">
        <v>4810</v>
      </c>
      <c r="Y862" s="1601"/>
      <c r="Z862" s="1608"/>
    </row>
    <row r="863" spans="1:26" hidden="1">
      <c r="A863" s="1604" t="s">
        <v>5063</v>
      </c>
      <c r="B863" s="1345" t="s">
        <v>1309</v>
      </c>
      <c r="C863" s="1601" t="s">
        <v>4812</v>
      </c>
      <c r="E863" s="1782" t="s">
        <v>4434</v>
      </c>
      <c r="F863" s="1604">
        <v>20</v>
      </c>
      <c r="G863" s="1603" t="s">
        <v>4171</v>
      </c>
      <c r="H863" s="1604"/>
      <c r="I863" s="1604" t="s">
        <v>4808</v>
      </c>
      <c r="J863" s="1605" t="s">
        <v>4813</v>
      </c>
      <c r="K863" s="1656">
        <v>44391</v>
      </c>
      <c r="L863" s="1605" t="s">
        <v>990</v>
      </c>
      <c r="M863" s="1613" t="s">
        <v>4814</v>
      </c>
      <c r="N863" s="1604" t="s">
        <v>4815</v>
      </c>
      <c r="O863" s="1604">
        <v>2021</v>
      </c>
      <c r="P863" s="1604" t="s">
        <v>901</v>
      </c>
      <c r="Q863" s="1604">
        <v>5</v>
      </c>
      <c r="R863" s="1604"/>
      <c r="S863" s="1604">
        <v>5</v>
      </c>
      <c r="T863" s="1764" t="s">
        <v>4855</v>
      </c>
      <c r="U863" s="1758" t="s">
        <v>4247</v>
      </c>
      <c r="V863" s="1758"/>
      <c r="W863" s="1604" t="s">
        <v>3783</v>
      </c>
      <c r="X863" s="1604"/>
      <c r="Y863" s="1605" t="s">
        <v>5159</v>
      </c>
      <c r="Z863" s="1608"/>
    </row>
    <row r="864" spans="1:26" hidden="1">
      <c r="A864" s="1756"/>
      <c r="B864" s="1345" t="s">
        <v>2943</v>
      </c>
      <c r="C864" s="1601" t="s">
        <v>4857</v>
      </c>
      <c r="D864" s="1605"/>
      <c r="E864" s="1782" t="s">
        <v>4816</v>
      </c>
      <c r="F864" s="1602"/>
      <c r="G864" s="1603" t="s">
        <v>3311</v>
      </c>
      <c r="H864" s="1604"/>
      <c r="I864" s="1604" t="s">
        <v>2549</v>
      </c>
      <c r="J864" s="1656" t="s">
        <v>2492</v>
      </c>
      <c r="K864" s="1656">
        <v>44391</v>
      </c>
      <c r="L864" s="1613" t="s">
        <v>990</v>
      </c>
      <c r="M864" s="1605" t="s">
        <v>4817</v>
      </c>
      <c r="N864" s="1604" t="s">
        <v>2320</v>
      </c>
      <c r="O864" s="1604">
        <v>2021</v>
      </c>
      <c r="P864" s="1604" t="s">
        <v>901</v>
      </c>
      <c r="Q864" s="1604">
        <v>12</v>
      </c>
      <c r="R864" s="1604"/>
      <c r="S864" s="1604">
        <v>12</v>
      </c>
      <c r="T864" s="1605" t="s">
        <v>4818</v>
      </c>
      <c r="U864" s="1758" t="s">
        <v>4247</v>
      </c>
      <c r="V864" s="1758"/>
      <c r="W864" s="1604" t="s">
        <v>2238</v>
      </c>
      <c r="X864" s="1604" t="s">
        <v>2455</v>
      </c>
      <c r="Y864" s="1605"/>
      <c r="Z864" s="1608"/>
    </row>
    <row r="865" spans="1:26" hidden="1">
      <c r="A865" s="1604" t="s">
        <v>5065</v>
      </c>
      <c r="B865" s="1605" t="s">
        <v>693</v>
      </c>
      <c r="C865" s="1601" t="s">
        <v>4820</v>
      </c>
      <c r="D865" s="1605"/>
      <c r="E865" s="1782" t="s">
        <v>5064</v>
      </c>
      <c r="F865" s="1604">
        <v>32</v>
      </c>
      <c r="G865" s="1603" t="s">
        <v>2167</v>
      </c>
      <c r="H865" s="1604"/>
      <c r="I865" s="1604" t="s">
        <v>4808</v>
      </c>
      <c r="J865" s="1656" t="s">
        <v>2862</v>
      </c>
      <c r="K865" s="1656">
        <v>44395</v>
      </c>
      <c r="L865" s="1613" t="s">
        <v>990</v>
      </c>
      <c r="M865" s="1605" t="s">
        <v>4821</v>
      </c>
      <c r="N865" s="1604" t="s">
        <v>913</v>
      </c>
      <c r="O865" s="1604">
        <v>2021</v>
      </c>
      <c r="P865" s="1604" t="s">
        <v>901</v>
      </c>
      <c r="Q865" s="1604">
        <v>20</v>
      </c>
      <c r="R865" s="1604"/>
      <c r="S865" s="1604">
        <v>20</v>
      </c>
      <c r="T865" s="1605" t="s">
        <v>4822</v>
      </c>
      <c r="U865" s="1758" t="s">
        <v>4247</v>
      </c>
      <c r="V865" s="1758"/>
      <c r="W865" s="1604" t="s">
        <v>3450</v>
      </c>
      <c r="X865" s="1604"/>
      <c r="Y865" s="1605"/>
      <c r="Z865" s="1608"/>
    </row>
    <row r="866" spans="1:26" ht="13.2" hidden="1" customHeight="1">
      <c r="A866" s="1604" t="s">
        <v>5066</v>
      </c>
      <c r="B866" s="1345" t="s">
        <v>1128</v>
      </c>
      <c r="C866" s="1601" t="s">
        <v>4840</v>
      </c>
      <c r="D866" s="1605"/>
      <c r="E866" s="1782" t="s">
        <v>4858</v>
      </c>
      <c r="F866" s="1604">
        <v>41</v>
      </c>
      <c r="G866" s="1603" t="s">
        <v>2795</v>
      </c>
      <c r="H866" s="1604"/>
      <c r="I866" s="1604" t="s">
        <v>4808</v>
      </c>
      <c r="J866" s="1656" t="s">
        <v>2254</v>
      </c>
      <c r="K866" s="1656">
        <v>44397</v>
      </c>
      <c r="L866" s="1613" t="s">
        <v>990</v>
      </c>
      <c r="M866" s="1604" t="s">
        <v>4824</v>
      </c>
      <c r="N866" s="1604" t="s">
        <v>2320</v>
      </c>
      <c r="O866" s="1604">
        <v>2021</v>
      </c>
      <c r="P866" s="1604" t="s">
        <v>901</v>
      </c>
      <c r="Q866" s="1604">
        <v>10</v>
      </c>
      <c r="R866" s="1604">
        <v>0</v>
      </c>
      <c r="S866" s="1604">
        <f>Q866+R866</f>
        <v>10</v>
      </c>
      <c r="T866" s="1605" t="s">
        <v>4825</v>
      </c>
      <c r="U866" s="1758" t="s">
        <v>4247</v>
      </c>
      <c r="V866" s="1758"/>
      <c r="W866" s="1604" t="s">
        <v>4826</v>
      </c>
      <c r="X866" s="1604"/>
      <c r="Y866" s="1605"/>
      <c r="Z866" s="1608"/>
    </row>
    <row r="867" spans="1:26" ht="13.2" hidden="1" customHeight="1">
      <c r="A867" s="1665" t="s">
        <v>4830</v>
      </c>
      <c r="B867" s="1345" t="s">
        <v>1128</v>
      </c>
      <c r="C867" s="1601" t="s">
        <v>4841</v>
      </c>
      <c r="D867" s="1605"/>
      <c r="E867" s="1782" t="s">
        <v>4827</v>
      </c>
      <c r="F867" s="1604">
        <v>32</v>
      </c>
      <c r="G867" s="1603" t="s">
        <v>4828</v>
      </c>
      <c r="H867" s="1604"/>
      <c r="I867" s="1604" t="s">
        <v>4808</v>
      </c>
      <c r="J867" s="1656" t="s">
        <v>4864</v>
      </c>
      <c r="K867" s="1656">
        <v>44404</v>
      </c>
      <c r="L867" s="1613" t="s">
        <v>990</v>
      </c>
      <c r="M867" s="1604" t="s">
        <v>4829</v>
      </c>
      <c r="N867" s="1604" t="s">
        <v>2320</v>
      </c>
      <c r="O867" s="1604">
        <v>2021</v>
      </c>
      <c r="P867" s="1604" t="s">
        <v>901</v>
      </c>
      <c r="Q867" s="1604">
        <v>6</v>
      </c>
      <c r="R867" s="1604">
        <v>0</v>
      </c>
      <c r="S867" s="1604">
        <f>Q867+R867</f>
        <v>6</v>
      </c>
      <c r="T867" s="1605" t="s">
        <v>4849</v>
      </c>
      <c r="U867" s="1758" t="s">
        <v>3663</v>
      </c>
      <c r="V867" s="1758"/>
      <c r="W867" s="1604" t="s">
        <v>2564</v>
      </c>
      <c r="X867" s="1604"/>
      <c r="Y867" s="1605"/>
      <c r="Z867" s="1608"/>
    </row>
    <row r="868" spans="1:26" ht="13.2" hidden="1" customHeight="1">
      <c r="A868" s="1757"/>
      <c r="B868" s="1605" t="s">
        <v>542</v>
      </c>
      <c r="C868" s="1601" t="s">
        <v>4842</v>
      </c>
      <c r="D868" s="1605"/>
      <c r="E868" s="1782" t="s">
        <v>4831</v>
      </c>
      <c r="F868" s="1604"/>
      <c r="G868" s="1603" t="s">
        <v>4832</v>
      </c>
      <c r="H868" s="1604"/>
      <c r="I868" s="1604" t="s">
        <v>4808</v>
      </c>
      <c r="J868" s="1656"/>
      <c r="K868" s="1656">
        <v>44379</v>
      </c>
      <c r="L868" s="1760" t="s">
        <v>3015</v>
      </c>
      <c r="M868" s="1604" t="s">
        <v>4833</v>
      </c>
      <c r="N868" s="1604" t="s">
        <v>917</v>
      </c>
      <c r="O868" s="1604">
        <v>2021</v>
      </c>
      <c r="P868" s="1604" t="s">
        <v>901</v>
      </c>
      <c r="Q868" s="1604">
        <v>0</v>
      </c>
      <c r="R868" s="1604">
        <v>0</v>
      </c>
      <c r="S868" s="1604">
        <v>0</v>
      </c>
      <c r="T868" s="1605" t="s">
        <v>4825</v>
      </c>
      <c r="U868" s="1758" t="s">
        <v>3663</v>
      </c>
      <c r="V868" s="1758"/>
      <c r="W868" s="1604" t="s">
        <v>3789</v>
      </c>
      <c r="X868" s="1604"/>
      <c r="Y868" s="1605"/>
      <c r="Z868" s="1608"/>
    </row>
    <row r="869" spans="1:26" ht="13.2" hidden="1" customHeight="1">
      <c r="A869" s="1757"/>
      <c r="B869" s="1605" t="s">
        <v>429</v>
      </c>
      <c r="C869" s="1601" t="s">
        <v>4835</v>
      </c>
      <c r="D869" s="1605" t="s">
        <v>4823</v>
      </c>
      <c r="E869" s="1782" t="s">
        <v>4834</v>
      </c>
      <c r="F869" s="1604"/>
      <c r="G869" s="1603" t="s">
        <v>4836</v>
      </c>
      <c r="H869" s="1604"/>
      <c r="I869" s="1604" t="s">
        <v>4808</v>
      </c>
      <c r="J869" s="1605" t="s">
        <v>2497</v>
      </c>
      <c r="K869" s="1656">
        <v>44400</v>
      </c>
      <c r="L869" s="1613" t="s">
        <v>990</v>
      </c>
      <c r="M869" s="1613" t="s">
        <v>4838</v>
      </c>
      <c r="N869" s="1604" t="s">
        <v>4837</v>
      </c>
      <c r="O869" s="1604">
        <v>2021</v>
      </c>
      <c r="P869" s="1604" t="s">
        <v>901</v>
      </c>
      <c r="Q869" s="1604">
        <v>4</v>
      </c>
      <c r="R869" s="1604"/>
      <c r="S869" s="1604">
        <v>4</v>
      </c>
      <c r="T869" s="1605" t="s">
        <v>4586</v>
      </c>
      <c r="U869" s="1758" t="s">
        <v>4247</v>
      </c>
      <c r="V869" s="1758"/>
      <c r="W869" s="1604" t="s">
        <v>3450</v>
      </c>
      <c r="X869" s="1604" t="s">
        <v>4839</v>
      </c>
      <c r="Y869" s="1605"/>
      <c r="Z869" s="1608"/>
    </row>
    <row r="870" spans="1:26" ht="41.4" hidden="1">
      <c r="A870" s="1629"/>
      <c r="B870" s="1773" t="s">
        <v>918</v>
      </c>
      <c r="C870" s="1601" t="s">
        <v>4901</v>
      </c>
      <c r="D870" s="1605" t="s">
        <v>4819</v>
      </c>
      <c r="E870" s="1782" t="s">
        <v>4844</v>
      </c>
      <c r="F870" s="1602"/>
      <c r="G870" s="1603" t="s">
        <v>4845</v>
      </c>
      <c r="H870" s="1604"/>
      <c r="I870" s="1604" t="s">
        <v>2549</v>
      </c>
      <c r="J870" s="1605" t="s">
        <v>4846</v>
      </c>
      <c r="K870" s="1762">
        <v>44409</v>
      </c>
      <c r="L870" s="1613" t="s">
        <v>990</v>
      </c>
      <c r="M870" s="1613" t="s">
        <v>4894</v>
      </c>
      <c r="N870" s="1604" t="s">
        <v>4847</v>
      </c>
      <c r="O870" s="1604">
        <v>2021</v>
      </c>
      <c r="P870" s="1604" t="s">
        <v>902</v>
      </c>
      <c r="Q870" s="1604">
        <v>3</v>
      </c>
      <c r="R870" s="1604"/>
      <c r="S870" s="1604">
        <v>3</v>
      </c>
      <c r="T870" s="1605" t="s">
        <v>2234</v>
      </c>
      <c r="U870" s="1605" t="s">
        <v>4247</v>
      </c>
      <c r="V870" s="1605"/>
      <c r="W870" s="1604" t="s">
        <v>2564</v>
      </c>
      <c r="X870" s="1759" t="s">
        <v>4848</v>
      </c>
      <c r="Y870" s="1601"/>
      <c r="Z870" s="1608"/>
    </row>
    <row r="871" spans="1:26" ht="41.4" hidden="1">
      <c r="A871" s="1604"/>
      <c r="B871" s="1605" t="s">
        <v>918</v>
      </c>
      <c r="C871" s="1601" t="s">
        <v>4850</v>
      </c>
      <c r="E871" s="1782" t="s">
        <v>4851</v>
      </c>
      <c r="F871" s="1604">
        <v>31</v>
      </c>
      <c r="G871" s="1603" t="s">
        <v>4852</v>
      </c>
      <c r="H871" s="1604"/>
      <c r="I871" s="1604" t="s">
        <v>2549</v>
      </c>
      <c r="J871" s="1604" t="s">
        <v>4853</v>
      </c>
      <c r="K871" s="1762">
        <v>44411</v>
      </c>
      <c r="L871" s="1613" t="s">
        <v>990</v>
      </c>
      <c r="M871" s="1613" t="s">
        <v>4895</v>
      </c>
      <c r="N871" s="1604" t="s">
        <v>4464</v>
      </c>
      <c r="O871" s="1604">
        <v>2021</v>
      </c>
      <c r="P871" s="1604" t="s">
        <v>902</v>
      </c>
      <c r="Q871" s="1604">
        <v>30</v>
      </c>
      <c r="R871" s="1604"/>
      <c r="S871" s="1604">
        <v>30</v>
      </c>
      <c r="T871" s="1605" t="s">
        <v>4854</v>
      </c>
      <c r="U871" s="1605" t="s">
        <v>4247</v>
      </c>
      <c r="V871" s="1605"/>
      <c r="W871" s="1604" t="s">
        <v>4856</v>
      </c>
      <c r="X871" s="1604"/>
      <c r="Y871" s="1601"/>
      <c r="Z871" s="1608"/>
    </row>
    <row r="872" spans="1:26" ht="28.8" hidden="1">
      <c r="A872" s="1604"/>
      <c r="B872" s="1605" t="s">
        <v>591</v>
      </c>
      <c r="C872" s="1761" t="s">
        <v>4860</v>
      </c>
      <c r="E872" s="1782" t="s">
        <v>4859</v>
      </c>
      <c r="F872" s="1604">
        <v>51</v>
      </c>
      <c r="G872" s="1761" t="s">
        <v>4861</v>
      </c>
      <c r="H872" s="1604"/>
      <c r="I872" s="1604" t="s">
        <v>4808</v>
      </c>
      <c r="J872" s="1763" t="s">
        <v>4862</v>
      </c>
      <c r="K872" s="1762">
        <v>44412</v>
      </c>
      <c r="L872" s="1613" t="s">
        <v>990</v>
      </c>
      <c r="M872" s="1613" t="s">
        <v>4896</v>
      </c>
      <c r="N872" s="1604" t="s">
        <v>2320</v>
      </c>
      <c r="O872" s="1604">
        <v>2021</v>
      </c>
      <c r="P872" s="1604" t="s">
        <v>902</v>
      </c>
      <c r="Q872" s="1604">
        <v>5</v>
      </c>
      <c r="R872" s="1604"/>
      <c r="S872" s="1604">
        <v>5</v>
      </c>
      <c r="T872" s="1605" t="s">
        <v>4863</v>
      </c>
      <c r="U872" s="1605" t="s">
        <v>4247</v>
      </c>
      <c r="V872" s="1605"/>
      <c r="W872" s="1604" t="s">
        <v>2275</v>
      </c>
      <c r="X872" s="1604"/>
      <c r="Y872" s="1601"/>
      <c r="Z872" s="1608"/>
    </row>
    <row r="873" spans="1:26" ht="41.4" hidden="1">
      <c r="A873" s="1604" t="s">
        <v>5069</v>
      </c>
      <c r="B873" s="1345" t="s">
        <v>1128</v>
      </c>
      <c r="C873" s="1601" t="s">
        <v>4866</v>
      </c>
      <c r="E873" s="1782" t="s">
        <v>4865</v>
      </c>
      <c r="F873" s="1604">
        <v>45</v>
      </c>
      <c r="G873" s="1761" t="s">
        <v>2842</v>
      </c>
      <c r="H873" s="1604"/>
      <c r="I873" s="1604" t="s">
        <v>2549</v>
      </c>
      <c r="J873" s="1763" t="s">
        <v>4867</v>
      </c>
      <c r="K873" s="1656">
        <v>44418</v>
      </c>
      <c r="L873" s="1613" t="s">
        <v>990</v>
      </c>
      <c r="M873" s="1613" t="s">
        <v>4897</v>
      </c>
      <c r="N873" s="1604" t="s">
        <v>2320</v>
      </c>
      <c r="O873" s="1604">
        <v>2021</v>
      </c>
      <c r="P873" s="1604" t="s">
        <v>902</v>
      </c>
      <c r="Q873" s="1604">
        <v>14</v>
      </c>
      <c r="R873" s="1604"/>
      <c r="S873" s="1604">
        <v>14</v>
      </c>
      <c r="T873" s="1767" t="s">
        <v>4868</v>
      </c>
      <c r="U873" s="1605" t="s">
        <v>4247</v>
      </c>
      <c r="V873" s="1605"/>
      <c r="W873" s="1604" t="s">
        <v>4869</v>
      </c>
      <c r="X873" s="1604"/>
      <c r="Y873" s="1601"/>
      <c r="Z873" s="1608"/>
    </row>
    <row r="874" spans="1:26" ht="58.2" hidden="1" thickBot="1">
      <c r="A874" s="1604" t="s">
        <v>5068</v>
      </c>
      <c r="B874" s="137" t="s">
        <v>602</v>
      </c>
      <c r="C874" s="1601" t="s">
        <v>5392</v>
      </c>
      <c r="E874" s="1782" t="s">
        <v>4870</v>
      </c>
      <c r="F874" s="1604">
        <v>29</v>
      </c>
      <c r="G874" s="1603" t="s">
        <v>4871</v>
      </c>
      <c r="H874" s="1604"/>
      <c r="I874" s="1604" t="s">
        <v>2549</v>
      </c>
      <c r="J874" s="1819" t="s">
        <v>4872</v>
      </c>
      <c r="K874" s="1656">
        <v>44420</v>
      </c>
      <c r="L874" s="1613" t="s">
        <v>990</v>
      </c>
      <c r="M874" s="1774" t="s">
        <v>4893</v>
      </c>
      <c r="N874" s="1604" t="s">
        <v>4873</v>
      </c>
      <c r="O874" s="1604">
        <v>2021</v>
      </c>
      <c r="P874" s="1604" t="s">
        <v>902</v>
      </c>
      <c r="Q874" s="1604">
        <v>8</v>
      </c>
      <c r="R874" s="1604"/>
      <c r="S874" s="1604">
        <v>8</v>
      </c>
      <c r="T874" s="1764" t="s">
        <v>4874</v>
      </c>
      <c r="U874" s="1605" t="s">
        <v>4247</v>
      </c>
      <c r="V874" s="1605"/>
      <c r="W874" s="1604" t="s">
        <v>2564</v>
      </c>
      <c r="X874" s="1604"/>
      <c r="Y874" s="1601"/>
      <c r="Z874" s="1608"/>
    </row>
    <row r="875" spans="1:26" ht="41.4" hidden="1">
      <c r="A875" s="1601"/>
      <c r="B875" s="1605" t="s">
        <v>591</v>
      </c>
      <c r="C875" s="1601" t="s">
        <v>4876</v>
      </c>
      <c r="D875" s="1605" t="s">
        <v>4793</v>
      </c>
      <c r="E875" s="1782" t="s">
        <v>4875</v>
      </c>
      <c r="F875" s="1604">
        <v>20</v>
      </c>
      <c r="G875" s="1603" t="s">
        <v>3251</v>
      </c>
      <c r="H875" s="1604"/>
      <c r="I875" s="1604" t="s">
        <v>4808</v>
      </c>
      <c r="J875" s="1620" t="s">
        <v>2168</v>
      </c>
      <c r="K875" s="1656">
        <v>44424</v>
      </c>
      <c r="L875" s="1613" t="s">
        <v>990</v>
      </c>
      <c r="M875" s="1613" t="s">
        <v>4899</v>
      </c>
      <c r="N875" s="1604" t="s">
        <v>2320</v>
      </c>
      <c r="O875" s="1604">
        <v>2021</v>
      </c>
      <c r="P875" s="1604" t="s">
        <v>902</v>
      </c>
      <c r="Q875" s="1604">
        <v>134</v>
      </c>
      <c r="R875" s="1604"/>
      <c r="S875" s="1604">
        <v>134</v>
      </c>
      <c r="T875" s="1764" t="s">
        <v>4877</v>
      </c>
      <c r="U875" s="1605" t="s">
        <v>4247</v>
      </c>
      <c r="V875" s="1605"/>
      <c r="W875" s="1604" t="s">
        <v>2340</v>
      </c>
      <c r="X875" s="1601"/>
      <c r="Y875" s="1601"/>
      <c r="Z875" s="1608" t="s">
        <v>5430</v>
      </c>
    </row>
    <row r="876" spans="1:26" ht="41.4" hidden="1">
      <c r="A876" s="1756"/>
      <c r="B876" s="1345" t="s">
        <v>2943</v>
      </c>
      <c r="C876" s="1680" t="s">
        <v>4879</v>
      </c>
      <c r="D876" s="1605" t="s">
        <v>4797</v>
      </c>
      <c r="E876" s="1783" t="s">
        <v>4878</v>
      </c>
      <c r="F876" s="1604">
        <v>33</v>
      </c>
      <c r="G876" s="1679" t="s">
        <v>4880</v>
      </c>
      <c r="H876" s="1683"/>
      <c r="I876" s="1683" t="s">
        <v>2549</v>
      </c>
      <c r="J876" s="1656" t="s">
        <v>2775</v>
      </c>
      <c r="K876" s="1684">
        <v>44425</v>
      </c>
      <c r="L876" s="1685" t="s">
        <v>990</v>
      </c>
      <c r="M876" s="1685" t="s">
        <v>4903</v>
      </c>
      <c r="N876" s="1683" t="s">
        <v>2476</v>
      </c>
      <c r="O876" s="1683">
        <v>2021</v>
      </c>
      <c r="P876" s="1683" t="s">
        <v>902</v>
      </c>
      <c r="Q876" s="1683">
        <v>25</v>
      </c>
      <c r="R876" s="1683"/>
      <c r="S876" s="1683">
        <v>25</v>
      </c>
      <c r="T876" s="1679" t="s">
        <v>4881</v>
      </c>
      <c r="U876" s="1679" t="s">
        <v>4247</v>
      </c>
      <c r="V876" s="1679"/>
      <c r="W876" s="1683" t="s">
        <v>3837</v>
      </c>
      <c r="X876" s="1680"/>
      <c r="Y876" s="1680"/>
      <c r="Z876" s="1608"/>
    </row>
    <row r="877" spans="1:26" ht="27.6" hidden="1">
      <c r="A877" s="1757"/>
      <c r="B877" s="1605" t="s">
        <v>2943</v>
      </c>
      <c r="C877" s="1601" t="s">
        <v>6057</v>
      </c>
      <c r="E877" s="1782" t="s">
        <v>4882</v>
      </c>
      <c r="F877" s="1604"/>
      <c r="G877" s="1682" t="s">
        <v>4883</v>
      </c>
      <c r="H877" s="1683"/>
      <c r="I877" s="1683" t="s">
        <v>2318</v>
      </c>
      <c r="J877" s="1684" t="s">
        <v>4884</v>
      </c>
      <c r="K877" s="1684">
        <v>44427</v>
      </c>
      <c r="L877" s="1685" t="s">
        <v>990</v>
      </c>
      <c r="M877" s="1685" t="s">
        <v>4902</v>
      </c>
      <c r="N877" s="1683" t="s">
        <v>915</v>
      </c>
      <c r="O877" s="1683">
        <v>2021</v>
      </c>
      <c r="P877" s="1683" t="s">
        <v>902</v>
      </c>
      <c r="Q877" s="1683">
        <v>2</v>
      </c>
      <c r="R877" s="1683"/>
      <c r="S877" s="1683">
        <v>2</v>
      </c>
      <c r="T877" s="1679" t="s">
        <v>4204</v>
      </c>
      <c r="U877" s="1679" t="s">
        <v>4247</v>
      </c>
      <c r="V877" s="1679"/>
      <c r="W877" s="1683" t="s">
        <v>2564</v>
      </c>
      <c r="X877" s="1683" t="s">
        <v>4885</v>
      </c>
      <c r="Y877" s="1680"/>
      <c r="Z877" s="1608"/>
    </row>
    <row r="878" spans="1:26" ht="27.6" hidden="1">
      <c r="A878" s="1683" t="s">
        <v>5070</v>
      </c>
      <c r="B878" s="1345" t="s">
        <v>602</v>
      </c>
      <c r="C878" s="1804" t="s">
        <v>6055</v>
      </c>
      <c r="E878" s="1783" t="s">
        <v>4886</v>
      </c>
      <c r="F878" s="1604">
        <v>30</v>
      </c>
      <c r="G878" s="1679" t="s">
        <v>2802</v>
      </c>
      <c r="H878" s="1683"/>
      <c r="I878" s="1683" t="s">
        <v>2318</v>
      </c>
      <c r="J878" s="1684" t="s">
        <v>4887</v>
      </c>
      <c r="K878" s="1684">
        <v>44436</v>
      </c>
      <c r="L878" s="1685" t="s">
        <v>990</v>
      </c>
      <c r="M878" s="1685" t="s">
        <v>4900</v>
      </c>
      <c r="N878" s="1683" t="s">
        <v>4464</v>
      </c>
      <c r="O878" s="1683">
        <v>2021</v>
      </c>
      <c r="P878" s="1683" t="s">
        <v>902</v>
      </c>
      <c r="Q878" s="1683">
        <v>12</v>
      </c>
      <c r="R878" s="1683"/>
      <c r="S878" s="1683">
        <v>12</v>
      </c>
      <c r="T878" s="1679" t="s">
        <v>2234</v>
      </c>
      <c r="U878" s="1679" t="s">
        <v>4247</v>
      </c>
      <c r="V878" s="1679"/>
      <c r="W878" s="1683" t="s">
        <v>2564</v>
      </c>
      <c r="X878" s="1770"/>
      <c r="Y878" s="1680"/>
      <c r="Z878" s="1608"/>
    </row>
    <row r="879" spans="1:26" ht="27.6" hidden="1">
      <c r="A879" s="1683"/>
      <c r="B879" s="1345" t="s">
        <v>1958</v>
      </c>
      <c r="C879" s="1769"/>
      <c r="E879" s="1783" t="s">
        <v>4905</v>
      </c>
      <c r="F879" s="1604"/>
      <c r="G879" s="1772" t="s">
        <v>1023</v>
      </c>
      <c r="H879" s="1683"/>
      <c r="I879" s="1683" t="s">
        <v>2310</v>
      </c>
      <c r="J879" s="1684" t="s">
        <v>1819</v>
      </c>
      <c r="K879" s="1684">
        <v>44421</v>
      </c>
      <c r="L879" s="1685" t="s">
        <v>990</v>
      </c>
      <c r="M879" s="1685" t="s">
        <v>4898</v>
      </c>
      <c r="N879" s="1683" t="s">
        <v>2320</v>
      </c>
      <c r="O879" s="1683">
        <v>2021</v>
      </c>
      <c r="P879" s="1683" t="s">
        <v>902</v>
      </c>
      <c r="Q879" s="1683">
        <v>1</v>
      </c>
      <c r="R879" s="1683"/>
      <c r="S879" s="1683">
        <v>1</v>
      </c>
      <c r="T879" s="1679" t="s">
        <v>2227</v>
      </c>
      <c r="U879" s="1679" t="s">
        <v>4247</v>
      </c>
      <c r="V879" s="1679"/>
      <c r="W879" s="1683" t="s">
        <v>2564</v>
      </c>
      <c r="X879" s="1770"/>
      <c r="Y879" s="1680" t="s">
        <v>5161</v>
      </c>
      <c r="Z879" s="1608" t="s">
        <v>5430</v>
      </c>
    </row>
    <row r="880" spans="1:26" ht="27.6" hidden="1">
      <c r="A880" s="1683"/>
      <c r="B880" s="1679" t="s">
        <v>893</v>
      </c>
      <c r="C880" s="1680" t="s">
        <v>4888</v>
      </c>
      <c r="E880" s="1783" t="s">
        <v>4889</v>
      </c>
      <c r="F880" s="1604">
        <v>57</v>
      </c>
      <c r="G880" s="1775" t="s">
        <v>4890</v>
      </c>
      <c r="H880" s="1683"/>
      <c r="I880" s="1683" t="s">
        <v>2318</v>
      </c>
      <c r="J880" s="1684" t="s">
        <v>2488</v>
      </c>
      <c r="K880" s="1684">
        <v>44445</v>
      </c>
      <c r="L880" s="1685" t="s">
        <v>990</v>
      </c>
      <c r="M880" s="1685" t="s">
        <v>4961</v>
      </c>
      <c r="N880" s="1683" t="s">
        <v>2320</v>
      </c>
      <c r="O880" s="1683">
        <v>2021</v>
      </c>
      <c r="P880" s="1683" t="s">
        <v>2426</v>
      </c>
      <c r="Q880" s="1683">
        <v>20</v>
      </c>
      <c r="R880" s="1683"/>
      <c r="S880" s="1683">
        <v>20</v>
      </c>
      <c r="T880" s="1776" t="s">
        <v>4891</v>
      </c>
      <c r="U880" s="1679" t="s">
        <v>4247</v>
      </c>
      <c r="V880" s="1679"/>
      <c r="W880" s="1683" t="s">
        <v>4174</v>
      </c>
      <c r="X880" s="1683"/>
      <c r="Y880" s="1680"/>
      <c r="Z880" s="1608"/>
    </row>
    <row r="881" spans="1:26" ht="43.95" hidden="1" customHeight="1">
      <c r="A881" s="1683" t="s">
        <v>5075</v>
      </c>
      <c r="B881" s="1605" t="s">
        <v>693</v>
      </c>
      <c r="C881" s="1601" t="s">
        <v>4906</v>
      </c>
      <c r="E881" s="1782" t="s">
        <v>4904</v>
      </c>
      <c r="F881" s="1604">
        <v>31</v>
      </c>
      <c r="G881" s="1603" t="s">
        <v>2167</v>
      </c>
      <c r="H881" s="1604"/>
      <c r="I881" s="1604" t="s">
        <v>2318</v>
      </c>
      <c r="J881" s="1604" t="s">
        <v>2466</v>
      </c>
      <c r="K881" s="1684">
        <v>44447</v>
      </c>
      <c r="L881" s="1685" t="s">
        <v>990</v>
      </c>
      <c r="M881" s="1685" t="s">
        <v>4962</v>
      </c>
      <c r="N881" s="1777"/>
      <c r="O881" s="1604">
        <v>2021</v>
      </c>
      <c r="P881" s="1604" t="s">
        <v>2426</v>
      </c>
      <c r="Q881" s="1604">
        <v>4</v>
      </c>
      <c r="R881" s="1604"/>
      <c r="S881" s="1604">
        <v>4</v>
      </c>
      <c r="T881" s="1764"/>
      <c r="U881" s="1679" t="s">
        <v>4247</v>
      </c>
      <c r="V881" s="1679"/>
      <c r="W881" s="1777"/>
      <c r="X881" s="1604"/>
      <c r="Y881" s="1601"/>
      <c r="Z881" s="1608"/>
    </row>
    <row r="882" spans="1:26" ht="43.95" hidden="1" customHeight="1">
      <c r="A882" s="1683"/>
      <c r="B882" s="1679" t="s">
        <v>693</v>
      </c>
      <c r="C882" s="1680" t="s">
        <v>4964</v>
      </c>
      <c r="E882" s="1791" t="s">
        <v>4965</v>
      </c>
      <c r="F882" s="1604"/>
      <c r="G882" s="1603" t="s">
        <v>2167</v>
      </c>
      <c r="H882" s="1604"/>
      <c r="I882" s="1604" t="s">
        <v>4808</v>
      </c>
      <c r="J882" s="1604" t="s">
        <v>2602</v>
      </c>
      <c r="K882" s="1656">
        <v>44452</v>
      </c>
      <c r="L882" s="1685" t="s">
        <v>990</v>
      </c>
      <c r="M882" s="1795" t="s">
        <v>4963</v>
      </c>
      <c r="N882" s="1796" t="s">
        <v>917</v>
      </c>
      <c r="O882" s="1796">
        <v>2021</v>
      </c>
      <c r="P882" s="1796" t="s">
        <v>2426</v>
      </c>
      <c r="Q882" s="1796">
        <v>4</v>
      </c>
      <c r="R882" s="1796"/>
      <c r="S882" s="1796">
        <v>4</v>
      </c>
      <c r="T882" s="1794" t="s">
        <v>4966</v>
      </c>
      <c r="U882" s="1794" t="s">
        <v>4247</v>
      </c>
      <c r="V882" s="1794"/>
      <c r="W882" s="1796" t="s">
        <v>2564</v>
      </c>
      <c r="X882" s="1604"/>
      <c r="Y882" s="1601"/>
      <c r="Z882" s="1608"/>
    </row>
    <row r="883" spans="1:26" ht="27.6" hidden="1">
      <c r="A883" s="1683"/>
      <c r="B883" s="1605" t="s">
        <v>591</v>
      </c>
      <c r="C883" s="1771" t="s">
        <v>4942</v>
      </c>
      <c r="E883" s="1782" t="s">
        <v>4907</v>
      </c>
      <c r="F883" s="1604">
        <v>33</v>
      </c>
      <c r="G883" s="1603" t="s">
        <v>4908</v>
      </c>
      <c r="H883" s="1604"/>
      <c r="I883" s="1604" t="s">
        <v>4808</v>
      </c>
      <c r="J883" s="1604" t="s">
        <v>2523</v>
      </c>
      <c r="K883" s="1684">
        <v>44454</v>
      </c>
      <c r="L883" s="1685" t="s">
        <v>990</v>
      </c>
      <c r="M883" s="1685" t="s">
        <v>4968</v>
      </c>
      <c r="N883" s="1604" t="s">
        <v>4909</v>
      </c>
      <c r="O883" s="1604">
        <v>2021</v>
      </c>
      <c r="P883" s="1604" t="s">
        <v>2426</v>
      </c>
      <c r="Q883" s="1604">
        <v>8</v>
      </c>
      <c r="R883" s="1604"/>
      <c r="S883" s="1604">
        <v>8</v>
      </c>
      <c r="T883" s="1605" t="s">
        <v>4910</v>
      </c>
      <c r="U883" s="1679" t="s">
        <v>4247</v>
      </c>
      <c r="V883" s="1679"/>
      <c r="W883" s="1604" t="s">
        <v>2238</v>
      </c>
      <c r="X883" s="1604"/>
      <c r="Y883" s="1601"/>
      <c r="Z883" s="1608" t="s">
        <v>5430</v>
      </c>
    </row>
    <row r="884" spans="1:26" ht="14.4" hidden="1">
      <c r="A884" s="1768"/>
      <c r="B884" s="1763" t="s">
        <v>4912</v>
      </c>
      <c r="C884" s="1772" t="s">
        <v>4914</v>
      </c>
      <c r="E884" s="1782" t="s">
        <v>4911</v>
      </c>
      <c r="F884" s="1604">
        <v>39</v>
      </c>
      <c r="G884" s="1761" t="s">
        <v>4913</v>
      </c>
      <c r="H884" s="1778"/>
      <c r="I884" s="1604" t="s">
        <v>2549</v>
      </c>
      <c r="J884" s="1604" t="s">
        <v>2070</v>
      </c>
      <c r="K884" s="1684">
        <v>44459</v>
      </c>
      <c r="L884" s="1685" t="s">
        <v>990</v>
      </c>
      <c r="M884" s="1685" t="s">
        <v>4970</v>
      </c>
      <c r="N884" s="1604" t="s">
        <v>2320</v>
      </c>
      <c r="O884" s="1604">
        <v>2021</v>
      </c>
      <c r="P884" s="1604" t="s">
        <v>2426</v>
      </c>
      <c r="Q884" s="1604">
        <v>7</v>
      </c>
      <c r="R884" s="1604"/>
      <c r="S884" s="1604">
        <v>7</v>
      </c>
      <c r="T884" s="1772" t="s">
        <v>4915</v>
      </c>
      <c r="U884" s="1679" t="s">
        <v>4247</v>
      </c>
      <c r="V884" s="1679"/>
      <c r="W884" s="1604" t="s">
        <v>3837</v>
      </c>
      <c r="X884" s="1604" t="s">
        <v>4943</v>
      </c>
      <c r="Y884" s="1601"/>
      <c r="Z884" s="1608"/>
    </row>
    <row r="885" spans="1:26" ht="49.95" hidden="1" customHeight="1">
      <c r="A885" s="1683" t="s">
        <v>5071</v>
      </c>
      <c r="B885" s="1830" t="s">
        <v>1006</v>
      </c>
      <c r="C885" s="1670" t="s">
        <v>4916</v>
      </c>
      <c r="E885" s="1829" t="s">
        <v>4917</v>
      </c>
      <c r="F885" s="1604">
        <v>49</v>
      </c>
      <c r="G885" s="1779" t="s">
        <v>4918</v>
      </c>
      <c r="H885" s="1604"/>
      <c r="I885" s="1604" t="s">
        <v>4808</v>
      </c>
      <c r="J885" s="1604" t="s">
        <v>2493</v>
      </c>
      <c r="K885" s="1684">
        <v>44460</v>
      </c>
      <c r="L885" s="1685" t="s">
        <v>990</v>
      </c>
      <c r="M885" s="1685" t="s">
        <v>4969</v>
      </c>
      <c r="N885" s="1604" t="s">
        <v>2320</v>
      </c>
      <c r="O885" s="1604">
        <v>2021</v>
      </c>
      <c r="P885" s="1604" t="s">
        <v>2426</v>
      </c>
      <c r="Q885" s="1604">
        <v>40</v>
      </c>
      <c r="R885" s="1604">
        <v>75</v>
      </c>
      <c r="S885" s="1604">
        <f>+R885+Q885</f>
        <v>115</v>
      </c>
      <c r="T885" s="1605" t="s">
        <v>4920</v>
      </c>
      <c r="U885" s="1679" t="s">
        <v>4247</v>
      </c>
      <c r="V885" s="1679"/>
      <c r="W885" s="1604" t="s">
        <v>4088</v>
      </c>
      <c r="X885" s="1604"/>
      <c r="Y885" s="1601" t="s">
        <v>5174</v>
      </c>
      <c r="Z885" s="1608"/>
    </row>
    <row r="886" spans="1:26" ht="43.2" hidden="1">
      <c r="A886" s="1757"/>
      <c r="B886" s="1763" t="s">
        <v>4944</v>
      </c>
      <c r="C886" s="1771" t="s">
        <v>4922</v>
      </c>
      <c r="E886" s="1784" t="s">
        <v>4921</v>
      </c>
      <c r="F886" s="1604">
        <v>56</v>
      </c>
      <c r="G886" s="1761" t="s">
        <v>4923</v>
      </c>
      <c r="H886" s="1604"/>
      <c r="I886" s="1604" t="s">
        <v>2318</v>
      </c>
      <c r="J886" s="1605" t="s">
        <v>1744</v>
      </c>
      <c r="K886" s="1656">
        <v>44457</v>
      </c>
      <c r="L886" s="1613" t="s">
        <v>3603</v>
      </c>
      <c r="M886" s="1613" t="s">
        <v>4971</v>
      </c>
      <c r="N886" s="1604" t="s">
        <v>4926</v>
      </c>
      <c r="O886" s="1604">
        <v>2021</v>
      </c>
      <c r="P886" s="1604" t="s">
        <v>2426</v>
      </c>
      <c r="Q886" s="1604" t="s">
        <v>4924</v>
      </c>
      <c r="R886" s="1604"/>
      <c r="S886" s="1604" t="s">
        <v>4924</v>
      </c>
      <c r="T886" s="1605" t="s">
        <v>4925</v>
      </c>
      <c r="U886" s="1605" t="s">
        <v>4247</v>
      </c>
      <c r="V886" s="1605"/>
      <c r="W886" s="1604" t="s">
        <v>4432</v>
      </c>
      <c r="X886" s="1604"/>
      <c r="Y886" s="1601"/>
      <c r="Z886" s="1608"/>
    </row>
    <row r="887" spans="1:26" ht="28.2" hidden="1" customHeight="1">
      <c r="A887" s="1780"/>
      <c r="B887" s="1776" t="s">
        <v>4912</v>
      </c>
      <c r="C887" s="1776" t="s">
        <v>4928</v>
      </c>
      <c r="E887" s="1784" t="s">
        <v>4927</v>
      </c>
      <c r="F887" s="1604">
        <v>26</v>
      </c>
      <c r="G887" s="1682" t="s">
        <v>2956</v>
      </c>
      <c r="H887" s="1683"/>
      <c r="I887" s="1683" t="s">
        <v>2549</v>
      </c>
      <c r="J887" s="1679" t="s">
        <v>4929</v>
      </c>
      <c r="K887" s="1684">
        <v>44462</v>
      </c>
      <c r="L887" s="1685" t="s">
        <v>4972</v>
      </c>
      <c r="M887" s="1789" t="s">
        <v>4930</v>
      </c>
      <c r="N887" s="1683" t="s">
        <v>4931</v>
      </c>
      <c r="O887" s="1683">
        <v>2021</v>
      </c>
      <c r="P887" s="1683" t="s">
        <v>2426</v>
      </c>
      <c r="Q887" s="1683" t="s">
        <v>4919</v>
      </c>
      <c r="R887" s="1683"/>
      <c r="S887" s="1683" t="s">
        <v>4919</v>
      </c>
      <c r="T887" s="1679" t="s">
        <v>4932</v>
      </c>
      <c r="U887" s="1679" t="s">
        <v>4247</v>
      </c>
      <c r="V887" s="1679"/>
      <c r="W887" s="1781" t="s">
        <v>4933</v>
      </c>
      <c r="X887" s="1683" t="s">
        <v>4934</v>
      </c>
      <c r="Y887" s="1680"/>
      <c r="Z887" s="1608"/>
    </row>
    <row r="888" spans="1:26" ht="14.4" hidden="1">
      <c r="A888" s="1604"/>
      <c r="B888" s="1520" t="s">
        <v>91</v>
      </c>
      <c r="C888" s="1601" t="s">
        <v>4935</v>
      </c>
      <c r="E888" s="1822" t="s">
        <v>4940</v>
      </c>
      <c r="F888" s="1604">
        <v>23</v>
      </c>
      <c r="G888" s="1603" t="s">
        <v>3251</v>
      </c>
      <c r="H888" s="1604"/>
      <c r="I888" s="1604" t="s">
        <v>2549</v>
      </c>
      <c r="J888" s="1604" t="s">
        <v>4936</v>
      </c>
      <c r="K888" s="1656">
        <v>44468</v>
      </c>
      <c r="L888" s="1613" t="s">
        <v>990</v>
      </c>
      <c r="M888" s="1787" t="s">
        <v>4973</v>
      </c>
      <c r="N888" s="1604" t="s">
        <v>2320</v>
      </c>
      <c r="O888" s="1604">
        <v>2021</v>
      </c>
      <c r="P888" s="1604" t="s">
        <v>2426</v>
      </c>
      <c r="Q888" s="1604">
        <v>7</v>
      </c>
      <c r="R888" s="1604"/>
      <c r="S888" s="1604">
        <v>7</v>
      </c>
      <c r="T888" s="1763" t="s">
        <v>2626</v>
      </c>
      <c r="U888" s="1605" t="s">
        <v>4247</v>
      </c>
      <c r="V888" s="1605"/>
      <c r="W888" s="1604" t="s">
        <v>2564</v>
      </c>
      <c r="X888" s="1604"/>
      <c r="Y888" s="1601" t="s">
        <v>5161</v>
      </c>
      <c r="Z888" s="1608"/>
    </row>
    <row r="889" spans="1:26" ht="27.6" hidden="1">
      <c r="A889" s="1757"/>
      <c r="B889" s="1763" t="s">
        <v>4912</v>
      </c>
      <c r="C889" s="1601" t="s">
        <v>4937</v>
      </c>
      <c r="E889" s="1785" t="s">
        <v>4941</v>
      </c>
      <c r="F889" s="1604">
        <v>49</v>
      </c>
      <c r="G889" s="1603" t="s">
        <v>4861</v>
      </c>
      <c r="H889" s="1604"/>
      <c r="I889" s="1604" t="s">
        <v>2549</v>
      </c>
      <c r="J889" s="1604" t="s">
        <v>3240</v>
      </c>
      <c r="K889" s="1656">
        <v>44467</v>
      </c>
      <c r="L889" s="1613" t="s">
        <v>990</v>
      </c>
      <c r="M889" s="1685" t="s">
        <v>4947</v>
      </c>
      <c r="N889" s="1604" t="s">
        <v>2320</v>
      </c>
      <c r="O889" s="1604">
        <v>2021</v>
      </c>
      <c r="P889" s="1604" t="s">
        <v>2426</v>
      </c>
      <c r="Q889" s="1763" t="s">
        <v>4938</v>
      </c>
      <c r="R889" s="1604"/>
      <c r="S889" s="1763" t="s">
        <v>4938</v>
      </c>
      <c r="T889" s="1787" t="s">
        <v>4967</v>
      </c>
      <c r="U889" s="1605" t="s">
        <v>4247</v>
      </c>
      <c r="V889" s="1605"/>
      <c r="W889" s="1604" t="s">
        <v>2340</v>
      </c>
      <c r="X889" s="1604" t="s">
        <v>4939</v>
      </c>
      <c r="Y889" s="1601"/>
      <c r="Z889" s="1608"/>
    </row>
    <row r="890" spans="1:26" ht="27.6" hidden="1">
      <c r="A890" s="1768"/>
      <c r="B890" s="1776" t="s">
        <v>4950</v>
      </c>
      <c r="C890" s="1680" t="s">
        <v>4946</v>
      </c>
      <c r="E890" s="1783" t="s">
        <v>4945</v>
      </c>
      <c r="F890" s="1683">
        <v>48</v>
      </c>
      <c r="G890" s="1786" t="s">
        <v>2956</v>
      </c>
      <c r="H890" s="1683"/>
      <c r="I890" s="1683" t="s">
        <v>4808</v>
      </c>
      <c r="J890" s="1683" t="s">
        <v>2497</v>
      </c>
      <c r="K890" s="1684">
        <v>44474</v>
      </c>
      <c r="L890" s="1685" t="s">
        <v>990</v>
      </c>
      <c r="M890" s="1685" t="s">
        <v>5033</v>
      </c>
      <c r="N890" s="1683" t="s">
        <v>2320</v>
      </c>
      <c r="O890" s="1683">
        <v>2021</v>
      </c>
      <c r="P890" s="1683" t="s">
        <v>904</v>
      </c>
      <c r="Q890" s="1683">
        <v>11</v>
      </c>
      <c r="R890" s="1683"/>
      <c r="S890" s="1683">
        <v>11</v>
      </c>
      <c r="T890" s="1776" t="s">
        <v>4948</v>
      </c>
      <c r="U890" s="1679" t="s">
        <v>4247</v>
      </c>
      <c r="V890" s="1679"/>
      <c r="W890" s="1683" t="s">
        <v>2275</v>
      </c>
      <c r="X890" s="1683"/>
      <c r="Y890" s="1680"/>
      <c r="Z890" s="1608"/>
    </row>
    <row r="891" spans="1:26" ht="43.2" hidden="1">
      <c r="A891" s="1757"/>
      <c r="B891" s="2065" t="s">
        <v>4950</v>
      </c>
      <c r="C891" s="1605" t="s">
        <v>4953</v>
      </c>
      <c r="E891" s="1605" t="s">
        <v>4949</v>
      </c>
      <c r="F891" s="1778" t="s">
        <v>4951</v>
      </c>
      <c r="G891" s="1603" t="s">
        <v>4954</v>
      </c>
      <c r="H891" s="1604"/>
      <c r="I891" s="1604" t="s">
        <v>4808</v>
      </c>
      <c r="J891" s="1604" t="s">
        <v>4952</v>
      </c>
      <c r="K891" s="1656">
        <v>44474</v>
      </c>
      <c r="L891" s="1613" t="s">
        <v>990</v>
      </c>
      <c r="M891" s="1797" t="s">
        <v>5032</v>
      </c>
      <c r="N891" s="1604"/>
      <c r="O891" s="1604">
        <v>2021</v>
      </c>
      <c r="P891" s="1604" t="s">
        <v>904</v>
      </c>
      <c r="Q891" s="1604">
        <v>92</v>
      </c>
      <c r="R891" s="1604"/>
      <c r="S891" s="1604">
        <v>92</v>
      </c>
      <c r="T891" s="1605" t="s">
        <v>4955</v>
      </c>
      <c r="U891" s="1605" t="s">
        <v>4247</v>
      </c>
      <c r="V891" s="1605"/>
      <c r="W891" s="1604" t="s">
        <v>4432</v>
      </c>
      <c r="X891" s="1604" t="s">
        <v>4934</v>
      </c>
      <c r="Y891" s="1601"/>
      <c r="Z891" s="1608"/>
    </row>
    <row r="892" spans="1:26" ht="43.2" hidden="1">
      <c r="A892" s="1757"/>
      <c r="B892" s="2065" t="s">
        <v>4956</v>
      </c>
      <c r="C892" s="1601" t="s">
        <v>5035</v>
      </c>
      <c r="E892" s="1761" t="s">
        <v>4957</v>
      </c>
      <c r="F892" s="1778" t="s">
        <v>3053</v>
      </c>
      <c r="G892" s="1603" t="s">
        <v>4958</v>
      </c>
      <c r="H892" s="1604"/>
      <c r="I892" s="1604" t="s">
        <v>4808</v>
      </c>
      <c r="J892" s="1604" t="s">
        <v>2602</v>
      </c>
      <c r="K892" s="1656">
        <v>44480</v>
      </c>
      <c r="L892" s="1685" t="s">
        <v>990</v>
      </c>
      <c r="M892" s="1788" t="s">
        <v>5034</v>
      </c>
      <c r="N892" s="1604" t="s">
        <v>2320</v>
      </c>
      <c r="O892" s="1604">
        <v>2021</v>
      </c>
      <c r="P892" s="1604" t="s">
        <v>904</v>
      </c>
      <c r="Q892" s="1604">
        <v>4</v>
      </c>
      <c r="R892" s="1604"/>
      <c r="S892" s="1604">
        <v>4</v>
      </c>
      <c r="T892" s="1605" t="s">
        <v>4959</v>
      </c>
      <c r="U892" s="1605" t="s">
        <v>4247</v>
      </c>
      <c r="V892" s="1605"/>
      <c r="W892" s="1604" t="s">
        <v>3334</v>
      </c>
      <c r="X892" s="1604" t="s">
        <v>4960</v>
      </c>
      <c r="Y892" s="1601"/>
      <c r="Z892" s="1608"/>
    </row>
    <row r="893" spans="1:26" s="1627" customFormat="1" ht="43.2" hidden="1">
      <c r="A893" s="1798"/>
      <c r="B893" s="2066" t="s">
        <v>4974</v>
      </c>
      <c r="C893" s="1605" t="s">
        <v>4975</v>
      </c>
      <c r="D893" s="1112"/>
      <c r="E893" s="1799" t="s">
        <v>4976</v>
      </c>
      <c r="F893" s="1778" t="s">
        <v>4977</v>
      </c>
      <c r="G893" s="1613" t="s">
        <v>4958</v>
      </c>
      <c r="H893" s="1778"/>
      <c r="I893" s="1604" t="s">
        <v>2549</v>
      </c>
      <c r="J893" s="1604" t="s">
        <v>4978</v>
      </c>
      <c r="K893" s="1656">
        <v>44481</v>
      </c>
      <c r="L893" s="1685" t="s">
        <v>990</v>
      </c>
      <c r="M893" s="1801" t="s">
        <v>5036</v>
      </c>
      <c r="N893" s="1604" t="s">
        <v>2320</v>
      </c>
      <c r="O893" s="1604">
        <v>2021</v>
      </c>
      <c r="P893" s="1604" t="s">
        <v>904</v>
      </c>
      <c r="Q893" s="1604">
        <v>8</v>
      </c>
      <c r="R893" s="1604"/>
      <c r="S893" s="1604">
        <v>8</v>
      </c>
      <c r="T893" s="1605" t="s">
        <v>2626</v>
      </c>
      <c r="U893" s="1679" t="s">
        <v>4247</v>
      </c>
      <c r="V893" s="1679"/>
      <c r="W893" s="1604" t="s">
        <v>4980</v>
      </c>
      <c r="X893" s="1604" t="s">
        <v>4979</v>
      </c>
      <c r="Y893" s="1605"/>
    </row>
    <row r="894" spans="1:26" ht="14.4" hidden="1">
      <c r="A894" s="1768"/>
      <c r="B894" s="1345" t="s">
        <v>2943</v>
      </c>
      <c r="C894" s="1601" t="s">
        <v>6057</v>
      </c>
      <c r="E894" s="1605" t="s">
        <v>4981</v>
      </c>
      <c r="F894" s="1604"/>
      <c r="G894" s="1613" t="s">
        <v>4883</v>
      </c>
      <c r="H894" s="1778"/>
      <c r="I894" s="1604" t="s">
        <v>4808</v>
      </c>
      <c r="J894" s="1604" t="s">
        <v>2523</v>
      </c>
      <c r="K894" s="1656">
        <v>44478</v>
      </c>
      <c r="L894" s="1685" t="s">
        <v>990</v>
      </c>
      <c r="M894" s="1787" t="s">
        <v>5031</v>
      </c>
      <c r="N894" s="1604" t="s">
        <v>915</v>
      </c>
      <c r="O894" s="1604">
        <v>2021</v>
      </c>
      <c r="P894" s="1604" t="s">
        <v>904</v>
      </c>
      <c r="Q894" s="1604">
        <v>7</v>
      </c>
      <c r="R894" s="1604"/>
      <c r="S894" s="1604">
        <v>7</v>
      </c>
      <c r="T894" s="1605" t="s">
        <v>3544</v>
      </c>
      <c r="U894" s="1679" t="s">
        <v>4247</v>
      </c>
      <c r="V894" s="1679"/>
      <c r="W894" s="1604" t="s">
        <v>2564</v>
      </c>
      <c r="X894" s="1604" t="s">
        <v>4982</v>
      </c>
      <c r="Y894" s="1601"/>
      <c r="Z894" s="1608"/>
    </row>
    <row r="895" spans="1:26" ht="43.2" hidden="1">
      <c r="A895" s="1768"/>
      <c r="B895" s="1803" t="s">
        <v>4984</v>
      </c>
      <c r="C895" s="1601" t="s">
        <v>5037</v>
      </c>
      <c r="E895" s="1785" t="s">
        <v>4983</v>
      </c>
      <c r="F895" s="1604" t="s">
        <v>4985</v>
      </c>
      <c r="G895" s="1791" t="s">
        <v>4958</v>
      </c>
      <c r="H895" s="1778"/>
      <c r="I895" s="1604" t="s">
        <v>2549</v>
      </c>
      <c r="J895" s="1604" t="s">
        <v>4743</v>
      </c>
      <c r="K895" s="1656">
        <v>44484</v>
      </c>
      <c r="L895" s="1685" t="s">
        <v>990</v>
      </c>
      <c r="M895" s="1788" t="s">
        <v>5038</v>
      </c>
      <c r="N895" s="1604" t="s">
        <v>2320</v>
      </c>
      <c r="O895" s="1604">
        <v>2021</v>
      </c>
      <c r="P895" s="1604" t="s">
        <v>904</v>
      </c>
      <c r="Q895" s="1759">
        <v>20</v>
      </c>
      <c r="R895" s="1604"/>
      <c r="S895" s="1759">
        <v>20</v>
      </c>
      <c r="T895" s="1605" t="s">
        <v>4986</v>
      </c>
      <c r="U895" s="1679" t="s">
        <v>4247</v>
      </c>
      <c r="V895" s="1679"/>
      <c r="W895" s="1604" t="s">
        <v>2238</v>
      </c>
      <c r="X895" s="1604" t="s">
        <v>4960</v>
      </c>
      <c r="Y895" s="1601"/>
      <c r="Z895" s="1608"/>
    </row>
    <row r="896" spans="1:26" ht="28.8" hidden="1">
      <c r="A896" s="1768"/>
      <c r="B896" s="1989" t="s">
        <v>5025</v>
      </c>
      <c r="C896" s="1601" t="s">
        <v>4988</v>
      </c>
      <c r="E896" s="1605" t="s">
        <v>4987</v>
      </c>
      <c r="F896" s="1604" t="s">
        <v>4989</v>
      </c>
      <c r="G896" s="1802" t="s">
        <v>4990</v>
      </c>
      <c r="H896" s="1604"/>
      <c r="I896" s="1604" t="s">
        <v>4808</v>
      </c>
      <c r="J896" s="1604" t="s">
        <v>2644</v>
      </c>
      <c r="K896" s="1656">
        <v>44485</v>
      </c>
      <c r="L896" s="1685" t="s">
        <v>990</v>
      </c>
      <c r="M896" s="1788" t="s">
        <v>5039</v>
      </c>
      <c r="N896" s="1604" t="s">
        <v>915</v>
      </c>
      <c r="O896" s="1604">
        <v>2021</v>
      </c>
      <c r="P896" s="1604" t="s">
        <v>904</v>
      </c>
      <c r="Q896" s="1604">
        <v>15</v>
      </c>
      <c r="R896" s="1604"/>
      <c r="S896" s="1604">
        <v>15</v>
      </c>
      <c r="T896" s="1605" t="s">
        <v>4992</v>
      </c>
      <c r="U896" s="1679" t="s">
        <v>4247</v>
      </c>
      <c r="V896" s="1679"/>
      <c r="W896" s="1604" t="s">
        <v>2340</v>
      </c>
      <c r="X896" s="1604" t="s">
        <v>4991</v>
      </c>
      <c r="Y896" s="1601"/>
      <c r="Z896" s="1608"/>
    </row>
    <row r="897" spans="1:26" ht="28.8" hidden="1">
      <c r="A897" s="1683" t="s">
        <v>5077</v>
      </c>
      <c r="B897" s="1345" t="s">
        <v>1309</v>
      </c>
      <c r="C897" s="1601" t="s">
        <v>4994</v>
      </c>
      <c r="E897" s="1790" t="s">
        <v>4993</v>
      </c>
      <c r="F897" s="1604" t="s">
        <v>4995</v>
      </c>
      <c r="G897" s="1603" t="s">
        <v>4996</v>
      </c>
      <c r="H897" s="1604"/>
      <c r="I897" s="1604" t="s">
        <v>2549</v>
      </c>
      <c r="J897" s="1604" t="s">
        <v>4997</v>
      </c>
      <c r="K897" s="1656">
        <v>44489</v>
      </c>
      <c r="L897" s="1685" t="s">
        <v>990</v>
      </c>
      <c r="M897" s="1788" t="s">
        <v>5026</v>
      </c>
      <c r="N897" s="1604" t="s">
        <v>2320</v>
      </c>
      <c r="O897" s="1604">
        <v>2021</v>
      </c>
      <c r="P897" s="1604" t="s">
        <v>904</v>
      </c>
      <c r="Q897" s="1604">
        <v>36</v>
      </c>
      <c r="R897" s="1604"/>
      <c r="S897" s="1604">
        <v>36</v>
      </c>
      <c r="T897" s="1605" t="s">
        <v>4998</v>
      </c>
      <c r="U897" s="1679" t="s">
        <v>4247</v>
      </c>
      <c r="V897" s="1679"/>
      <c r="W897" s="1604" t="s">
        <v>2340</v>
      </c>
      <c r="X897" s="1604"/>
      <c r="Y897" s="1604" t="s">
        <v>5160</v>
      </c>
      <c r="Z897" s="1608"/>
    </row>
    <row r="898" spans="1:26" ht="57.6" hidden="1">
      <c r="A898" s="1768"/>
      <c r="B898" s="1520" t="s">
        <v>91</v>
      </c>
      <c r="C898" s="1680" t="s">
        <v>4999</v>
      </c>
      <c r="E898" s="1679" t="s">
        <v>5000</v>
      </c>
      <c r="F898" s="1683"/>
      <c r="G898" s="1682" t="s">
        <v>5001</v>
      </c>
      <c r="H898" s="1683"/>
      <c r="I898" s="1683" t="s">
        <v>4808</v>
      </c>
      <c r="J898" s="1683" t="s">
        <v>2862</v>
      </c>
      <c r="K898" s="1656">
        <v>44492</v>
      </c>
      <c r="L898" s="1685" t="s">
        <v>990</v>
      </c>
      <c r="M898" s="1788" t="s">
        <v>5028</v>
      </c>
      <c r="N898" s="1683" t="s">
        <v>2320</v>
      </c>
      <c r="O898" s="1683">
        <v>2021</v>
      </c>
      <c r="P898" s="1683" t="s">
        <v>904</v>
      </c>
      <c r="Q898" s="1683">
        <v>29</v>
      </c>
      <c r="R898" s="1683"/>
      <c r="S898" s="1683">
        <v>29</v>
      </c>
      <c r="T898" s="1679" t="s">
        <v>5002</v>
      </c>
      <c r="U898" s="1679" t="s">
        <v>4247</v>
      </c>
      <c r="V898" s="1679"/>
      <c r="W898" s="1683" t="s">
        <v>3334</v>
      </c>
      <c r="X898" s="1683" t="s">
        <v>5003</v>
      </c>
      <c r="Y898" s="1680"/>
      <c r="Z898" s="1608"/>
    </row>
    <row r="899" spans="1:26" ht="57.6" hidden="1">
      <c r="A899" s="1683"/>
      <c r="B899" s="1821" t="s">
        <v>91</v>
      </c>
      <c r="C899" s="1601" t="s">
        <v>6058</v>
      </c>
      <c r="E899" s="1605" t="s">
        <v>5004</v>
      </c>
      <c r="F899" s="1604" t="s">
        <v>5005</v>
      </c>
      <c r="G899" s="1603" t="s">
        <v>5006</v>
      </c>
      <c r="H899" s="1604"/>
      <c r="I899" s="1604" t="s">
        <v>2549</v>
      </c>
      <c r="J899" s="1604" t="s">
        <v>2301</v>
      </c>
      <c r="K899" s="1656">
        <v>44494</v>
      </c>
      <c r="L899" s="1685" t="s">
        <v>990</v>
      </c>
      <c r="M899" s="1788" t="s">
        <v>5029</v>
      </c>
      <c r="N899" s="1604" t="s">
        <v>913</v>
      </c>
      <c r="O899" s="1604">
        <v>2021</v>
      </c>
      <c r="P899" s="1604" t="s">
        <v>904</v>
      </c>
      <c r="Q899" s="1604">
        <v>4</v>
      </c>
      <c r="R899" s="1604"/>
      <c r="S899" s="1604">
        <v>4</v>
      </c>
      <c r="T899" s="1605" t="s">
        <v>5007</v>
      </c>
      <c r="U899" s="1679" t="s">
        <v>4247</v>
      </c>
      <c r="V899" s="1679"/>
      <c r="W899" s="1604" t="s">
        <v>2238</v>
      </c>
      <c r="X899" s="1604"/>
      <c r="Y899" s="1601" t="s">
        <v>5161</v>
      </c>
      <c r="Z899" s="1608"/>
    </row>
    <row r="900" spans="1:26" ht="28.8" hidden="1">
      <c r="A900" s="1683" t="s">
        <v>5078</v>
      </c>
      <c r="B900" s="1033" t="s">
        <v>1223</v>
      </c>
      <c r="C900" s="1601" t="s">
        <v>5009</v>
      </c>
      <c r="E900" s="1605" t="s">
        <v>5008</v>
      </c>
      <c r="F900" s="1604" t="s">
        <v>1744</v>
      </c>
      <c r="G900" s="1603" t="s">
        <v>5010</v>
      </c>
      <c r="H900" s="1604"/>
      <c r="I900" s="1604" t="s">
        <v>2549</v>
      </c>
      <c r="J900" s="1604" t="s">
        <v>2466</v>
      </c>
      <c r="K900" s="1656">
        <v>44491</v>
      </c>
      <c r="L900" s="1685" t="s">
        <v>990</v>
      </c>
      <c r="M900" s="1788" t="s">
        <v>5027</v>
      </c>
      <c r="N900" s="1604" t="s">
        <v>2320</v>
      </c>
      <c r="O900" s="1604">
        <v>2021</v>
      </c>
      <c r="P900" s="1604" t="s">
        <v>904</v>
      </c>
      <c r="Q900" s="1604">
        <v>148</v>
      </c>
      <c r="R900" s="1604"/>
      <c r="S900" s="1604">
        <v>148</v>
      </c>
      <c r="T900" s="1605" t="s">
        <v>5011</v>
      </c>
      <c r="U900" s="1679" t="s">
        <v>4247</v>
      </c>
      <c r="V900" s="1679"/>
      <c r="W900" s="1604" t="s">
        <v>2340</v>
      </c>
      <c r="X900" s="1604"/>
      <c r="Y900" s="1601"/>
      <c r="Z900" s="1608"/>
    </row>
    <row r="901" spans="1:26" ht="43.2" hidden="1">
      <c r="A901" s="1683" t="s">
        <v>5074</v>
      </c>
      <c r="B901" s="1345" t="s">
        <v>1958</v>
      </c>
      <c r="C901" s="1601" t="s">
        <v>5016</v>
      </c>
      <c r="E901" s="1828" t="s">
        <v>5015</v>
      </c>
      <c r="F901" s="1604" t="s">
        <v>4374</v>
      </c>
      <c r="G901" s="1603" t="s">
        <v>2167</v>
      </c>
      <c r="H901" s="1604"/>
      <c r="I901" s="1604" t="s">
        <v>4808</v>
      </c>
      <c r="J901" s="1604" t="s">
        <v>3490</v>
      </c>
      <c r="K901" s="1656">
        <v>44499</v>
      </c>
      <c r="L901" s="1685" t="s">
        <v>990</v>
      </c>
      <c r="M901" s="1788" t="s">
        <v>5030</v>
      </c>
      <c r="N901" s="1604" t="s">
        <v>2320</v>
      </c>
      <c r="O901" s="1604">
        <v>2021</v>
      </c>
      <c r="P901" s="1604" t="s">
        <v>904</v>
      </c>
      <c r="Q901" s="1604">
        <v>3</v>
      </c>
      <c r="R901" s="1604"/>
      <c r="S901" s="1604">
        <v>3</v>
      </c>
      <c r="T901" s="1605" t="s">
        <v>5017</v>
      </c>
      <c r="U901" s="1679" t="s">
        <v>4247</v>
      </c>
      <c r="V901" s="1679"/>
      <c r="W901" s="1604" t="s">
        <v>2564</v>
      </c>
      <c r="X901" s="1671"/>
      <c r="Y901" s="1601" t="s">
        <v>5169</v>
      </c>
      <c r="Z901" s="1608" t="s">
        <v>5430</v>
      </c>
    </row>
    <row r="902" spans="1:26" ht="28.8" hidden="1">
      <c r="A902" s="1768"/>
      <c r="B902" s="2067" t="s">
        <v>788</v>
      </c>
      <c r="C902" s="2067" t="s">
        <v>5019</v>
      </c>
      <c r="E902" s="1679" t="s">
        <v>5018</v>
      </c>
      <c r="F902" s="1604" t="s">
        <v>5020</v>
      </c>
      <c r="G902" s="1791" t="s">
        <v>5021</v>
      </c>
      <c r="H902" s="1604"/>
      <c r="I902" s="1604" t="s">
        <v>2318</v>
      </c>
      <c r="J902" s="1604" t="s">
        <v>2254</v>
      </c>
      <c r="K902" s="1816">
        <v>44503</v>
      </c>
      <c r="L902" s="1685" t="s">
        <v>990</v>
      </c>
      <c r="M902" s="1776" t="s">
        <v>5022</v>
      </c>
      <c r="N902" s="1604" t="s">
        <v>2320</v>
      </c>
      <c r="O902" s="1604">
        <v>2021</v>
      </c>
      <c r="P902" s="1604" t="s">
        <v>905</v>
      </c>
      <c r="Q902" s="1604">
        <v>7</v>
      </c>
      <c r="R902" s="1604"/>
      <c r="S902" s="1604">
        <v>7</v>
      </c>
      <c r="T902" s="1605" t="s">
        <v>5023</v>
      </c>
      <c r="U902" s="1679" t="s">
        <v>4247</v>
      </c>
      <c r="V902" s="1679"/>
      <c r="W902" s="1604" t="s">
        <v>2275</v>
      </c>
      <c r="X902" s="1604"/>
      <c r="Y902" s="1601"/>
      <c r="Z902" s="1608"/>
    </row>
    <row r="903" spans="1:26" ht="14.4" hidden="1">
      <c r="A903" s="1683"/>
      <c r="B903" s="1345" t="s">
        <v>1958</v>
      </c>
      <c r="C903" s="1601" t="s">
        <v>5080</v>
      </c>
      <c r="E903" s="1605" t="s">
        <v>5079</v>
      </c>
      <c r="F903" s="1604"/>
      <c r="G903" s="1603" t="s">
        <v>5081</v>
      </c>
      <c r="H903" s="1604"/>
      <c r="I903" s="1604" t="s">
        <v>2549</v>
      </c>
      <c r="J903" s="1604" t="s">
        <v>5082</v>
      </c>
      <c r="K903" s="1816">
        <v>44505</v>
      </c>
      <c r="L903" s="1685" t="s">
        <v>990</v>
      </c>
      <c r="M903" s="1787" t="s">
        <v>5083</v>
      </c>
      <c r="N903" s="1604" t="s">
        <v>923</v>
      </c>
      <c r="O903" s="1604">
        <v>2021</v>
      </c>
      <c r="P903" s="1604" t="s">
        <v>905</v>
      </c>
      <c r="Q903" s="1604">
        <v>1</v>
      </c>
      <c r="R903" s="1604"/>
      <c r="S903" s="1604">
        <v>1</v>
      </c>
      <c r="T903" s="1805" t="s">
        <v>5084</v>
      </c>
      <c r="U903" s="1679" t="s">
        <v>4247</v>
      </c>
      <c r="V903" s="1679"/>
      <c r="W903" s="1604" t="s">
        <v>2275</v>
      </c>
      <c r="X903" s="1604"/>
      <c r="Y903" s="1601" t="s">
        <v>5161</v>
      </c>
      <c r="Z903" s="1608" t="s">
        <v>5430</v>
      </c>
    </row>
    <row r="904" spans="1:26" ht="69" hidden="1">
      <c r="A904" s="1768"/>
      <c r="B904" s="1806" t="s">
        <v>3202</v>
      </c>
      <c r="C904" s="1601" t="s">
        <v>5086</v>
      </c>
      <c r="E904" s="1605" t="s">
        <v>5085</v>
      </c>
      <c r="F904" s="1604" t="s">
        <v>5087</v>
      </c>
      <c r="G904" s="1603" t="s">
        <v>5088</v>
      </c>
      <c r="H904" s="1604"/>
      <c r="I904" s="1604" t="s">
        <v>4808</v>
      </c>
      <c r="J904" s="1604" t="s">
        <v>2168</v>
      </c>
      <c r="K904" s="1817">
        <v>44504</v>
      </c>
      <c r="L904" s="1685" t="s">
        <v>990</v>
      </c>
      <c r="M904" s="1613" t="s">
        <v>5092</v>
      </c>
      <c r="N904" s="1604" t="s">
        <v>5090</v>
      </c>
      <c r="O904" s="1604">
        <v>2021</v>
      </c>
      <c r="P904" s="1604" t="s">
        <v>905</v>
      </c>
      <c r="Q904" s="1604">
        <v>2</v>
      </c>
      <c r="R904" s="1604"/>
      <c r="S904" s="1604">
        <v>2</v>
      </c>
      <c r="T904" s="1605" t="s">
        <v>5091</v>
      </c>
      <c r="U904" s="1679" t="s">
        <v>4247</v>
      </c>
      <c r="V904" s="1679"/>
      <c r="W904" s="1602" t="s">
        <v>5089</v>
      </c>
      <c r="X904" s="1807" t="s">
        <v>4960</v>
      </c>
      <c r="Y904" s="1601"/>
      <c r="Z904" s="1608"/>
    </row>
    <row r="905" spans="1:26" ht="14.4" hidden="1">
      <c r="A905" s="1768"/>
      <c r="B905" s="1345" t="s">
        <v>602</v>
      </c>
      <c r="C905" s="1806" t="s">
        <v>2645</v>
      </c>
      <c r="E905" s="1605" t="s">
        <v>5093</v>
      </c>
      <c r="F905" s="1604"/>
      <c r="G905" s="1603" t="s">
        <v>2516</v>
      </c>
      <c r="H905" s="1604"/>
      <c r="I905" s="1604" t="s">
        <v>2318</v>
      </c>
      <c r="J905" s="1604" t="s">
        <v>2496</v>
      </c>
      <c r="K905" s="1817">
        <v>44506</v>
      </c>
      <c r="L905" s="1685" t="s">
        <v>990</v>
      </c>
      <c r="M905" s="1613" t="s">
        <v>5094</v>
      </c>
      <c r="N905" s="1604" t="s">
        <v>2320</v>
      </c>
      <c r="O905" s="1604">
        <v>2021</v>
      </c>
      <c r="P905" s="1604" t="s">
        <v>905</v>
      </c>
      <c r="Q905" s="1604">
        <v>5</v>
      </c>
      <c r="R905" s="1604"/>
      <c r="S905" s="1604">
        <v>5</v>
      </c>
      <c r="T905" s="1605" t="s">
        <v>5095</v>
      </c>
      <c r="U905" s="1679" t="s">
        <v>4247</v>
      </c>
      <c r="V905" s="1679"/>
      <c r="W905" s="1604" t="s">
        <v>2275</v>
      </c>
      <c r="X905" s="1809" t="s">
        <v>5096</v>
      </c>
      <c r="Y905" s="1601"/>
      <c r="Z905" s="1608"/>
    </row>
    <row r="906" spans="1:26" ht="14.4" hidden="1">
      <c r="A906" s="1768"/>
      <c r="B906" s="1806" t="s">
        <v>4974</v>
      </c>
      <c r="C906" s="1601" t="s">
        <v>5097</v>
      </c>
      <c r="E906" t="s">
        <v>5098</v>
      </c>
      <c r="F906" s="1807" t="s">
        <v>4884</v>
      </c>
      <c r="G906" s="1603" t="s">
        <v>3251</v>
      </c>
      <c r="H906" s="1604"/>
      <c r="I906" s="1604" t="s">
        <v>4808</v>
      </c>
      <c r="J906" s="1604" t="s">
        <v>2168</v>
      </c>
      <c r="K906" s="1817">
        <v>44509</v>
      </c>
      <c r="L906" s="1685" t="s">
        <v>990</v>
      </c>
      <c r="M906" s="1808" t="s">
        <v>5099</v>
      </c>
      <c r="N906" s="1604" t="s">
        <v>5090</v>
      </c>
      <c r="O906" s="1604">
        <v>2021</v>
      </c>
      <c r="P906" s="1604" t="s">
        <v>905</v>
      </c>
      <c r="Q906" s="1604">
        <v>3</v>
      </c>
      <c r="R906" s="1604"/>
      <c r="S906" s="1604">
        <v>3</v>
      </c>
      <c r="T906" s="1605" t="s">
        <v>5100</v>
      </c>
      <c r="U906" s="1679" t="s">
        <v>4247</v>
      </c>
      <c r="V906" s="1679"/>
      <c r="W906" s="1604"/>
      <c r="X906" s="1810" t="s">
        <v>5101</v>
      </c>
      <c r="Y906" s="1601"/>
      <c r="Z906" s="1608"/>
    </row>
    <row r="907" spans="1:26" ht="43.2" hidden="1">
      <c r="A907" s="1768"/>
      <c r="B907" s="1806" t="s">
        <v>3202</v>
      </c>
      <c r="C907" s="1807" t="s">
        <v>5103</v>
      </c>
      <c r="E907" s="1605" t="s">
        <v>5102</v>
      </c>
      <c r="F907" s="1604" t="s">
        <v>4884</v>
      </c>
      <c r="G907" s="1790" t="s">
        <v>5088</v>
      </c>
      <c r="H907" s="1604"/>
      <c r="I907" s="1604" t="s">
        <v>2549</v>
      </c>
      <c r="J907" s="1604" t="s">
        <v>2494</v>
      </c>
      <c r="K907" s="1817">
        <v>44511</v>
      </c>
      <c r="L907" s="1685" t="s">
        <v>990</v>
      </c>
      <c r="M907" s="1797" t="s">
        <v>5105</v>
      </c>
      <c r="N907" s="1604" t="s">
        <v>913</v>
      </c>
      <c r="O907" s="1604">
        <v>2021</v>
      </c>
      <c r="P907" s="1604" t="s">
        <v>905</v>
      </c>
      <c r="Q907" s="1604" t="s">
        <v>5106</v>
      </c>
      <c r="R907" s="1604"/>
      <c r="S907" s="1604" t="s">
        <v>5106</v>
      </c>
      <c r="T907" s="1605" t="s">
        <v>5107</v>
      </c>
      <c r="U907" s="1679" t="s">
        <v>4247</v>
      </c>
      <c r="V907" s="1679"/>
      <c r="W907" s="1604" t="s">
        <v>5104</v>
      </c>
      <c r="X907" s="1807" t="s">
        <v>4960</v>
      </c>
      <c r="Y907" s="1601"/>
      <c r="Z907" s="1608"/>
    </row>
    <row r="908" spans="1:26" ht="14.4" hidden="1">
      <c r="A908" s="1683"/>
      <c r="B908" s="1033" t="s">
        <v>1053</v>
      </c>
      <c r="C908" s="1812" t="s">
        <v>5109</v>
      </c>
      <c r="E908" s="1811" t="s">
        <v>5108</v>
      </c>
      <c r="F908" s="1604" t="s">
        <v>5110</v>
      </c>
      <c r="G908" s="1812" t="s">
        <v>3447</v>
      </c>
      <c r="H908" s="1604"/>
      <c r="I908" s="1604" t="s">
        <v>2318</v>
      </c>
      <c r="J908" s="1604" t="s">
        <v>5111</v>
      </c>
      <c r="K908" s="1817" t="s">
        <v>5112</v>
      </c>
      <c r="L908" s="1685" t="s">
        <v>990</v>
      </c>
      <c r="M908" s="1462" t="s">
        <v>5113</v>
      </c>
      <c r="N908" s="1604" t="s">
        <v>2320</v>
      </c>
      <c r="O908" s="1604">
        <v>2021</v>
      </c>
      <c r="P908" s="1604" t="s">
        <v>905</v>
      </c>
      <c r="Q908" s="1604">
        <v>5</v>
      </c>
      <c r="R908" s="1604"/>
      <c r="S908" s="1604">
        <v>5</v>
      </c>
      <c r="T908" s="1605" t="s">
        <v>2234</v>
      </c>
      <c r="U908" s="1679" t="s">
        <v>4247</v>
      </c>
      <c r="V908" s="1679"/>
      <c r="W908" s="1604" t="s">
        <v>2607</v>
      </c>
      <c r="X908" s="1604"/>
      <c r="Y908" s="1601" t="s">
        <v>5173</v>
      </c>
      <c r="Z908" s="1608"/>
    </row>
    <row r="909" spans="1:26" ht="14.4" hidden="1">
      <c r="A909" s="1756"/>
      <c r="B909" s="1605" t="s">
        <v>2943</v>
      </c>
      <c r="C909" s="1812" t="s">
        <v>6059</v>
      </c>
      <c r="D909" s="1811"/>
      <c r="E909" s="1806" t="s">
        <v>5114</v>
      </c>
      <c r="F909" s="1235"/>
      <c r="G909" s="1812" t="s">
        <v>5115</v>
      </c>
      <c r="H909" s="1604"/>
      <c r="I909" s="1604" t="s">
        <v>2549</v>
      </c>
      <c r="J909" s="1604" t="s">
        <v>2488</v>
      </c>
      <c r="K909" s="1817">
        <v>44503</v>
      </c>
      <c r="L909" s="1685" t="s">
        <v>990</v>
      </c>
      <c r="M909" s="1462" t="s">
        <v>5116</v>
      </c>
      <c r="N909" s="1604" t="s">
        <v>5117</v>
      </c>
      <c r="O909" s="1604">
        <v>2021</v>
      </c>
      <c r="P909" s="1604" t="s">
        <v>905</v>
      </c>
      <c r="Q909" s="1604">
        <v>7</v>
      </c>
      <c r="R909" s="1604"/>
      <c r="S909" s="1604">
        <v>7</v>
      </c>
      <c r="T909" s="1605" t="s">
        <v>5118</v>
      </c>
      <c r="U909" s="1679" t="s">
        <v>4247</v>
      </c>
      <c r="V909" s="1679"/>
      <c r="W909" s="1604" t="s">
        <v>2238</v>
      </c>
      <c r="X909" s="1604"/>
      <c r="Y909" s="1601"/>
      <c r="Z909" s="1608"/>
    </row>
    <row r="910" spans="1:26" ht="14.4" hidden="1">
      <c r="A910" s="1768"/>
      <c r="B910" s="1806" t="s">
        <v>5119</v>
      </c>
      <c r="C910" s="1601" t="s">
        <v>5120</v>
      </c>
      <c r="E910" s="1605" t="s">
        <v>5121</v>
      </c>
      <c r="F910" s="1604" t="s">
        <v>4193</v>
      </c>
      <c r="G910" s="1790" t="s">
        <v>5122</v>
      </c>
      <c r="H910" s="1604"/>
      <c r="I910" s="1604" t="s">
        <v>2549</v>
      </c>
      <c r="J910" s="1604" t="s">
        <v>2494</v>
      </c>
      <c r="K910" s="1817">
        <v>44519</v>
      </c>
      <c r="L910" s="1685" t="s">
        <v>990</v>
      </c>
      <c r="M910" s="1613" t="s">
        <v>5123</v>
      </c>
      <c r="N910" s="1604" t="s">
        <v>915</v>
      </c>
      <c r="O910" s="1604">
        <v>2021</v>
      </c>
      <c r="P910" s="1604" t="s">
        <v>905</v>
      </c>
      <c r="Q910" s="1604">
        <v>6</v>
      </c>
      <c r="R910" s="1604"/>
      <c r="S910" s="1604">
        <v>6</v>
      </c>
      <c r="T910" s="1605" t="s">
        <v>5124</v>
      </c>
      <c r="U910" s="1679" t="s">
        <v>4247</v>
      </c>
      <c r="V910" s="1679"/>
      <c r="W910" s="1604" t="s">
        <v>2564</v>
      </c>
      <c r="X910" s="1807" t="s">
        <v>4991</v>
      </c>
      <c r="Y910" s="1601"/>
      <c r="Z910" s="1608"/>
    </row>
    <row r="911" spans="1:26" ht="14.4" hidden="1">
      <c r="A911" s="1768"/>
      <c r="B911" s="1806" t="s">
        <v>5119</v>
      </c>
      <c r="C911" s="1601" t="s">
        <v>5126</v>
      </c>
      <c r="E911" s="1791" t="s">
        <v>5125</v>
      </c>
      <c r="F911" s="1778" t="s">
        <v>4374</v>
      </c>
      <c r="G911" s="1603" t="s">
        <v>3592</v>
      </c>
      <c r="H911" s="1604"/>
      <c r="I911" s="1604" t="s">
        <v>2318</v>
      </c>
      <c r="J911" s="1604" t="s">
        <v>3292</v>
      </c>
      <c r="K911" s="1817">
        <v>44524</v>
      </c>
      <c r="L911" s="1685" t="s">
        <v>990</v>
      </c>
      <c r="M911" s="1790" t="s">
        <v>5127</v>
      </c>
      <c r="N911" s="1604" t="s">
        <v>913</v>
      </c>
      <c r="O911" s="1604">
        <v>2021</v>
      </c>
      <c r="P911" s="1604" t="s">
        <v>905</v>
      </c>
      <c r="Q911" s="1604">
        <v>3</v>
      </c>
      <c r="R911" s="1604"/>
      <c r="S911" s="1604">
        <v>3</v>
      </c>
      <c r="T911" s="1605" t="s">
        <v>5128</v>
      </c>
      <c r="U911" s="1679" t="s">
        <v>4247</v>
      </c>
      <c r="V911" s="1679"/>
      <c r="W911" s="1604" t="s">
        <v>2607</v>
      </c>
      <c r="X911" s="1807" t="s">
        <v>4960</v>
      </c>
      <c r="Y911" s="1601"/>
      <c r="Z911" s="1608"/>
    </row>
    <row r="912" spans="1:26" hidden="1">
      <c r="A912" s="1768"/>
      <c r="B912" s="1806" t="s">
        <v>588</v>
      </c>
      <c r="C912" s="1601" t="s">
        <v>5131</v>
      </c>
      <c r="E912" s="1605" t="s">
        <v>5130</v>
      </c>
      <c r="F912" s="1778"/>
      <c r="G912" s="1601" t="s">
        <v>5129</v>
      </c>
      <c r="H912" s="1604"/>
      <c r="I912" s="1604" t="s">
        <v>4808</v>
      </c>
      <c r="J912" s="1604"/>
      <c r="K912" s="1817">
        <v>44524</v>
      </c>
      <c r="L912" s="1685" t="s">
        <v>990</v>
      </c>
      <c r="M912" s="1613" t="s">
        <v>5132</v>
      </c>
      <c r="N912" s="1604" t="s">
        <v>2320</v>
      </c>
      <c r="O912" s="1604">
        <v>2021</v>
      </c>
      <c r="P912" s="1604" t="s">
        <v>905</v>
      </c>
      <c r="Q912" s="1604">
        <v>5</v>
      </c>
      <c r="R912" s="1604"/>
      <c r="S912" s="1604">
        <v>5</v>
      </c>
      <c r="T912" s="1605" t="s">
        <v>5133</v>
      </c>
      <c r="U912" s="1679" t="s">
        <v>4247</v>
      </c>
      <c r="V912" s="1679"/>
      <c r="W912" s="1604" t="s">
        <v>2275</v>
      </c>
      <c r="X912" s="1604" t="s">
        <v>5134</v>
      </c>
      <c r="Y912" s="1601"/>
      <c r="Z912" s="1608"/>
    </row>
    <row r="913" spans="1:26" ht="14.4" hidden="1">
      <c r="A913" s="1683"/>
      <c r="B913" s="1605" t="s">
        <v>693</v>
      </c>
      <c r="C913" s="1601"/>
      <c r="E913" s="1605" t="s">
        <v>5137</v>
      </c>
      <c r="F913" s="1778"/>
      <c r="G913" s="1603" t="s">
        <v>2309</v>
      </c>
      <c r="H913" s="1604"/>
      <c r="I913" s="1604" t="s">
        <v>2310</v>
      </c>
      <c r="J913" s="1604" t="s">
        <v>2488</v>
      </c>
      <c r="K913" s="1620">
        <v>44528</v>
      </c>
      <c r="L913" s="1685" t="s">
        <v>990</v>
      </c>
      <c r="M913" s="1790" t="s">
        <v>5135</v>
      </c>
      <c r="N913" s="1604" t="s">
        <v>923</v>
      </c>
      <c r="O913" s="1604">
        <v>2021</v>
      </c>
      <c r="P913" s="1604" t="s">
        <v>905</v>
      </c>
      <c r="Q913" s="1604">
        <v>8</v>
      </c>
      <c r="R913" s="1604"/>
      <c r="S913" s="1604">
        <v>8</v>
      </c>
      <c r="T913" s="1605" t="s">
        <v>5136</v>
      </c>
      <c r="U913" s="1679" t="s">
        <v>4247</v>
      </c>
      <c r="V913" s="1679"/>
      <c r="W913" s="1604" t="s">
        <v>2564</v>
      </c>
      <c r="X913" s="1604"/>
      <c r="Y913" s="1601"/>
      <c r="Z913" s="1608"/>
    </row>
    <row r="914" spans="1:26" ht="14.4" hidden="1">
      <c r="A914" s="1604"/>
      <c r="B914" s="1345" t="s">
        <v>1958</v>
      </c>
      <c r="C914" s="1812" t="s">
        <v>5138</v>
      </c>
      <c r="E914" s="1605" t="s">
        <v>5139</v>
      </c>
      <c r="F914" s="1778"/>
      <c r="G914" s="1603" t="s">
        <v>2167</v>
      </c>
      <c r="H914" s="1604"/>
      <c r="I914" s="1604" t="s">
        <v>2549</v>
      </c>
      <c r="J914" s="1604" t="s">
        <v>2863</v>
      </c>
      <c r="K914" s="1620">
        <v>44532</v>
      </c>
      <c r="L914" s="1685" t="s">
        <v>990</v>
      </c>
      <c r="M914" s="1613" t="s">
        <v>5140</v>
      </c>
      <c r="N914" s="1604" t="s">
        <v>5090</v>
      </c>
      <c r="O914" s="1604">
        <v>2021</v>
      </c>
      <c r="P914" s="1604" t="s">
        <v>906</v>
      </c>
      <c r="Q914" s="1604">
        <v>6</v>
      </c>
      <c r="R914" s="1604"/>
      <c r="S914" s="1604">
        <v>6</v>
      </c>
      <c r="T914" s="1605" t="s">
        <v>5141</v>
      </c>
      <c r="U914" s="1679" t="s">
        <v>4247</v>
      </c>
      <c r="V914" s="1679"/>
      <c r="W914" s="1604" t="s">
        <v>2275</v>
      </c>
      <c r="X914" s="1604"/>
      <c r="Y914" s="1601" t="s">
        <v>5161</v>
      </c>
      <c r="Z914" s="1608" t="s">
        <v>5430</v>
      </c>
    </row>
    <row r="915" spans="1:26" hidden="1">
      <c r="A915" s="1768"/>
      <c r="B915" s="1345" t="s">
        <v>77</v>
      </c>
      <c r="C915" s="1601" t="s">
        <v>5143</v>
      </c>
      <c r="E915" s="1605" t="s">
        <v>5142</v>
      </c>
      <c r="F915" s="1604" t="s">
        <v>5144</v>
      </c>
      <c r="G915" s="1603" t="s">
        <v>2956</v>
      </c>
      <c r="H915" s="1604"/>
      <c r="I915" s="1604" t="s">
        <v>4808</v>
      </c>
      <c r="J915" s="1604" t="s">
        <v>2862</v>
      </c>
      <c r="K915" s="1620">
        <v>44537</v>
      </c>
      <c r="L915" s="1685" t="s">
        <v>990</v>
      </c>
      <c r="M915" s="1613" t="s">
        <v>5145</v>
      </c>
      <c r="N915" s="1604" t="s">
        <v>2320</v>
      </c>
      <c r="O915" s="1604">
        <v>2021</v>
      </c>
      <c r="P915" s="1604" t="s">
        <v>906</v>
      </c>
      <c r="Q915" s="1604">
        <v>3</v>
      </c>
      <c r="R915" s="1604"/>
      <c r="S915" s="1604">
        <v>3</v>
      </c>
      <c r="T915" s="1605" t="s">
        <v>5146</v>
      </c>
      <c r="U915" s="1679" t="s">
        <v>4247</v>
      </c>
      <c r="V915" s="1679"/>
      <c r="W915" s="1604" t="s">
        <v>2275</v>
      </c>
      <c r="X915" s="1604" t="s">
        <v>4934</v>
      </c>
      <c r="Y915" s="1601"/>
      <c r="Z915" s="1608"/>
    </row>
    <row r="916" spans="1:26" ht="41.4" hidden="1">
      <c r="A916" s="1604" t="s">
        <v>5182</v>
      </c>
      <c r="B916" s="1195" t="s">
        <v>1053</v>
      </c>
      <c r="C916" s="2868" t="s">
        <v>5181</v>
      </c>
      <c r="D916" s="1605"/>
      <c r="E916" s="1800" t="s">
        <v>5183</v>
      </c>
      <c r="F916" s="1604" t="s">
        <v>5184</v>
      </c>
      <c r="G916" s="2202" t="s">
        <v>5185</v>
      </c>
      <c r="H916" s="1604"/>
      <c r="I916" s="1604" t="s">
        <v>2549</v>
      </c>
      <c r="J916" s="1620" t="s">
        <v>5186</v>
      </c>
      <c r="K916" s="1970">
        <v>44565</v>
      </c>
      <c r="L916" s="1685" t="s">
        <v>990</v>
      </c>
      <c r="M916" s="1613" t="s">
        <v>5187</v>
      </c>
      <c r="N916" s="1604" t="s">
        <v>923</v>
      </c>
      <c r="O916" s="1604">
        <v>2022</v>
      </c>
      <c r="P916" s="1604" t="s">
        <v>2165</v>
      </c>
      <c r="Q916" s="1604">
        <v>2</v>
      </c>
      <c r="R916" s="1604"/>
      <c r="S916" s="1604">
        <v>2</v>
      </c>
      <c r="T916" s="1605" t="s">
        <v>5188</v>
      </c>
      <c r="U916" s="1679" t="s">
        <v>4247</v>
      </c>
      <c r="V916" s="1679"/>
      <c r="W916" s="1604" t="s">
        <v>2275</v>
      </c>
      <c r="X916" s="1601"/>
      <c r="Y916" s="1601"/>
      <c r="Z916" s="1608" t="s">
        <v>5430</v>
      </c>
    </row>
    <row r="917" spans="1:26" ht="55.2" hidden="1">
      <c r="A917" s="1604" t="s">
        <v>5195</v>
      </c>
      <c r="B917" s="1195" t="s">
        <v>694</v>
      </c>
      <c r="C917" s="2260" t="s">
        <v>5189</v>
      </c>
      <c r="D917" s="1185"/>
      <c r="E917" s="1800" t="s">
        <v>5190</v>
      </c>
      <c r="F917" s="1604">
        <v>32</v>
      </c>
      <c r="G917" s="2189" t="s">
        <v>2167</v>
      </c>
      <c r="H917" s="1604"/>
      <c r="I917" s="1604" t="s">
        <v>4808</v>
      </c>
      <c r="J917" s="1604" t="s">
        <v>5191</v>
      </c>
      <c r="K917" s="1970">
        <v>44577</v>
      </c>
      <c r="L917" s="1685" t="s">
        <v>990</v>
      </c>
      <c r="M917" s="1613" t="s">
        <v>5192</v>
      </c>
      <c r="N917" s="1604" t="s">
        <v>2320</v>
      </c>
      <c r="O917" s="1604">
        <v>2022</v>
      </c>
      <c r="P917" s="1604" t="s">
        <v>2165</v>
      </c>
      <c r="Q917" s="1604">
        <v>14</v>
      </c>
      <c r="R917" s="1604"/>
      <c r="S917" s="1604">
        <v>14</v>
      </c>
      <c r="T917" s="1605" t="s">
        <v>5193</v>
      </c>
      <c r="U917" s="1679" t="s">
        <v>4247</v>
      </c>
      <c r="V917" s="1679"/>
      <c r="W917" s="1604" t="s">
        <v>5194</v>
      </c>
      <c r="X917" s="1604"/>
      <c r="Y917" s="1601"/>
      <c r="Z917" s="1608" t="s">
        <v>5430</v>
      </c>
    </row>
    <row r="918" spans="1:26" ht="55.2" hidden="1">
      <c r="A918" s="1604" t="s">
        <v>5198</v>
      </c>
      <c r="B918" s="1605" t="s">
        <v>5196</v>
      </c>
      <c r="C918" s="2260" t="s">
        <v>5197</v>
      </c>
      <c r="D918" s="1185"/>
      <c r="E918" s="1800" t="s">
        <v>5199</v>
      </c>
      <c r="F918" s="1604">
        <v>22</v>
      </c>
      <c r="G918" s="1603" t="s">
        <v>1014</v>
      </c>
      <c r="H918" s="1604"/>
      <c r="I918" s="1604" t="s">
        <v>2549</v>
      </c>
      <c r="J918" s="1604" t="s">
        <v>2523</v>
      </c>
      <c r="K918" s="1620">
        <v>44571</v>
      </c>
      <c r="L918" s="1685" t="s">
        <v>990</v>
      </c>
      <c r="M918" s="1613" t="s">
        <v>5207</v>
      </c>
      <c r="N918" s="1604" t="s">
        <v>2320</v>
      </c>
      <c r="O918" s="1604">
        <v>2022</v>
      </c>
      <c r="P918" s="1604" t="s">
        <v>2165</v>
      </c>
      <c r="Q918" s="1604">
        <v>4</v>
      </c>
      <c r="R918" s="1604"/>
      <c r="S918" s="1604">
        <v>4</v>
      </c>
      <c r="T918" s="1605" t="s">
        <v>5211</v>
      </c>
      <c r="U918" s="1679" t="s">
        <v>4247</v>
      </c>
      <c r="V918" s="1679"/>
      <c r="W918" s="1604" t="s">
        <v>851</v>
      </c>
      <c r="X918" s="1604" t="s">
        <v>5205</v>
      </c>
      <c r="Y918" s="1601"/>
      <c r="Z918" s="1608"/>
    </row>
    <row r="919" spans="1:26" ht="69" hidden="1">
      <c r="A919" s="1604" t="s">
        <v>5212</v>
      </c>
      <c r="B919" s="1605" t="s">
        <v>5202</v>
      </c>
      <c r="C919" s="2260" t="s">
        <v>5203</v>
      </c>
      <c r="D919" s="1185"/>
      <c r="E919" s="1800" t="s">
        <v>5200</v>
      </c>
      <c r="F919" s="1604">
        <v>27</v>
      </c>
      <c r="G919" s="1603" t="s">
        <v>1014</v>
      </c>
      <c r="H919" s="1604"/>
      <c r="I919" s="1604" t="s">
        <v>2549</v>
      </c>
      <c r="J919" s="1604" t="s">
        <v>4846</v>
      </c>
      <c r="K919" s="1620">
        <v>44587</v>
      </c>
      <c r="L919" s="1685" t="s">
        <v>990</v>
      </c>
      <c r="M919" s="1613" t="s">
        <v>5208</v>
      </c>
      <c r="N919" s="1604" t="s">
        <v>917</v>
      </c>
      <c r="O919" s="1604">
        <v>2022</v>
      </c>
      <c r="P919" s="1604" t="s">
        <v>2165</v>
      </c>
      <c r="Q919" s="1604">
        <v>8</v>
      </c>
      <c r="R919" s="1604"/>
      <c r="S919" s="1604">
        <v>8</v>
      </c>
      <c r="T919" s="1605"/>
      <c r="U919" s="1679" t="s">
        <v>4247</v>
      </c>
      <c r="V919" s="1679"/>
      <c r="W919" s="1604" t="s">
        <v>5210</v>
      </c>
      <c r="X919" s="1604" t="s">
        <v>5206</v>
      </c>
      <c r="Y919" s="1601"/>
      <c r="Z919" s="1608"/>
    </row>
    <row r="920" spans="1:26" ht="41.4" hidden="1">
      <c r="A920" s="1604" t="s">
        <v>5213</v>
      </c>
      <c r="B920" s="1605" t="s">
        <v>5202</v>
      </c>
      <c r="C920" s="2260" t="s">
        <v>5203</v>
      </c>
      <c r="D920" s="1185"/>
      <c r="E920" s="1800" t="s">
        <v>5201</v>
      </c>
      <c r="F920" s="1604">
        <v>30</v>
      </c>
      <c r="G920" s="1603" t="s">
        <v>1014</v>
      </c>
      <c r="H920" s="1604"/>
      <c r="I920" s="1604" t="s">
        <v>2549</v>
      </c>
      <c r="J920" s="1604" t="s">
        <v>5204</v>
      </c>
      <c r="K920" s="1620">
        <v>44587</v>
      </c>
      <c r="L920" s="1685" t="s">
        <v>990</v>
      </c>
      <c r="M920" s="1613" t="s">
        <v>5209</v>
      </c>
      <c r="N920" s="1604" t="s">
        <v>917</v>
      </c>
      <c r="O920" s="1604">
        <v>2022</v>
      </c>
      <c r="P920" s="1604" t="s">
        <v>2165</v>
      </c>
      <c r="Q920" s="1604">
        <v>8</v>
      </c>
      <c r="R920" s="1604"/>
      <c r="S920" s="1604">
        <v>8</v>
      </c>
      <c r="T920" s="1605"/>
      <c r="U920" s="1679" t="s">
        <v>4247</v>
      </c>
      <c r="V920" s="1679"/>
      <c r="W920" s="1604" t="s">
        <v>5210</v>
      </c>
      <c r="X920" s="1604" t="s">
        <v>5206</v>
      </c>
      <c r="Y920" s="1601"/>
      <c r="Z920" s="1608"/>
    </row>
    <row r="921" spans="1:26" ht="55.2" hidden="1">
      <c r="A921" s="1604"/>
      <c r="B921" s="1605" t="s">
        <v>2943</v>
      </c>
      <c r="C921" s="2260" t="s">
        <v>6060</v>
      </c>
      <c r="D921" s="1185"/>
      <c r="E921" s="1800" t="s">
        <v>5214</v>
      </c>
      <c r="F921" s="1604">
        <v>52</v>
      </c>
      <c r="G921" s="1603" t="s">
        <v>2512</v>
      </c>
      <c r="H921" s="1604"/>
      <c r="I921" s="1604" t="s">
        <v>2549</v>
      </c>
      <c r="J921" s="1604"/>
      <c r="K921" s="1620">
        <v>44572</v>
      </c>
      <c r="L921" s="1685" t="s">
        <v>990</v>
      </c>
      <c r="M921" s="1613" t="s">
        <v>5215</v>
      </c>
      <c r="N921" s="1604" t="s">
        <v>913</v>
      </c>
      <c r="O921" s="1604">
        <v>2022</v>
      </c>
      <c r="P921" s="1604" t="s">
        <v>2165</v>
      </c>
      <c r="Q921" s="1604"/>
      <c r="R921" s="1604"/>
      <c r="S921" s="1604"/>
      <c r="T921" s="1605" t="s">
        <v>2294</v>
      </c>
      <c r="U921" s="1679" t="s">
        <v>4247</v>
      </c>
      <c r="V921" s="1679"/>
      <c r="W921" s="1604" t="s">
        <v>5216</v>
      </c>
      <c r="X921" s="1604" t="s">
        <v>5217</v>
      </c>
      <c r="Y921" s="1601"/>
      <c r="Z921" s="1608"/>
    </row>
    <row r="922" spans="1:26" ht="55.2" hidden="1">
      <c r="A922" s="1601"/>
      <c r="B922" s="1345" t="s">
        <v>789</v>
      </c>
      <c r="C922" s="2260" t="s">
        <v>5218</v>
      </c>
      <c r="D922" s="1605"/>
      <c r="E922" s="1800" t="s">
        <v>5219</v>
      </c>
      <c r="F922" s="1602">
        <v>22</v>
      </c>
      <c r="G922" s="1605" t="s">
        <v>3497</v>
      </c>
      <c r="H922" s="1604"/>
      <c r="I922" s="2974" t="s">
        <v>990</v>
      </c>
      <c r="J922" s="1620" t="s">
        <v>5220</v>
      </c>
      <c r="K922" s="1620">
        <v>44588</v>
      </c>
      <c r="L922" s="1613" t="s">
        <v>990</v>
      </c>
      <c r="M922" s="1613" t="s">
        <v>5221</v>
      </c>
      <c r="N922" s="1604" t="s">
        <v>2320</v>
      </c>
      <c r="O922" s="1604">
        <v>2022</v>
      </c>
      <c r="P922" s="1604" t="s">
        <v>2165</v>
      </c>
      <c r="Q922" s="1604">
        <v>4</v>
      </c>
      <c r="R922" s="1604"/>
      <c r="S922" s="1604">
        <v>4</v>
      </c>
      <c r="T922" s="1601" t="s">
        <v>5222</v>
      </c>
      <c r="U922" s="1605" t="s">
        <v>4247</v>
      </c>
      <c r="V922" s="1605"/>
      <c r="W922" s="1604" t="s">
        <v>5223</v>
      </c>
      <c r="X922" s="1601"/>
      <c r="Y922" s="1601"/>
      <c r="Z922" s="1608"/>
    </row>
    <row r="923" spans="1:26" ht="41.4" hidden="1">
      <c r="A923" s="1680"/>
      <c r="B923" s="1345" t="s">
        <v>1128</v>
      </c>
      <c r="C923" s="2869" t="s">
        <v>5227</v>
      </c>
      <c r="D923" s="1185"/>
      <c r="E923" s="2878" t="s">
        <v>5228</v>
      </c>
      <c r="F923" s="1683" t="s">
        <v>4884</v>
      </c>
      <c r="G923" s="2201" t="s">
        <v>5229</v>
      </c>
      <c r="H923" s="1683"/>
      <c r="I923" s="1683" t="s">
        <v>5230</v>
      </c>
      <c r="J923" s="1604" t="s">
        <v>2748</v>
      </c>
      <c r="K923" s="1681">
        <v>44593</v>
      </c>
      <c r="L923" s="1685" t="s">
        <v>990</v>
      </c>
      <c r="M923" s="1613" t="s">
        <v>5705</v>
      </c>
      <c r="N923" s="2002" t="s">
        <v>2320</v>
      </c>
      <c r="O923" s="1683">
        <v>2022</v>
      </c>
      <c r="P923" s="1683" t="s">
        <v>896</v>
      </c>
      <c r="Q923" s="1683">
        <v>36</v>
      </c>
      <c r="R923" s="1683"/>
      <c r="S923" s="1683">
        <v>36</v>
      </c>
      <c r="T923" s="1679" t="s">
        <v>5231</v>
      </c>
      <c r="U923" s="1679" t="s">
        <v>4247</v>
      </c>
      <c r="V923" s="1679"/>
      <c r="W923" s="1683" t="s">
        <v>2275</v>
      </c>
      <c r="X923" s="1683"/>
      <c r="Y923" s="1680"/>
      <c r="Z923" s="1608" t="s">
        <v>5430</v>
      </c>
    </row>
    <row r="924" spans="1:26" hidden="1">
      <c r="A924" s="1601"/>
      <c r="B924" s="1605" t="s">
        <v>2943</v>
      </c>
      <c r="C924" s="2260" t="s">
        <v>6061</v>
      </c>
      <c r="D924" s="1185"/>
      <c r="E924" s="1800" t="s">
        <v>5276</v>
      </c>
      <c r="F924" s="1604" t="s">
        <v>5277</v>
      </c>
      <c r="G924" s="1603" t="s">
        <v>5278</v>
      </c>
      <c r="H924" s="1604"/>
      <c r="I924" s="1604" t="s">
        <v>2549</v>
      </c>
      <c r="J924" s="1604" t="s">
        <v>3384</v>
      </c>
      <c r="K924" s="1620">
        <v>44597</v>
      </c>
      <c r="L924" s="1685" t="s">
        <v>990</v>
      </c>
      <c r="M924" s="1613" t="s">
        <v>5279</v>
      </c>
      <c r="N924" s="1778" t="s">
        <v>913</v>
      </c>
      <c r="O924" s="1604">
        <v>2022</v>
      </c>
      <c r="P924" s="1604" t="s">
        <v>896</v>
      </c>
      <c r="Q924" s="1604">
        <v>21</v>
      </c>
      <c r="R924" s="1604"/>
      <c r="S924" s="1604">
        <v>21</v>
      </c>
      <c r="T924" s="1605" t="s">
        <v>5282</v>
      </c>
      <c r="U924" s="1679" t="s">
        <v>4247</v>
      </c>
      <c r="V924" s="1679"/>
      <c r="W924" s="1604" t="s">
        <v>5281</v>
      </c>
      <c r="X924" s="1604"/>
      <c r="Y924" s="1601"/>
      <c r="Z924" s="1608"/>
    </row>
    <row r="925" spans="1:26" ht="15.6" hidden="1">
      <c r="A925" s="1982"/>
      <c r="B925" s="1989" t="s">
        <v>5232</v>
      </c>
      <c r="C925" s="1790" t="s">
        <v>5233</v>
      </c>
      <c r="D925" s="1185"/>
      <c r="E925" s="2879" t="s">
        <v>5234</v>
      </c>
      <c r="F925" s="1991" t="s">
        <v>5235</v>
      </c>
      <c r="G925" s="1779" t="s">
        <v>5236</v>
      </c>
      <c r="H925" s="1991"/>
      <c r="I925" s="1991" t="s">
        <v>2549</v>
      </c>
      <c r="J925" s="1991" t="s">
        <v>3781</v>
      </c>
      <c r="K925" s="2064">
        <v>44602</v>
      </c>
      <c r="L925" s="1992" t="s">
        <v>990</v>
      </c>
      <c r="M925" s="2004" t="s">
        <v>5237</v>
      </c>
      <c r="N925" s="2003" t="s">
        <v>5090</v>
      </c>
      <c r="O925" s="1991">
        <v>2022</v>
      </c>
      <c r="P925" s="1991" t="s">
        <v>896</v>
      </c>
      <c r="Q925" s="1991">
        <v>2</v>
      </c>
      <c r="R925" s="1991"/>
      <c r="S925" s="1991">
        <v>2</v>
      </c>
      <c r="T925" s="1990" t="s">
        <v>5238</v>
      </c>
      <c r="U925" s="1993" t="s">
        <v>4247</v>
      </c>
      <c r="V925" s="1993"/>
      <c r="W925" s="1991" t="s">
        <v>5721</v>
      </c>
      <c r="X925" s="1979" t="s">
        <v>5239</v>
      </c>
      <c r="Y925" s="1982"/>
      <c r="Z925" s="1608"/>
    </row>
    <row r="926" spans="1:26" ht="14.4" hidden="1">
      <c r="A926" s="1601"/>
      <c r="B926" s="1345" t="s">
        <v>2609</v>
      </c>
      <c r="C926" s="2260" t="s">
        <v>5241</v>
      </c>
      <c r="D926" s="1185"/>
      <c r="E926" s="2880" t="s">
        <v>5240</v>
      </c>
      <c r="F926" s="1604"/>
      <c r="G926" s="1603" t="s">
        <v>5242</v>
      </c>
      <c r="H926" s="1604"/>
      <c r="I926" s="1604" t="s">
        <v>2549</v>
      </c>
      <c r="J926" s="1604" t="s">
        <v>3490</v>
      </c>
      <c r="K926" s="1620">
        <v>44604</v>
      </c>
      <c r="L926" s="1685" t="s">
        <v>990</v>
      </c>
      <c r="M926" s="2126" t="s">
        <v>5713</v>
      </c>
      <c r="N926" s="1778" t="s">
        <v>2320</v>
      </c>
      <c r="O926" s="1604">
        <v>2022</v>
      </c>
      <c r="P926" s="1604" t="s">
        <v>896</v>
      </c>
      <c r="Q926" s="1604">
        <v>30</v>
      </c>
      <c r="R926" s="1604"/>
      <c r="S926" s="1604">
        <v>30</v>
      </c>
      <c r="T926" s="1605" t="s">
        <v>5243</v>
      </c>
      <c r="U926" s="1679" t="s">
        <v>4247</v>
      </c>
      <c r="V926" s="1679"/>
      <c r="W926" s="1604" t="s">
        <v>4240</v>
      </c>
      <c r="X926" s="1604"/>
      <c r="Y926" s="1601"/>
      <c r="Z926" s="1608"/>
    </row>
    <row r="927" spans="1:26" ht="23.7" hidden="1" customHeight="1">
      <c r="A927" s="1601"/>
      <c r="B927" s="1345" t="s">
        <v>1128</v>
      </c>
      <c r="C927" s="1790" t="s">
        <v>5247</v>
      </c>
      <c r="D927" s="1185"/>
      <c r="E927" s="1811" t="s">
        <v>5248</v>
      </c>
      <c r="F927" s="1604" t="s">
        <v>2873</v>
      </c>
      <c r="G927" s="1603" t="s">
        <v>5249</v>
      </c>
      <c r="H927" s="1604"/>
      <c r="I927" s="1604" t="s">
        <v>2549</v>
      </c>
      <c r="J927" s="1604" t="s">
        <v>2644</v>
      </c>
      <c r="K927" s="1620">
        <v>44607</v>
      </c>
      <c r="L927" s="1685" t="s">
        <v>990</v>
      </c>
      <c r="M927" s="1771" t="s">
        <v>5706</v>
      </c>
      <c r="N927" s="1778" t="s">
        <v>2320</v>
      </c>
      <c r="O927" s="1604">
        <v>2022</v>
      </c>
      <c r="P927" s="1604" t="s">
        <v>896</v>
      </c>
      <c r="Q927" s="1604">
        <v>3</v>
      </c>
      <c r="R927" s="1604"/>
      <c r="S927" s="1604">
        <v>3</v>
      </c>
      <c r="T927" s="1605" t="s">
        <v>5250</v>
      </c>
      <c r="U927" s="1679" t="s">
        <v>4247</v>
      </c>
      <c r="V927" s="1679"/>
      <c r="W927" s="1604" t="s">
        <v>2275</v>
      </c>
      <c r="X927" s="1604"/>
      <c r="Y927" s="1601"/>
      <c r="Z927" s="1608"/>
    </row>
    <row r="928" spans="1:26" ht="24.6" hidden="1" customHeight="1">
      <c r="A928" s="1601"/>
      <c r="B928" s="1345" t="s">
        <v>1309</v>
      </c>
      <c r="C928" s="2870" t="s">
        <v>5251</v>
      </c>
      <c r="D928" s="1185"/>
      <c r="E928" s="1800" t="s">
        <v>5252</v>
      </c>
      <c r="F928" s="1604" t="s">
        <v>5253</v>
      </c>
      <c r="G928" s="1462" t="s">
        <v>2842</v>
      </c>
      <c r="H928" s="1604"/>
      <c r="I928" s="1604" t="s">
        <v>2549</v>
      </c>
      <c r="J928" s="1604" t="s">
        <v>5254</v>
      </c>
      <c r="K928" s="1620">
        <v>44604</v>
      </c>
      <c r="L928" s="1685" t="s">
        <v>990</v>
      </c>
      <c r="M928" s="1771" t="s">
        <v>5709</v>
      </c>
      <c r="N928" s="1778" t="s">
        <v>2320</v>
      </c>
      <c r="O928" s="1604">
        <v>2022</v>
      </c>
      <c r="P928" s="1604" t="s">
        <v>896</v>
      </c>
      <c r="Q928" s="1604">
        <v>4</v>
      </c>
      <c r="R928" s="1604"/>
      <c r="S928" s="1604">
        <v>4</v>
      </c>
      <c r="T928" s="1605" t="s">
        <v>5255</v>
      </c>
      <c r="U928" s="1679" t="s">
        <v>4247</v>
      </c>
      <c r="V928" s="1679"/>
      <c r="W928" s="1604" t="s">
        <v>2238</v>
      </c>
      <c r="X928" s="1604"/>
      <c r="Y928" s="1601"/>
      <c r="Z928" s="1608"/>
    </row>
    <row r="929" spans="1:26" ht="11.7" hidden="1" customHeight="1">
      <c r="A929" s="1601"/>
      <c r="B929" s="1520" t="s">
        <v>91</v>
      </c>
      <c r="C929" s="2871" t="s">
        <v>5076</v>
      </c>
      <c r="D929" s="1185"/>
      <c r="E929" s="1800" t="s">
        <v>5256</v>
      </c>
      <c r="F929" s="1604" t="s">
        <v>4977</v>
      </c>
      <c r="G929" s="1603" t="s">
        <v>3377</v>
      </c>
      <c r="H929" s="1604"/>
      <c r="I929" s="1604" t="s">
        <v>4808</v>
      </c>
      <c r="J929" s="1604"/>
      <c r="K929" s="1620">
        <v>44610</v>
      </c>
      <c r="L929" s="1685" t="s">
        <v>5261</v>
      </c>
      <c r="M929" s="1365" t="s">
        <v>5257</v>
      </c>
      <c r="N929" s="1778" t="s">
        <v>5258</v>
      </c>
      <c r="O929" s="1604">
        <v>2022</v>
      </c>
      <c r="P929" s="1604" t="s">
        <v>896</v>
      </c>
      <c r="Q929" s="1604"/>
      <c r="R929" s="1604"/>
      <c r="S929" s="1604"/>
      <c r="T929" s="1605" t="s">
        <v>5259</v>
      </c>
      <c r="U929" s="1679" t="s">
        <v>4247</v>
      </c>
      <c r="V929" s="1679"/>
      <c r="W929" s="1604" t="s">
        <v>5260</v>
      </c>
      <c r="X929" s="1604"/>
      <c r="Y929" s="1601"/>
      <c r="Z929" s="1608"/>
    </row>
    <row r="930" spans="1:26" ht="14.4" hidden="1">
      <c r="A930" s="1601"/>
      <c r="B930" s="1185" t="s">
        <v>602</v>
      </c>
      <c r="C930" s="2872" t="s">
        <v>3298</v>
      </c>
      <c r="D930" s="1185"/>
      <c r="E930" s="1800" t="s">
        <v>5267</v>
      </c>
      <c r="F930" s="1604"/>
      <c r="G930" s="1603" t="s">
        <v>5268</v>
      </c>
      <c r="H930" s="1604"/>
      <c r="I930" s="1604" t="s">
        <v>2549</v>
      </c>
      <c r="J930" s="1604" t="s">
        <v>5269</v>
      </c>
      <c r="K930" s="1620">
        <v>44613</v>
      </c>
      <c r="L930" s="1613" t="s">
        <v>990</v>
      </c>
      <c r="M930" s="1988" t="s">
        <v>5714</v>
      </c>
      <c r="N930" s="1778" t="s">
        <v>913</v>
      </c>
      <c r="O930" s="1604">
        <v>2022</v>
      </c>
      <c r="P930" s="1604" t="s">
        <v>896</v>
      </c>
      <c r="Q930" s="1604">
        <v>3</v>
      </c>
      <c r="R930" s="1604"/>
      <c r="S930" s="1604">
        <v>3</v>
      </c>
      <c r="T930" s="1605" t="s">
        <v>2296</v>
      </c>
      <c r="U930" s="1679" t="s">
        <v>4247</v>
      </c>
      <c r="V930" s="1679"/>
      <c r="W930" s="1604" t="s">
        <v>2564</v>
      </c>
      <c r="X930" s="1604" t="s">
        <v>1228</v>
      </c>
      <c r="Y930" s="1601"/>
      <c r="Z930" s="1608"/>
    </row>
    <row r="931" spans="1:26" ht="14.4" hidden="1">
      <c r="A931" s="1604" t="s">
        <v>5274</v>
      </c>
      <c r="B931" s="1686" t="s">
        <v>5270</v>
      </c>
      <c r="C931" s="2260" t="s">
        <v>5271</v>
      </c>
      <c r="D931" s="1185"/>
      <c r="E931" s="2881" t="s">
        <v>5272</v>
      </c>
      <c r="F931" s="1604" t="s">
        <v>5273</v>
      </c>
      <c r="G931" s="1603" t="s">
        <v>3251</v>
      </c>
      <c r="H931" s="1604"/>
      <c r="I931" s="1604" t="s">
        <v>4808</v>
      </c>
      <c r="J931" s="1604" t="s">
        <v>1387</v>
      </c>
      <c r="K931" s="1620">
        <v>44618</v>
      </c>
      <c r="L931" s="1613" t="s">
        <v>990</v>
      </c>
      <c r="M931" s="1613" t="s">
        <v>5572</v>
      </c>
      <c r="N931" s="1778" t="s">
        <v>913</v>
      </c>
      <c r="O931" s="1604">
        <v>2022</v>
      </c>
      <c r="P931" s="1604" t="s">
        <v>896</v>
      </c>
      <c r="Q931" s="1604">
        <v>164</v>
      </c>
      <c r="R931" s="1604"/>
      <c r="S931" s="1604">
        <v>164</v>
      </c>
      <c r="T931" s="1605" t="s">
        <v>4204</v>
      </c>
      <c r="U931" s="1679" t="s">
        <v>4247</v>
      </c>
      <c r="V931" s="1679"/>
      <c r="W931" s="1604" t="s">
        <v>2564</v>
      </c>
      <c r="X931" s="1604" t="s">
        <v>5275</v>
      </c>
      <c r="Y931" s="1601"/>
      <c r="Z931" s="1608"/>
    </row>
    <row r="932" spans="1:26" ht="14.4" hidden="1">
      <c r="A932" s="1601"/>
      <c r="B932" s="1185" t="s">
        <v>602</v>
      </c>
      <c r="C932" s="2001" t="s">
        <v>5283</v>
      </c>
      <c r="D932" s="1185"/>
      <c r="E932" s="1800" t="s">
        <v>5284</v>
      </c>
      <c r="F932" s="1604" t="s">
        <v>5285</v>
      </c>
      <c r="G932" s="1462" t="s">
        <v>2956</v>
      </c>
      <c r="H932" s="1604"/>
      <c r="I932" s="1604" t="s">
        <v>2549</v>
      </c>
      <c r="J932" s="1604" t="s">
        <v>2602</v>
      </c>
      <c r="K932" s="1620">
        <v>44621</v>
      </c>
      <c r="L932" s="1613" t="s">
        <v>990</v>
      </c>
      <c r="M932" s="1462" t="s">
        <v>5715</v>
      </c>
      <c r="N932" s="1604" t="s">
        <v>5280</v>
      </c>
      <c r="O932" s="1604">
        <v>2022</v>
      </c>
      <c r="P932" s="1604" t="s">
        <v>897</v>
      </c>
      <c r="Q932" s="1604">
        <v>30</v>
      </c>
      <c r="R932" s="1604"/>
      <c r="S932" s="1604">
        <v>60</v>
      </c>
      <c r="T932" s="1605" t="s">
        <v>5286</v>
      </c>
      <c r="U932" s="1679" t="s">
        <v>4247</v>
      </c>
      <c r="V932" s="1679"/>
      <c r="W932" s="1604" t="s">
        <v>2340</v>
      </c>
      <c r="X932" s="1604" t="s">
        <v>5287</v>
      </c>
      <c r="Y932" s="1601"/>
      <c r="Z932" s="1608"/>
    </row>
    <row r="933" spans="1:26" ht="14.4" hidden="1">
      <c r="A933" s="1601"/>
      <c r="B933" s="1800" t="s">
        <v>789</v>
      </c>
      <c r="C933" s="2260" t="s">
        <v>5288</v>
      </c>
      <c r="D933" s="1185"/>
      <c r="E933" s="1800" t="s">
        <v>5289</v>
      </c>
      <c r="F933" s="1604" t="s">
        <v>5277</v>
      </c>
      <c r="G933" s="1603" t="s">
        <v>2516</v>
      </c>
      <c r="H933" s="1778"/>
      <c r="I933" s="1604" t="s">
        <v>2318</v>
      </c>
      <c r="J933" s="1604" t="s">
        <v>5290</v>
      </c>
      <c r="K933" s="1620">
        <v>44622</v>
      </c>
      <c r="L933" s="1613" t="s">
        <v>990</v>
      </c>
      <c r="M933" s="1613" t="s">
        <v>5291</v>
      </c>
      <c r="N933" s="1604" t="s">
        <v>923</v>
      </c>
      <c r="O933" s="1604">
        <v>2022</v>
      </c>
      <c r="P933" s="1604" t="s">
        <v>897</v>
      </c>
      <c r="Q933" s="1604">
        <v>3</v>
      </c>
      <c r="R933" s="1604"/>
      <c r="S933" s="1604">
        <v>3</v>
      </c>
      <c r="T933" s="1605" t="s">
        <v>5293</v>
      </c>
      <c r="U933" s="1679" t="s">
        <v>4247</v>
      </c>
      <c r="V933" s="1679"/>
      <c r="W933" s="1604" t="s">
        <v>2275</v>
      </c>
      <c r="X933" s="1997" t="s">
        <v>5292</v>
      </c>
      <c r="Y933" s="1601"/>
      <c r="Z933" s="1608"/>
    </row>
    <row r="934" spans="1:26" ht="16.5" hidden="1" customHeight="1">
      <c r="A934" s="1601"/>
      <c r="B934" s="1605" t="s">
        <v>5196</v>
      </c>
      <c r="C934" s="2260" t="s">
        <v>5395</v>
      </c>
      <c r="D934" s="1185"/>
      <c r="E934" s="2878" t="s">
        <v>5397</v>
      </c>
      <c r="F934" s="1604"/>
      <c r="G934" s="1603"/>
      <c r="H934" s="2002"/>
      <c r="I934" s="1604"/>
      <c r="J934" s="1683"/>
      <c r="K934" s="1620">
        <v>44622</v>
      </c>
      <c r="L934" s="1613" t="s">
        <v>990</v>
      </c>
      <c r="M934" s="1613" t="s">
        <v>5398</v>
      </c>
      <c r="N934" s="1604" t="s">
        <v>923</v>
      </c>
      <c r="O934" s="1604">
        <v>2022</v>
      </c>
      <c r="P934" s="1604" t="s">
        <v>897</v>
      </c>
      <c r="Q934" s="1683">
        <v>2</v>
      </c>
      <c r="R934" s="1683"/>
      <c r="S934" s="1683">
        <v>2</v>
      </c>
      <c r="T934" s="1679" t="s">
        <v>2294</v>
      </c>
      <c r="U934" s="1679" t="s">
        <v>4247</v>
      </c>
      <c r="V934" s="1679"/>
      <c r="W934" s="1604" t="s">
        <v>3450</v>
      </c>
      <c r="X934" s="1235" t="s">
        <v>5396</v>
      </c>
      <c r="Y934" s="1999"/>
      <c r="Z934" s="1608"/>
    </row>
    <row r="935" spans="1:26" ht="14.4" hidden="1">
      <c r="A935" s="2000" t="s">
        <v>5298</v>
      </c>
      <c r="B935" s="1605" t="s">
        <v>5196</v>
      </c>
      <c r="C935" s="2260" t="s">
        <v>5399</v>
      </c>
      <c r="D935" s="1185"/>
      <c r="E935" s="2878" t="s">
        <v>5294</v>
      </c>
      <c r="F935" s="1683" t="s">
        <v>5235</v>
      </c>
      <c r="G935" s="1791" t="s">
        <v>5295</v>
      </c>
      <c r="H935" s="1778"/>
      <c r="I935" s="1683" t="s">
        <v>2318</v>
      </c>
      <c r="J935" s="1683" t="s">
        <v>5296</v>
      </c>
      <c r="K935" s="1681">
        <v>44631</v>
      </c>
      <c r="L935" s="1613" t="s">
        <v>990</v>
      </c>
      <c r="M935" s="1998" t="s">
        <v>5297</v>
      </c>
      <c r="N935" s="1683" t="s">
        <v>913</v>
      </c>
      <c r="O935" s="1683">
        <v>2022</v>
      </c>
      <c r="P935" s="1683" t="s">
        <v>897</v>
      </c>
      <c r="Q935" s="1604">
        <v>3</v>
      </c>
      <c r="R935" s="1604"/>
      <c r="S935" s="1604">
        <v>3</v>
      </c>
      <c r="T935" s="1679" t="s">
        <v>5299</v>
      </c>
      <c r="U935" s="1679" t="s">
        <v>4247</v>
      </c>
      <c r="V935" s="1679"/>
      <c r="W935" s="2053" t="s">
        <v>2564</v>
      </c>
      <c r="X935" s="2000" t="s">
        <v>5239</v>
      </c>
      <c r="Y935" s="1601"/>
      <c r="Z935" s="1608"/>
    </row>
    <row r="936" spans="1:26" ht="28.2" hidden="1" customHeight="1">
      <c r="A936" s="1604" t="s">
        <v>5306</v>
      </c>
      <c r="B936" s="1605" t="s">
        <v>5196</v>
      </c>
      <c r="C936" s="2260" t="s">
        <v>5300</v>
      </c>
      <c r="D936" s="1185"/>
      <c r="E936" s="1800" t="s">
        <v>5301</v>
      </c>
      <c r="F936" s="1604" t="s">
        <v>5302</v>
      </c>
      <c r="G936" s="1603" t="s">
        <v>5303</v>
      </c>
      <c r="H936" s="1604"/>
      <c r="I936" s="1604" t="s">
        <v>2549</v>
      </c>
      <c r="J936" s="1604" t="s">
        <v>2497</v>
      </c>
      <c r="K936" s="1681">
        <v>44631</v>
      </c>
      <c r="L936" s="1613" t="s">
        <v>990</v>
      </c>
      <c r="M936" s="1613" t="s">
        <v>5400</v>
      </c>
      <c r="N936" s="1604" t="s">
        <v>917</v>
      </c>
      <c r="O936" s="1683">
        <v>2022</v>
      </c>
      <c r="P936" s="1683" t="s">
        <v>897</v>
      </c>
      <c r="Q936" s="1604">
        <v>58</v>
      </c>
      <c r="R936" s="1604"/>
      <c r="S936" s="1604">
        <v>58</v>
      </c>
      <c r="T936" s="1605" t="s">
        <v>5304</v>
      </c>
      <c r="U936" s="1679" t="s">
        <v>4247</v>
      </c>
      <c r="V936" s="1679"/>
      <c r="W936" s="1604" t="s">
        <v>5574</v>
      </c>
      <c r="X936" s="1809" t="s">
        <v>5305</v>
      </c>
      <c r="Y936" s="1601"/>
      <c r="Z936" s="1608"/>
    </row>
    <row r="937" spans="1:26" ht="28.2" hidden="1" customHeight="1">
      <c r="A937" s="1604"/>
      <c r="B937" s="1605" t="s">
        <v>5196</v>
      </c>
      <c r="C937" s="2260" t="s">
        <v>5402</v>
      </c>
      <c r="D937" s="1185"/>
      <c r="E937" s="1800" t="s">
        <v>5401</v>
      </c>
      <c r="F937" s="1604"/>
      <c r="G937" s="1603"/>
      <c r="H937" s="1683"/>
      <c r="I937" s="1604" t="s">
        <v>2549</v>
      </c>
      <c r="J937" s="1604"/>
      <c r="K937" s="1620">
        <v>44639</v>
      </c>
      <c r="L937" s="1613" t="s">
        <v>990</v>
      </c>
      <c r="M937" s="1613" t="s">
        <v>5403</v>
      </c>
      <c r="N937" s="1604" t="s">
        <v>923</v>
      </c>
      <c r="O937" s="1683">
        <v>2022</v>
      </c>
      <c r="P937" s="1683" t="s">
        <v>897</v>
      </c>
      <c r="Q937" s="1604">
        <v>2</v>
      </c>
      <c r="R937" s="1683"/>
      <c r="S937" s="1604">
        <v>2</v>
      </c>
      <c r="T937" s="1605" t="s">
        <v>5404</v>
      </c>
      <c r="U937" s="1679" t="s">
        <v>4247</v>
      </c>
      <c r="V937" s="1679"/>
      <c r="W937" s="2053" t="s">
        <v>5405</v>
      </c>
      <c r="X937" s="1807" t="s">
        <v>5206</v>
      </c>
      <c r="Y937" s="1680"/>
      <c r="Z937" s="1608"/>
    </row>
    <row r="938" spans="1:26" ht="24.6" hidden="1" customHeight="1">
      <c r="A938" s="2000" t="s">
        <v>5310</v>
      </c>
      <c r="B938" s="1605" t="s">
        <v>693</v>
      </c>
      <c r="C938" s="2260" t="s">
        <v>5307</v>
      </c>
      <c r="D938" s="1185"/>
      <c r="E938" s="1800" t="s">
        <v>5308</v>
      </c>
      <c r="F938" s="1604"/>
      <c r="G938" s="2189" t="s">
        <v>5309</v>
      </c>
      <c r="H938" s="1683"/>
      <c r="I938" s="1604" t="s">
        <v>2318</v>
      </c>
      <c r="J938" s="1604" t="s">
        <v>2748</v>
      </c>
      <c r="K938" s="1681">
        <v>44631</v>
      </c>
      <c r="L938" s="1613" t="s">
        <v>990</v>
      </c>
      <c r="M938" s="1613" t="s">
        <v>5710</v>
      </c>
      <c r="N938" s="1604" t="s">
        <v>2320</v>
      </c>
      <c r="O938" s="1604">
        <v>2022</v>
      </c>
      <c r="P938" s="1604" t="s">
        <v>897</v>
      </c>
      <c r="Q938" s="1604">
        <v>12</v>
      </c>
      <c r="R938" s="1683"/>
      <c r="S938" s="1604">
        <v>12</v>
      </c>
      <c r="T938" s="1605" t="s">
        <v>5311</v>
      </c>
      <c r="U938" s="1679" t="s">
        <v>4247</v>
      </c>
      <c r="V938" s="1679"/>
      <c r="W938" s="1604" t="s">
        <v>3837</v>
      </c>
      <c r="X938" s="1604"/>
      <c r="Y938" s="1680"/>
      <c r="Z938" s="1608" t="s">
        <v>5430</v>
      </c>
    </row>
    <row r="939" spans="1:26" ht="14.4" hidden="1">
      <c r="A939" s="1807" t="s">
        <v>5315</v>
      </c>
      <c r="B939" s="1605" t="s">
        <v>5196</v>
      </c>
      <c r="C939" s="2260" t="s">
        <v>5312</v>
      </c>
      <c r="D939" s="1185"/>
      <c r="E939" t="s">
        <v>5313</v>
      </c>
      <c r="F939" s="1604" t="s">
        <v>5235</v>
      </c>
      <c r="G939" s="1682" t="s">
        <v>5236</v>
      </c>
      <c r="H939" s="1604"/>
      <c r="I939" s="1683" t="s">
        <v>2318</v>
      </c>
      <c r="J939" s="1683" t="s">
        <v>3781</v>
      </c>
      <c r="K939" s="1681">
        <v>44630</v>
      </c>
      <c r="L939" s="1613" t="s">
        <v>990</v>
      </c>
      <c r="M939" s="1685" t="s">
        <v>5314</v>
      </c>
      <c r="N939" s="1683" t="s">
        <v>5090</v>
      </c>
      <c r="O939" s="1683">
        <v>2022</v>
      </c>
      <c r="P939" s="1683" t="s">
        <v>897</v>
      </c>
      <c r="Q939" s="1683">
        <v>2</v>
      </c>
      <c r="R939" s="1604"/>
      <c r="S939" s="1683">
        <v>2</v>
      </c>
      <c r="T939" s="1462" t="s">
        <v>5316</v>
      </c>
      <c r="U939" s="1679" t="s">
        <v>4247</v>
      </c>
      <c r="V939" s="1679"/>
      <c r="W939" s="1683" t="s">
        <v>4451</v>
      </c>
      <c r="X939" s="1807" t="s">
        <v>5239</v>
      </c>
      <c r="Y939" s="1601"/>
      <c r="Z939" s="1608"/>
    </row>
    <row r="940" spans="1:26" ht="14.4" hidden="1">
      <c r="A940" s="1807" t="s">
        <v>5319</v>
      </c>
      <c r="B940" s="1605" t="s">
        <v>2906</v>
      </c>
      <c r="C940" s="2260" t="s">
        <v>5317</v>
      </c>
      <c r="D940" s="1185"/>
      <c r="E940" s="1800" t="s">
        <v>5318</v>
      </c>
      <c r="F940" s="1604"/>
      <c r="G940" s="1603" t="s">
        <v>4807</v>
      </c>
      <c r="H940" s="1604"/>
      <c r="I940" s="1604" t="s">
        <v>2549</v>
      </c>
      <c r="J940" s="1604" t="s">
        <v>3490</v>
      </c>
      <c r="K940" s="1620">
        <v>44626</v>
      </c>
      <c r="L940" s="1613" t="s">
        <v>990</v>
      </c>
      <c r="M940" s="1613" t="s">
        <v>5320</v>
      </c>
      <c r="N940" s="1604" t="s">
        <v>2320</v>
      </c>
      <c r="O940" s="1604">
        <v>2022</v>
      </c>
      <c r="P940" s="1604" t="s">
        <v>897</v>
      </c>
      <c r="Q940" s="1604">
        <v>21</v>
      </c>
      <c r="R940" s="1604"/>
      <c r="S940" s="1604">
        <v>21</v>
      </c>
      <c r="T940" s="1605" t="s">
        <v>5321</v>
      </c>
      <c r="U940" s="1679" t="s">
        <v>4247</v>
      </c>
      <c r="V940" s="1679"/>
      <c r="W940" s="1604" t="s">
        <v>2340</v>
      </c>
      <c r="X940" s="1604" t="s">
        <v>5322</v>
      </c>
      <c r="Y940" s="1601"/>
      <c r="Z940" s="1608"/>
    </row>
    <row r="941" spans="1:26" ht="55.2" hidden="1">
      <c r="A941" s="1601"/>
      <c r="B941" s="1185" t="s">
        <v>602</v>
      </c>
      <c r="C941" s="2260" t="s">
        <v>6051</v>
      </c>
      <c r="D941" s="1185"/>
      <c r="E941" s="1800" t="s">
        <v>5330</v>
      </c>
      <c r="F941" s="1604"/>
      <c r="G941" s="1603" t="s">
        <v>5242</v>
      </c>
      <c r="H941" s="1604"/>
      <c r="I941" s="1604" t="s">
        <v>2549</v>
      </c>
      <c r="J941" s="1604"/>
      <c r="K941" s="1620">
        <v>44635</v>
      </c>
      <c r="L941" s="1613" t="s">
        <v>990</v>
      </c>
      <c r="M941" s="1613" t="s">
        <v>5716</v>
      </c>
      <c r="N941" s="1604" t="s">
        <v>2320</v>
      </c>
      <c r="O941" s="1604">
        <v>2022</v>
      </c>
      <c r="P941" s="1604" t="s">
        <v>897</v>
      </c>
      <c r="Q941" s="1604">
        <v>30</v>
      </c>
      <c r="R941" s="1604"/>
      <c r="S941" s="1604">
        <v>30</v>
      </c>
      <c r="T941" s="1462" t="s">
        <v>5323</v>
      </c>
      <c r="U941" s="1679" t="s">
        <v>4247</v>
      </c>
      <c r="V941" s="1679"/>
      <c r="W941" s="1604" t="s">
        <v>2564</v>
      </c>
      <c r="X941" s="1604" t="s">
        <v>5324</v>
      </c>
      <c r="Y941" s="1601"/>
      <c r="Z941" s="1608"/>
    </row>
    <row r="942" spans="1:26" ht="27.6" hidden="1">
      <c r="A942" s="1601"/>
      <c r="B942" s="1800" t="s">
        <v>693</v>
      </c>
      <c r="C942" s="2260" t="s">
        <v>5326</v>
      </c>
      <c r="D942" s="1185"/>
      <c r="E942" s="1800" t="s">
        <v>5325</v>
      </c>
      <c r="F942" s="1604" t="s">
        <v>5327</v>
      </c>
      <c r="G942" s="2198" t="s">
        <v>2167</v>
      </c>
      <c r="H942" s="1604"/>
      <c r="I942" s="1604" t="s">
        <v>4808</v>
      </c>
      <c r="J942" s="1604" t="s">
        <v>2168</v>
      </c>
      <c r="K942" s="1620">
        <v>44638</v>
      </c>
      <c r="L942" s="1613" t="s">
        <v>990</v>
      </c>
      <c r="M942" s="1613" t="s">
        <v>5711</v>
      </c>
      <c r="N942" s="1604" t="s">
        <v>5328</v>
      </c>
      <c r="O942" s="1604">
        <v>2022</v>
      </c>
      <c r="P942" s="1604" t="s">
        <v>897</v>
      </c>
      <c r="Q942" s="1604">
        <v>24</v>
      </c>
      <c r="R942" s="1604"/>
      <c r="S942" s="1604">
        <v>24</v>
      </c>
      <c r="T942" s="1605" t="s">
        <v>2234</v>
      </c>
      <c r="U942" s="1679" t="s">
        <v>4247</v>
      </c>
      <c r="V942" s="1679"/>
      <c r="W942" s="1604" t="s">
        <v>2564</v>
      </c>
      <c r="X942" s="1604"/>
      <c r="Y942" s="1601"/>
      <c r="Z942" s="1608" t="s">
        <v>5430</v>
      </c>
    </row>
    <row r="943" spans="1:26" ht="41.4" hidden="1">
      <c r="A943" s="1601"/>
      <c r="B943" s="1195" t="s">
        <v>694</v>
      </c>
      <c r="C943" s="2260" t="s">
        <v>5331</v>
      </c>
      <c r="D943" s="1185"/>
      <c r="E943" s="1790" t="s">
        <v>5329</v>
      </c>
      <c r="F943" s="1604" t="s">
        <v>4193</v>
      </c>
      <c r="G943" s="1603" t="s">
        <v>5332</v>
      </c>
      <c r="H943" s="2970"/>
      <c r="I943" s="1604" t="s">
        <v>4808</v>
      </c>
      <c r="J943" s="1997" t="s">
        <v>5333</v>
      </c>
      <c r="K943" s="1620">
        <v>44639</v>
      </c>
      <c r="L943" s="1613" t="s">
        <v>990</v>
      </c>
      <c r="M943" s="1613" t="s">
        <v>5717</v>
      </c>
      <c r="N943" s="1604" t="s">
        <v>5328</v>
      </c>
      <c r="O943" s="1604">
        <v>2022</v>
      </c>
      <c r="P943" s="1604" t="s">
        <v>897</v>
      </c>
      <c r="Q943" s="1604">
        <v>3</v>
      </c>
      <c r="R943" s="1604"/>
      <c r="S943" s="1604">
        <v>3</v>
      </c>
      <c r="T943" s="1605" t="s">
        <v>5334</v>
      </c>
      <c r="U943" s="1679" t="s">
        <v>4247</v>
      </c>
      <c r="V943" s="1679"/>
      <c r="W943" s="1604" t="s">
        <v>5335</v>
      </c>
      <c r="X943" s="1462" t="s">
        <v>5336</v>
      </c>
      <c r="Y943" s="1601"/>
      <c r="Z943" s="1608" t="s">
        <v>5430</v>
      </c>
    </row>
    <row r="944" spans="1:26" hidden="1">
      <c r="A944" s="1601"/>
      <c r="B944" s="1800" t="s">
        <v>893</v>
      </c>
      <c r="C944" s="2260" t="s">
        <v>5337</v>
      </c>
      <c r="D944" s="1185"/>
      <c r="E944" s="1800" t="s">
        <v>5338</v>
      </c>
      <c r="F944" s="1604" t="s">
        <v>5339</v>
      </c>
      <c r="G944" s="2005" t="s">
        <v>5340</v>
      </c>
      <c r="H944" s="1604"/>
      <c r="I944" s="1604" t="s">
        <v>4808</v>
      </c>
      <c r="J944" s="1604" t="s">
        <v>5431</v>
      </c>
      <c r="K944" s="1620">
        <v>44639</v>
      </c>
      <c r="L944" s="1613" t="s">
        <v>990</v>
      </c>
      <c r="M944" s="1613" t="s">
        <v>5341</v>
      </c>
      <c r="N944" s="1604" t="s">
        <v>2320</v>
      </c>
      <c r="O944" s="1604">
        <v>2022</v>
      </c>
      <c r="P944" s="1604" t="s">
        <v>897</v>
      </c>
      <c r="Q944" s="1604">
        <v>14</v>
      </c>
      <c r="R944" s="1604"/>
      <c r="S944" s="1604">
        <v>14</v>
      </c>
      <c r="T944" s="1605" t="s">
        <v>5342</v>
      </c>
      <c r="U944" s="1679" t="s">
        <v>4247</v>
      </c>
      <c r="V944" s="1679"/>
      <c r="W944" s="1604" t="s">
        <v>4254</v>
      </c>
      <c r="X944" s="1604"/>
      <c r="Y944" s="1601"/>
      <c r="Z944" s="1608"/>
    </row>
    <row r="945" spans="1:26" hidden="1">
      <c r="A945" s="1601"/>
      <c r="B945" s="1800" t="s">
        <v>790</v>
      </c>
      <c r="C945" s="2260" t="s">
        <v>5343</v>
      </c>
      <c r="D945" s="1185"/>
      <c r="E945" s="1800" t="s">
        <v>5344</v>
      </c>
      <c r="F945" s="1604"/>
      <c r="G945" s="1603"/>
      <c r="H945" s="1604"/>
      <c r="I945" s="1604" t="s">
        <v>2549</v>
      </c>
      <c r="J945" s="1604"/>
      <c r="K945" s="1620">
        <v>44642</v>
      </c>
      <c r="L945" s="1613" t="s">
        <v>990</v>
      </c>
      <c r="M945" s="1613" t="s">
        <v>5347</v>
      </c>
      <c r="N945" s="1604" t="s">
        <v>925</v>
      </c>
      <c r="O945" s="1604">
        <v>2022</v>
      </c>
      <c r="P945" s="1604" t="s">
        <v>897</v>
      </c>
      <c r="Q945" s="1604">
        <v>7</v>
      </c>
      <c r="R945" s="1604"/>
      <c r="S945" s="1604">
        <v>7</v>
      </c>
      <c r="T945" s="1764" t="s">
        <v>5345</v>
      </c>
      <c r="U945" s="1679" t="s">
        <v>4247</v>
      </c>
      <c r="V945" s="1679"/>
      <c r="W945" s="1604" t="s">
        <v>2275</v>
      </c>
      <c r="X945" s="1604" t="s">
        <v>5346</v>
      </c>
      <c r="Y945" s="1601"/>
      <c r="Z945" s="1608"/>
    </row>
    <row r="946" spans="1:26" hidden="1">
      <c r="A946" s="1601"/>
      <c r="B946" s="1800" t="s">
        <v>5270</v>
      </c>
      <c r="C946" s="2260" t="s">
        <v>5348</v>
      </c>
      <c r="D946" s="1185"/>
      <c r="E946" s="1800" t="s">
        <v>5349</v>
      </c>
      <c r="F946" s="1604" t="s">
        <v>5020</v>
      </c>
      <c r="G946" s="1603" t="s">
        <v>5350</v>
      </c>
      <c r="H946" s="1604"/>
      <c r="I946" s="1604" t="s">
        <v>4808</v>
      </c>
      <c r="J946" s="1604" t="s">
        <v>2497</v>
      </c>
      <c r="K946" s="1620">
        <v>44642</v>
      </c>
      <c r="L946" s="1613" t="s">
        <v>990</v>
      </c>
      <c r="M946" s="1613" t="s">
        <v>5573</v>
      </c>
      <c r="N946" s="1604" t="s">
        <v>2320</v>
      </c>
      <c r="O946" s="1604">
        <v>2022</v>
      </c>
      <c r="P946" s="1604" t="s">
        <v>897</v>
      </c>
      <c r="Q946" s="1604">
        <v>71</v>
      </c>
      <c r="R946" s="1604"/>
      <c r="S946" s="1604">
        <v>71</v>
      </c>
      <c r="T946" s="1605" t="s">
        <v>5351</v>
      </c>
      <c r="U946" s="1679" t="s">
        <v>4247</v>
      </c>
      <c r="V946" s="1679"/>
      <c r="W946" s="1604" t="s">
        <v>2340</v>
      </c>
      <c r="X946" s="1604"/>
      <c r="Y946" s="1601"/>
      <c r="Z946" s="1608"/>
    </row>
    <row r="947" spans="1:26" ht="41.4" hidden="1">
      <c r="A947" s="1601"/>
      <c r="B947" s="1800" t="s">
        <v>5270</v>
      </c>
      <c r="C947" s="1608" t="s">
        <v>5406</v>
      </c>
      <c r="D947" s="1185"/>
      <c r="E947" s="1800" t="s">
        <v>5407</v>
      </c>
      <c r="F947" s="1604"/>
      <c r="G947" s="1603"/>
      <c r="H947" s="2971"/>
      <c r="I947" s="1610" t="s">
        <v>2549</v>
      </c>
      <c r="J947" s="1604"/>
      <c r="K947" s="1620">
        <v>44650</v>
      </c>
      <c r="L947" s="1613" t="s">
        <v>990</v>
      </c>
      <c r="M947" s="1634" t="s">
        <v>5408</v>
      </c>
      <c r="N947" s="1610" t="s">
        <v>2320</v>
      </c>
      <c r="O947" s="1604">
        <v>2022</v>
      </c>
      <c r="P947" s="1604" t="s">
        <v>897</v>
      </c>
      <c r="Q947" s="1610">
        <v>8</v>
      </c>
      <c r="R947" s="1604"/>
      <c r="S947" s="1610">
        <v>8</v>
      </c>
      <c r="T947" s="1627" t="s">
        <v>5409</v>
      </c>
      <c r="U947" s="1679" t="s">
        <v>4247</v>
      </c>
      <c r="V947" s="1627"/>
      <c r="W947" s="1610" t="s">
        <v>2275</v>
      </c>
      <c r="X947" s="1604" t="s">
        <v>5410</v>
      </c>
      <c r="Y947" s="1601"/>
      <c r="Z947" s="1608"/>
    </row>
    <row r="948" spans="1:26" hidden="1">
      <c r="A948" s="1601"/>
      <c r="B948" s="1605" t="s">
        <v>2943</v>
      </c>
      <c r="C948" s="2260" t="s">
        <v>6062</v>
      </c>
      <c r="D948" s="1185"/>
      <c r="E948" s="1800" t="s">
        <v>5352</v>
      </c>
      <c r="G948" s="1603" t="s">
        <v>5354</v>
      </c>
      <c r="H948" s="1604"/>
      <c r="I948" s="1604" t="s">
        <v>2549</v>
      </c>
      <c r="J948" s="1604" t="s">
        <v>2644</v>
      </c>
      <c r="K948" s="1620">
        <v>44644</v>
      </c>
      <c r="L948" s="1613" t="s">
        <v>990</v>
      </c>
      <c r="M948" s="1613" t="s">
        <v>5367</v>
      </c>
      <c r="N948" s="1604" t="s">
        <v>913</v>
      </c>
      <c r="O948" s="1604">
        <v>2022</v>
      </c>
      <c r="P948" s="1604" t="s">
        <v>897</v>
      </c>
      <c r="Q948" s="1604">
        <v>7</v>
      </c>
      <c r="R948" s="1604"/>
      <c r="S948" s="1604">
        <v>7</v>
      </c>
      <c r="T948" s="1605" t="s">
        <v>5357</v>
      </c>
      <c r="U948" s="1679" t="s">
        <v>4247</v>
      </c>
      <c r="V948" s="1679"/>
      <c r="W948" s="1604" t="s">
        <v>2564</v>
      </c>
      <c r="X948" s="984" t="s">
        <v>5356</v>
      </c>
      <c r="Y948" s="1601"/>
      <c r="Z948" s="1608"/>
    </row>
    <row r="949" spans="1:26" ht="14.4" hidden="1">
      <c r="A949" s="1601"/>
      <c r="B949" s="1605" t="s">
        <v>2943</v>
      </c>
      <c r="C949" s="2260" t="s">
        <v>6062</v>
      </c>
      <c r="D949" s="1185"/>
      <c r="E949" s="1800" t="s">
        <v>5353</v>
      </c>
      <c r="F949" s="1604"/>
      <c r="G949" s="1603" t="s">
        <v>5354</v>
      </c>
      <c r="H949" s="1604"/>
      <c r="I949" s="1604" t="s">
        <v>2549</v>
      </c>
      <c r="J949" s="1604" t="s">
        <v>2706</v>
      </c>
      <c r="K949" s="1620">
        <v>44644</v>
      </c>
      <c r="L949" s="1613" t="s">
        <v>990</v>
      </c>
      <c r="M949" s="1613" t="s">
        <v>5366</v>
      </c>
      <c r="N949" s="1604" t="s">
        <v>913</v>
      </c>
      <c r="O949" s="1604">
        <v>2022</v>
      </c>
      <c r="P949" s="1604" t="s">
        <v>897</v>
      </c>
      <c r="Q949" s="2866">
        <v>6000</v>
      </c>
      <c r="R949" s="2866"/>
      <c r="S949" s="2866">
        <v>6000</v>
      </c>
      <c r="T949" s="1605" t="s">
        <v>5357</v>
      </c>
      <c r="U949" s="1679" t="s">
        <v>4247</v>
      </c>
      <c r="V949" s="1679"/>
      <c r="W949" s="1604" t="s">
        <v>2340</v>
      </c>
      <c r="X949" s="1809" t="s">
        <v>5355</v>
      </c>
      <c r="Y949" s="1601"/>
      <c r="Z949" s="1608"/>
    </row>
    <row r="950" spans="1:26" ht="29.4" hidden="1" thickBot="1">
      <c r="A950" s="1601"/>
      <c r="B950" s="1800" t="s">
        <v>5196</v>
      </c>
      <c r="C950" s="2260" t="s">
        <v>5411</v>
      </c>
      <c r="D950" s="1185"/>
      <c r="E950" s="1800" t="s">
        <v>5358</v>
      </c>
      <c r="F950" s="1604" t="s">
        <v>4989</v>
      </c>
      <c r="G950" s="1787" t="s">
        <v>5295</v>
      </c>
      <c r="H950" s="1604"/>
      <c r="I950" s="1604" t="s">
        <v>4808</v>
      </c>
      <c r="J950" s="1604" t="s">
        <v>2605</v>
      </c>
      <c r="K950" s="1620">
        <v>44644</v>
      </c>
      <c r="L950" s="1601" t="s">
        <v>990</v>
      </c>
      <c r="M950" s="1613" t="s">
        <v>5365</v>
      </c>
      <c r="N950" s="1604" t="s">
        <v>5090</v>
      </c>
      <c r="O950" s="1604">
        <v>2022</v>
      </c>
      <c r="P950" s="1604" t="s">
        <v>897</v>
      </c>
      <c r="Q950" s="1604">
        <v>6</v>
      </c>
      <c r="R950" s="1604"/>
      <c r="S950" s="1604">
        <v>6</v>
      </c>
      <c r="T950" s="1605" t="s">
        <v>5360</v>
      </c>
      <c r="U950" s="1679" t="s">
        <v>4247</v>
      </c>
      <c r="V950" s="1679"/>
      <c r="W950" s="1604" t="s">
        <v>5359</v>
      </c>
      <c r="X950" s="2006" t="s">
        <v>5361</v>
      </c>
      <c r="Y950" s="1601"/>
      <c r="Z950" s="1608"/>
    </row>
    <row r="951" spans="1:26" ht="14.4" hidden="1">
      <c r="A951" s="1601"/>
      <c r="B951" s="1605" t="s">
        <v>384</v>
      </c>
      <c r="C951" s="2260" t="s">
        <v>5362</v>
      </c>
      <c r="D951" s="1185"/>
      <c r="E951" s="1800" t="s">
        <v>5363</v>
      </c>
      <c r="F951" s="1604"/>
      <c r="G951" s="1787" t="s">
        <v>5368</v>
      </c>
      <c r="H951" s="1604"/>
      <c r="I951" s="1604" t="s">
        <v>4808</v>
      </c>
      <c r="J951" s="1604" t="s">
        <v>2488</v>
      </c>
      <c r="K951" s="1620">
        <v>44647</v>
      </c>
      <c r="L951" s="1601" t="s">
        <v>990</v>
      </c>
      <c r="M951" s="1613" t="s">
        <v>5364</v>
      </c>
      <c r="N951" s="1604" t="s">
        <v>925</v>
      </c>
      <c r="O951" s="1604">
        <v>2022</v>
      </c>
      <c r="P951" s="1604" t="s">
        <v>897</v>
      </c>
      <c r="Q951" s="1604">
        <v>7</v>
      </c>
      <c r="R951" s="1604"/>
      <c r="S951" s="1604">
        <v>7</v>
      </c>
      <c r="T951" s="2007" t="s">
        <v>5369</v>
      </c>
      <c r="U951" s="1679" t="s">
        <v>4247</v>
      </c>
      <c r="V951" s="1679"/>
      <c r="W951" s="1604" t="s">
        <v>3882</v>
      </c>
      <c r="X951" s="1604"/>
      <c r="Y951" s="1601"/>
      <c r="Z951" s="1608"/>
    </row>
    <row r="952" spans="1:26" ht="14.4" hidden="1">
      <c r="A952" s="1601"/>
      <c r="B952" s="1520" t="s">
        <v>91</v>
      </c>
      <c r="C952" s="2260" t="s">
        <v>5373</v>
      </c>
      <c r="D952" s="1185"/>
      <c r="E952" s="2882" t="s">
        <v>5374</v>
      </c>
      <c r="F952" s="1604">
        <v>53</v>
      </c>
      <c r="G952" s="1603" t="s">
        <v>5375</v>
      </c>
      <c r="H952" s="1604"/>
      <c r="I952" s="1604" t="s">
        <v>2318</v>
      </c>
      <c r="J952" s="1604" t="s">
        <v>3490</v>
      </c>
      <c r="K952" s="1826">
        <v>44658</v>
      </c>
      <c r="L952" s="1601" t="s">
        <v>990</v>
      </c>
      <c r="M952" s="1613" t="s">
        <v>5376</v>
      </c>
      <c r="N952" s="1604" t="s">
        <v>2320</v>
      </c>
      <c r="O952" s="1604">
        <v>2022</v>
      </c>
      <c r="P952" s="1604" t="s">
        <v>898</v>
      </c>
      <c r="Q952" s="1604">
        <v>11</v>
      </c>
      <c r="R952" s="1604"/>
      <c r="S952" s="1604">
        <v>11</v>
      </c>
      <c r="T952" s="1605" t="s">
        <v>5377</v>
      </c>
      <c r="U952" s="1679" t="s">
        <v>4247</v>
      </c>
      <c r="V952" s="1679"/>
      <c r="W952" s="1604" t="s">
        <v>2275</v>
      </c>
      <c r="X952" s="1604"/>
      <c r="Y952" s="1601"/>
      <c r="Z952" s="1608"/>
    </row>
    <row r="953" spans="1:26" ht="14.4" hidden="1">
      <c r="A953" s="1601"/>
      <c r="B953" s="2075" t="s">
        <v>876</v>
      </c>
      <c r="C953" s="2260" t="s">
        <v>6065</v>
      </c>
      <c r="D953" s="1185"/>
      <c r="E953" s="1800" t="s">
        <v>5378</v>
      </c>
      <c r="F953" s="1604">
        <v>34</v>
      </c>
      <c r="G953" s="1603" t="s">
        <v>5379</v>
      </c>
      <c r="H953" s="1604"/>
      <c r="I953" s="1604" t="s">
        <v>2318</v>
      </c>
      <c r="J953" s="1604" t="s">
        <v>5380</v>
      </c>
      <c r="K953" s="1826">
        <v>44662</v>
      </c>
      <c r="L953" s="1601" t="s">
        <v>990</v>
      </c>
      <c r="M953" s="1790" t="s">
        <v>5381</v>
      </c>
      <c r="N953" s="1604" t="s">
        <v>925</v>
      </c>
      <c r="O953" s="1604">
        <v>2022</v>
      </c>
      <c r="P953" s="1604" t="s">
        <v>898</v>
      </c>
      <c r="Q953" s="1604">
        <v>10</v>
      </c>
      <c r="R953" s="1604"/>
      <c r="S953" s="1604">
        <v>10</v>
      </c>
      <c r="T953" s="2007" t="s">
        <v>5382</v>
      </c>
      <c r="U953" s="1679" t="s">
        <v>4247</v>
      </c>
      <c r="V953" s="1679"/>
      <c r="W953" s="1604" t="s">
        <v>2275</v>
      </c>
      <c r="X953" s="1604"/>
      <c r="Y953" s="1601"/>
      <c r="Z953" s="1608"/>
    </row>
    <row r="954" spans="1:26" ht="14.4" hidden="1">
      <c r="A954" s="1601"/>
      <c r="B954" s="1601" t="s">
        <v>5119</v>
      </c>
      <c r="C954" s="1790" t="s">
        <v>5383</v>
      </c>
      <c r="D954" s="1185"/>
      <c r="E954" s="2880" t="s">
        <v>5384</v>
      </c>
      <c r="F954" s="1604">
        <v>46</v>
      </c>
      <c r="G954" s="1790" t="s">
        <v>4066</v>
      </c>
      <c r="H954" s="1604"/>
      <c r="I954" s="1604" t="s">
        <v>4808</v>
      </c>
      <c r="J954" s="1604" t="s">
        <v>2488</v>
      </c>
      <c r="K954" s="1826">
        <v>44671</v>
      </c>
      <c r="L954" s="1601" t="s">
        <v>990</v>
      </c>
      <c r="M954" s="1613" t="s">
        <v>5385</v>
      </c>
      <c r="N954" s="1604" t="s">
        <v>913</v>
      </c>
      <c r="O954" s="1604">
        <v>2022</v>
      </c>
      <c r="P954" s="1604" t="s">
        <v>898</v>
      </c>
      <c r="Q954" s="1604">
        <v>38</v>
      </c>
      <c r="R954" s="1604"/>
      <c r="S954" s="1604">
        <v>38</v>
      </c>
      <c r="T954" s="1787" t="s">
        <v>5386</v>
      </c>
      <c r="U954" s="1605" t="s">
        <v>4247</v>
      </c>
      <c r="V954" s="1605"/>
      <c r="W954" s="1604" t="s">
        <v>2340</v>
      </c>
      <c r="X954" s="1604" t="s">
        <v>3202</v>
      </c>
      <c r="Y954" s="1601"/>
      <c r="Z954" s="1608"/>
    </row>
    <row r="955" spans="1:26" ht="55.2" hidden="1">
      <c r="A955" s="1601"/>
      <c r="B955" s="1605" t="s">
        <v>5119</v>
      </c>
      <c r="C955" s="2260" t="s">
        <v>5412</v>
      </c>
      <c r="D955" s="1185"/>
      <c r="E955" s="1627" t="s">
        <v>5413</v>
      </c>
      <c r="F955" s="1604">
        <v>25</v>
      </c>
      <c r="G955" s="1603" t="s">
        <v>5268</v>
      </c>
      <c r="H955" s="1604"/>
      <c r="I955" s="1610" t="s">
        <v>4808</v>
      </c>
      <c r="J955" s="1604" t="s">
        <v>2523</v>
      </c>
      <c r="K955" s="1826">
        <v>44667</v>
      </c>
      <c r="L955" s="1601" t="s">
        <v>5426</v>
      </c>
      <c r="M955" s="1613" t="s">
        <v>5414</v>
      </c>
      <c r="N955" s="1610" t="s">
        <v>2320</v>
      </c>
      <c r="O955" s="1604">
        <v>2022</v>
      </c>
      <c r="P955" s="1604" t="s">
        <v>898</v>
      </c>
      <c r="Q955" s="1610">
        <v>7</v>
      </c>
      <c r="R955" s="1604"/>
      <c r="S955" s="1610">
        <v>7</v>
      </c>
      <c r="U955" s="1605" t="s">
        <v>4247</v>
      </c>
      <c r="V955" s="1627"/>
      <c r="W955" s="1610" t="s">
        <v>5415</v>
      </c>
      <c r="X955" s="1604" t="s">
        <v>5396</v>
      </c>
      <c r="Y955" s="1601"/>
      <c r="Z955" s="1608"/>
    </row>
    <row r="956" spans="1:26" ht="15" hidden="1" thickBot="1">
      <c r="A956" s="1601"/>
      <c r="B956" s="2052" t="s">
        <v>591</v>
      </c>
      <c r="C956" s="2260" t="s">
        <v>6069</v>
      </c>
      <c r="D956" s="1185"/>
      <c r="E956" s="1800" t="s">
        <v>5387</v>
      </c>
      <c r="F956" s="1604"/>
      <c r="G956" s="2199" t="s">
        <v>3592</v>
      </c>
      <c r="H956" s="1604"/>
      <c r="I956" s="1604" t="s">
        <v>5388</v>
      </c>
      <c r="J956" s="1604" t="s">
        <v>5389</v>
      </c>
      <c r="K956" s="1826">
        <v>44674</v>
      </c>
      <c r="L956" s="1601" t="s">
        <v>990</v>
      </c>
      <c r="M956" s="2051" t="s">
        <v>5390</v>
      </c>
      <c r="N956" s="1604" t="s">
        <v>2320</v>
      </c>
      <c r="O956" s="1604">
        <v>2022</v>
      </c>
      <c r="P956" s="1604" t="s">
        <v>898</v>
      </c>
      <c r="Q956" s="1604">
        <v>12</v>
      </c>
      <c r="R956" s="1604"/>
      <c r="S956" s="1604">
        <v>12</v>
      </c>
      <c r="T956" s="1605" t="s">
        <v>5391</v>
      </c>
      <c r="U956" s="1605" t="s">
        <v>4247</v>
      </c>
      <c r="V956" s="1605"/>
      <c r="W956" s="1604" t="s">
        <v>3450</v>
      </c>
      <c r="X956" s="1604"/>
      <c r="Y956" s="1601"/>
      <c r="Z956" s="1608" t="s">
        <v>5430</v>
      </c>
    </row>
    <row r="957" spans="1:26" ht="27.6" hidden="1">
      <c r="A957" s="1601"/>
      <c r="B957" s="1185" t="s">
        <v>602</v>
      </c>
      <c r="C957" s="2260" t="s">
        <v>5392</v>
      </c>
      <c r="D957" s="1185"/>
      <c r="E957" s="2883" t="s">
        <v>5393</v>
      </c>
      <c r="F957" s="1604"/>
      <c r="G957" s="1603" t="s">
        <v>5268</v>
      </c>
      <c r="H957" s="1604"/>
      <c r="I957" s="1604" t="s">
        <v>4808</v>
      </c>
      <c r="J957" s="1604" t="s">
        <v>5394</v>
      </c>
      <c r="K957" s="1826">
        <v>44677</v>
      </c>
      <c r="L957" s="1601" t="s">
        <v>990</v>
      </c>
      <c r="M957" s="1613" t="s">
        <v>5718</v>
      </c>
      <c r="N957" s="1604" t="s">
        <v>2320</v>
      </c>
      <c r="O957" s="1604">
        <v>2022</v>
      </c>
      <c r="P957" s="1604" t="s">
        <v>898</v>
      </c>
      <c r="Q957" s="1604">
        <v>3</v>
      </c>
      <c r="R957" s="1604"/>
      <c r="S957" s="1604">
        <v>3</v>
      </c>
      <c r="T957" s="1605" t="s">
        <v>2265</v>
      </c>
      <c r="U957" s="1605" t="s">
        <v>4247</v>
      </c>
      <c r="V957" s="1605"/>
      <c r="W957" s="1604" t="s">
        <v>3450</v>
      </c>
      <c r="X957" s="1604" t="s">
        <v>1228</v>
      </c>
      <c r="Y957" s="1601"/>
      <c r="Z957" s="1608" t="s">
        <v>5430</v>
      </c>
    </row>
    <row r="958" spans="1:26" hidden="1">
      <c r="A958" s="1601" t="s">
        <v>5416</v>
      </c>
      <c r="B958" s="1195" t="s">
        <v>1053</v>
      </c>
      <c r="C958" s="2260" t="s">
        <v>5418</v>
      </c>
      <c r="D958" s="1185"/>
      <c r="E958" s="1800" t="s">
        <v>5417</v>
      </c>
      <c r="F958" s="1604">
        <v>25</v>
      </c>
      <c r="G958" s="2189" t="s">
        <v>3447</v>
      </c>
      <c r="H958" s="1604"/>
      <c r="I958" s="1604" t="s">
        <v>4808</v>
      </c>
      <c r="J958" s="1604" t="s">
        <v>2523</v>
      </c>
      <c r="K958" s="1826">
        <v>44663</v>
      </c>
      <c r="L958" s="1601" t="s">
        <v>990</v>
      </c>
      <c r="M958" s="1613" t="s">
        <v>5419</v>
      </c>
      <c r="N958" s="1604" t="s">
        <v>917</v>
      </c>
      <c r="O958" s="1604">
        <v>2022</v>
      </c>
      <c r="P958" s="1604" t="s">
        <v>898</v>
      </c>
      <c r="Q958" s="1604">
        <v>6</v>
      </c>
      <c r="R958" s="1604"/>
      <c r="S958" s="1604">
        <v>6</v>
      </c>
      <c r="T958" s="1605" t="s">
        <v>2234</v>
      </c>
      <c r="U958" s="1605" t="s">
        <v>4247</v>
      </c>
      <c r="V958" s="1605"/>
      <c r="W958" s="1604" t="s">
        <v>2564</v>
      </c>
      <c r="X958" s="1604"/>
      <c r="Y958" s="1601"/>
      <c r="Z958" s="1608" t="s">
        <v>5430</v>
      </c>
    </row>
    <row r="959" spans="1:26" hidden="1">
      <c r="A959" s="1601" t="s">
        <v>5420</v>
      </c>
      <c r="B959" s="1195" t="s">
        <v>1053</v>
      </c>
      <c r="C959" s="2260" t="s">
        <v>5423</v>
      </c>
      <c r="D959" s="1185"/>
      <c r="E959" s="1800" t="s">
        <v>5422</v>
      </c>
      <c r="F959" s="1604">
        <v>32</v>
      </c>
      <c r="G959" s="1603" t="s">
        <v>3497</v>
      </c>
      <c r="H959" s="1604"/>
      <c r="I959" s="1604" t="s">
        <v>4808</v>
      </c>
      <c r="J959" s="1604" t="s">
        <v>5424</v>
      </c>
      <c r="K959" s="1826">
        <v>44664</v>
      </c>
      <c r="L959" s="1601" t="s">
        <v>990</v>
      </c>
      <c r="M959" s="1613" t="s">
        <v>5421</v>
      </c>
      <c r="N959" s="1604" t="s">
        <v>925</v>
      </c>
      <c r="O959" s="1604">
        <v>2022</v>
      </c>
      <c r="P959" s="1604" t="s">
        <v>898</v>
      </c>
      <c r="Q959" s="1604">
        <v>13</v>
      </c>
      <c r="R959" s="1604"/>
      <c r="S959" s="1604">
        <v>13</v>
      </c>
      <c r="T959" s="1605" t="s">
        <v>5425</v>
      </c>
      <c r="U959" s="1605" t="s">
        <v>4247</v>
      </c>
      <c r="V959" s="1605"/>
      <c r="W959" s="1604" t="s">
        <v>2238</v>
      </c>
      <c r="X959" s="1604"/>
      <c r="Y959" s="1601"/>
      <c r="Z959" s="1608"/>
    </row>
    <row r="960" spans="1:26" hidden="1">
      <c r="A960" s="1601"/>
      <c r="B960" s="2075" t="s">
        <v>876</v>
      </c>
      <c r="C960" s="2260" t="s">
        <v>6066</v>
      </c>
      <c r="D960" s="1605"/>
      <c r="E960" s="1800" t="s">
        <v>5434</v>
      </c>
      <c r="F960" s="1602">
        <v>23</v>
      </c>
      <c r="G960" s="2102" t="s">
        <v>5435</v>
      </c>
      <c r="H960" s="1604"/>
      <c r="I960" s="1604" t="s">
        <v>2549</v>
      </c>
      <c r="J960" s="1604" t="s">
        <v>5436</v>
      </c>
      <c r="K960" s="1826">
        <v>44708</v>
      </c>
      <c r="L960" s="1601" t="s">
        <v>990</v>
      </c>
      <c r="M960" s="1605" t="s">
        <v>5437</v>
      </c>
      <c r="N960" s="1604" t="s">
        <v>2320</v>
      </c>
      <c r="O960" s="1604">
        <v>2022</v>
      </c>
      <c r="P960" s="1604" t="s">
        <v>899</v>
      </c>
      <c r="Q960" s="1604">
        <v>12</v>
      </c>
      <c r="R960" s="1604"/>
      <c r="S960" s="1604">
        <v>12</v>
      </c>
      <c r="T960" s="1605" t="s">
        <v>2626</v>
      </c>
      <c r="U960" s="1605" t="s">
        <v>4247</v>
      </c>
      <c r="V960" s="1605"/>
      <c r="W960" s="1604" t="s">
        <v>2564</v>
      </c>
      <c r="X960" s="1601"/>
      <c r="Y960" s="1601"/>
      <c r="Z960" s="1608" t="s">
        <v>5430</v>
      </c>
    </row>
    <row r="961" spans="1:26" hidden="1">
      <c r="A961" s="1601"/>
      <c r="B961" s="1605" t="s">
        <v>5446</v>
      </c>
      <c r="C961" s="2260" t="s">
        <v>5447</v>
      </c>
      <c r="D961" s="1605"/>
      <c r="E961" s="2884" t="s">
        <v>5448</v>
      </c>
      <c r="F961" s="1604">
        <v>33</v>
      </c>
      <c r="G961" s="1605" t="s">
        <v>5449</v>
      </c>
      <c r="H961" s="1604"/>
      <c r="I961" s="1604" t="s">
        <v>4808</v>
      </c>
      <c r="J961" s="1604" t="s">
        <v>2301</v>
      </c>
      <c r="K961" s="1826">
        <v>44735</v>
      </c>
      <c r="L961" s="1601" t="s">
        <v>990</v>
      </c>
      <c r="M961" s="1613" t="s">
        <v>5450</v>
      </c>
      <c r="N961" s="1604" t="s">
        <v>913</v>
      </c>
      <c r="O961" s="1604">
        <v>2022</v>
      </c>
      <c r="P961" s="1604" t="s">
        <v>900</v>
      </c>
      <c r="Q961" s="1604">
        <v>6</v>
      </c>
      <c r="R961" s="1604"/>
      <c r="S961" s="1604">
        <v>6</v>
      </c>
      <c r="T961" s="1605" t="s">
        <v>2233</v>
      </c>
      <c r="U961" s="1605" t="s">
        <v>4247</v>
      </c>
      <c r="V961" s="1605"/>
      <c r="W961" s="1604" t="s">
        <v>2564</v>
      </c>
      <c r="X961" s="1604" t="s">
        <v>5451</v>
      </c>
      <c r="Y961" s="1601"/>
      <c r="Z961" s="1608"/>
    </row>
    <row r="962" spans="1:26" hidden="1">
      <c r="A962" s="1601"/>
      <c r="B962" s="1345" t="s">
        <v>1958</v>
      </c>
      <c r="C962" s="2260" t="s">
        <v>6067</v>
      </c>
      <c r="D962" s="1602"/>
      <c r="E962" s="1800" t="s">
        <v>5442</v>
      </c>
      <c r="F962" s="1604">
        <v>26</v>
      </c>
      <c r="G962" s="2102" t="s">
        <v>2167</v>
      </c>
      <c r="H962" s="1604"/>
      <c r="I962" s="1604" t="s">
        <v>4808</v>
      </c>
      <c r="J962" s="1620" t="s">
        <v>5443</v>
      </c>
      <c r="K962" s="1826">
        <v>44742</v>
      </c>
      <c r="L962" s="1601" t="s">
        <v>990</v>
      </c>
      <c r="M962" s="1605" t="s">
        <v>5444</v>
      </c>
      <c r="N962" s="1604" t="s">
        <v>2320</v>
      </c>
      <c r="O962" s="1604">
        <v>2022</v>
      </c>
      <c r="P962" s="1604" t="s">
        <v>900</v>
      </c>
      <c r="Q962" s="1604">
        <v>3</v>
      </c>
      <c r="R962" s="1605"/>
      <c r="S962" s="1604">
        <v>3</v>
      </c>
      <c r="T962" s="1605" t="s">
        <v>5445</v>
      </c>
      <c r="U962" s="1605" t="s">
        <v>4247</v>
      </c>
      <c r="V962" s="1605"/>
      <c r="W962" s="1604" t="s">
        <v>3450</v>
      </c>
      <c r="X962" s="1601"/>
      <c r="Y962" s="1601"/>
      <c r="Z962" s="1608" t="s">
        <v>5430</v>
      </c>
    </row>
    <row r="963" spans="1:26" ht="82.8" hidden="1">
      <c r="A963" s="1601"/>
      <c r="B963" s="1605" t="s">
        <v>5196</v>
      </c>
      <c r="C963" s="2260" t="s">
        <v>5402</v>
      </c>
      <c r="D963" s="1605"/>
      <c r="E963" s="1800" t="s">
        <v>5455</v>
      </c>
      <c r="F963" s="1604">
        <v>33</v>
      </c>
      <c r="G963" s="2072" t="s">
        <v>3592</v>
      </c>
      <c r="H963" s="1604"/>
      <c r="I963" s="1620" t="s">
        <v>2318</v>
      </c>
      <c r="J963" s="1604" t="s">
        <v>5471</v>
      </c>
      <c r="K963" s="1826">
        <v>44713</v>
      </c>
      <c r="L963" s="1601" t="s">
        <v>990</v>
      </c>
      <c r="M963" s="1613" t="s">
        <v>5454</v>
      </c>
      <c r="N963" s="1604" t="s">
        <v>5090</v>
      </c>
      <c r="O963" s="1604">
        <v>2022</v>
      </c>
      <c r="P963" s="1604" t="s">
        <v>900</v>
      </c>
      <c r="Q963" s="1604">
        <v>3</v>
      </c>
      <c r="R963" s="1604"/>
      <c r="S963" s="1604">
        <v>3</v>
      </c>
      <c r="T963" s="1601" t="s">
        <v>5459</v>
      </c>
      <c r="U963" s="1605" t="s">
        <v>4247</v>
      </c>
      <c r="V963" s="1605"/>
      <c r="W963" s="1604" t="s">
        <v>5464</v>
      </c>
      <c r="X963" s="1604" t="s">
        <v>5361</v>
      </c>
      <c r="Y963" s="1601"/>
      <c r="Z963" s="1608"/>
    </row>
    <row r="964" spans="1:26" ht="55.2" hidden="1">
      <c r="A964" s="1601"/>
      <c r="B964" s="1605" t="s">
        <v>5119</v>
      </c>
      <c r="C964" s="2260" t="s">
        <v>5456</v>
      </c>
      <c r="D964" s="1604"/>
      <c r="E964" s="1800" t="s">
        <v>5457</v>
      </c>
      <c r="F964" s="2071">
        <v>33</v>
      </c>
      <c r="G964" s="1605" t="s">
        <v>3592</v>
      </c>
      <c r="H964" s="1620"/>
      <c r="I964" s="1604" t="s">
        <v>4808</v>
      </c>
      <c r="J964" s="1604" t="s">
        <v>2301</v>
      </c>
      <c r="K964" s="1826">
        <v>44728</v>
      </c>
      <c r="L964" s="1601" t="s">
        <v>990</v>
      </c>
      <c r="M964" s="1613" t="s">
        <v>5458</v>
      </c>
      <c r="N964" s="1604" t="s">
        <v>923</v>
      </c>
      <c r="O964" s="1604">
        <v>2022</v>
      </c>
      <c r="P964" s="1604" t="s">
        <v>900</v>
      </c>
      <c r="Q964" s="1604">
        <v>16</v>
      </c>
      <c r="R964" s="1605"/>
      <c r="S964" s="1604">
        <v>16</v>
      </c>
      <c r="T964" s="1601" t="s">
        <v>2626</v>
      </c>
      <c r="U964" s="1605" t="s">
        <v>4247</v>
      </c>
      <c r="V964" s="1605"/>
      <c r="W964" s="1604" t="s">
        <v>2238</v>
      </c>
      <c r="X964" s="1604" t="s">
        <v>5361</v>
      </c>
      <c r="Y964" s="1601"/>
      <c r="Z964" s="1608"/>
    </row>
    <row r="965" spans="1:26" ht="55.2" hidden="1">
      <c r="A965" s="1601"/>
      <c r="B965" s="1605" t="s">
        <v>5119</v>
      </c>
      <c r="C965" s="2260" t="s">
        <v>5460</v>
      </c>
      <c r="D965" s="1604"/>
      <c r="E965" s="2885" t="s">
        <v>5461</v>
      </c>
      <c r="F965" s="1604">
        <v>29</v>
      </c>
      <c r="G965" s="2200" t="s">
        <v>5462</v>
      </c>
      <c r="H965" s="1604"/>
      <c r="I965" s="1604" t="s">
        <v>4808</v>
      </c>
      <c r="J965" s="1604" t="s">
        <v>5477</v>
      </c>
      <c r="K965" s="1826">
        <v>44729</v>
      </c>
      <c r="L965" s="1613" t="s">
        <v>990</v>
      </c>
      <c r="M965" s="1613" t="s">
        <v>5463</v>
      </c>
      <c r="N965" s="1604" t="s">
        <v>923</v>
      </c>
      <c r="O965" s="1604">
        <v>2022</v>
      </c>
      <c r="P965" s="1604" t="s">
        <v>900</v>
      </c>
      <c r="Q965" s="1604">
        <v>3</v>
      </c>
      <c r="R965" s="1605"/>
      <c r="S965" s="1604">
        <v>3</v>
      </c>
      <c r="T965" s="1605" t="s">
        <v>2296</v>
      </c>
      <c r="U965" s="1604" t="s">
        <v>4247</v>
      </c>
      <c r="V965" s="1604"/>
      <c r="W965" s="1604" t="s">
        <v>5464</v>
      </c>
      <c r="X965" s="1601"/>
      <c r="Y965" s="1601"/>
      <c r="Z965" s="1608" t="s">
        <v>5430</v>
      </c>
    </row>
    <row r="966" spans="1:26" ht="55.2" hidden="1">
      <c r="A966" s="1680"/>
      <c r="B966" s="1679" t="s">
        <v>5119</v>
      </c>
      <c r="C966" s="2869" t="s">
        <v>5456</v>
      </c>
      <c r="D966" s="1185"/>
      <c r="E966" s="2886" t="s">
        <v>5465</v>
      </c>
      <c r="F966" s="1683">
        <v>27</v>
      </c>
      <c r="G966" s="1679" t="s">
        <v>3592</v>
      </c>
      <c r="H966" s="1683"/>
      <c r="I966" s="1683" t="s">
        <v>4808</v>
      </c>
      <c r="J966" s="1604" t="s">
        <v>5477</v>
      </c>
      <c r="K966" s="2073">
        <v>44733</v>
      </c>
      <c r="L966" s="1685" t="s">
        <v>990</v>
      </c>
      <c r="M966" s="1634" t="s">
        <v>5466</v>
      </c>
      <c r="N966" s="1683" t="s">
        <v>917</v>
      </c>
      <c r="O966" s="1683">
        <v>2022</v>
      </c>
      <c r="P966" s="1683" t="s">
        <v>900</v>
      </c>
      <c r="Q966" s="1683">
        <v>2</v>
      </c>
      <c r="R966" s="1679"/>
      <c r="S966" s="1683">
        <v>2</v>
      </c>
      <c r="T966" s="1679" t="s">
        <v>5467</v>
      </c>
      <c r="U966" s="1683" t="s">
        <v>4247</v>
      </c>
      <c r="V966" s="1683"/>
      <c r="W966" s="1683" t="s">
        <v>2238</v>
      </c>
      <c r="X966" s="1683" t="s">
        <v>5361</v>
      </c>
      <c r="Y966" s="1680"/>
      <c r="Z966" s="1608"/>
    </row>
    <row r="967" spans="1:26" ht="55.2" hidden="1">
      <c r="A967" s="1601"/>
      <c r="B967" s="1605" t="s">
        <v>5196</v>
      </c>
      <c r="C967" s="2260" t="s">
        <v>5468</v>
      </c>
      <c r="D967" s="1185"/>
      <c r="E967" s="1800" t="s">
        <v>5469</v>
      </c>
      <c r="F967" s="1604">
        <v>44</v>
      </c>
      <c r="G967" s="1605" t="s">
        <v>3592</v>
      </c>
      <c r="H967" s="1604"/>
      <c r="I967" s="1604" t="s">
        <v>2549</v>
      </c>
      <c r="J967" s="1604" t="s">
        <v>5475</v>
      </c>
      <c r="K967" s="1826">
        <v>44731</v>
      </c>
      <c r="L967" s="1613" t="s">
        <v>990</v>
      </c>
      <c r="M967" s="1613" t="s">
        <v>5470</v>
      </c>
      <c r="N967" s="1604" t="s">
        <v>925</v>
      </c>
      <c r="O967" s="1604">
        <v>2022</v>
      </c>
      <c r="P967" s="1604" t="s">
        <v>900</v>
      </c>
      <c r="Q967" s="1604">
        <v>19</v>
      </c>
      <c r="R967" s="1604"/>
      <c r="S967" s="1604">
        <v>19</v>
      </c>
      <c r="T967" s="1605" t="s">
        <v>5474</v>
      </c>
      <c r="U967" s="1604" t="s">
        <v>4247</v>
      </c>
      <c r="V967" s="1683"/>
      <c r="W967" s="1683" t="s">
        <v>2238</v>
      </c>
      <c r="X967" s="1604"/>
      <c r="Y967" s="1601"/>
      <c r="Z967" s="1608"/>
    </row>
    <row r="968" spans="1:26" ht="69" hidden="1">
      <c r="A968" s="1601"/>
      <c r="B968" s="1605" t="s">
        <v>5196</v>
      </c>
      <c r="C968" s="2260" t="s">
        <v>5468</v>
      </c>
      <c r="D968" s="1605"/>
      <c r="E968" s="1800" t="s">
        <v>5472</v>
      </c>
      <c r="F968" s="1604">
        <v>34</v>
      </c>
      <c r="G968" s="1605" t="s">
        <v>3592</v>
      </c>
      <c r="H968" s="1604"/>
      <c r="I968" s="1604" t="s">
        <v>2549</v>
      </c>
      <c r="J968" s="1604" t="s">
        <v>2869</v>
      </c>
      <c r="K968" s="1826">
        <v>44741</v>
      </c>
      <c r="L968" s="1613" t="s">
        <v>990</v>
      </c>
      <c r="M968" s="1613" t="s">
        <v>5473</v>
      </c>
      <c r="N968" s="1604" t="s">
        <v>913</v>
      </c>
      <c r="O968" s="1604">
        <v>2022</v>
      </c>
      <c r="P968" s="1604" t="s">
        <v>900</v>
      </c>
      <c r="Q968" s="1604">
        <v>8</v>
      </c>
      <c r="R968" s="1604"/>
      <c r="S968" s="1604">
        <v>8</v>
      </c>
      <c r="T968" s="1605" t="s">
        <v>5476</v>
      </c>
      <c r="U968" s="1604" t="s">
        <v>4247</v>
      </c>
      <c r="V968" s="1604"/>
      <c r="W968" s="1604" t="s">
        <v>3450</v>
      </c>
      <c r="X968" s="1601"/>
      <c r="Y968" s="1601"/>
      <c r="Z968" s="1608"/>
    </row>
    <row r="969" spans="1:26" ht="55.2" hidden="1">
      <c r="A969" s="1601"/>
      <c r="B969" s="2075" t="s">
        <v>876</v>
      </c>
      <c r="C969" s="2873" t="s">
        <v>6068</v>
      </c>
      <c r="D969" s="1605"/>
      <c r="E969" s="1800" t="s">
        <v>5484</v>
      </c>
      <c r="F969" s="1604"/>
      <c r="G969" s="1605" t="s">
        <v>5479</v>
      </c>
      <c r="H969" s="1604"/>
      <c r="I969" s="1604" t="s">
        <v>4808</v>
      </c>
      <c r="J969" s="1604" t="s">
        <v>5478</v>
      </c>
      <c r="K969" s="1826">
        <v>44743</v>
      </c>
      <c r="L969" s="1613" t="s">
        <v>990</v>
      </c>
      <c r="M969" s="1602" t="s">
        <v>5480</v>
      </c>
      <c r="N969" s="1604" t="s">
        <v>2320</v>
      </c>
      <c r="O969" s="1604">
        <v>2022</v>
      </c>
      <c r="P969" s="1604" t="s">
        <v>901</v>
      </c>
      <c r="Q969" s="1604">
        <v>7</v>
      </c>
      <c r="R969" s="1604"/>
      <c r="S969" s="1604">
        <v>7</v>
      </c>
      <c r="T969" s="1605" t="s">
        <v>5481</v>
      </c>
      <c r="U969" s="1604" t="s">
        <v>4247</v>
      </c>
      <c r="V969" s="1604"/>
      <c r="W969" s="1604" t="s">
        <v>5482</v>
      </c>
      <c r="X969" s="1604" t="s">
        <v>5483</v>
      </c>
      <c r="Y969" s="1601"/>
      <c r="Z969" s="1608"/>
    </row>
    <row r="970" spans="1:26" ht="69" hidden="1">
      <c r="A970" s="1601"/>
      <c r="B970" s="1605" t="s">
        <v>2609</v>
      </c>
      <c r="C970" s="1782" t="s">
        <v>5485</v>
      </c>
      <c r="D970" s="1185"/>
      <c r="E970" s="1800" t="s">
        <v>5487</v>
      </c>
      <c r="F970" s="1604"/>
      <c r="G970" s="1613" t="s">
        <v>5488</v>
      </c>
      <c r="H970" s="1604"/>
      <c r="I970" s="1604" t="s">
        <v>4808</v>
      </c>
      <c r="J970" s="1604" t="s">
        <v>2466</v>
      </c>
      <c r="K970" s="1826">
        <v>44743</v>
      </c>
      <c r="L970" s="1613" t="s">
        <v>990</v>
      </c>
      <c r="M970" s="1613" t="s">
        <v>5486</v>
      </c>
      <c r="N970" s="1604" t="s">
        <v>917</v>
      </c>
      <c r="O970" s="1604">
        <v>2022</v>
      </c>
      <c r="P970" s="1604" t="s">
        <v>901</v>
      </c>
      <c r="Q970" s="1604">
        <v>4</v>
      </c>
      <c r="R970" s="1604"/>
      <c r="S970" s="2074">
        <v>4</v>
      </c>
      <c r="T970" s="1605" t="s">
        <v>5476</v>
      </c>
      <c r="U970" s="1604" t="s">
        <v>4247</v>
      </c>
      <c r="V970" s="1604"/>
      <c r="W970" s="1604" t="s">
        <v>2564</v>
      </c>
      <c r="X970" s="1604" t="s">
        <v>1105</v>
      </c>
      <c r="Y970" s="1601"/>
      <c r="Z970" s="1608"/>
    </row>
    <row r="971" spans="1:26" ht="55.2" hidden="1">
      <c r="A971" s="1601"/>
      <c r="B971" s="1185" t="s">
        <v>602</v>
      </c>
      <c r="C971" s="2260" t="s">
        <v>6052</v>
      </c>
      <c r="D971" s="1185"/>
      <c r="E971" s="1800" t="s">
        <v>5490</v>
      </c>
      <c r="F971" s="1604">
        <v>31</v>
      </c>
      <c r="G971" s="1603" t="s">
        <v>3643</v>
      </c>
      <c r="H971" s="1604"/>
      <c r="I971" s="1604" t="s">
        <v>2549</v>
      </c>
      <c r="J971" s="1604" t="s">
        <v>5491</v>
      </c>
      <c r="K971" s="1826">
        <v>44745</v>
      </c>
      <c r="L971" s="1613" t="s">
        <v>5426</v>
      </c>
      <c r="M971" s="1613" t="s">
        <v>5489</v>
      </c>
      <c r="N971" s="1604" t="s">
        <v>2320</v>
      </c>
      <c r="O971" s="1604">
        <v>2022</v>
      </c>
      <c r="P971" s="1604" t="s">
        <v>901</v>
      </c>
      <c r="Q971" s="1604">
        <v>21</v>
      </c>
      <c r="R971" s="1604"/>
      <c r="S971" s="2074">
        <v>21</v>
      </c>
      <c r="T971" s="1605" t="s">
        <v>2294</v>
      </c>
      <c r="U971" s="1604" t="s">
        <v>4247</v>
      </c>
      <c r="V971" s="1604"/>
      <c r="W971" s="1604" t="s">
        <v>2564</v>
      </c>
      <c r="X971" s="1604"/>
      <c r="Y971" s="1601"/>
      <c r="Z971" s="1608"/>
    </row>
    <row r="972" spans="1:26" ht="69" hidden="1">
      <c r="A972" s="1601"/>
      <c r="B972" s="1345" t="s">
        <v>1128</v>
      </c>
      <c r="C972" s="2260" t="s">
        <v>5492</v>
      </c>
      <c r="D972" s="1185"/>
      <c r="E972" s="1800" t="s">
        <v>5495</v>
      </c>
      <c r="F972" s="1604">
        <v>53</v>
      </c>
      <c r="G972" s="1605" t="s">
        <v>5494</v>
      </c>
      <c r="H972" s="1604"/>
      <c r="I972" s="1604" t="s">
        <v>2549</v>
      </c>
      <c r="J972" s="1604" t="s">
        <v>4374</v>
      </c>
      <c r="K972" s="1826">
        <v>44751</v>
      </c>
      <c r="L972" s="1613" t="s">
        <v>990</v>
      </c>
      <c r="M972" s="1613" t="s">
        <v>5493</v>
      </c>
      <c r="N972" s="1604" t="s">
        <v>925</v>
      </c>
      <c r="O972" s="1604">
        <v>2022</v>
      </c>
      <c r="P972" s="1604" t="s">
        <v>901</v>
      </c>
      <c r="Q972" s="1604">
        <v>10</v>
      </c>
      <c r="R972" s="1604"/>
      <c r="S972" s="2074">
        <v>10</v>
      </c>
      <c r="T972" s="1605" t="s">
        <v>5496</v>
      </c>
      <c r="U972" s="1604" t="s">
        <v>4247</v>
      </c>
      <c r="V972" s="1604"/>
      <c r="W972" s="1604" t="s">
        <v>3837</v>
      </c>
      <c r="X972" s="1604"/>
      <c r="Y972" s="1601"/>
      <c r="Z972" s="1608"/>
    </row>
    <row r="973" spans="1:26" ht="69" hidden="1">
      <c r="A973" s="1601"/>
      <c r="B973" s="1345" t="s">
        <v>789</v>
      </c>
      <c r="C973" s="1782" t="s">
        <v>5498</v>
      </c>
      <c r="D973" s="1185"/>
      <c r="E973" s="1800" t="s">
        <v>5501</v>
      </c>
      <c r="F973" s="1604">
        <v>30</v>
      </c>
      <c r="G973" s="1603" t="s">
        <v>3779</v>
      </c>
      <c r="H973" s="1604"/>
      <c r="I973" s="1604" t="s">
        <v>4808</v>
      </c>
      <c r="J973" s="1604" t="s">
        <v>2706</v>
      </c>
      <c r="K973" s="1826">
        <v>44743</v>
      </c>
      <c r="L973" s="1613" t="s">
        <v>990</v>
      </c>
      <c r="M973" s="1613" t="s">
        <v>5497</v>
      </c>
      <c r="N973" s="1604" t="s">
        <v>923</v>
      </c>
      <c r="O973" s="1604">
        <v>2022</v>
      </c>
      <c r="P973" s="1604" t="s">
        <v>901</v>
      </c>
      <c r="Q973" s="1604">
        <v>7</v>
      </c>
      <c r="R973" s="1604"/>
      <c r="S973" s="1604">
        <v>7</v>
      </c>
      <c r="T973" s="1605" t="s">
        <v>5499</v>
      </c>
      <c r="U973" s="1604" t="s">
        <v>4247</v>
      </c>
      <c r="V973" s="1604"/>
      <c r="W973" s="1604" t="s">
        <v>5500</v>
      </c>
      <c r="X973" s="1604"/>
      <c r="Y973" s="1601"/>
      <c r="Z973" s="1608"/>
    </row>
    <row r="974" spans="1:26" ht="55.2" hidden="1">
      <c r="A974" s="1601"/>
      <c r="B974" s="1345" t="s">
        <v>789</v>
      </c>
      <c r="C974" s="2260" t="s">
        <v>998</v>
      </c>
      <c r="D974" s="1185"/>
      <c r="E974" s="1800" t="s">
        <v>5502</v>
      </c>
      <c r="F974" s="1604">
        <v>44</v>
      </c>
      <c r="G974" s="1603" t="s">
        <v>4366</v>
      </c>
      <c r="H974" s="1604"/>
      <c r="I974" s="1604" t="s">
        <v>2318</v>
      </c>
      <c r="J974" s="1604" t="s">
        <v>2706</v>
      </c>
      <c r="K974" s="1826">
        <v>44750</v>
      </c>
      <c r="L974" s="1613" t="s">
        <v>990</v>
      </c>
      <c r="M974" s="1613" t="s">
        <v>5503</v>
      </c>
      <c r="N974" s="1604" t="s">
        <v>923</v>
      </c>
      <c r="O974" s="1604">
        <v>2022</v>
      </c>
      <c r="P974" s="1604" t="s">
        <v>901</v>
      </c>
      <c r="Q974" s="1604">
        <v>3</v>
      </c>
      <c r="R974" s="1604"/>
      <c r="S974" s="1604">
        <v>3</v>
      </c>
      <c r="T974" s="1605" t="s">
        <v>5504</v>
      </c>
      <c r="U974" s="1604" t="s">
        <v>4247</v>
      </c>
      <c r="V974" s="1604"/>
      <c r="W974" s="1604" t="s">
        <v>2564</v>
      </c>
      <c r="X974" s="1604"/>
      <c r="Y974" s="1601"/>
      <c r="Z974" s="1608"/>
    </row>
    <row r="975" spans="1:26" ht="55.2" hidden="1">
      <c r="A975" s="1601"/>
      <c r="B975" s="2075" t="s">
        <v>5196</v>
      </c>
      <c r="C975" s="2260" t="s">
        <v>5468</v>
      </c>
      <c r="D975" s="1185"/>
      <c r="E975" s="1800" t="s">
        <v>5511</v>
      </c>
      <c r="F975" s="1604">
        <v>34</v>
      </c>
      <c r="G975" s="1605" t="s">
        <v>3592</v>
      </c>
      <c r="H975" s="1604"/>
      <c r="I975" s="1604" t="s">
        <v>2549</v>
      </c>
      <c r="J975" s="1604" t="s">
        <v>2168</v>
      </c>
      <c r="K975" s="1826">
        <v>44743</v>
      </c>
      <c r="L975" s="1613" t="s">
        <v>990</v>
      </c>
      <c r="M975" s="1613" t="s">
        <v>5512</v>
      </c>
      <c r="N975" s="1604" t="s">
        <v>913</v>
      </c>
      <c r="O975" s="1604">
        <v>2022</v>
      </c>
      <c r="P975" s="1604" t="s">
        <v>901</v>
      </c>
      <c r="Q975" s="1604">
        <v>7</v>
      </c>
      <c r="R975" s="1604"/>
      <c r="S975" s="1604">
        <v>7</v>
      </c>
      <c r="T975" s="1605" t="s">
        <v>5513</v>
      </c>
      <c r="U975" s="1604" t="s">
        <v>4247</v>
      </c>
      <c r="V975" s="1604"/>
      <c r="W975" s="1604" t="s">
        <v>2564</v>
      </c>
      <c r="X975" s="1683" t="s">
        <v>5361</v>
      </c>
      <c r="Y975" s="1601"/>
      <c r="Z975" s="1608"/>
    </row>
    <row r="976" spans="1:26" ht="69" hidden="1">
      <c r="A976" s="1601"/>
      <c r="B976" s="2075" t="s">
        <v>5119</v>
      </c>
      <c r="C976" s="2260" t="s">
        <v>5507</v>
      </c>
      <c r="D976" s="1605" t="s">
        <v>5508</v>
      </c>
      <c r="E976" s="1800" t="s">
        <v>5508</v>
      </c>
      <c r="F976" s="1604">
        <v>35</v>
      </c>
      <c r="G976" s="1603" t="s">
        <v>5509</v>
      </c>
      <c r="H976" s="1604"/>
      <c r="I976" s="1604" t="s">
        <v>4808</v>
      </c>
      <c r="J976" s="1604" t="s">
        <v>5506</v>
      </c>
      <c r="K976" s="1826">
        <v>44748</v>
      </c>
      <c r="L976" s="1613" t="s">
        <v>990</v>
      </c>
      <c r="M976" s="1613" t="s">
        <v>5505</v>
      </c>
      <c r="N976" s="1604" t="s">
        <v>925</v>
      </c>
      <c r="O976" s="1604">
        <v>2022</v>
      </c>
      <c r="P976" s="1604" t="s">
        <v>901</v>
      </c>
      <c r="Q976" s="1604">
        <v>21</v>
      </c>
      <c r="R976" s="1604"/>
      <c r="S976" s="1604">
        <v>21</v>
      </c>
      <c r="T976" s="1605" t="s">
        <v>5510</v>
      </c>
      <c r="U976" s="1604" t="s">
        <v>4247</v>
      </c>
      <c r="V976" s="1604"/>
      <c r="W976" s="1604" t="s">
        <v>2275</v>
      </c>
      <c r="X976" s="1604"/>
      <c r="Y976" s="1601"/>
      <c r="Z976" s="1608"/>
    </row>
    <row r="977" spans="1:26" ht="41.4" hidden="1">
      <c r="A977" s="1601"/>
      <c r="B977" s="2075" t="s">
        <v>4974</v>
      </c>
      <c r="C977" s="2260" t="s">
        <v>1338</v>
      </c>
      <c r="D977" s="1185"/>
      <c r="E977" s="1800" t="s">
        <v>5514</v>
      </c>
      <c r="F977" s="1604">
        <v>51</v>
      </c>
      <c r="G977" s="1603" t="s">
        <v>5515</v>
      </c>
      <c r="H977" s="1604"/>
      <c r="I977" s="1604" t="s">
        <v>2549</v>
      </c>
      <c r="J977" s="1604" t="s">
        <v>5517</v>
      </c>
      <c r="K977" s="1826">
        <v>44751</v>
      </c>
      <c r="L977" s="1613" t="s">
        <v>990</v>
      </c>
      <c r="M977" s="1613" t="s">
        <v>5516</v>
      </c>
      <c r="N977" s="1604" t="s">
        <v>917</v>
      </c>
      <c r="O977" s="1604">
        <v>2022</v>
      </c>
      <c r="P977" s="1604" t="s">
        <v>901</v>
      </c>
      <c r="Q977" s="1604">
        <v>17</v>
      </c>
      <c r="R977" s="1604"/>
      <c r="S977" s="1604">
        <v>17</v>
      </c>
      <c r="T977" s="1605" t="s">
        <v>5518</v>
      </c>
      <c r="U977" s="1604" t="s">
        <v>4247</v>
      </c>
      <c r="V977" s="1604"/>
      <c r="W977" s="1604" t="s">
        <v>2564</v>
      </c>
      <c r="X977" s="1604"/>
      <c r="Y977" s="1601"/>
      <c r="Z977" s="1608"/>
    </row>
    <row r="978" spans="1:26" ht="55.2" hidden="1">
      <c r="A978" s="1601"/>
      <c r="B978" s="2075" t="s">
        <v>4974</v>
      </c>
      <c r="C978" s="2260" t="s">
        <v>879</v>
      </c>
      <c r="D978" s="1185"/>
      <c r="E978" s="1800" t="s">
        <v>5520</v>
      </c>
      <c r="F978" s="1604">
        <v>63</v>
      </c>
      <c r="G978" s="1603" t="s">
        <v>5521</v>
      </c>
      <c r="H978" s="1604"/>
      <c r="I978" s="1604" t="s">
        <v>2549</v>
      </c>
      <c r="J978" s="1604">
        <v>228</v>
      </c>
      <c r="K978" s="1826">
        <v>44753</v>
      </c>
      <c r="L978" s="1613" t="s">
        <v>990</v>
      </c>
      <c r="M978" s="1613" t="s">
        <v>5519</v>
      </c>
      <c r="N978" s="1604" t="s">
        <v>2320</v>
      </c>
      <c r="O978" s="1604">
        <v>2022</v>
      </c>
      <c r="P978" s="1604" t="s">
        <v>901</v>
      </c>
      <c r="Q978" s="1604">
        <v>10</v>
      </c>
      <c r="R978" s="1604"/>
      <c r="S978" s="1604">
        <v>10</v>
      </c>
      <c r="T978" s="1605" t="s">
        <v>2432</v>
      </c>
      <c r="U978" s="1604" t="s">
        <v>4247</v>
      </c>
      <c r="V978" s="1604"/>
      <c r="W978" s="1604" t="s">
        <v>2275</v>
      </c>
      <c r="X978" s="1604"/>
      <c r="Y978" s="1601"/>
      <c r="Z978" s="1608"/>
    </row>
    <row r="979" spans="1:26" ht="69" hidden="1">
      <c r="A979" s="1601"/>
      <c r="B979" s="2075" t="s">
        <v>5119</v>
      </c>
      <c r="C979" s="2260" t="s">
        <v>879</v>
      </c>
      <c r="D979" s="1185"/>
      <c r="E979" s="1800" t="s">
        <v>5523</v>
      </c>
      <c r="F979" s="1604">
        <v>36</v>
      </c>
      <c r="G979" s="1603" t="s">
        <v>2984</v>
      </c>
      <c r="H979" s="1604"/>
      <c r="I979" s="1604" t="s">
        <v>4808</v>
      </c>
      <c r="J979" s="1604" t="s">
        <v>2523</v>
      </c>
      <c r="K979" s="1826">
        <v>44762</v>
      </c>
      <c r="L979" s="1613" t="s">
        <v>990</v>
      </c>
      <c r="M979" s="1613" t="s">
        <v>5522</v>
      </c>
      <c r="N979" s="1604" t="s">
        <v>2320</v>
      </c>
      <c r="O979" s="1604">
        <v>2022</v>
      </c>
      <c r="P979" s="1604" t="s">
        <v>901</v>
      </c>
      <c r="Q979" s="1604">
        <v>15</v>
      </c>
      <c r="R979" s="1604"/>
      <c r="S979" s="1604">
        <v>15</v>
      </c>
      <c r="T979" s="1605" t="s">
        <v>5524</v>
      </c>
      <c r="U979" s="1604" t="s">
        <v>4247</v>
      </c>
      <c r="V979" s="1604"/>
      <c r="W979" s="1604" t="s">
        <v>2564</v>
      </c>
      <c r="X979" s="1604" t="s">
        <v>5361</v>
      </c>
      <c r="Y979" s="1601"/>
      <c r="Z979" s="1608"/>
    </row>
    <row r="980" spans="1:26" ht="36" hidden="1" customHeight="1">
      <c r="A980" s="1601"/>
      <c r="B980" s="2075" t="s">
        <v>5535</v>
      </c>
      <c r="C980" s="2874" t="s">
        <v>454</v>
      </c>
      <c r="D980" s="1185"/>
      <c r="E980" s="2887" t="s">
        <v>5539</v>
      </c>
      <c r="F980" s="2081">
        <v>43</v>
      </c>
      <c r="G980" s="2084" t="s">
        <v>5542</v>
      </c>
      <c r="H980" s="1604"/>
      <c r="I980" s="1604" t="s">
        <v>4808</v>
      </c>
      <c r="J980" s="1604" t="s">
        <v>2488</v>
      </c>
      <c r="K980" s="2082">
        <v>39286</v>
      </c>
      <c r="L980" s="1613" t="s">
        <v>990</v>
      </c>
      <c r="M980" s="1613" t="s">
        <v>5536</v>
      </c>
      <c r="N980" s="1604" t="s">
        <v>2320</v>
      </c>
      <c r="O980" s="1604">
        <v>2022</v>
      </c>
      <c r="P980" s="1604" t="s">
        <v>902</v>
      </c>
      <c r="Q980" s="1604">
        <v>15</v>
      </c>
      <c r="R980" s="1604"/>
      <c r="S980" s="1604">
        <v>15</v>
      </c>
      <c r="T980" s="1605" t="s">
        <v>2227</v>
      </c>
      <c r="U980" s="1604" t="s">
        <v>4247</v>
      </c>
      <c r="V980" s="1604"/>
      <c r="W980" s="1604" t="s">
        <v>2975</v>
      </c>
      <c r="X980" s="1604"/>
      <c r="Y980" s="1601"/>
      <c r="Z980" s="1608"/>
    </row>
    <row r="981" spans="1:26" ht="36" hidden="1" customHeight="1">
      <c r="A981" s="1601"/>
      <c r="B981" s="2075" t="s">
        <v>5119</v>
      </c>
      <c r="C981" s="2875" t="s">
        <v>454</v>
      </c>
      <c r="D981" s="1185"/>
      <c r="E981" s="2888" t="s">
        <v>5540</v>
      </c>
      <c r="F981" s="2080">
        <v>33</v>
      </c>
      <c r="G981" s="2085" t="s">
        <v>1014</v>
      </c>
      <c r="H981" s="1604"/>
      <c r="I981" s="1604" t="s">
        <v>4808</v>
      </c>
      <c r="J981" s="1604" t="s">
        <v>3781</v>
      </c>
      <c r="K981" s="2083">
        <v>44768</v>
      </c>
      <c r="L981" s="1613" t="s">
        <v>990</v>
      </c>
      <c r="M981" s="1613" t="s">
        <v>5537</v>
      </c>
      <c r="N981" s="1604" t="s">
        <v>2320</v>
      </c>
      <c r="O981" s="1604">
        <v>2022</v>
      </c>
      <c r="P981" s="1604" t="s">
        <v>902</v>
      </c>
      <c r="Q981" s="1604">
        <v>15</v>
      </c>
      <c r="R981" s="1604"/>
      <c r="S981" s="1604">
        <v>15</v>
      </c>
      <c r="T981" s="1605" t="s">
        <v>2452</v>
      </c>
      <c r="U981" s="1604" t="s">
        <v>4247</v>
      </c>
      <c r="V981" s="1604"/>
      <c r="W981" s="1604" t="s">
        <v>2238</v>
      </c>
      <c r="X981" s="1604" t="s">
        <v>5361</v>
      </c>
      <c r="Y981" s="1601"/>
      <c r="Z981" s="1608"/>
    </row>
    <row r="982" spans="1:26" ht="36" hidden="1" customHeight="1">
      <c r="A982" s="1601"/>
      <c r="B982" s="2075" t="s">
        <v>5119</v>
      </c>
      <c r="C982" s="2874" t="s">
        <v>454</v>
      </c>
      <c r="D982" s="1185"/>
      <c r="E982" s="2887" t="s">
        <v>5541</v>
      </c>
      <c r="F982" s="2081">
        <v>46</v>
      </c>
      <c r="G982" s="2084" t="s">
        <v>5543</v>
      </c>
      <c r="H982" s="1604"/>
      <c r="I982" s="1604" t="s">
        <v>2549</v>
      </c>
      <c r="J982" s="1604" t="s">
        <v>2706</v>
      </c>
      <c r="K982" s="2082">
        <v>44230</v>
      </c>
      <c r="L982" s="1613" t="s">
        <v>990</v>
      </c>
      <c r="M982" s="1613" t="s">
        <v>5538</v>
      </c>
      <c r="N982" s="1604" t="s">
        <v>913</v>
      </c>
      <c r="O982" s="1604">
        <v>2022</v>
      </c>
      <c r="P982" s="1604" t="s">
        <v>902</v>
      </c>
      <c r="Q982" s="1604">
        <v>5</v>
      </c>
      <c r="R982" s="1604"/>
      <c r="S982" s="1604">
        <v>5</v>
      </c>
      <c r="T982" s="1605" t="s">
        <v>2432</v>
      </c>
      <c r="U982" s="1604" t="s">
        <v>4247</v>
      </c>
      <c r="V982" s="1604"/>
      <c r="W982" s="1604" t="s">
        <v>5544</v>
      </c>
      <c r="X982" s="1604"/>
      <c r="Y982" s="1601"/>
      <c r="Z982" s="1608"/>
    </row>
    <row r="983" spans="1:26" ht="42" hidden="1" customHeight="1">
      <c r="A983" s="1601"/>
      <c r="B983" s="1520" t="s">
        <v>91</v>
      </c>
      <c r="C983" s="2260" t="s">
        <v>3596</v>
      </c>
      <c r="D983" s="1185"/>
      <c r="E983" s="1800" t="s">
        <v>5548</v>
      </c>
      <c r="F983" s="1604">
        <v>47</v>
      </c>
      <c r="G983" s="1603" t="s">
        <v>5549</v>
      </c>
      <c r="H983" s="1604"/>
      <c r="I983" s="1604" t="s">
        <v>4808</v>
      </c>
      <c r="J983" s="1604" t="s">
        <v>5547</v>
      </c>
      <c r="K983" s="1620">
        <v>44776</v>
      </c>
      <c r="L983" s="1613" t="s">
        <v>990</v>
      </c>
      <c r="M983" s="1613" t="s">
        <v>5545</v>
      </c>
      <c r="N983" s="1604" t="s">
        <v>929</v>
      </c>
      <c r="O983" s="1604">
        <v>2022</v>
      </c>
      <c r="P983" s="1604" t="s">
        <v>902</v>
      </c>
      <c r="Q983" s="1604">
        <v>1</v>
      </c>
      <c r="R983" s="1604"/>
      <c r="S983" s="1604">
        <v>1</v>
      </c>
      <c r="T983" s="1605" t="s">
        <v>5546</v>
      </c>
      <c r="U983" s="1604" t="s">
        <v>4247</v>
      </c>
      <c r="V983" s="1604"/>
      <c r="W983" s="1604" t="s">
        <v>4451</v>
      </c>
      <c r="X983" s="1604"/>
      <c r="Y983" s="1601"/>
      <c r="Z983" s="1608"/>
    </row>
    <row r="984" spans="1:26" ht="42" hidden="1" customHeight="1">
      <c r="A984" s="1601"/>
      <c r="B984" s="1195" t="s">
        <v>1053</v>
      </c>
      <c r="C984" s="2260" t="s">
        <v>5555</v>
      </c>
      <c r="D984" s="1185"/>
      <c r="E984" s="2097" t="s">
        <v>5553</v>
      </c>
      <c r="F984" s="1604"/>
      <c r="G984" s="1603" t="s">
        <v>5554</v>
      </c>
      <c r="H984" s="1604"/>
      <c r="I984" s="1604" t="s">
        <v>2549</v>
      </c>
      <c r="J984" s="1604" t="s">
        <v>3490</v>
      </c>
      <c r="K984" s="1620">
        <v>44779</v>
      </c>
      <c r="L984" s="1613" t="s">
        <v>990</v>
      </c>
      <c r="M984" s="1613" t="s">
        <v>5550</v>
      </c>
      <c r="N984" s="1604" t="s">
        <v>913</v>
      </c>
      <c r="O984" s="1604">
        <v>2022</v>
      </c>
      <c r="P984" s="1604" t="s">
        <v>902</v>
      </c>
      <c r="Q984" s="1604">
        <v>3</v>
      </c>
      <c r="R984" s="1604"/>
      <c r="S984" s="1604">
        <v>3</v>
      </c>
      <c r="T984" s="1605" t="s">
        <v>5556</v>
      </c>
      <c r="U984" s="1604" t="s">
        <v>4247</v>
      </c>
      <c r="V984" s="1604"/>
      <c r="W984" s="1604" t="s">
        <v>2238</v>
      </c>
      <c r="X984" s="1604"/>
      <c r="Y984" s="1601"/>
      <c r="Z984" s="1608"/>
    </row>
    <row r="985" spans="1:26" ht="42" hidden="1" customHeight="1">
      <c r="A985" s="1601"/>
      <c r="B985" s="1345" t="s">
        <v>2943</v>
      </c>
      <c r="C985" s="2876" t="s">
        <v>5552</v>
      </c>
      <c r="D985" s="1185"/>
      <c r="E985" s="1800" t="s">
        <v>5559</v>
      </c>
      <c r="F985" s="1604">
        <v>20</v>
      </c>
      <c r="G985" s="1603" t="s">
        <v>5560</v>
      </c>
      <c r="H985" s="1604"/>
      <c r="I985" s="1604" t="s">
        <v>4808</v>
      </c>
      <c r="J985" s="1604" t="s">
        <v>5557</v>
      </c>
      <c r="K985" s="1620">
        <v>44802</v>
      </c>
      <c r="L985" s="1613" t="s">
        <v>990</v>
      </c>
      <c r="M985" s="1613" t="s">
        <v>5551</v>
      </c>
      <c r="N985" s="1604" t="s">
        <v>2320</v>
      </c>
      <c r="O985" s="1604">
        <v>2022</v>
      </c>
      <c r="P985" s="1604" t="s">
        <v>902</v>
      </c>
      <c r="Q985" s="1604">
        <v>14</v>
      </c>
      <c r="R985" s="1604"/>
      <c r="S985" s="1604">
        <v>14</v>
      </c>
      <c r="T985" s="1605" t="s">
        <v>2629</v>
      </c>
      <c r="U985" s="1604" t="s">
        <v>4247</v>
      </c>
      <c r="V985" s="1604"/>
      <c r="W985" s="1604" t="s">
        <v>5558</v>
      </c>
      <c r="X985" s="1604"/>
      <c r="Y985" s="1601"/>
      <c r="Z985" s="1608"/>
    </row>
    <row r="986" spans="1:26" ht="69" hidden="1">
      <c r="A986" s="1601"/>
      <c r="B986" s="1605" t="s">
        <v>4974</v>
      </c>
      <c r="C986" s="2876" t="s">
        <v>5561</v>
      </c>
      <c r="D986" s="1185"/>
      <c r="E986" s="1800" t="s">
        <v>5565</v>
      </c>
      <c r="F986" s="2080">
        <v>43</v>
      </c>
      <c r="G986" s="1603" t="s">
        <v>5542</v>
      </c>
      <c r="H986" s="1604"/>
      <c r="I986" s="1604" t="s">
        <v>2549</v>
      </c>
      <c r="J986" s="1604" t="s">
        <v>2602</v>
      </c>
      <c r="K986" s="1620">
        <v>44776</v>
      </c>
      <c r="L986" s="1613" t="s">
        <v>990</v>
      </c>
      <c r="M986" s="1613" t="s">
        <v>5562</v>
      </c>
      <c r="N986" s="1604" t="s">
        <v>5569</v>
      </c>
      <c r="O986" s="1604">
        <v>2022</v>
      </c>
      <c r="P986" s="1604" t="s">
        <v>902</v>
      </c>
      <c r="Q986" s="1604">
        <v>15</v>
      </c>
      <c r="R986" s="1604"/>
      <c r="S986" s="1604">
        <v>15</v>
      </c>
      <c r="T986" s="1605"/>
      <c r="U986" s="1604" t="s">
        <v>4247</v>
      </c>
      <c r="V986" s="1604"/>
      <c r="W986" s="1604" t="s">
        <v>851</v>
      </c>
      <c r="X986" s="1604"/>
      <c r="Y986" s="1601"/>
      <c r="Z986" s="1608"/>
    </row>
    <row r="987" spans="1:26" ht="69" hidden="1">
      <c r="A987" s="1601"/>
      <c r="B987" s="1605" t="s">
        <v>5119</v>
      </c>
      <c r="C987" s="2876" t="s">
        <v>5568</v>
      </c>
      <c r="D987" s="1185"/>
      <c r="E987" s="1800" t="s">
        <v>5566</v>
      </c>
      <c r="F987" s="2080">
        <v>33</v>
      </c>
      <c r="G987" s="1603" t="s">
        <v>1014</v>
      </c>
      <c r="H987" s="1604"/>
      <c r="I987" s="1604" t="s">
        <v>4808</v>
      </c>
      <c r="J987" s="1604" t="s">
        <v>5571</v>
      </c>
      <c r="K987" s="1620">
        <v>44798</v>
      </c>
      <c r="L987" s="1613" t="s">
        <v>990</v>
      </c>
      <c r="M987" s="1613" t="s">
        <v>5563</v>
      </c>
      <c r="N987" s="1604" t="s">
        <v>2476</v>
      </c>
      <c r="O987" s="1604">
        <v>2022</v>
      </c>
      <c r="P987" s="1604" t="s">
        <v>902</v>
      </c>
      <c r="Q987" s="1604">
        <v>15</v>
      </c>
      <c r="R987" s="1604"/>
      <c r="S987" s="1604">
        <v>15</v>
      </c>
      <c r="T987" s="1605"/>
      <c r="U987" s="1604" t="s">
        <v>4247</v>
      </c>
      <c r="V987" s="1604"/>
      <c r="W987" s="1604" t="s">
        <v>5570</v>
      </c>
      <c r="X987" s="1604" t="s">
        <v>5361</v>
      </c>
      <c r="Y987" s="1601"/>
      <c r="Z987" s="1608"/>
    </row>
    <row r="988" spans="1:26" ht="41.4" hidden="1">
      <c r="A988" s="1601"/>
      <c r="B988" s="1605" t="s">
        <v>5119</v>
      </c>
      <c r="C988" s="2876" t="s">
        <v>5568</v>
      </c>
      <c r="D988" s="1185"/>
      <c r="E988" s="1800" t="s">
        <v>5567</v>
      </c>
      <c r="F988" s="2080">
        <v>46</v>
      </c>
      <c r="G988" s="1603" t="s">
        <v>5543</v>
      </c>
      <c r="H988" s="1604"/>
      <c r="I988" s="1604" t="s">
        <v>2549</v>
      </c>
      <c r="J988" s="1604" t="s">
        <v>2602</v>
      </c>
      <c r="K988" s="1620">
        <v>44798</v>
      </c>
      <c r="L988" s="1613" t="s">
        <v>990</v>
      </c>
      <c r="M988" s="1613" t="s">
        <v>5564</v>
      </c>
      <c r="N988" s="1604" t="s">
        <v>4546</v>
      </c>
      <c r="O988" s="1604">
        <v>2022</v>
      </c>
      <c r="P988" s="1604" t="s">
        <v>902</v>
      </c>
      <c r="Q988" s="1604">
        <v>5</v>
      </c>
      <c r="R988" s="1604"/>
      <c r="S988" s="1604">
        <v>5</v>
      </c>
      <c r="T988" s="1605"/>
      <c r="U988" s="1604" t="s">
        <v>4247</v>
      </c>
      <c r="V988" s="1604"/>
      <c r="W988" s="1604" t="s">
        <v>5223</v>
      </c>
      <c r="X988" s="1604"/>
      <c r="Y988" s="1601"/>
      <c r="Z988" s="1608"/>
    </row>
    <row r="989" spans="1:26" ht="27.6" hidden="1">
      <c r="A989" s="1601"/>
      <c r="B989" s="1605" t="s">
        <v>693</v>
      </c>
      <c r="C989" s="2876" t="s">
        <v>5576</v>
      </c>
      <c r="D989" s="1605"/>
      <c r="E989" s="1800" t="s">
        <v>5577</v>
      </c>
      <c r="F989" s="2080">
        <v>40</v>
      </c>
      <c r="G989" s="1605" t="s">
        <v>4996</v>
      </c>
      <c r="H989" s="1604"/>
      <c r="I989" s="1604" t="s">
        <v>2549</v>
      </c>
      <c r="J989" s="1604" t="s">
        <v>1895</v>
      </c>
      <c r="K989" s="2098">
        <v>44830</v>
      </c>
      <c r="L989" s="1613" t="s">
        <v>990</v>
      </c>
      <c r="M989" s="1613" t="s">
        <v>5578</v>
      </c>
      <c r="N989" s="1604" t="s">
        <v>917</v>
      </c>
      <c r="O989" s="1604">
        <v>2022</v>
      </c>
      <c r="P989" s="1604" t="s">
        <v>2426</v>
      </c>
      <c r="Q989" s="1604">
        <v>4</v>
      </c>
      <c r="R989" s="1604"/>
      <c r="S989" s="1604">
        <v>4</v>
      </c>
      <c r="T989" s="1605" t="s">
        <v>5712</v>
      </c>
      <c r="U989" s="1604" t="s">
        <v>4247</v>
      </c>
      <c r="V989" s="1604"/>
      <c r="W989" s="1604" t="s">
        <v>5579</v>
      </c>
      <c r="X989" s="1604"/>
      <c r="Y989" s="1601"/>
      <c r="Z989" s="1608"/>
    </row>
    <row r="990" spans="1:26" ht="41.4" hidden="1">
      <c r="A990" s="1604" t="s">
        <v>5580</v>
      </c>
      <c r="B990" s="1605" t="s">
        <v>5119</v>
      </c>
      <c r="C990" s="2876" t="s">
        <v>5584</v>
      </c>
      <c r="D990" s="1605"/>
      <c r="E990" s="1800" t="s">
        <v>5585</v>
      </c>
      <c r="F990" s="1604">
        <v>29</v>
      </c>
      <c r="G990" s="1605" t="s">
        <v>1014</v>
      </c>
      <c r="H990" s="1604"/>
      <c r="I990" s="1604" t="s">
        <v>2549</v>
      </c>
      <c r="J990" s="1620" t="s">
        <v>4286</v>
      </c>
      <c r="K990" s="2099">
        <v>44805</v>
      </c>
      <c r="L990" s="1613" t="s">
        <v>990</v>
      </c>
      <c r="M990" s="1613" t="s">
        <v>5581</v>
      </c>
      <c r="N990" s="1604" t="s">
        <v>2320</v>
      </c>
      <c r="O990" s="1604">
        <v>2022</v>
      </c>
      <c r="P990" s="1604" t="s">
        <v>2426</v>
      </c>
      <c r="Q990" s="1604">
        <v>60</v>
      </c>
      <c r="R990" s="1604"/>
      <c r="S990" s="1604">
        <v>60</v>
      </c>
      <c r="T990" s="1604" t="s">
        <v>2227</v>
      </c>
      <c r="U990" s="1604" t="s">
        <v>4247</v>
      </c>
      <c r="V990" s="1604"/>
      <c r="W990" s="1604" t="s">
        <v>5587</v>
      </c>
      <c r="X990" s="1604" t="s">
        <v>5361</v>
      </c>
      <c r="Y990" s="1601"/>
      <c r="Z990" s="1608"/>
    </row>
    <row r="991" spans="1:26" ht="41.4" hidden="1">
      <c r="A991" s="1604" t="s">
        <v>5589</v>
      </c>
      <c r="B991" s="1605" t="s">
        <v>5119</v>
      </c>
      <c r="C991" s="2876" t="s">
        <v>5583</v>
      </c>
      <c r="D991" s="2080"/>
      <c r="E991" s="1800" t="s">
        <v>5586</v>
      </c>
      <c r="F991" s="1604">
        <v>20</v>
      </c>
      <c r="G991" s="1605" t="s">
        <v>1014</v>
      </c>
      <c r="H991" s="1604"/>
      <c r="I991" s="1620" t="s">
        <v>2318</v>
      </c>
      <c r="J991" s="1602" t="s">
        <v>3490</v>
      </c>
      <c r="K991" s="2099">
        <v>44823</v>
      </c>
      <c r="L991" s="1613" t="s">
        <v>990</v>
      </c>
      <c r="M991" s="1613" t="s">
        <v>5582</v>
      </c>
      <c r="N991" s="1604" t="s">
        <v>929</v>
      </c>
      <c r="O991" s="1604">
        <v>2022</v>
      </c>
      <c r="P991" s="1604" t="s">
        <v>2426</v>
      </c>
      <c r="Q991" s="1604">
        <v>16</v>
      </c>
      <c r="R991" s="1605"/>
      <c r="S991" s="1604">
        <v>16</v>
      </c>
      <c r="T991" s="1604"/>
      <c r="U991" s="1604" t="s">
        <v>4247</v>
      </c>
      <c r="V991" s="1604"/>
      <c r="W991" s="1604" t="s">
        <v>5588</v>
      </c>
      <c r="X991" s="1604" t="s">
        <v>5361</v>
      </c>
      <c r="Y991" s="1601"/>
      <c r="Z991" s="1608"/>
    </row>
    <row r="992" spans="1:26" ht="27.6" hidden="1">
      <c r="A992" s="1601"/>
      <c r="B992" s="1345" t="s">
        <v>789</v>
      </c>
      <c r="C992" s="2260"/>
      <c r="D992" s="1185"/>
      <c r="E992" s="1800" t="s">
        <v>5606</v>
      </c>
      <c r="F992" s="1604">
        <v>30</v>
      </c>
      <c r="G992" s="1603" t="s">
        <v>5607</v>
      </c>
      <c r="H992" s="1604"/>
      <c r="I992" s="1604" t="s">
        <v>4808</v>
      </c>
      <c r="J992" s="1604" t="s">
        <v>1592</v>
      </c>
      <c r="K992" s="1826">
        <v>44835</v>
      </c>
      <c r="L992" s="1613" t="s">
        <v>990</v>
      </c>
      <c r="M992" s="1613" t="s">
        <v>5603</v>
      </c>
      <c r="N992" s="1604" t="s">
        <v>5090</v>
      </c>
      <c r="O992" s="1604">
        <v>2022</v>
      </c>
      <c r="P992" s="1604" t="s">
        <v>904</v>
      </c>
      <c r="Q992" s="1823">
        <v>3</v>
      </c>
      <c r="R992" s="1604"/>
      <c r="S992" s="1823">
        <v>3</v>
      </c>
      <c r="T992" s="1605"/>
      <c r="U992" s="1604" t="s">
        <v>4247</v>
      </c>
      <c r="V992" s="1604"/>
      <c r="W992" s="1604" t="s">
        <v>2564</v>
      </c>
      <c r="X992" s="1604"/>
      <c r="Y992" s="1601"/>
      <c r="Z992" s="1608"/>
    </row>
    <row r="993" spans="1:26" ht="41.4" hidden="1">
      <c r="A993" s="1601"/>
      <c r="B993" s="1605" t="s">
        <v>591</v>
      </c>
      <c r="C993" s="2260" t="s">
        <v>3609</v>
      </c>
      <c r="D993" s="1185"/>
      <c r="E993" s="1800" t="s">
        <v>5608</v>
      </c>
      <c r="F993" s="1604">
        <v>48</v>
      </c>
      <c r="G993" s="1603" t="s">
        <v>5609</v>
      </c>
      <c r="H993" s="1604"/>
      <c r="I993" s="1604" t="s">
        <v>4808</v>
      </c>
      <c r="J993" s="1604" t="s">
        <v>5610</v>
      </c>
      <c r="K993" s="1826">
        <v>44837</v>
      </c>
      <c r="L993" s="1613" t="s">
        <v>990</v>
      </c>
      <c r="M993" s="1613" t="s">
        <v>5591</v>
      </c>
      <c r="N993" s="1604" t="s">
        <v>2320</v>
      </c>
      <c r="O993" s="1604">
        <v>2022</v>
      </c>
      <c r="P993" s="1604" t="s">
        <v>904</v>
      </c>
      <c r="Q993" s="1823">
        <v>43</v>
      </c>
      <c r="R993" s="1604"/>
      <c r="S993" s="1823">
        <v>43</v>
      </c>
      <c r="T993" s="1605"/>
      <c r="U993" s="1604" t="s">
        <v>4247</v>
      </c>
      <c r="V993" s="1604"/>
      <c r="W993" s="1604" t="s">
        <v>5558</v>
      </c>
      <c r="X993" s="1604"/>
      <c r="Y993" s="1601"/>
      <c r="Z993" s="1608"/>
    </row>
    <row r="994" spans="1:26" ht="41.4" hidden="1">
      <c r="A994" s="1601"/>
      <c r="B994" s="1520" t="s">
        <v>91</v>
      </c>
      <c r="C994" s="2260" t="s">
        <v>4080</v>
      </c>
      <c r="D994" s="1185"/>
      <c r="E994" s="1800" t="s">
        <v>5611</v>
      </c>
      <c r="F994" s="1604"/>
      <c r="G994" s="1603" t="s">
        <v>5613</v>
      </c>
      <c r="H994" s="1604"/>
      <c r="I994" s="1604" t="s">
        <v>4808</v>
      </c>
      <c r="J994" s="1602" t="s">
        <v>5612</v>
      </c>
      <c r="K994" s="1826">
        <v>44845</v>
      </c>
      <c r="L994" s="1613" t="s">
        <v>990</v>
      </c>
      <c r="M994" s="1613" t="s">
        <v>5637</v>
      </c>
      <c r="N994" s="1604" t="s">
        <v>2320</v>
      </c>
      <c r="O994" s="1604">
        <v>2022</v>
      </c>
      <c r="P994" s="1604" t="s">
        <v>904</v>
      </c>
      <c r="Q994" s="1823">
        <v>3</v>
      </c>
      <c r="R994" s="1604"/>
      <c r="S994" s="1823">
        <v>3</v>
      </c>
      <c r="T994" s="1605"/>
      <c r="U994" s="1604" t="s">
        <v>4247</v>
      </c>
      <c r="V994" s="1604"/>
      <c r="W994" s="1604" t="s">
        <v>2564</v>
      </c>
      <c r="X994" s="1604"/>
      <c r="Y994" s="1601"/>
      <c r="Z994" s="1608"/>
    </row>
    <row r="995" spans="1:26" ht="27.6" hidden="1">
      <c r="A995" s="1601"/>
      <c r="B995" s="1345" t="s">
        <v>2943</v>
      </c>
      <c r="C995" s="2260" t="s">
        <v>5615</v>
      </c>
      <c r="D995" s="1185"/>
      <c r="E995" s="1800" t="s">
        <v>5614</v>
      </c>
      <c r="F995" s="1604"/>
      <c r="G995" s="1603" t="s">
        <v>5617</v>
      </c>
      <c r="H995" s="1604"/>
      <c r="I995" s="1604" t="s">
        <v>4808</v>
      </c>
      <c r="J995" s="1604" t="s">
        <v>1648</v>
      </c>
      <c r="K995" s="1826">
        <v>44847</v>
      </c>
      <c r="L995" s="1613" t="s">
        <v>990</v>
      </c>
      <c r="M995" s="1613" t="s">
        <v>5604</v>
      </c>
      <c r="N995" s="1604" t="s">
        <v>913</v>
      </c>
      <c r="O995" s="1604">
        <v>2022</v>
      </c>
      <c r="P995" s="1604" t="s">
        <v>904</v>
      </c>
      <c r="Q995" s="1823">
        <v>20</v>
      </c>
      <c r="R995" s="1604"/>
      <c r="S995" s="1823">
        <v>20</v>
      </c>
      <c r="T995" s="1605"/>
      <c r="U995" s="1604" t="s">
        <v>4247</v>
      </c>
      <c r="V995" s="1604"/>
      <c r="W995" s="1604" t="s">
        <v>2564</v>
      </c>
      <c r="X995" s="1604" t="s">
        <v>5616</v>
      </c>
      <c r="Y995" s="1601"/>
      <c r="Z995" s="1608"/>
    </row>
    <row r="996" spans="1:26" ht="27.6" hidden="1">
      <c r="A996" s="1601"/>
      <c r="B996" s="1195" t="s">
        <v>1053</v>
      </c>
      <c r="C996" s="2260" t="s">
        <v>5592</v>
      </c>
      <c r="D996" s="1185"/>
      <c r="E996" s="1800" t="s">
        <v>5618</v>
      </c>
      <c r="F996" s="1604"/>
      <c r="G996" s="1603" t="s">
        <v>5619</v>
      </c>
      <c r="H996" s="1604"/>
      <c r="I996" s="1604" t="s">
        <v>4808</v>
      </c>
      <c r="J996" s="1604" t="s">
        <v>5620</v>
      </c>
      <c r="K996" s="1826">
        <v>44851</v>
      </c>
      <c r="L996" s="1613" t="s">
        <v>990</v>
      </c>
      <c r="M996" s="1613" t="s">
        <v>5595</v>
      </c>
      <c r="N996" s="1604" t="s">
        <v>929</v>
      </c>
      <c r="O996" s="1604">
        <v>2022</v>
      </c>
      <c r="P996" s="1604" t="s">
        <v>904</v>
      </c>
      <c r="Q996" s="1823">
        <v>6</v>
      </c>
      <c r="R996" s="1604"/>
      <c r="S996" s="1823">
        <v>6</v>
      </c>
      <c r="T996" s="1605" t="s">
        <v>3796</v>
      </c>
      <c r="U996" s="1604" t="s">
        <v>4247</v>
      </c>
      <c r="V996" s="1604"/>
      <c r="W996" s="1604" t="s">
        <v>5722</v>
      </c>
      <c r="X996" s="1604"/>
      <c r="Y996" s="1601"/>
      <c r="Z996" s="1608"/>
    </row>
    <row r="997" spans="1:26" ht="27.6" hidden="1">
      <c r="A997" s="1601"/>
      <c r="B997" s="1605" t="s">
        <v>1006</v>
      </c>
      <c r="C997" s="2260" t="s">
        <v>5621</v>
      </c>
      <c r="D997" s="1185"/>
      <c r="E997" s="1800" t="s">
        <v>5624</v>
      </c>
      <c r="F997" s="1604">
        <v>46</v>
      </c>
      <c r="G997" s="1603" t="s">
        <v>5623</v>
      </c>
      <c r="H997" s="1604"/>
      <c r="I997" s="1604" t="s">
        <v>2549</v>
      </c>
      <c r="J997" s="1604" t="s">
        <v>5622</v>
      </c>
      <c r="K997" s="1826">
        <v>44852</v>
      </c>
      <c r="L997" s="1613" t="s">
        <v>990</v>
      </c>
      <c r="M997" s="1613" t="s">
        <v>5596</v>
      </c>
      <c r="N997" s="1604" t="s">
        <v>913</v>
      </c>
      <c r="O997" s="1604">
        <v>2022</v>
      </c>
      <c r="P997" s="1604" t="s">
        <v>904</v>
      </c>
      <c r="Q997" s="1823">
        <v>2</v>
      </c>
      <c r="R997" s="1604"/>
      <c r="S997" s="1823">
        <v>2</v>
      </c>
      <c r="T997" s="1605"/>
      <c r="U997" s="1604" t="s">
        <v>4247</v>
      </c>
      <c r="V997" s="1604"/>
      <c r="W997" s="1604" t="s">
        <v>2564</v>
      </c>
      <c r="X997" s="1604"/>
      <c r="Y997" s="1601"/>
      <c r="Z997" s="1608"/>
    </row>
    <row r="998" spans="1:26" ht="27.6" hidden="1">
      <c r="A998" s="1601"/>
      <c r="B998" s="1195" t="s">
        <v>694</v>
      </c>
      <c r="C998" s="2260"/>
      <c r="D998" s="1185"/>
      <c r="E998" s="1800" t="s">
        <v>5625</v>
      </c>
      <c r="F998" s="1604">
        <v>42</v>
      </c>
      <c r="G998" s="1603" t="s">
        <v>1113</v>
      </c>
      <c r="H998" s="1604"/>
      <c r="I998" s="1604" t="s">
        <v>2318</v>
      </c>
      <c r="J998" s="1604" t="s">
        <v>2493</v>
      </c>
      <c r="K998" s="1826">
        <v>44849</v>
      </c>
      <c r="L998" s="1613" t="s">
        <v>990</v>
      </c>
      <c r="M998" s="1613" t="s">
        <v>5597</v>
      </c>
      <c r="N998" s="1604" t="s">
        <v>929</v>
      </c>
      <c r="O998" s="1604">
        <v>2022</v>
      </c>
      <c r="P998" s="1604" t="s">
        <v>904</v>
      </c>
      <c r="Q998" s="1823">
        <v>3</v>
      </c>
      <c r="R998" s="1604"/>
      <c r="S998" s="1823">
        <v>3</v>
      </c>
      <c r="T998" s="1605" t="s">
        <v>2263</v>
      </c>
      <c r="U998" s="1604" t="s">
        <v>4247</v>
      </c>
      <c r="V998" s="1604"/>
      <c r="W998" s="1604" t="s">
        <v>5723</v>
      </c>
      <c r="X998" s="1604"/>
      <c r="Y998" s="1601"/>
      <c r="Z998" s="1608"/>
    </row>
    <row r="999" spans="1:26" ht="41.4" hidden="1">
      <c r="A999" s="1601"/>
      <c r="B999" s="1605" t="s">
        <v>5119</v>
      </c>
      <c r="C999" s="2260" t="s">
        <v>5593</v>
      </c>
      <c r="D999" s="1185"/>
      <c r="E999" s="1800" t="s">
        <v>5626</v>
      </c>
      <c r="F999" s="1604">
        <v>35</v>
      </c>
      <c r="G999" s="2189" t="s">
        <v>5628</v>
      </c>
      <c r="H999" s="1604"/>
      <c r="I999" s="1604" t="s">
        <v>4808</v>
      </c>
      <c r="J999" s="1604" t="s">
        <v>5627</v>
      </c>
      <c r="K999" s="1826">
        <v>44857</v>
      </c>
      <c r="L999" s="1613" t="s">
        <v>990</v>
      </c>
      <c r="M999" s="1613" t="s">
        <v>5600</v>
      </c>
      <c r="N999" s="1604" t="s">
        <v>2320</v>
      </c>
      <c r="O999" s="1604">
        <v>2022</v>
      </c>
      <c r="P999" s="1604" t="s">
        <v>904</v>
      </c>
      <c r="Q999" s="1823">
        <v>30</v>
      </c>
      <c r="R999" s="1604"/>
      <c r="S999" s="1823">
        <v>30</v>
      </c>
      <c r="T999" s="1605"/>
      <c r="U999" s="1604" t="s">
        <v>4247</v>
      </c>
      <c r="V999" s="1604"/>
      <c r="W999" s="1604" t="s">
        <v>2275</v>
      </c>
      <c r="X999" s="1604"/>
      <c r="Y999" s="1601"/>
      <c r="Z999" s="1608" t="s">
        <v>5430</v>
      </c>
    </row>
    <row r="1000" spans="1:26" ht="41.4" hidden="1">
      <c r="A1000" s="1601"/>
      <c r="B1000" s="1605" t="s">
        <v>5594</v>
      </c>
      <c r="C1000" s="2260"/>
      <c r="D1000" s="1185"/>
      <c r="E1000" s="1800"/>
      <c r="F1000" s="1604"/>
      <c r="G1000" s="1603"/>
      <c r="H1000" s="1604"/>
      <c r="I1000" s="1604" t="s">
        <v>4808</v>
      </c>
      <c r="J1000" s="1604"/>
      <c r="K1000" s="1826">
        <v>44852</v>
      </c>
      <c r="L1000" s="1613" t="s">
        <v>5602</v>
      </c>
      <c r="M1000" s="1613" t="s">
        <v>5605</v>
      </c>
      <c r="N1000" s="1604"/>
      <c r="O1000" s="1604">
        <v>2022</v>
      </c>
      <c r="P1000" s="1604" t="s">
        <v>904</v>
      </c>
      <c r="Q1000" s="1604"/>
      <c r="R1000" s="1604"/>
      <c r="S1000" s="1604"/>
      <c r="T1000" s="1605"/>
      <c r="U1000" s="1604" t="s">
        <v>4247</v>
      </c>
      <c r="V1000" s="1604"/>
      <c r="W1000" s="1604"/>
      <c r="X1000" s="1604"/>
      <c r="Y1000" s="1601"/>
      <c r="Z1000" s="1608"/>
    </row>
    <row r="1001" spans="1:26" ht="27.6" hidden="1">
      <c r="A1001" s="1601"/>
      <c r="B1001" s="1345" t="s">
        <v>1128</v>
      </c>
      <c r="C1001" s="2260"/>
      <c r="D1001" s="1185"/>
      <c r="E1001" s="1800" t="s">
        <v>5629</v>
      </c>
      <c r="F1001" s="1604"/>
      <c r="G1001" s="1603" t="s">
        <v>5630</v>
      </c>
      <c r="H1001" s="1604"/>
      <c r="I1001" s="1604" t="s">
        <v>2549</v>
      </c>
      <c r="J1001" s="1604" t="s">
        <v>5631</v>
      </c>
      <c r="K1001" s="1826">
        <v>44858</v>
      </c>
      <c r="L1001" s="1613" t="s">
        <v>990</v>
      </c>
      <c r="M1001" s="1613" t="s">
        <v>5598</v>
      </c>
      <c r="N1001" s="1604" t="s">
        <v>2320</v>
      </c>
      <c r="O1001" s="1604">
        <v>2022</v>
      </c>
      <c r="P1001" s="1604" t="s">
        <v>904</v>
      </c>
      <c r="Q1001" s="1823">
        <v>8</v>
      </c>
      <c r="R1001" s="1604"/>
      <c r="S1001" s="1823">
        <v>8</v>
      </c>
      <c r="T1001" s="1605" t="s">
        <v>4586</v>
      </c>
      <c r="U1001" s="1604" t="s">
        <v>4247</v>
      </c>
      <c r="V1001" s="1604"/>
      <c r="W1001" s="1604" t="s">
        <v>2564</v>
      </c>
      <c r="X1001" s="1604"/>
      <c r="Y1001" s="1601"/>
      <c r="Z1001" s="1608"/>
    </row>
    <row r="1002" spans="1:26" ht="27.6" hidden="1">
      <c r="A1002" s="1601"/>
      <c r="B1002" s="1605" t="s">
        <v>4974</v>
      </c>
      <c r="C1002" s="2260" t="s">
        <v>5633</v>
      </c>
      <c r="D1002" s="1185"/>
      <c r="E1002" s="1800" t="s">
        <v>5632</v>
      </c>
      <c r="F1002" s="1604">
        <v>38</v>
      </c>
      <c r="G1002" s="1603" t="s">
        <v>5635</v>
      </c>
      <c r="H1002" s="1604"/>
      <c r="I1002" s="1604" t="s">
        <v>4808</v>
      </c>
      <c r="J1002" s="1604" t="s">
        <v>5634</v>
      </c>
      <c r="K1002" s="1826">
        <v>44858</v>
      </c>
      <c r="L1002" s="1613" t="s">
        <v>990</v>
      </c>
      <c r="M1002" s="1613" t="s">
        <v>5601</v>
      </c>
      <c r="N1002" s="1604" t="s">
        <v>2320</v>
      </c>
      <c r="O1002" s="1604">
        <v>2022</v>
      </c>
      <c r="P1002" s="1604" t="s">
        <v>904</v>
      </c>
      <c r="Q1002" s="1823">
        <v>35</v>
      </c>
      <c r="R1002" s="1604"/>
      <c r="S1002" s="1823">
        <v>35</v>
      </c>
      <c r="T1002" s="1605" t="s">
        <v>5725</v>
      </c>
      <c r="U1002" s="1604" t="s">
        <v>4247</v>
      </c>
      <c r="V1002" s="1604"/>
      <c r="W1002" s="1604" t="s">
        <v>2340</v>
      </c>
      <c r="X1002" s="1604"/>
      <c r="Y1002" s="1601"/>
      <c r="Z1002" s="1608"/>
    </row>
    <row r="1003" spans="1:26" ht="27.6" hidden="1">
      <c r="A1003" s="1601"/>
      <c r="B1003" s="1345" t="s">
        <v>1128</v>
      </c>
      <c r="C1003" s="2260"/>
      <c r="D1003" s="1185"/>
      <c r="E1003" s="1800" t="s">
        <v>5636</v>
      </c>
      <c r="F1003" s="1604"/>
      <c r="G1003" s="1603" t="s">
        <v>2140</v>
      </c>
      <c r="H1003" s="1604"/>
      <c r="I1003" s="1604" t="s">
        <v>4808</v>
      </c>
      <c r="J1003" s="1604" t="s">
        <v>4454</v>
      </c>
      <c r="K1003" s="1826">
        <v>44861</v>
      </c>
      <c r="L1003" s="1613" t="s">
        <v>990</v>
      </c>
      <c r="M1003" s="1613" t="s">
        <v>5599</v>
      </c>
      <c r="N1003" s="1604" t="s">
        <v>913</v>
      </c>
      <c r="O1003" s="1604">
        <v>2022</v>
      </c>
      <c r="P1003" s="1604" t="s">
        <v>904</v>
      </c>
      <c r="Q1003" s="1823">
        <v>9</v>
      </c>
      <c r="R1003" s="1604"/>
      <c r="S1003" s="1823">
        <v>9</v>
      </c>
      <c r="T1003" s="1605" t="s">
        <v>5707</v>
      </c>
      <c r="U1003" s="1604" t="s">
        <v>4247</v>
      </c>
      <c r="V1003" s="1604"/>
      <c r="W1003" s="1604" t="s">
        <v>2238</v>
      </c>
      <c r="X1003" s="1604"/>
      <c r="Y1003" s="1601"/>
      <c r="Z1003" s="1608"/>
    </row>
    <row r="1004" spans="1:26" hidden="1">
      <c r="A1004" s="1601"/>
      <c r="B1004" s="1195" t="s">
        <v>694</v>
      </c>
      <c r="C1004" s="2260"/>
      <c r="D1004" s="1605"/>
      <c r="E1004" s="1800" t="s">
        <v>5638</v>
      </c>
      <c r="F1004" s="1602">
        <v>36</v>
      </c>
      <c r="G1004" s="1604" t="s">
        <v>5639</v>
      </c>
      <c r="H1004" s="1604"/>
      <c r="I1004" s="1604" t="s">
        <v>4808</v>
      </c>
      <c r="J1004" s="1826" t="s">
        <v>2497</v>
      </c>
      <c r="K1004" s="1826">
        <v>44860</v>
      </c>
      <c r="L1004" s="1613" t="s">
        <v>990</v>
      </c>
      <c r="M1004" s="1604" t="s">
        <v>5640</v>
      </c>
      <c r="N1004" s="1604" t="s">
        <v>913</v>
      </c>
      <c r="O1004" s="1604">
        <v>2022</v>
      </c>
      <c r="P1004" s="1823" t="s">
        <v>904</v>
      </c>
      <c r="Q1004" s="1823">
        <v>10</v>
      </c>
      <c r="R1004" s="1604"/>
      <c r="S1004" s="1823">
        <v>10</v>
      </c>
      <c r="T1004" s="1604" t="s">
        <v>2233</v>
      </c>
      <c r="U1004" s="1604" t="s">
        <v>4247</v>
      </c>
      <c r="V1004" s="1604"/>
      <c r="W1004" s="1604" t="s">
        <v>2564</v>
      </c>
      <c r="X1004" s="1601"/>
      <c r="Z1004" s="1608"/>
    </row>
    <row r="1005" spans="1:26" ht="29.4" hidden="1" thickBot="1">
      <c r="A1005" s="1601"/>
      <c r="B1005" s="1345" t="s">
        <v>77</v>
      </c>
      <c r="C1005" s="2260"/>
      <c r="D1005" s="1185"/>
      <c r="E1005" s="1800" t="s">
        <v>5662</v>
      </c>
      <c r="F1005" s="1604">
        <v>36</v>
      </c>
      <c r="G1005" s="1774" t="s">
        <v>5663</v>
      </c>
      <c r="H1005" s="1604"/>
      <c r="I1005" s="1604" t="s">
        <v>4808</v>
      </c>
      <c r="J1005" s="1604" t="s">
        <v>1456</v>
      </c>
      <c r="K1005" s="2103">
        <v>44869</v>
      </c>
      <c r="L1005" s="1613" t="s">
        <v>990</v>
      </c>
      <c r="M1005" s="1613" t="s">
        <v>5641</v>
      </c>
      <c r="N1005" s="1604" t="s">
        <v>913</v>
      </c>
      <c r="O1005" s="1604">
        <v>2022</v>
      </c>
      <c r="P1005" s="1604" t="s">
        <v>905</v>
      </c>
      <c r="Q1005" s="1604">
        <v>3</v>
      </c>
      <c r="R1005" s="1604"/>
      <c r="S1005" s="1604">
        <v>3</v>
      </c>
      <c r="T1005" s="1605"/>
      <c r="U1005" s="1604" t="s">
        <v>4247</v>
      </c>
      <c r="V1005" s="1604"/>
      <c r="W1005" s="1604" t="s">
        <v>2564</v>
      </c>
      <c r="X1005" s="1604"/>
      <c r="Z1005" s="1608"/>
    </row>
    <row r="1006" spans="1:26" ht="27.6" hidden="1">
      <c r="A1006" s="1601"/>
      <c r="B1006" s="1345" t="s">
        <v>1128</v>
      </c>
      <c r="C1006" s="2260"/>
      <c r="D1006" s="1185"/>
      <c r="E1006" s="1800" t="s">
        <v>5667</v>
      </c>
      <c r="F1006" s="1604"/>
      <c r="G1006" s="2104" t="s">
        <v>5668</v>
      </c>
      <c r="H1006" s="1604"/>
      <c r="I1006" s="1604" t="s">
        <v>2318</v>
      </c>
      <c r="J1006" s="1604" t="s">
        <v>5669</v>
      </c>
      <c r="K1006" s="2103">
        <v>44869</v>
      </c>
      <c r="L1006" s="1613" t="s">
        <v>990</v>
      </c>
      <c r="M1006" s="1613" t="s">
        <v>5642</v>
      </c>
      <c r="N1006" s="1604" t="s">
        <v>925</v>
      </c>
      <c r="O1006" s="1604">
        <v>2022</v>
      </c>
      <c r="P1006" s="1604" t="s">
        <v>905</v>
      </c>
      <c r="Q1006" s="1604">
        <v>4</v>
      </c>
      <c r="R1006" s="1604"/>
      <c r="S1006" s="1604">
        <v>4</v>
      </c>
      <c r="T1006" s="1605" t="s">
        <v>2227</v>
      </c>
      <c r="U1006" s="1604" t="s">
        <v>4247</v>
      </c>
      <c r="V1006" s="1604"/>
      <c r="W1006" s="1604" t="s">
        <v>2564</v>
      </c>
      <c r="X1006" s="1604"/>
      <c r="Z1006" s="1608"/>
    </row>
    <row r="1007" spans="1:26" hidden="1">
      <c r="A1007" s="1601"/>
      <c r="B1007" s="1520" t="s">
        <v>91</v>
      </c>
      <c r="C1007" s="2260" t="s">
        <v>3764</v>
      </c>
      <c r="D1007" s="1185"/>
      <c r="E1007" s="1800" t="s">
        <v>5665</v>
      </c>
      <c r="F1007" s="1604"/>
      <c r="G1007" s="1603" t="s">
        <v>5666</v>
      </c>
      <c r="H1007" s="1604"/>
      <c r="I1007" s="1604" t="s">
        <v>2318</v>
      </c>
      <c r="J1007" s="1604" t="s">
        <v>2070</v>
      </c>
      <c r="K1007" s="2103">
        <v>44872</v>
      </c>
      <c r="L1007" s="1613" t="s">
        <v>990</v>
      </c>
      <c r="M1007" s="1613" t="s">
        <v>5643</v>
      </c>
      <c r="N1007" s="1604" t="s">
        <v>2320</v>
      </c>
      <c r="O1007" s="1604">
        <v>2022</v>
      </c>
      <c r="P1007" s="1604" t="s">
        <v>905</v>
      </c>
      <c r="Q1007" s="1604">
        <v>4</v>
      </c>
      <c r="R1007" s="1604"/>
      <c r="S1007" s="1604">
        <v>4</v>
      </c>
      <c r="T1007" s="1605"/>
      <c r="U1007" s="1604" t="s">
        <v>4247</v>
      </c>
      <c r="V1007" s="1604"/>
      <c r="W1007" s="1604" t="s">
        <v>3837</v>
      </c>
      <c r="X1007" s="1604"/>
      <c r="Z1007" s="1608"/>
    </row>
    <row r="1008" spans="1:26" ht="27.6" hidden="1">
      <c r="A1008" s="1601"/>
      <c r="B1008" s="1195" t="s">
        <v>1223</v>
      </c>
      <c r="C1008" s="2260" t="s">
        <v>5645</v>
      </c>
      <c r="D1008" s="1185"/>
      <c r="E1008" s="1800"/>
      <c r="F1008" s="1604"/>
      <c r="G1008" s="1603"/>
      <c r="H1008" s="1604"/>
      <c r="I1008" s="1604"/>
      <c r="J1008" s="1604"/>
      <c r="K1008" s="2103">
        <v>44881</v>
      </c>
      <c r="L1008" s="1613" t="s">
        <v>990</v>
      </c>
      <c r="M1008" s="1613" t="s">
        <v>5644</v>
      </c>
      <c r="N1008" s="1604" t="s">
        <v>925</v>
      </c>
      <c r="O1008" s="1604">
        <v>2022</v>
      </c>
      <c r="P1008" s="1604" t="s">
        <v>905</v>
      </c>
      <c r="Q1008" s="1604">
        <v>9</v>
      </c>
      <c r="R1008" s="1604"/>
      <c r="S1008" s="1604">
        <v>9</v>
      </c>
      <c r="T1008" s="1605"/>
      <c r="U1008" s="1601" t="s">
        <v>918</v>
      </c>
      <c r="V1008" s="1601"/>
      <c r="W1008" s="1604" t="s">
        <v>2275</v>
      </c>
      <c r="X1008" s="1604"/>
      <c r="Z1008" s="1608"/>
    </row>
    <row r="1009" spans="1:26" ht="27.6" hidden="1">
      <c r="A1009" s="1601"/>
      <c r="B1009" s="1195" t="s">
        <v>1223</v>
      </c>
      <c r="C1009" s="2260" t="s">
        <v>5646</v>
      </c>
      <c r="D1009" s="1185"/>
      <c r="E1009" s="1800"/>
      <c r="F1009" s="1604"/>
      <c r="G1009" s="1603"/>
      <c r="H1009" s="1604"/>
      <c r="I1009" s="1604"/>
      <c r="J1009" s="1604"/>
      <c r="K1009" s="2103">
        <v>44881</v>
      </c>
      <c r="L1009" s="1613" t="s">
        <v>990</v>
      </c>
      <c r="M1009" s="1613" t="s">
        <v>5647</v>
      </c>
      <c r="N1009" s="1604" t="s">
        <v>913</v>
      </c>
      <c r="O1009" s="1604">
        <v>2022</v>
      </c>
      <c r="P1009" s="1604" t="s">
        <v>905</v>
      </c>
      <c r="Q1009" s="1604">
        <v>10</v>
      </c>
      <c r="R1009" s="1604"/>
      <c r="S1009" s="1604">
        <v>10</v>
      </c>
      <c r="T1009" s="1605"/>
      <c r="U1009" s="1601" t="s">
        <v>918</v>
      </c>
      <c r="V1009" s="1601"/>
      <c r="W1009" s="1604" t="s">
        <v>2607</v>
      </c>
      <c r="X1009" s="1604"/>
      <c r="Z1009" s="1608"/>
    </row>
    <row r="1010" spans="1:26" ht="27.6" hidden="1">
      <c r="A1010" s="1601"/>
      <c r="B1010" s="1345" t="s">
        <v>77</v>
      </c>
      <c r="C1010" s="2260"/>
      <c r="D1010" s="1185"/>
      <c r="E1010" s="1800"/>
      <c r="F1010" s="1604"/>
      <c r="G1010" s="1603"/>
      <c r="H1010" s="1604"/>
      <c r="I1010" s="1604"/>
      <c r="J1010" s="1604"/>
      <c r="K1010" s="2103">
        <v>44892</v>
      </c>
      <c r="L1010" s="1613" t="s">
        <v>990</v>
      </c>
      <c r="M1010" s="1613" t="s">
        <v>5648</v>
      </c>
      <c r="N1010" s="1604" t="s">
        <v>3416</v>
      </c>
      <c r="O1010" s="1604">
        <v>2022</v>
      </c>
      <c r="P1010" s="1604" t="s">
        <v>905</v>
      </c>
      <c r="Q1010" s="1604">
        <v>2</v>
      </c>
      <c r="R1010" s="1604"/>
      <c r="S1010" s="1604">
        <v>2</v>
      </c>
      <c r="T1010" s="1605"/>
      <c r="U1010" s="1604" t="s">
        <v>4247</v>
      </c>
      <c r="V1010" s="1604"/>
      <c r="W1010" s="1604" t="s">
        <v>2238</v>
      </c>
      <c r="X1010" s="1604"/>
      <c r="Z1010" s="1608"/>
    </row>
    <row r="1011" spans="1:26" ht="27.6" hidden="1">
      <c r="A1011" s="1601"/>
      <c r="B1011" s="1345" t="s">
        <v>1128</v>
      </c>
      <c r="C1011" s="2260"/>
      <c r="D1011" s="1185"/>
      <c r="E1011" s="1800"/>
      <c r="F1011" s="1604"/>
      <c r="G1011" s="1603"/>
      <c r="H1011" s="1604"/>
      <c r="I1011" s="1604"/>
      <c r="J1011" s="1604"/>
      <c r="K1011" s="2103">
        <v>44893</v>
      </c>
      <c r="L1011" s="1613" t="s">
        <v>990</v>
      </c>
      <c r="M1011" s="1613" t="s">
        <v>5649</v>
      </c>
      <c r="N1011" s="1604" t="s">
        <v>923</v>
      </c>
      <c r="O1011" s="1604">
        <v>2022</v>
      </c>
      <c r="P1011" s="1604" t="s">
        <v>905</v>
      </c>
      <c r="Q1011" s="1604">
        <v>7</v>
      </c>
      <c r="R1011" s="1604"/>
      <c r="S1011" s="1604">
        <v>7</v>
      </c>
      <c r="T1011" s="1605" t="s">
        <v>5708</v>
      </c>
      <c r="U1011" s="1604" t="s">
        <v>4247</v>
      </c>
      <c r="V1011" s="1604"/>
      <c r="W1011" s="1604" t="s">
        <v>2238</v>
      </c>
      <c r="X1011" s="1604"/>
      <c r="Z1011" s="1608"/>
    </row>
    <row r="1012" spans="1:26" ht="27.6" hidden="1">
      <c r="A1012" s="1601"/>
      <c r="B1012" s="1605" t="s">
        <v>5650</v>
      </c>
      <c r="C1012" s="2260"/>
      <c r="D1012" s="1185"/>
      <c r="E1012" s="1800"/>
      <c r="F1012" s="1604"/>
      <c r="G1012" s="1603"/>
      <c r="H1012" s="1604"/>
      <c r="I1012" s="1604"/>
      <c r="J1012" s="1604"/>
      <c r="K1012" s="2103">
        <v>44869</v>
      </c>
      <c r="L1012" s="1613" t="s">
        <v>990</v>
      </c>
      <c r="M1012" s="1613" t="s">
        <v>5651</v>
      </c>
      <c r="N1012" s="1604" t="s">
        <v>925</v>
      </c>
      <c r="O1012" s="1604">
        <v>2022</v>
      </c>
      <c r="P1012" s="1604" t="s">
        <v>905</v>
      </c>
      <c r="Q1012" s="1604">
        <v>60</v>
      </c>
      <c r="R1012" s="1604"/>
      <c r="S1012" s="1604">
        <v>60</v>
      </c>
      <c r="T1012" s="1605"/>
      <c r="U1012" s="1604" t="s">
        <v>4247</v>
      </c>
      <c r="V1012" s="1604"/>
      <c r="W1012" s="1604" t="s">
        <v>2238</v>
      </c>
      <c r="X1012" s="1604" t="s">
        <v>5676</v>
      </c>
      <c r="Z1012" s="1608"/>
    </row>
    <row r="1013" spans="1:26" ht="27.6" hidden="1">
      <c r="A1013" s="1601"/>
      <c r="B1013" s="1605" t="s">
        <v>5653</v>
      </c>
      <c r="C1013" s="2260" t="s">
        <v>5654</v>
      </c>
      <c r="D1013" s="1185"/>
      <c r="E1013" s="1800" t="s">
        <v>5664</v>
      </c>
      <c r="F1013" s="1604">
        <v>33</v>
      </c>
      <c r="G1013" s="1603" t="s">
        <v>3592</v>
      </c>
      <c r="H1013" s="1604"/>
      <c r="I1013" s="1604" t="s">
        <v>4808</v>
      </c>
      <c r="J1013" s="1604" t="s">
        <v>1037</v>
      </c>
      <c r="K1013" s="2103">
        <v>44891</v>
      </c>
      <c r="L1013" s="1613" t="s">
        <v>990</v>
      </c>
      <c r="M1013" s="1613" t="s">
        <v>5652</v>
      </c>
      <c r="N1013" s="1604" t="s">
        <v>2320</v>
      </c>
      <c r="O1013" s="1604">
        <v>2022</v>
      </c>
      <c r="P1013" s="1604" t="s">
        <v>905</v>
      </c>
      <c r="Q1013" s="1604">
        <v>5</v>
      </c>
      <c r="R1013" s="1604"/>
      <c r="S1013" s="1604">
        <v>5</v>
      </c>
      <c r="T1013" s="1605"/>
      <c r="U1013" s="1604" t="s">
        <v>4247</v>
      </c>
      <c r="V1013" s="1604"/>
      <c r="W1013" s="1604" t="s">
        <v>3634</v>
      </c>
      <c r="X1013" s="1604" t="s">
        <v>4979</v>
      </c>
      <c r="Z1013" s="1608"/>
    </row>
    <row r="1014" spans="1:26" ht="41.4" hidden="1">
      <c r="A1014" s="1601"/>
      <c r="B1014" s="1605" t="s">
        <v>5656</v>
      </c>
      <c r="C1014" s="2260"/>
      <c r="D1014" s="1185"/>
      <c r="E1014" s="1800"/>
      <c r="F1014" s="1604"/>
      <c r="G1014" s="1603"/>
      <c r="H1014" s="1604"/>
      <c r="I1014" s="1604"/>
      <c r="J1014" s="1604"/>
      <c r="K1014" s="2103">
        <v>44866</v>
      </c>
      <c r="L1014" s="1613" t="s">
        <v>5602</v>
      </c>
      <c r="M1014" s="1613" t="s">
        <v>5655</v>
      </c>
      <c r="N1014" s="1604"/>
      <c r="O1014" s="1604">
        <v>2022</v>
      </c>
      <c r="P1014" s="1604" t="s">
        <v>905</v>
      </c>
      <c r="Q1014" s="1604"/>
      <c r="R1014" s="1604"/>
      <c r="S1014" s="1604"/>
      <c r="T1014" s="1605"/>
      <c r="U1014" s="1601"/>
      <c r="V1014" s="1601"/>
      <c r="W1014" s="1604"/>
      <c r="X1014" s="1604"/>
      <c r="Z1014" s="1608"/>
    </row>
    <row r="1015" spans="1:26" ht="27.6" hidden="1">
      <c r="A1015" s="1601"/>
      <c r="B1015" s="1605" t="s">
        <v>1006</v>
      </c>
      <c r="C1015" s="2260"/>
      <c r="D1015" s="1185"/>
      <c r="E1015" s="1800"/>
      <c r="F1015" s="1604"/>
      <c r="G1015" s="1603"/>
      <c r="H1015" s="1604"/>
      <c r="I1015" s="1604"/>
      <c r="J1015" s="1604"/>
      <c r="K1015" s="2103">
        <v>44867</v>
      </c>
      <c r="L1015" s="1613" t="s">
        <v>5602</v>
      </c>
      <c r="M1015" s="1613" t="s">
        <v>5657</v>
      </c>
      <c r="N1015" s="1604"/>
      <c r="O1015" s="1604">
        <v>2022</v>
      </c>
      <c r="P1015" s="1604" t="s">
        <v>905</v>
      </c>
      <c r="Q1015" s="1604"/>
      <c r="R1015" s="1604"/>
      <c r="S1015" s="1604"/>
      <c r="T1015" s="1605"/>
      <c r="U1015" s="1601"/>
      <c r="V1015" s="1601"/>
      <c r="W1015" s="1604"/>
      <c r="X1015" s="1604"/>
      <c r="Z1015" s="1608"/>
    </row>
    <row r="1016" spans="1:26" ht="27.6" hidden="1">
      <c r="A1016" s="1601"/>
      <c r="B1016" s="1605" t="s">
        <v>1958</v>
      </c>
      <c r="C1016" s="2260"/>
      <c r="D1016" s="1185"/>
      <c r="E1016" s="1800"/>
      <c r="F1016" s="1604"/>
      <c r="G1016" s="1603"/>
      <c r="H1016" s="1604"/>
      <c r="I1016" s="1604"/>
      <c r="J1016" s="1604"/>
      <c r="K1016" s="2103">
        <v>44873</v>
      </c>
      <c r="L1016" s="1613" t="s">
        <v>5602</v>
      </c>
      <c r="M1016" s="1613" t="s">
        <v>5658</v>
      </c>
      <c r="N1016" s="1604"/>
      <c r="O1016" s="1604">
        <v>2022</v>
      </c>
      <c r="P1016" s="1604" t="s">
        <v>905</v>
      </c>
      <c r="Q1016" s="1604"/>
      <c r="R1016" s="1604"/>
      <c r="S1016" s="1604"/>
      <c r="T1016" s="1605"/>
      <c r="U1016" s="1601"/>
      <c r="V1016" s="1601"/>
      <c r="W1016" s="1604"/>
      <c r="X1016" s="1604"/>
      <c r="Z1016" s="1608"/>
    </row>
    <row r="1017" spans="1:26" hidden="1">
      <c r="A1017" s="1601"/>
      <c r="B1017" s="1605" t="s">
        <v>5659</v>
      </c>
      <c r="C1017" s="2260"/>
      <c r="D1017" s="1185"/>
      <c r="E1017" s="1800"/>
      <c r="F1017" s="1604"/>
      <c r="G1017" s="1603"/>
      <c r="H1017" s="1604"/>
      <c r="I1017" s="1604"/>
      <c r="J1017" s="1604"/>
      <c r="K1017" s="2103">
        <v>44880</v>
      </c>
      <c r="L1017" s="1613" t="s">
        <v>5602</v>
      </c>
      <c r="M1017" s="1613" t="s">
        <v>5660</v>
      </c>
      <c r="N1017" s="1604"/>
      <c r="O1017" s="1604">
        <v>2022</v>
      </c>
      <c r="P1017" s="1604" t="s">
        <v>905</v>
      </c>
      <c r="Q1017" s="1604"/>
      <c r="R1017" s="1604"/>
      <c r="S1017" s="1604"/>
      <c r="T1017" s="1605"/>
      <c r="U1017" s="1601"/>
      <c r="V1017" s="1601"/>
      <c r="W1017" s="1604"/>
      <c r="X1017" s="1604"/>
      <c r="Z1017" s="1608"/>
    </row>
    <row r="1018" spans="1:26" ht="27.6" hidden="1">
      <c r="A1018" s="1601"/>
      <c r="B1018" s="1605" t="s">
        <v>5656</v>
      </c>
      <c r="C1018" s="2260"/>
      <c r="D1018" s="1185"/>
      <c r="E1018" s="1800"/>
      <c r="F1018" s="1604"/>
      <c r="G1018" s="1603"/>
      <c r="H1018" s="1604"/>
      <c r="I1018" s="1604"/>
      <c r="J1018" s="1604"/>
      <c r="K1018" s="2103">
        <v>44889</v>
      </c>
      <c r="L1018" s="1613" t="s">
        <v>5602</v>
      </c>
      <c r="M1018" s="1613" t="s">
        <v>5661</v>
      </c>
      <c r="N1018" s="1604"/>
      <c r="O1018" s="1604">
        <v>2022</v>
      </c>
      <c r="P1018" s="1604" t="s">
        <v>905</v>
      </c>
      <c r="Q1018" s="1604"/>
      <c r="R1018" s="1604"/>
      <c r="S1018" s="1604"/>
      <c r="T1018" s="1605"/>
      <c r="U1018" s="1601"/>
      <c r="V1018" s="1601"/>
      <c r="W1018" s="1604"/>
      <c r="X1018" s="1604"/>
      <c r="Z1018" s="1608"/>
    </row>
    <row r="1019" spans="1:26" ht="27.6" hidden="1">
      <c r="A1019" s="1601"/>
      <c r="B1019" s="1605" t="s">
        <v>591</v>
      </c>
      <c r="C1019" s="2260"/>
      <c r="D1019" s="1185"/>
      <c r="E1019" s="1800" t="s">
        <v>5670</v>
      </c>
      <c r="F1019" s="1604"/>
      <c r="G1019" s="2189" t="s">
        <v>2781</v>
      </c>
      <c r="H1019" s="1604"/>
      <c r="I1019" s="1604"/>
      <c r="J1019" s="1604" t="s">
        <v>5672</v>
      </c>
      <c r="K1019" s="2103">
        <v>44893</v>
      </c>
      <c r="L1019" s="1613" t="s">
        <v>990</v>
      </c>
      <c r="M1019" s="1613" t="s">
        <v>5671</v>
      </c>
      <c r="N1019" s="1604" t="s">
        <v>2320</v>
      </c>
      <c r="O1019" s="1604">
        <v>2022</v>
      </c>
      <c r="P1019" s="1604" t="s">
        <v>905</v>
      </c>
      <c r="Q1019" s="1604">
        <v>5</v>
      </c>
      <c r="R1019" s="1604"/>
      <c r="S1019" s="1604">
        <v>5</v>
      </c>
      <c r="T1019" s="1605"/>
      <c r="U1019" s="1604" t="s">
        <v>4516</v>
      </c>
      <c r="V1019" s="1604"/>
      <c r="W1019" s="1604" t="s">
        <v>5724</v>
      </c>
      <c r="X1019" s="1604"/>
      <c r="Z1019" s="1608" t="s">
        <v>5430</v>
      </c>
    </row>
    <row r="1020" spans="1:26" ht="27.6" hidden="1">
      <c r="A1020" s="1601"/>
      <c r="B1020" s="1195" t="s">
        <v>1223</v>
      </c>
      <c r="C1020" s="2260"/>
      <c r="D1020" s="1185"/>
      <c r="E1020" s="1800" t="s">
        <v>5674</v>
      </c>
      <c r="F1020" s="1604"/>
      <c r="G1020" s="1603" t="s">
        <v>1118</v>
      </c>
      <c r="H1020" s="1604"/>
      <c r="I1020" s="1604"/>
      <c r="J1020" s="1604" t="s">
        <v>1313</v>
      </c>
      <c r="K1020" s="2103">
        <v>44882</v>
      </c>
      <c r="L1020" s="1613" t="s">
        <v>990</v>
      </c>
      <c r="M1020" s="1613" t="s">
        <v>5673</v>
      </c>
      <c r="N1020" s="1604" t="s">
        <v>2320</v>
      </c>
      <c r="O1020" s="1604">
        <v>2022</v>
      </c>
      <c r="P1020" s="1604" t="s">
        <v>905</v>
      </c>
      <c r="Q1020" s="1604">
        <v>5</v>
      </c>
      <c r="R1020" s="1604"/>
      <c r="S1020" s="1604">
        <v>5</v>
      </c>
      <c r="T1020" s="1605"/>
      <c r="U1020" s="1604" t="s">
        <v>4516</v>
      </c>
      <c r="V1020" s="1604"/>
      <c r="W1020" s="1604" t="s">
        <v>5724</v>
      </c>
      <c r="X1020" s="1604"/>
      <c r="Z1020" s="1608"/>
    </row>
    <row r="1021" spans="1:26" ht="28.2" hidden="1" thickBot="1">
      <c r="A1021" s="1601"/>
      <c r="B1021" s="2117" t="s">
        <v>5650</v>
      </c>
      <c r="C1021" s="2877"/>
      <c r="D1021" s="1185"/>
      <c r="E1021" s="2889" t="s">
        <v>5678</v>
      </c>
      <c r="F1021" s="2118"/>
      <c r="G1021" s="2119" t="s">
        <v>1014</v>
      </c>
      <c r="H1021" s="2118"/>
      <c r="I1021" s="2118"/>
      <c r="J1021" s="2118" t="s">
        <v>2748</v>
      </c>
      <c r="K1021" s="2120">
        <v>44888</v>
      </c>
      <c r="L1021" s="2121" t="s">
        <v>990</v>
      </c>
      <c r="M1021" s="2121" t="s">
        <v>5677</v>
      </c>
      <c r="N1021" s="2118" t="s">
        <v>2320</v>
      </c>
      <c r="O1021" s="2118">
        <v>2022</v>
      </c>
      <c r="P1021" s="2118" t="s">
        <v>905</v>
      </c>
      <c r="Q1021" s="2118">
        <v>21</v>
      </c>
      <c r="R1021" s="2118"/>
      <c r="S1021" s="2118">
        <v>21</v>
      </c>
      <c r="T1021" s="2117"/>
      <c r="U1021" s="2118" t="s">
        <v>4247</v>
      </c>
      <c r="V1021" s="2118"/>
      <c r="W1021" s="2118" t="s">
        <v>2238</v>
      </c>
      <c r="X1021" s="2118" t="s">
        <v>5676</v>
      </c>
      <c r="Z1021" s="1608"/>
    </row>
    <row r="1022" spans="1:26" ht="27.6" hidden="1">
      <c r="A1022" s="1601"/>
      <c r="B1022" s="1520" t="s">
        <v>91</v>
      </c>
      <c r="C1022" s="2871" t="s">
        <v>4080</v>
      </c>
      <c r="D1022" s="1185"/>
      <c r="E1022" s="2879" t="s">
        <v>5692</v>
      </c>
      <c r="F1022" s="1991"/>
      <c r="G1022" s="1779"/>
      <c r="H1022" s="1991"/>
      <c r="I1022" s="1991" t="s">
        <v>4808</v>
      </c>
      <c r="J1022" s="1991" t="s">
        <v>2706</v>
      </c>
      <c r="K1022" s="2115">
        <v>44897</v>
      </c>
      <c r="L1022" s="2116" t="s">
        <v>990</v>
      </c>
      <c r="M1022" s="2116" t="s">
        <v>5679</v>
      </c>
      <c r="N1022" s="1991" t="s">
        <v>923</v>
      </c>
      <c r="O1022" s="1991">
        <v>2022</v>
      </c>
      <c r="P1022" s="1991" t="s">
        <v>906</v>
      </c>
      <c r="Q1022" s="1991">
        <v>15</v>
      </c>
      <c r="R1022" s="1991"/>
      <c r="S1022" s="1991">
        <v>15</v>
      </c>
      <c r="T1022" s="1990"/>
      <c r="U1022" s="1991" t="s">
        <v>4247</v>
      </c>
      <c r="V1022" s="1991"/>
      <c r="W1022" s="1991" t="s">
        <v>2238</v>
      </c>
      <c r="X1022" s="1991"/>
      <c r="Z1022" s="1608"/>
    </row>
    <row r="1023" spans="1:26" ht="55.2" hidden="1">
      <c r="A1023" s="1601"/>
      <c r="B1023" s="1185" t="s">
        <v>602</v>
      </c>
      <c r="C1023" s="2260" t="s">
        <v>2161</v>
      </c>
      <c r="D1023" s="1185"/>
      <c r="E1023" s="1800"/>
      <c r="F1023" s="1604"/>
      <c r="G1023" s="1603"/>
      <c r="H1023" s="1604"/>
      <c r="I1023" s="1604"/>
      <c r="J1023" s="1604"/>
      <c r="K1023" s="2103">
        <v>44901</v>
      </c>
      <c r="L1023" s="1613" t="s">
        <v>990</v>
      </c>
      <c r="M1023" s="1613" t="s">
        <v>5680</v>
      </c>
      <c r="N1023" s="1604" t="s">
        <v>915</v>
      </c>
      <c r="O1023" s="1604">
        <v>2022</v>
      </c>
      <c r="P1023" s="1604" t="s">
        <v>906</v>
      </c>
      <c r="Q1023" s="1604">
        <v>5</v>
      </c>
      <c r="R1023" s="1604"/>
      <c r="S1023" s="1604">
        <v>5</v>
      </c>
      <c r="T1023" s="1605" t="s">
        <v>5719</v>
      </c>
      <c r="U1023" s="1604" t="s">
        <v>4247</v>
      </c>
      <c r="V1023" s="1604"/>
      <c r="W1023" s="1604" t="s">
        <v>2238</v>
      </c>
      <c r="X1023" s="1604"/>
      <c r="Z1023" s="1608"/>
    </row>
    <row r="1024" spans="1:26" hidden="1">
      <c r="A1024" s="1601"/>
      <c r="B1024" s="1345" t="s">
        <v>1128</v>
      </c>
      <c r="C1024" s="2260"/>
      <c r="D1024" s="1185"/>
      <c r="E1024" s="1800"/>
      <c r="F1024" s="1604"/>
      <c r="G1024" s="1603"/>
      <c r="H1024" s="1604"/>
      <c r="I1024" s="1604"/>
      <c r="J1024" s="1604"/>
      <c r="K1024" s="2103">
        <v>44901</v>
      </c>
      <c r="L1024" s="1613" t="s">
        <v>990</v>
      </c>
      <c r="M1024" s="1613" t="s">
        <v>5681</v>
      </c>
      <c r="N1024" s="1604" t="s">
        <v>913</v>
      </c>
      <c r="O1024" s="1604">
        <v>2022</v>
      </c>
      <c r="P1024" s="1604" t="s">
        <v>906</v>
      </c>
      <c r="Q1024" s="1604">
        <v>3</v>
      </c>
      <c r="R1024" s="1604"/>
      <c r="S1024" s="1604">
        <v>3</v>
      </c>
      <c r="T1024" s="1605" t="s">
        <v>2233</v>
      </c>
      <c r="U1024" s="1604" t="s">
        <v>4247</v>
      </c>
      <c r="V1024" s="1604"/>
      <c r="W1024" s="1604" t="s">
        <v>2238</v>
      </c>
      <c r="X1024" s="1604"/>
      <c r="Z1024" s="1608"/>
    </row>
    <row r="1025" spans="1:16344" ht="27.6" hidden="1">
      <c r="A1025" s="1601"/>
      <c r="B1025" s="1185" t="s">
        <v>602</v>
      </c>
      <c r="C1025" s="2260" t="s">
        <v>5283</v>
      </c>
      <c r="D1025" s="1185"/>
      <c r="E1025" s="1800" t="s">
        <v>5693</v>
      </c>
      <c r="F1025" s="1604"/>
      <c r="G1025" s="1603"/>
      <c r="H1025" s="1604"/>
      <c r="I1025" s="1991" t="s">
        <v>4808</v>
      </c>
      <c r="J1025" s="1604" t="s">
        <v>2681</v>
      </c>
      <c r="K1025" s="2103">
        <v>44902</v>
      </c>
      <c r="L1025" s="1613" t="s">
        <v>990</v>
      </c>
      <c r="M1025" s="1613" t="s">
        <v>5682</v>
      </c>
      <c r="N1025" s="1604" t="s">
        <v>2320</v>
      </c>
      <c r="O1025" s="1604">
        <v>2022</v>
      </c>
      <c r="P1025" s="1604" t="s">
        <v>906</v>
      </c>
      <c r="Q1025" s="1604">
        <v>20</v>
      </c>
      <c r="R1025" s="1604"/>
      <c r="S1025" s="1604">
        <v>20</v>
      </c>
      <c r="T1025" s="1605" t="s">
        <v>5720</v>
      </c>
      <c r="U1025" s="1604" t="s">
        <v>4247</v>
      </c>
      <c r="V1025" s="1604"/>
      <c r="W1025" s="1604" t="s">
        <v>2238</v>
      </c>
      <c r="X1025" s="1604" t="s">
        <v>1228</v>
      </c>
      <c r="Z1025" s="1608"/>
    </row>
    <row r="1026" spans="1:16344" ht="42" hidden="1" thickBot="1">
      <c r="A1026" s="1601"/>
      <c r="B1026" s="1605" t="s">
        <v>5684</v>
      </c>
      <c r="C1026" s="2260" t="s">
        <v>5686</v>
      </c>
      <c r="D1026" s="1185"/>
      <c r="E1026" s="1800" t="s">
        <v>5694</v>
      </c>
      <c r="F1026" s="1604">
        <v>33</v>
      </c>
      <c r="G1026" s="2123" t="s">
        <v>1118</v>
      </c>
      <c r="H1026" s="1604"/>
      <c r="I1026" s="1991" t="s">
        <v>4808</v>
      </c>
      <c r="J1026" s="1604" t="s">
        <v>5695</v>
      </c>
      <c r="K1026" s="2103">
        <v>44897</v>
      </c>
      <c r="L1026" s="1613" t="s">
        <v>990</v>
      </c>
      <c r="M1026" s="1613" t="s">
        <v>5683</v>
      </c>
      <c r="N1026" s="1604" t="s">
        <v>923</v>
      </c>
      <c r="O1026" s="1604">
        <v>2022</v>
      </c>
      <c r="P1026" s="1604" t="s">
        <v>906</v>
      </c>
      <c r="Q1026" s="1604">
        <v>14</v>
      </c>
      <c r="R1026" s="1604"/>
      <c r="S1026" s="1604">
        <v>14</v>
      </c>
      <c r="T1026" s="1605"/>
      <c r="U1026" s="1604" t="s">
        <v>4247</v>
      </c>
      <c r="V1026" s="1604"/>
      <c r="W1026" s="1604" t="s">
        <v>2238</v>
      </c>
      <c r="X1026" s="2122" t="s">
        <v>5696</v>
      </c>
      <c r="Z1026" s="1608"/>
    </row>
    <row r="1027" spans="1:16344" ht="42" hidden="1" thickBot="1">
      <c r="A1027" s="1601"/>
      <c r="B1027" s="1605" t="s">
        <v>5684</v>
      </c>
      <c r="C1027" s="2260" t="s">
        <v>5687</v>
      </c>
      <c r="D1027" s="1185"/>
      <c r="E1027" s="2123" t="s">
        <v>5697</v>
      </c>
      <c r="F1027" s="1604">
        <v>26</v>
      </c>
      <c r="G1027" s="1603" t="s">
        <v>1118</v>
      </c>
      <c r="H1027" s="1604"/>
      <c r="I1027" s="1991" t="s">
        <v>4808</v>
      </c>
      <c r="J1027" s="1604" t="s">
        <v>5698</v>
      </c>
      <c r="K1027" s="2103">
        <v>44901</v>
      </c>
      <c r="L1027" s="1613" t="s">
        <v>990</v>
      </c>
      <c r="M1027" s="1613" t="s">
        <v>5685</v>
      </c>
      <c r="N1027" s="1604" t="s">
        <v>2320</v>
      </c>
      <c r="O1027" s="1604">
        <v>2022</v>
      </c>
      <c r="P1027" s="1604" t="s">
        <v>906</v>
      </c>
      <c r="Q1027" s="1604">
        <v>45</v>
      </c>
      <c r="R1027" s="1604"/>
      <c r="S1027" s="1604">
        <v>45</v>
      </c>
      <c r="T1027" s="1605"/>
      <c r="U1027" s="1604" t="s">
        <v>4247</v>
      </c>
      <c r="V1027" s="1604"/>
      <c r="W1027" s="1604" t="s">
        <v>2238</v>
      </c>
      <c r="X1027" s="2122" t="s">
        <v>5696</v>
      </c>
      <c r="Z1027" s="1608"/>
    </row>
    <row r="1028" spans="1:16344" ht="82.8" hidden="1">
      <c r="A1028" s="1601"/>
      <c r="B1028" s="1605" t="s">
        <v>5688</v>
      </c>
      <c r="C1028" s="2260" t="s">
        <v>5689</v>
      </c>
      <c r="D1028" s="1185"/>
      <c r="E1028" s="1800" t="s">
        <v>5699</v>
      </c>
      <c r="F1028" s="1604">
        <v>25</v>
      </c>
      <c r="G1028" s="1603" t="s">
        <v>5701</v>
      </c>
      <c r="H1028" s="1604"/>
      <c r="I1028" s="1991" t="s">
        <v>4808</v>
      </c>
      <c r="J1028" s="2124" t="s">
        <v>5700</v>
      </c>
      <c r="K1028" s="2103">
        <v>44911</v>
      </c>
      <c r="L1028" s="1613" t="s">
        <v>990</v>
      </c>
      <c r="M1028" s="1613" t="s">
        <v>5690</v>
      </c>
      <c r="N1028" s="1604" t="s">
        <v>2320</v>
      </c>
      <c r="O1028" s="1604">
        <v>2022</v>
      </c>
      <c r="P1028" s="1604" t="s">
        <v>906</v>
      </c>
      <c r="Q1028" s="1604">
        <v>60</v>
      </c>
      <c r="R1028" s="1604">
        <v>60</v>
      </c>
      <c r="S1028" s="1604">
        <f>+R1028+Q1028</f>
        <v>120</v>
      </c>
      <c r="T1028" s="1605"/>
      <c r="U1028" s="1604" t="s">
        <v>4247</v>
      </c>
      <c r="V1028" s="1604"/>
      <c r="W1028" s="1604" t="s">
        <v>3978</v>
      </c>
      <c r="X1028" s="1604" t="s">
        <v>5702</v>
      </c>
      <c r="Z1028" s="1608"/>
    </row>
    <row r="1029" spans="1:16344" ht="41.4" hidden="1">
      <c r="A1029" s="1601"/>
      <c r="B1029" s="1605" t="s">
        <v>4760</v>
      </c>
      <c r="C1029" s="2260"/>
      <c r="D1029" s="1185"/>
      <c r="E1029" s="1800" t="s">
        <v>5703</v>
      </c>
      <c r="F1029" s="1604"/>
      <c r="G1029" s="1603"/>
      <c r="H1029" s="1604"/>
      <c r="I1029" s="1991" t="s">
        <v>4808</v>
      </c>
      <c r="J1029" s="1604"/>
      <c r="K1029" s="2103">
        <v>44908</v>
      </c>
      <c r="L1029" s="1613" t="s">
        <v>990</v>
      </c>
      <c r="M1029" s="1613" t="s">
        <v>5691</v>
      </c>
      <c r="N1029" s="1604" t="s">
        <v>923</v>
      </c>
      <c r="O1029" s="1604">
        <v>2022</v>
      </c>
      <c r="P1029" s="1604" t="s">
        <v>906</v>
      </c>
      <c r="Q1029" s="1604">
        <v>10</v>
      </c>
      <c r="R1029" s="1604"/>
      <c r="S1029" s="1604">
        <v>10</v>
      </c>
      <c r="T1029" s="1605"/>
      <c r="U1029" s="1604" t="s">
        <v>4247</v>
      </c>
      <c r="V1029" s="1604"/>
      <c r="W1029" s="1604" t="s">
        <v>2238</v>
      </c>
      <c r="X1029" s="1604"/>
      <c r="Z1029" s="1608"/>
    </row>
    <row r="1030" spans="1:16344" ht="60.6" customHeight="1">
      <c r="A1030" s="1601"/>
      <c r="B1030" s="2895" t="s">
        <v>693</v>
      </c>
      <c r="C1030" s="2895" t="s">
        <v>5730</v>
      </c>
      <c r="E1030" s="2898" t="s">
        <v>5747</v>
      </c>
      <c r="F1030" s="2895">
        <v>24</v>
      </c>
      <c r="G1030" s="2899" t="s">
        <v>5890</v>
      </c>
      <c r="H1030" s="2895" t="s">
        <v>987</v>
      </c>
      <c r="I1030" s="2895" t="s">
        <v>2318</v>
      </c>
      <c r="J1030" s="2895" t="s">
        <v>2466</v>
      </c>
      <c r="K1030" s="2900">
        <v>44930</v>
      </c>
      <c r="L1030" s="2901" t="s">
        <v>990</v>
      </c>
      <c r="M1030" s="2901" t="s">
        <v>5734</v>
      </c>
      <c r="N1030" s="2895" t="s">
        <v>915</v>
      </c>
      <c r="O1030" s="2895">
        <v>2023</v>
      </c>
      <c r="P1030" s="2895" t="s">
        <v>2165</v>
      </c>
      <c r="Q1030" s="2895">
        <v>23</v>
      </c>
      <c r="R1030" s="2895"/>
      <c r="S1030" s="2895"/>
      <c r="T1030" s="2898" t="s">
        <v>5748</v>
      </c>
      <c r="U1030" s="2895" t="s">
        <v>4247</v>
      </c>
      <c r="V1030" s="2895" t="s">
        <v>5874</v>
      </c>
      <c r="W1030" s="2895" t="s">
        <v>2607</v>
      </c>
      <c r="X1030" s="2902"/>
      <c r="Y1030" s="2903"/>
      <c r="Z1030" s="2895" t="s">
        <v>5430</v>
      </c>
    </row>
    <row r="1031" spans="1:16344" ht="58.95" customHeight="1">
      <c r="A1031" s="1601"/>
      <c r="B1031" s="2895" t="s">
        <v>693</v>
      </c>
      <c r="C1031" s="2896" t="s">
        <v>5753</v>
      </c>
      <c r="E1031" s="2898" t="s">
        <v>5252</v>
      </c>
      <c r="F1031" s="2895">
        <v>29</v>
      </c>
      <c r="G1031" s="2899" t="s">
        <v>5668</v>
      </c>
      <c r="H1031" s="2895" t="s">
        <v>987</v>
      </c>
      <c r="I1031" s="2895" t="s">
        <v>4808</v>
      </c>
      <c r="J1031" s="2895" t="s">
        <v>2496</v>
      </c>
      <c r="K1031" s="2900">
        <v>44932</v>
      </c>
      <c r="L1031" s="2901" t="s">
        <v>990</v>
      </c>
      <c r="M1031" s="2901" t="s">
        <v>5735</v>
      </c>
      <c r="N1031" s="2895" t="s">
        <v>925</v>
      </c>
      <c r="O1031" s="2895">
        <v>2023</v>
      </c>
      <c r="P1031" s="2895" t="s">
        <v>2165</v>
      </c>
      <c r="Q1031" s="2895">
        <v>1</v>
      </c>
      <c r="R1031" s="2895"/>
      <c r="S1031" s="2895"/>
      <c r="T1031" s="2898" t="s">
        <v>2234</v>
      </c>
      <c r="U1031" s="2895" t="s">
        <v>4516</v>
      </c>
      <c r="V1031" s="2895" t="s">
        <v>5874</v>
      </c>
      <c r="W1031" s="2895" t="s">
        <v>3450</v>
      </c>
      <c r="X1031" s="2902"/>
      <c r="Y1031" s="2903"/>
      <c r="Z1031" s="2895"/>
    </row>
    <row r="1032" spans="1:16344" ht="71.7" customHeight="1">
      <c r="A1032" s="1601"/>
      <c r="B1032" s="2895" t="s">
        <v>91</v>
      </c>
      <c r="C1032" s="2895" t="s">
        <v>3726</v>
      </c>
      <c r="E1032" s="2898" t="s">
        <v>5754</v>
      </c>
      <c r="F1032" s="2895">
        <v>41</v>
      </c>
      <c r="G1032" s="2899" t="s">
        <v>5789</v>
      </c>
      <c r="H1032" s="2895" t="s">
        <v>987</v>
      </c>
      <c r="I1032" s="2895" t="s">
        <v>4808</v>
      </c>
      <c r="J1032" s="2895" t="s">
        <v>2168</v>
      </c>
      <c r="K1032" s="2900">
        <v>44932</v>
      </c>
      <c r="L1032" s="2901" t="s">
        <v>990</v>
      </c>
      <c r="M1032" s="2901" t="s">
        <v>5736</v>
      </c>
      <c r="N1032" s="2895" t="s">
        <v>923</v>
      </c>
      <c r="O1032" s="2895">
        <v>2023</v>
      </c>
      <c r="P1032" s="2895" t="s">
        <v>2165</v>
      </c>
      <c r="Q1032" s="2895">
        <v>2</v>
      </c>
      <c r="R1032" s="2895"/>
      <c r="S1032" s="2895"/>
      <c r="T1032" s="2898" t="s">
        <v>2013</v>
      </c>
      <c r="U1032" s="2895" t="s">
        <v>4247</v>
      </c>
      <c r="V1032" s="2895" t="s">
        <v>5876</v>
      </c>
      <c r="W1032" s="2895" t="s">
        <v>3450</v>
      </c>
      <c r="X1032" s="2902"/>
      <c r="Y1032" s="2903"/>
      <c r="Z1032" s="2895" t="s">
        <v>5430</v>
      </c>
    </row>
    <row r="1033" spans="1:16344" ht="33.6" customHeight="1">
      <c r="A1033" s="1601"/>
      <c r="B1033" s="2895" t="s">
        <v>91</v>
      </c>
      <c r="C1033" s="2895" t="s">
        <v>3650</v>
      </c>
      <c r="E1033" s="2898" t="s">
        <v>5780</v>
      </c>
      <c r="F1033" s="2895">
        <v>19</v>
      </c>
      <c r="G1033" s="2923" t="s">
        <v>3029</v>
      </c>
      <c r="H1033" s="2895" t="s">
        <v>994</v>
      </c>
      <c r="I1033" s="2895" t="s">
        <v>4808</v>
      </c>
      <c r="J1033" s="2895" t="s">
        <v>5781</v>
      </c>
      <c r="K1033" s="2900">
        <v>44939</v>
      </c>
      <c r="L1033" s="2901" t="s">
        <v>990</v>
      </c>
      <c r="M1033" s="2901" t="s">
        <v>5737</v>
      </c>
      <c r="N1033" s="2895" t="s">
        <v>2320</v>
      </c>
      <c r="O1033" s="2895">
        <v>2023</v>
      </c>
      <c r="P1033" s="2895" t="s">
        <v>2165</v>
      </c>
      <c r="Q1033" s="2895">
        <v>5</v>
      </c>
      <c r="R1033" s="2895"/>
      <c r="S1033" s="2895">
        <v>5</v>
      </c>
      <c r="T1033" s="2898" t="s">
        <v>5765</v>
      </c>
      <c r="U1033" s="2895" t="s">
        <v>4247</v>
      </c>
      <c r="V1033" s="2895" t="s">
        <v>5875</v>
      </c>
      <c r="W1033" s="2895" t="s">
        <v>2238</v>
      </c>
      <c r="X1033" s="2902"/>
      <c r="Y1033" s="2903"/>
      <c r="Z1033" s="2895" t="s">
        <v>2019</v>
      </c>
    </row>
    <row r="1034" spans="1:16344" ht="42.6" customHeight="1">
      <c r="A1034" s="1601"/>
      <c r="B1034" s="2895" t="s">
        <v>5896</v>
      </c>
      <c r="C1034" s="2895" t="s">
        <v>5731</v>
      </c>
      <c r="E1034" s="2898" t="s">
        <v>5774</v>
      </c>
      <c r="F1034" s="2895">
        <v>43</v>
      </c>
      <c r="G1034" s="2899" t="s">
        <v>5775</v>
      </c>
      <c r="H1034" s="2895" t="s">
        <v>994</v>
      </c>
      <c r="I1034" s="2895" t="s">
        <v>2549</v>
      </c>
      <c r="J1034" s="2895" t="s">
        <v>5184</v>
      </c>
      <c r="K1034" s="2900">
        <v>44949</v>
      </c>
      <c r="L1034" s="2901" t="s">
        <v>990</v>
      </c>
      <c r="M1034" s="2901" t="s">
        <v>5738</v>
      </c>
      <c r="N1034" s="2895" t="s">
        <v>925</v>
      </c>
      <c r="O1034" s="2895">
        <v>2023</v>
      </c>
      <c r="P1034" s="2895" t="s">
        <v>2165</v>
      </c>
      <c r="Q1034" s="2895">
        <v>2</v>
      </c>
      <c r="R1034" s="2895"/>
      <c r="S1034" s="2895"/>
      <c r="T1034" s="2898" t="s">
        <v>2230</v>
      </c>
      <c r="U1034" s="2895" t="s">
        <v>4247</v>
      </c>
      <c r="V1034" s="2895" t="s">
        <v>5875</v>
      </c>
      <c r="W1034" s="2895" t="s">
        <v>2238</v>
      </c>
      <c r="X1034" s="2902"/>
      <c r="Y1034" s="2903"/>
      <c r="Z1034" s="2895" t="s">
        <v>3928</v>
      </c>
    </row>
    <row r="1035" spans="1:16344" ht="47.7" customHeight="1">
      <c r="A1035" s="1601"/>
      <c r="B1035" s="2895" t="s">
        <v>429</v>
      </c>
      <c r="C1035" s="2895" t="s">
        <v>3247</v>
      </c>
      <c r="E1035" s="2898" t="s">
        <v>5772</v>
      </c>
      <c r="F1035" s="2895">
        <v>34</v>
      </c>
      <c r="G1035" s="2899" t="s">
        <v>5886</v>
      </c>
      <c r="H1035" s="2895" t="s">
        <v>994</v>
      </c>
      <c r="I1035" s="2895" t="s">
        <v>2549</v>
      </c>
      <c r="J1035" s="2895" t="s">
        <v>5773</v>
      </c>
      <c r="K1035" s="2900">
        <v>44952</v>
      </c>
      <c r="L1035" s="2901" t="s">
        <v>990</v>
      </c>
      <c r="M1035" s="2901" t="s">
        <v>5739</v>
      </c>
      <c r="N1035" s="2895" t="s">
        <v>3416</v>
      </c>
      <c r="O1035" s="2895">
        <v>2023</v>
      </c>
      <c r="P1035" s="2895" t="s">
        <v>2165</v>
      </c>
      <c r="Q1035" s="2895">
        <v>3</v>
      </c>
      <c r="R1035" s="2895"/>
      <c r="S1035" s="2895"/>
      <c r="T1035" s="2898" t="s">
        <v>5764</v>
      </c>
      <c r="U1035" s="2895" t="s">
        <v>4247</v>
      </c>
      <c r="V1035" s="2895" t="s">
        <v>5875</v>
      </c>
      <c r="W1035" s="2895" t="s">
        <v>5758</v>
      </c>
      <c r="X1035" s="2902"/>
      <c r="Y1035" s="2903"/>
      <c r="Z1035" s="2895" t="s">
        <v>5430</v>
      </c>
    </row>
    <row r="1036" spans="1:16344" ht="47.7" customHeight="1">
      <c r="A1036" s="1601"/>
      <c r="B1036" s="2895" t="s">
        <v>3202</v>
      </c>
      <c r="C1036" s="2895" t="s">
        <v>6303</v>
      </c>
      <c r="D1036" s="1604" t="s">
        <v>5870</v>
      </c>
      <c r="E1036" s="2904"/>
      <c r="F1036" s="2905">
        <v>32</v>
      </c>
      <c r="G1036" s="2906" t="s">
        <v>5891</v>
      </c>
      <c r="H1036" s="2895" t="s">
        <v>994</v>
      </c>
      <c r="I1036" s="2895" t="s">
        <v>4808</v>
      </c>
      <c r="J1036" s="2895" t="s">
        <v>4802</v>
      </c>
      <c r="K1036" s="2907">
        <v>44956</v>
      </c>
      <c r="L1036" s="2901" t="s">
        <v>1045</v>
      </c>
      <c r="M1036" s="2896" t="s">
        <v>5871</v>
      </c>
      <c r="N1036" s="2908" t="s">
        <v>915</v>
      </c>
      <c r="O1036" s="2895">
        <v>2023</v>
      </c>
      <c r="P1036" s="2895" t="s">
        <v>2165</v>
      </c>
      <c r="Q1036" s="2895">
        <v>14</v>
      </c>
      <c r="R1036" s="2895"/>
      <c r="S1036" s="2909"/>
      <c r="T1036" s="2898" t="s">
        <v>5872</v>
      </c>
      <c r="U1036" s="2895" t="s">
        <v>4247</v>
      </c>
      <c r="V1036" s="2895" t="s">
        <v>5874</v>
      </c>
      <c r="W1036" s="2895" t="s">
        <v>2607</v>
      </c>
      <c r="X1036" s="2908"/>
      <c r="Y1036" s="2895"/>
      <c r="Z1036" s="2895"/>
      <c r="AA1036" s="1610"/>
      <c r="AB1036" s="1610"/>
      <c r="AC1036" s="1610"/>
      <c r="AD1036" s="1610"/>
      <c r="AE1036" s="1610"/>
      <c r="AF1036" s="1610"/>
      <c r="AG1036" s="1610"/>
      <c r="AH1036" s="1610"/>
      <c r="AI1036" s="1610"/>
      <c r="AJ1036" s="1610"/>
      <c r="AK1036" s="1610"/>
      <c r="AL1036" s="1610"/>
      <c r="AM1036" s="1610"/>
      <c r="AN1036" s="1610"/>
      <c r="AO1036" s="1610"/>
      <c r="AP1036" s="1610"/>
      <c r="AQ1036" s="1610"/>
      <c r="AR1036" s="1610"/>
      <c r="AS1036" s="1610"/>
      <c r="AT1036" s="1610"/>
      <c r="AU1036" s="1610"/>
      <c r="AV1036" s="1610"/>
      <c r="AW1036" s="1610"/>
      <c r="AX1036" s="1610"/>
      <c r="AY1036" s="1610"/>
      <c r="AZ1036" s="1610"/>
      <c r="BA1036" s="1610"/>
      <c r="BB1036" s="1610"/>
      <c r="BC1036" s="1610"/>
      <c r="BD1036" s="1610"/>
      <c r="BE1036" s="1610"/>
      <c r="BF1036" s="1610"/>
      <c r="BG1036" s="1610"/>
      <c r="BH1036" s="1610"/>
      <c r="BI1036" s="1610"/>
      <c r="BJ1036" s="1610"/>
      <c r="BK1036" s="1610"/>
      <c r="BL1036" s="1610"/>
      <c r="BM1036" s="1610"/>
      <c r="BN1036" s="1610"/>
      <c r="BO1036" s="1610"/>
      <c r="BP1036" s="1610"/>
      <c r="BQ1036" s="1610"/>
      <c r="BR1036" s="1610"/>
      <c r="BS1036" s="1610"/>
      <c r="BT1036" s="1610"/>
      <c r="BU1036" s="1610"/>
      <c r="BV1036" s="1610"/>
      <c r="BW1036" s="1610"/>
      <c r="BX1036" s="1610"/>
      <c r="BY1036" s="1610"/>
      <c r="BZ1036" s="1610"/>
      <c r="CA1036" s="1610"/>
      <c r="CB1036" s="1610"/>
      <c r="CC1036" s="1610"/>
      <c r="CD1036" s="1610"/>
      <c r="CE1036" s="1610"/>
      <c r="CF1036" s="1610"/>
      <c r="CG1036" s="1610"/>
      <c r="CH1036" s="1610"/>
      <c r="CI1036" s="1610"/>
      <c r="CJ1036" s="1610"/>
      <c r="CK1036" s="1610"/>
      <c r="CL1036" s="1610"/>
      <c r="CM1036" s="1610"/>
      <c r="CN1036" s="1610"/>
      <c r="CO1036" s="1610"/>
      <c r="CP1036" s="1610"/>
      <c r="CQ1036" s="1610"/>
      <c r="CR1036" s="1610"/>
      <c r="CS1036" s="1610"/>
      <c r="CT1036" s="1610"/>
      <c r="CU1036" s="1610"/>
      <c r="CV1036" s="1610"/>
      <c r="CW1036" s="1610"/>
      <c r="CX1036" s="1610"/>
      <c r="CY1036" s="1610"/>
      <c r="CZ1036" s="1610"/>
      <c r="DA1036" s="1610"/>
      <c r="DB1036" s="1610"/>
      <c r="DC1036" s="1610"/>
      <c r="DD1036" s="1610"/>
      <c r="DE1036" s="1610"/>
      <c r="DF1036" s="1610"/>
      <c r="DG1036" s="1610"/>
      <c r="DH1036" s="1610"/>
      <c r="DI1036" s="1610"/>
      <c r="DJ1036" s="1610"/>
      <c r="DK1036" s="1610"/>
      <c r="DL1036" s="1610"/>
      <c r="DM1036" s="1610"/>
      <c r="DN1036" s="1610"/>
      <c r="DO1036" s="1610"/>
      <c r="DP1036" s="1610"/>
      <c r="DQ1036" s="1610"/>
      <c r="DR1036" s="1610"/>
      <c r="DS1036" s="1610"/>
      <c r="DT1036" s="1610"/>
      <c r="DU1036" s="1610"/>
      <c r="DV1036" s="1610"/>
      <c r="DW1036" s="1610"/>
      <c r="DX1036" s="1610"/>
      <c r="DY1036" s="1610"/>
      <c r="DZ1036" s="1610"/>
      <c r="EA1036" s="1610"/>
      <c r="EB1036" s="1610"/>
      <c r="EC1036" s="1610"/>
      <c r="ED1036" s="1610"/>
      <c r="EE1036" s="1610"/>
      <c r="EF1036" s="1610"/>
      <c r="EG1036" s="1610"/>
      <c r="EH1036" s="1610"/>
      <c r="EI1036" s="1610"/>
      <c r="EJ1036" s="1610"/>
      <c r="EK1036" s="1610"/>
      <c r="EL1036" s="1610"/>
      <c r="EM1036" s="1610"/>
      <c r="EN1036" s="1610"/>
      <c r="EO1036" s="1610"/>
      <c r="EP1036" s="1610"/>
      <c r="EQ1036" s="1610"/>
      <c r="ER1036" s="1610"/>
      <c r="ES1036" s="1610"/>
      <c r="ET1036" s="1610"/>
      <c r="EU1036" s="1610"/>
      <c r="EV1036" s="1610"/>
      <c r="EW1036" s="1610"/>
      <c r="EX1036" s="1610"/>
      <c r="EY1036" s="1610"/>
      <c r="EZ1036" s="1610"/>
      <c r="FA1036" s="1610"/>
      <c r="FB1036" s="1610"/>
      <c r="FC1036" s="1610"/>
      <c r="FD1036" s="1610"/>
      <c r="FE1036" s="1610"/>
      <c r="FF1036" s="1610"/>
      <c r="FG1036" s="1610"/>
      <c r="FH1036" s="1610"/>
      <c r="FI1036" s="1610"/>
      <c r="FJ1036" s="1610"/>
      <c r="FK1036" s="1610"/>
      <c r="FL1036" s="1610"/>
      <c r="FM1036" s="1610"/>
      <c r="FN1036" s="1610"/>
      <c r="FO1036" s="1610"/>
      <c r="FP1036" s="1610"/>
      <c r="FQ1036" s="1610"/>
      <c r="FR1036" s="1610"/>
      <c r="FS1036" s="1610"/>
      <c r="FT1036" s="1610"/>
      <c r="FU1036" s="1610"/>
      <c r="FV1036" s="1610"/>
      <c r="FW1036" s="1610"/>
      <c r="FX1036" s="1610"/>
      <c r="FY1036" s="1610"/>
      <c r="FZ1036" s="1610"/>
      <c r="GA1036" s="1610"/>
      <c r="GB1036" s="1610"/>
      <c r="GC1036" s="1610"/>
      <c r="GD1036" s="1610"/>
      <c r="GE1036" s="1610"/>
      <c r="GF1036" s="1610"/>
      <c r="GG1036" s="1610"/>
      <c r="GH1036" s="1610"/>
      <c r="GI1036" s="1610"/>
      <c r="GJ1036" s="1610"/>
      <c r="GK1036" s="1610"/>
      <c r="GL1036" s="1610"/>
      <c r="GM1036" s="1610"/>
      <c r="GN1036" s="1610"/>
      <c r="GO1036" s="1610"/>
      <c r="GP1036" s="1610"/>
      <c r="GQ1036" s="1610"/>
      <c r="GR1036" s="1610"/>
      <c r="GS1036" s="1610"/>
      <c r="GT1036" s="1610"/>
      <c r="GU1036" s="1610"/>
      <c r="GV1036" s="1610"/>
      <c r="GW1036" s="1610"/>
      <c r="GX1036" s="1610"/>
      <c r="GY1036" s="1610"/>
      <c r="GZ1036" s="1610"/>
      <c r="HA1036" s="1610"/>
      <c r="HB1036" s="1610"/>
      <c r="HC1036" s="1610"/>
      <c r="HD1036" s="1610"/>
      <c r="HE1036" s="1610"/>
      <c r="HF1036" s="1610"/>
      <c r="HG1036" s="1610"/>
      <c r="HH1036" s="1610"/>
      <c r="HI1036" s="1610"/>
      <c r="HJ1036" s="1610"/>
      <c r="HK1036" s="1610"/>
      <c r="HL1036" s="1610"/>
      <c r="HM1036" s="1610"/>
      <c r="HN1036" s="1610"/>
      <c r="HO1036" s="1610"/>
      <c r="HP1036" s="1610"/>
      <c r="HQ1036" s="1610"/>
      <c r="HR1036" s="1610"/>
      <c r="HS1036" s="1610"/>
      <c r="HT1036" s="1610"/>
      <c r="HU1036" s="1610"/>
      <c r="HV1036" s="1610"/>
      <c r="HW1036" s="1610"/>
      <c r="HX1036" s="1610"/>
      <c r="HY1036" s="1610"/>
      <c r="HZ1036" s="1610"/>
      <c r="IA1036" s="1610"/>
      <c r="IB1036" s="1610"/>
      <c r="IC1036" s="1610"/>
      <c r="ID1036" s="1610"/>
      <c r="IE1036" s="1610"/>
      <c r="IF1036" s="1610"/>
      <c r="IG1036" s="1610"/>
      <c r="IH1036" s="1610"/>
      <c r="II1036" s="1610"/>
      <c r="IJ1036" s="1610"/>
      <c r="IK1036" s="1610"/>
      <c r="IL1036" s="1610"/>
      <c r="IM1036" s="1610"/>
      <c r="IN1036" s="1610"/>
      <c r="IO1036" s="1610"/>
      <c r="IP1036" s="1610"/>
      <c r="IQ1036" s="1610"/>
      <c r="IR1036" s="1610"/>
      <c r="IS1036" s="1610"/>
      <c r="IT1036" s="1610"/>
      <c r="IU1036" s="1610"/>
      <c r="IV1036" s="1610"/>
      <c r="IW1036" s="1610"/>
      <c r="IX1036" s="1610"/>
      <c r="IY1036" s="1610"/>
      <c r="IZ1036" s="1610"/>
      <c r="JA1036" s="1610"/>
      <c r="JB1036" s="1610"/>
      <c r="JC1036" s="1610"/>
      <c r="JD1036" s="1610"/>
      <c r="JE1036" s="1610"/>
      <c r="JF1036" s="1610"/>
      <c r="JG1036" s="1610"/>
      <c r="JH1036" s="1610"/>
      <c r="JI1036" s="1610"/>
      <c r="JJ1036" s="1610"/>
      <c r="JK1036" s="1610"/>
      <c r="JL1036" s="1610"/>
      <c r="JM1036" s="1610"/>
      <c r="JN1036" s="1610"/>
      <c r="JO1036" s="1610"/>
      <c r="JP1036" s="1610"/>
      <c r="JQ1036" s="1610"/>
      <c r="JR1036" s="1610"/>
      <c r="JS1036" s="1610"/>
      <c r="JT1036" s="1610"/>
      <c r="JU1036" s="1610"/>
      <c r="JV1036" s="1610"/>
      <c r="JW1036" s="1610"/>
      <c r="JX1036" s="1610"/>
      <c r="JY1036" s="1610"/>
      <c r="JZ1036" s="1610"/>
      <c r="KA1036" s="1610"/>
      <c r="KB1036" s="1610"/>
      <c r="KC1036" s="1610"/>
      <c r="KD1036" s="1610"/>
      <c r="KE1036" s="1610"/>
      <c r="KF1036" s="1610"/>
      <c r="KG1036" s="1610"/>
      <c r="KH1036" s="1610"/>
      <c r="KI1036" s="1610"/>
      <c r="KJ1036" s="1610"/>
      <c r="KK1036" s="1610"/>
      <c r="KL1036" s="1610"/>
      <c r="KM1036" s="1610"/>
      <c r="KN1036" s="1610"/>
      <c r="KO1036" s="1610"/>
      <c r="KP1036" s="1610"/>
      <c r="KQ1036" s="1610"/>
      <c r="KR1036" s="1610"/>
      <c r="KS1036" s="1610"/>
      <c r="KT1036" s="1610"/>
      <c r="KU1036" s="1610"/>
      <c r="KV1036" s="1610"/>
      <c r="KW1036" s="1610"/>
      <c r="KX1036" s="1610"/>
      <c r="KY1036" s="1610"/>
      <c r="KZ1036" s="1610"/>
      <c r="LA1036" s="1610"/>
      <c r="LB1036" s="1610"/>
      <c r="LC1036" s="1610"/>
      <c r="LD1036" s="1610"/>
      <c r="LE1036" s="1610"/>
      <c r="LF1036" s="1610"/>
      <c r="LG1036" s="1610"/>
      <c r="LH1036" s="1610"/>
      <c r="LI1036" s="1610"/>
      <c r="LJ1036" s="1610"/>
      <c r="LK1036" s="1610"/>
      <c r="LL1036" s="1610"/>
      <c r="LM1036" s="1610"/>
      <c r="LN1036" s="1610"/>
      <c r="LO1036" s="1610"/>
      <c r="LP1036" s="1610"/>
      <c r="LQ1036" s="1610"/>
      <c r="LR1036" s="1610"/>
      <c r="LS1036" s="1610"/>
      <c r="LT1036" s="1610"/>
      <c r="LU1036" s="1610"/>
      <c r="LV1036" s="1610"/>
      <c r="LW1036" s="1610"/>
      <c r="LX1036" s="1610"/>
      <c r="LY1036" s="1610"/>
      <c r="LZ1036" s="1610"/>
      <c r="MA1036" s="1610"/>
      <c r="MB1036" s="1610"/>
      <c r="MC1036" s="1610"/>
      <c r="MD1036" s="1610"/>
      <c r="ME1036" s="1610"/>
      <c r="MF1036" s="1610"/>
      <c r="MG1036" s="1610"/>
      <c r="MH1036" s="1610"/>
      <c r="MI1036" s="1610"/>
      <c r="MJ1036" s="1610"/>
      <c r="MK1036" s="1610"/>
      <c r="ML1036" s="1610"/>
      <c r="MM1036" s="1610"/>
      <c r="MN1036" s="1610"/>
      <c r="MO1036" s="1610"/>
      <c r="MP1036" s="1610"/>
      <c r="MQ1036" s="1610"/>
      <c r="MR1036" s="1610"/>
      <c r="MS1036" s="1610"/>
      <c r="MT1036" s="1610"/>
      <c r="MU1036" s="1610"/>
      <c r="MV1036" s="1610"/>
      <c r="MW1036" s="1610"/>
      <c r="MX1036" s="1610"/>
      <c r="MY1036" s="1610"/>
      <c r="MZ1036" s="1610"/>
      <c r="NA1036" s="1610"/>
      <c r="NB1036" s="1610"/>
      <c r="NC1036" s="1610"/>
      <c r="ND1036" s="1610"/>
      <c r="NE1036" s="1610"/>
      <c r="NF1036" s="1610"/>
      <c r="NG1036" s="1610"/>
      <c r="NH1036" s="1610"/>
      <c r="NI1036" s="1610"/>
      <c r="NJ1036" s="1610"/>
      <c r="NK1036" s="1610"/>
      <c r="NL1036" s="1610"/>
      <c r="NM1036" s="1610"/>
      <c r="NN1036" s="1610"/>
      <c r="NO1036" s="1610"/>
      <c r="NP1036" s="1610"/>
      <c r="NQ1036" s="1610"/>
      <c r="NR1036" s="1610"/>
      <c r="NS1036" s="1610"/>
      <c r="NT1036" s="1610"/>
      <c r="NU1036" s="1610"/>
      <c r="NV1036" s="1610"/>
      <c r="NW1036" s="1610"/>
      <c r="NX1036" s="1610"/>
      <c r="NY1036" s="1610"/>
      <c r="NZ1036" s="1610"/>
      <c r="OA1036" s="1610"/>
      <c r="OB1036" s="1610"/>
      <c r="OC1036" s="1610"/>
      <c r="OD1036" s="1610"/>
      <c r="OE1036" s="1610"/>
      <c r="OF1036" s="1610"/>
      <c r="OG1036" s="1610"/>
      <c r="OH1036" s="1610"/>
      <c r="OI1036" s="1610"/>
      <c r="OJ1036" s="1610"/>
      <c r="OK1036" s="1610"/>
      <c r="OL1036" s="1610"/>
      <c r="OM1036" s="1610"/>
      <c r="ON1036" s="1610"/>
      <c r="OO1036" s="1610"/>
      <c r="OP1036" s="1610"/>
      <c r="OQ1036" s="1610"/>
      <c r="OR1036" s="1610"/>
      <c r="OS1036" s="1610"/>
      <c r="OT1036" s="1610"/>
      <c r="OU1036" s="1610"/>
      <c r="OV1036" s="1610"/>
      <c r="OW1036" s="1610"/>
      <c r="OX1036" s="1610"/>
      <c r="OY1036" s="1610"/>
      <c r="OZ1036" s="1610"/>
      <c r="PA1036" s="1610"/>
      <c r="PB1036" s="1610"/>
      <c r="PC1036" s="1610"/>
      <c r="PD1036" s="1610"/>
      <c r="PE1036" s="1610"/>
      <c r="PF1036" s="1610"/>
      <c r="PG1036" s="1610"/>
      <c r="PH1036" s="1610"/>
      <c r="PI1036" s="1610"/>
      <c r="PJ1036" s="1610"/>
      <c r="PK1036" s="1610"/>
      <c r="PL1036" s="1610"/>
      <c r="PM1036" s="1610"/>
      <c r="PN1036" s="1610"/>
      <c r="PO1036" s="1610"/>
      <c r="PP1036" s="1610"/>
      <c r="PQ1036" s="1610"/>
      <c r="PR1036" s="1610"/>
      <c r="PS1036" s="1610"/>
      <c r="PT1036" s="1610"/>
      <c r="PU1036" s="1610"/>
      <c r="PV1036" s="1610"/>
      <c r="PW1036" s="1610"/>
      <c r="PX1036" s="1610"/>
      <c r="PY1036" s="1610"/>
      <c r="PZ1036" s="1610"/>
      <c r="QA1036" s="1610"/>
      <c r="QB1036" s="1610"/>
      <c r="QC1036" s="1610"/>
      <c r="QD1036" s="1610"/>
      <c r="QE1036" s="1610"/>
      <c r="QF1036" s="1610"/>
      <c r="QG1036" s="1610"/>
      <c r="QH1036" s="1610"/>
      <c r="QI1036" s="1610"/>
      <c r="QJ1036" s="1610"/>
      <c r="QK1036" s="1610"/>
      <c r="QL1036" s="1610"/>
      <c r="QM1036" s="1610"/>
      <c r="QN1036" s="1610"/>
      <c r="QO1036" s="1610"/>
      <c r="QP1036" s="1610"/>
      <c r="QQ1036" s="1610"/>
      <c r="QR1036" s="1610"/>
      <c r="QS1036" s="1610"/>
      <c r="QT1036" s="1610"/>
      <c r="QU1036" s="1610"/>
      <c r="QV1036" s="1610"/>
      <c r="QW1036" s="1610"/>
      <c r="QX1036" s="1610"/>
      <c r="QY1036" s="1610"/>
      <c r="QZ1036" s="1610"/>
      <c r="RA1036" s="1610"/>
      <c r="RB1036" s="1610"/>
      <c r="RC1036" s="1610"/>
      <c r="RD1036" s="1610"/>
      <c r="RE1036" s="1610"/>
      <c r="RF1036" s="1610"/>
      <c r="RG1036" s="1610"/>
      <c r="RH1036" s="1610"/>
      <c r="RI1036" s="1610"/>
      <c r="RJ1036" s="1610"/>
      <c r="RK1036" s="1610"/>
      <c r="RL1036" s="1610"/>
      <c r="RM1036" s="1610"/>
      <c r="RN1036" s="1610"/>
      <c r="RO1036" s="1610"/>
      <c r="RP1036" s="1610"/>
      <c r="RQ1036" s="1610"/>
      <c r="RR1036" s="1610"/>
      <c r="RS1036" s="1610"/>
      <c r="RT1036" s="1610"/>
      <c r="RU1036" s="1610"/>
      <c r="RV1036" s="1610"/>
      <c r="RW1036" s="1610"/>
      <c r="RX1036" s="1610"/>
      <c r="RY1036" s="1610"/>
      <c r="RZ1036" s="1610"/>
      <c r="SA1036" s="1610"/>
      <c r="SB1036" s="1610"/>
      <c r="SC1036" s="1610"/>
      <c r="SD1036" s="1610"/>
      <c r="SE1036" s="1610"/>
      <c r="SF1036" s="1610"/>
      <c r="SG1036" s="1610"/>
      <c r="SH1036" s="1610"/>
      <c r="SI1036" s="1610"/>
      <c r="SJ1036" s="1610"/>
      <c r="SK1036" s="1610"/>
      <c r="SL1036" s="1610"/>
      <c r="SM1036" s="1610"/>
      <c r="SN1036" s="1610"/>
      <c r="SO1036" s="1610"/>
      <c r="SP1036" s="1610"/>
      <c r="SQ1036" s="1610"/>
      <c r="SR1036" s="1610"/>
      <c r="SS1036" s="1610"/>
      <c r="ST1036" s="1610"/>
      <c r="SU1036" s="1610"/>
      <c r="SV1036" s="1610"/>
      <c r="SW1036" s="1610"/>
      <c r="SX1036" s="1610"/>
      <c r="SY1036" s="1610"/>
      <c r="SZ1036" s="1610"/>
      <c r="TA1036" s="1610"/>
      <c r="TB1036" s="1610"/>
      <c r="TC1036" s="1610"/>
      <c r="TD1036" s="1610"/>
      <c r="TE1036" s="1610"/>
      <c r="TF1036" s="1610"/>
      <c r="TG1036" s="1610"/>
      <c r="TH1036" s="1610"/>
      <c r="TI1036" s="1610"/>
      <c r="TJ1036" s="1610"/>
      <c r="TK1036" s="1610"/>
      <c r="TL1036" s="1610"/>
      <c r="TM1036" s="1610"/>
      <c r="TN1036" s="1610"/>
      <c r="TO1036" s="1610"/>
      <c r="TP1036" s="1610"/>
      <c r="TQ1036" s="1610"/>
      <c r="TR1036" s="1610"/>
      <c r="TS1036" s="1610"/>
      <c r="TT1036" s="1610"/>
      <c r="TU1036" s="1610"/>
      <c r="TV1036" s="1610"/>
      <c r="TW1036" s="1610"/>
      <c r="TX1036" s="1610"/>
      <c r="TY1036" s="1610"/>
      <c r="TZ1036" s="1610"/>
      <c r="UA1036" s="1610"/>
      <c r="UB1036" s="1610"/>
      <c r="UC1036" s="1610"/>
      <c r="UD1036" s="1610"/>
      <c r="UE1036" s="1610"/>
      <c r="UF1036" s="1610"/>
      <c r="UG1036" s="1610"/>
      <c r="UH1036" s="1610"/>
      <c r="UI1036" s="1610"/>
      <c r="UJ1036" s="1610"/>
      <c r="UK1036" s="1610"/>
      <c r="UL1036" s="1610"/>
      <c r="UM1036" s="1610"/>
      <c r="UN1036" s="1610"/>
      <c r="UO1036" s="1610"/>
      <c r="UP1036" s="1610"/>
      <c r="UQ1036" s="1610"/>
      <c r="UR1036" s="1610"/>
      <c r="US1036" s="1610"/>
      <c r="UT1036" s="1610"/>
      <c r="UU1036" s="1610"/>
      <c r="UV1036" s="1610"/>
      <c r="UW1036" s="1610"/>
      <c r="UX1036" s="1610"/>
      <c r="UY1036" s="1610"/>
      <c r="UZ1036" s="1610"/>
      <c r="VA1036" s="1610"/>
      <c r="VB1036" s="1610"/>
      <c r="VC1036" s="1610"/>
      <c r="VD1036" s="1610"/>
      <c r="VE1036" s="1610"/>
      <c r="VF1036" s="1610"/>
      <c r="VG1036" s="1610"/>
      <c r="VH1036" s="1610"/>
      <c r="VI1036" s="1610"/>
      <c r="VJ1036" s="1610"/>
      <c r="VK1036" s="1610"/>
      <c r="VL1036" s="1610"/>
      <c r="VM1036" s="1610"/>
      <c r="VN1036" s="1610"/>
      <c r="VO1036" s="1610"/>
      <c r="VP1036" s="1610"/>
      <c r="VQ1036" s="1610"/>
      <c r="VR1036" s="1610"/>
      <c r="VS1036" s="1610"/>
      <c r="VT1036" s="1610"/>
      <c r="VU1036" s="1610"/>
      <c r="VV1036" s="1610"/>
      <c r="VW1036" s="1610"/>
      <c r="VX1036" s="1610"/>
      <c r="VY1036" s="1610"/>
      <c r="VZ1036" s="1610"/>
      <c r="WA1036" s="1610"/>
      <c r="WB1036" s="1610"/>
      <c r="WC1036" s="1610"/>
      <c r="WD1036" s="1610"/>
      <c r="WE1036" s="1610"/>
      <c r="WF1036" s="1610"/>
      <c r="WG1036" s="1610"/>
      <c r="WH1036" s="1610"/>
      <c r="WI1036" s="1610"/>
      <c r="WJ1036" s="1610"/>
      <c r="WK1036" s="1610"/>
      <c r="WL1036" s="1610"/>
      <c r="WM1036" s="1610"/>
      <c r="WN1036" s="1610"/>
      <c r="WO1036" s="1610"/>
      <c r="WP1036" s="1610"/>
      <c r="WQ1036" s="1610"/>
      <c r="WR1036" s="1610"/>
      <c r="WS1036" s="1610"/>
      <c r="WT1036" s="1610"/>
      <c r="WU1036" s="1610"/>
      <c r="WV1036" s="1610"/>
      <c r="WW1036" s="1610"/>
      <c r="WX1036" s="1610"/>
      <c r="WY1036" s="1610"/>
      <c r="WZ1036" s="1610"/>
      <c r="XA1036" s="1610"/>
      <c r="XB1036" s="1610"/>
      <c r="XC1036" s="1610"/>
      <c r="XD1036" s="1610"/>
      <c r="XE1036" s="1610"/>
      <c r="XF1036" s="1610"/>
      <c r="XG1036" s="1610"/>
      <c r="XH1036" s="1610"/>
      <c r="XI1036" s="1610"/>
      <c r="XJ1036" s="1610"/>
      <c r="XK1036" s="1610"/>
      <c r="XL1036" s="1610"/>
      <c r="XM1036" s="1610"/>
      <c r="XN1036" s="1610"/>
      <c r="XO1036" s="1610"/>
      <c r="XP1036" s="1610"/>
      <c r="XQ1036" s="1610"/>
      <c r="XR1036" s="1610"/>
      <c r="XS1036" s="1610"/>
      <c r="XT1036" s="1610"/>
      <c r="XU1036" s="1610"/>
      <c r="XV1036" s="1610"/>
      <c r="XW1036" s="1610"/>
      <c r="XX1036" s="1610"/>
      <c r="XY1036" s="1610"/>
      <c r="XZ1036" s="1610"/>
      <c r="YA1036" s="1610"/>
      <c r="YB1036" s="1610"/>
      <c r="YC1036" s="1610"/>
      <c r="YD1036" s="1610"/>
      <c r="YE1036" s="1610"/>
      <c r="YF1036" s="1610"/>
      <c r="YG1036" s="1610"/>
      <c r="YH1036" s="1610"/>
      <c r="YI1036" s="1610"/>
      <c r="YJ1036" s="1610"/>
      <c r="YK1036" s="1610"/>
      <c r="YL1036" s="1610"/>
      <c r="YM1036" s="1610"/>
      <c r="YN1036" s="1610"/>
      <c r="YO1036" s="1610"/>
      <c r="YP1036" s="1610"/>
      <c r="YQ1036" s="1610"/>
      <c r="YR1036" s="1610"/>
      <c r="YS1036" s="1610"/>
      <c r="YT1036" s="1610"/>
      <c r="YU1036" s="1610"/>
      <c r="YV1036" s="1610"/>
      <c r="YW1036" s="1610"/>
      <c r="YX1036" s="1610"/>
      <c r="YY1036" s="1610"/>
      <c r="YZ1036" s="1610"/>
      <c r="ZA1036" s="1610"/>
      <c r="ZB1036" s="1610"/>
      <c r="ZC1036" s="1610"/>
      <c r="ZD1036" s="1610"/>
      <c r="ZE1036" s="1610"/>
      <c r="ZF1036" s="1610"/>
      <c r="ZG1036" s="1610"/>
      <c r="ZH1036" s="1610"/>
      <c r="ZI1036" s="1610"/>
      <c r="ZJ1036" s="1610"/>
      <c r="ZK1036" s="1610"/>
      <c r="ZL1036" s="1610"/>
      <c r="ZM1036" s="1610"/>
      <c r="ZN1036" s="1610"/>
      <c r="ZO1036" s="1610"/>
      <c r="ZP1036" s="1610"/>
      <c r="ZQ1036" s="1610"/>
      <c r="ZR1036" s="1610"/>
      <c r="ZS1036" s="1610"/>
      <c r="ZT1036" s="1610"/>
      <c r="ZU1036" s="1610"/>
      <c r="ZV1036" s="1610"/>
      <c r="ZW1036" s="1610"/>
      <c r="ZX1036" s="1610"/>
      <c r="ZY1036" s="1610"/>
      <c r="ZZ1036" s="1610"/>
      <c r="AAA1036" s="1610"/>
      <c r="AAB1036" s="1610"/>
      <c r="AAC1036" s="1610"/>
      <c r="AAD1036" s="1610"/>
      <c r="AAE1036" s="1610"/>
      <c r="AAF1036" s="1610"/>
      <c r="AAG1036" s="1610"/>
      <c r="AAH1036" s="1610"/>
      <c r="AAI1036" s="1610"/>
      <c r="AAJ1036" s="1610"/>
      <c r="AAK1036" s="1610"/>
      <c r="AAL1036" s="1610"/>
      <c r="AAM1036" s="1610"/>
      <c r="AAN1036" s="1610"/>
      <c r="AAO1036" s="1610"/>
      <c r="AAP1036" s="1610"/>
      <c r="AAQ1036" s="1610"/>
      <c r="AAR1036" s="1610"/>
      <c r="AAS1036" s="1610"/>
      <c r="AAT1036" s="1610"/>
      <c r="AAU1036" s="1610"/>
      <c r="AAV1036" s="1610"/>
      <c r="AAW1036" s="1610"/>
      <c r="AAX1036" s="1610"/>
      <c r="AAY1036" s="1610"/>
      <c r="AAZ1036" s="1610"/>
      <c r="ABA1036" s="1610"/>
      <c r="ABB1036" s="1610"/>
      <c r="ABC1036" s="1610"/>
      <c r="ABD1036" s="1610"/>
      <c r="ABE1036" s="1610"/>
      <c r="ABF1036" s="1610"/>
      <c r="ABG1036" s="1610"/>
      <c r="ABH1036" s="1610"/>
      <c r="ABI1036" s="1610"/>
      <c r="ABJ1036" s="1610"/>
      <c r="ABK1036" s="1610"/>
      <c r="ABL1036" s="1610"/>
      <c r="ABM1036" s="1610"/>
      <c r="ABN1036" s="1610"/>
      <c r="ABO1036" s="1610"/>
      <c r="ABP1036" s="1610"/>
      <c r="ABQ1036" s="1610"/>
      <c r="ABR1036" s="1610"/>
      <c r="ABS1036" s="1610"/>
      <c r="ABT1036" s="1610"/>
      <c r="ABU1036" s="1610"/>
      <c r="ABV1036" s="1610"/>
      <c r="ABW1036" s="1610"/>
      <c r="ABX1036" s="1610"/>
      <c r="ABY1036" s="1610"/>
      <c r="ABZ1036" s="1610"/>
      <c r="ACA1036" s="1610"/>
      <c r="ACB1036" s="1610"/>
      <c r="ACC1036" s="1610"/>
      <c r="ACD1036" s="1610"/>
      <c r="ACE1036" s="1610"/>
      <c r="ACF1036" s="1610"/>
      <c r="ACG1036" s="1610"/>
      <c r="ACH1036" s="1610"/>
      <c r="ACI1036" s="1610"/>
      <c r="ACJ1036" s="1610"/>
      <c r="ACK1036" s="1610"/>
      <c r="ACL1036" s="1610"/>
      <c r="ACM1036" s="1610"/>
      <c r="ACN1036" s="1610"/>
      <c r="ACO1036" s="1610"/>
      <c r="ACP1036" s="1610"/>
      <c r="ACQ1036" s="1610"/>
      <c r="ACR1036" s="1610"/>
      <c r="ACS1036" s="1610"/>
      <c r="ACT1036" s="1610"/>
      <c r="ACU1036" s="1610"/>
      <c r="ACV1036" s="1610"/>
      <c r="ACW1036" s="1610"/>
      <c r="ACX1036" s="1610"/>
      <c r="ACY1036" s="1610"/>
      <c r="ACZ1036" s="1610"/>
      <c r="ADA1036" s="1610"/>
      <c r="ADB1036" s="1610"/>
      <c r="ADC1036" s="1610"/>
      <c r="ADD1036" s="1610"/>
      <c r="ADE1036" s="1610"/>
      <c r="ADF1036" s="1610"/>
      <c r="ADG1036" s="1610"/>
      <c r="ADH1036" s="1610"/>
      <c r="ADI1036" s="1610"/>
      <c r="ADJ1036" s="1610"/>
      <c r="ADK1036" s="1610"/>
      <c r="ADL1036" s="1610"/>
      <c r="ADM1036" s="1610"/>
      <c r="ADN1036" s="1610"/>
      <c r="ADO1036" s="1610"/>
      <c r="ADP1036" s="1610"/>
      <c r="ADQ1036" s="1610"/>
      <c r="ADR1036" s="1610"/>
      <c r="ADS1036" s="1610"/>
      <c r="ADT1036" s="1610"/>
      <c r="ADU1036" s="1610"/>
      <c r="ADV1036" s="1610"/>
      <c r="ADW1036" s="1610"/>
      <c r="ADX1036" s="1610"/>
      <c r="ADY1036" s="1610"/>
      <c r="ADZ1036" s="1610"/>
      <c r="AEA1036" s="1610"/>
      <c r="AEB1036" s="1610"/>
      <c r="AEC1036" s="1610"/>
      <c r="AED1036" s="1610"/>
      <c r="AEE1036" s="1610"/>
      <c r="AEF1036" s="1610"/>
      <c r="AEG1036" s="1610"/>
      <c r="AEH1036" s="1610"/>
      <c r="AEI1036" s="1610"/>
      <c r="AEJ1036" s="1610"/>
      <c r="AEK1036" s="1610"/>
      <c r="AEL1036" s="1610"/>
      <c r="AEM1036" s="1610"/>
      <c r="AEN1036" s="1610"/>
      <c r="AEO1036" s="1610"/>
      <c r="AEP1036" s="1610"/>
      <c r="AEQ1036" s="1610"/>
      <c r="AER1036" s="1610"/>
      <c r="AES1036" s="1610"/>
      <c r="AET1036" s="1610"/>
      <c r="AEU1036" s="1610"/>
      <c r="AEV1036" s="1610"/>
      <c r="AEW1036" s="1610"/>
      <c r="AEX1036" s="1610"/>
      <c r="AEY1036" s="1610"/>
      <c r="AEZ1036" s="1610"/>
      <c r="AFA1036" s="1610"/>
      <c r="AFB1036" s="1610"/>
      <c r="AFC1036" s="1610"/>
      <c r="AFD1036" s="1610"/>
      <c r="AFE1036" s="1610"/>
      <c r="AFF1036" s="1610"/>
      <c r="AFG1036" s="1610"/>
      <c r="AFH1036" s="1610"/>
      <c r="AFI1036" s="1610"/>
      <c r="AFJ1036" s="1610"/>
      <c r="AFK1036" s="1610"/>
      <c r="AFL1036" s="1610"/>
      <c r="AFM1036" s="1610"/>
      <c r="AFN1036" s="1610"/>
      <c r="AFO1036" s="1610"/>
      <c r="AFP1036" s="1610"/>
      <c r="AFQ1036" s="1610"/>
      <c r="AFR1036" s="1610"/>
      <c r="AFS1036" s="1610"/>
      <c r="AFT1036" s="1610"/>
      <c r="AFU1036" s="1610"/>
      <c r="AFV1036" s="1610"/>
      <c r="AFW1036" s="1610"/>
      <c r="AFX1036" s="1610"/>
      <c r="AFY1036" s="1610"/>
      <c r="AFZ1036" s="1610"/>
      <c r="AGA1036" s="1610"/>
      <c r="AGB1036" s="1610"/>
      <c r="AGC1036" s="1610"/>
      <c r="AGD1036" s="1610"/>
      <c r="AGE1036" s="1610"/>
      <c r="AGF1036" s="1610"/>
      <c r="AGG1036" s="1610"/>
      <c r="AGH1036" s="1610"/>
      <c r="AGI1036" s="1610"/>
      <c r="AGJ1036" s="1610"/>
      <c r="AGK1036" s="1610"/>
      <c r="AGL1036" s="1610"/>
      <c r="AGM1036" s="1610"/>
      <c r="AGN1036" s="1610"/>
      <c r="AGO1036" s="1610"/>
      <c r="AGP1036" s="1610"/>
      <c r="AGQ1036" s="1610"/>
      <c r="AGR1036" s="1610"/>
      <c r="AGS1036" s="1610"/>
      <c r="AGT1036" s="1610"/>
      <c r="AGU1036" s="1610"/>
      <c r="AGV1036" s="1610"/>
      <c r="AGW1036" s="1610"/>
      <c r="AGX1036" s="1610"/>
      <c r="AGY1036" s="1610"/>
      <c r="AGZ1036" s="1610"/>
      <c r="AHA1036" s="1610"/>
      <c r="AHB1036" s="1610"/>
      <c r="AHC1036" s="1610"/>
      <c r="AHD1036" s="1610"/>
      <c r="AHE1036" s="1610"/>
      <c r="AHF1036" s="1610"/>
      <c r="AHG1036" s="1610"/>
      <c r="AHH1036" s="1610"/>
      <c r="AHI1036" s="1610"/>
      <c r="AHJ1036" s="1610"/>
      <c r="AHK1036" s="1610"/>
      <c r="AHL1036" s="1610"/>
      <c r="AHM1036" s="1610"/>
      <c r="AHN1036" s="1610"/>
      <c r="AHO1036" s="1610"/>
      <c r="AHP1036" s="1610"/>
      <c r="AHQ1036" s="1610"/>
      <c r="AHR1036" s="1610"/>
      <c r="AHS1036" s="1610"/>
      <c r="AHT1036" s="1610"/>
      <c r="AHU1036" s="1610"/>
      <c r="AHV1036" s="1610"/>
      <c r="AHW1036" s="1610"/>
      <c r="AHX1036" s="1610"/>
      <c r="AHY1036" s="1610"/>
      <c r="AHZ1036" s="1610"/>
      <c r="AIA1036" s="1610"/>
      <c r="AIB1036" s="1610"/>
      <c r="AIC1036" s="1610"/>
      <c r="AID1036" s="1610"/>
      <c r="AIE1036" s="1610"/>
      <c r="AIF1036" s="1610"/>
      <c r="AIG1036" s="1610"/>
      <c r="AIH1036" s="1610"/>
      <c r="AII1036" s="1610"/>
      <c r="AIJ1036" s="1610"/>
      <c r="AIK1036" s="1610"/>
      <c r="AIL1036" s="1610"/>
      <c r="AIM1036" s="1610"/>
      <c r="AIN1036" s="1610"/>
      <c r="AIO1036" s="1610"/>
      <c r="AIP1036" s="1610"/>
      <c r="AIQ1036" s="1610"/>
      <c r="AIR1036" s="1610"/>
      <c r="AIS1036" s="1610"/>
      <c r="AIT1036" s="1610"/>
      <c r="AIU1036" s="1610"/>
      <c r="AIV1036" s="1610"/>
      <c r="AIW1036" s="1610"/>
      <c r="AIX1036" s="1610"/>
      <c r="AIY1036" s="1610"/>
      <c r="AIZ1036" s="1610"/>
      <c r="AJA1036" s="1610"/>
      <c r="AJB1036" s="1610"/>
      <c r="AJC1036" s="1610"/>
      <c r="AJD1036" s="1610"/>
      <c r="AJE1036" s="1610"/>
      <c r="AJF1036" s="1610"/>
      <c r="AJG1036" s="1610"/>
      <c r="AJH1036" s="1610"/>
      <c r="AJI1036" s="1610"/>
      <c r="AJJ1036" s="1610"/>
      <c r="AJK1036" s="1610"/>
      <c r="AJL1036" s="1610"/>
      <c r="AJM1036" s="1610"/>
      <c r="AJN1036" s="1610"/>
      <c r="AJO1036" s="1610"/>
      <c r="AJP1036" s="1610"/>
      <c r="AJQ1036" s="1610"/>
      <c r="AJR1036" s="1610"/>
      <c r="AJS1036" s="1610"/>
      <c r="AJT1036" s="1610"/>
      <c r="AJU1036" s="1610"/>
      <c r="AJV1036" s="1610"/>
      <c r="AJW1036" s="1610"/>
      <c r="AJX1036" s="1610"/>
      <c r="AJY1036" s="1610"/>
      <c r="AJZ1036" s="1610"/>
      <c r="AKA1036" s="1610"/>
      <c r="AKB1036" s="1610"/>
      <c r="AKC1036" s="1610"/>
      <c r="AKD1036" s="1610"/>
      <c r="AKE1036" s="1610"/>
      <c r="AKF1036" s="1610"/>
      <c r="AKG1036" s="1610"/>
      <c r="AKH1036" s="1610"/>
      <c r="AKI1036" s="1610"/>
      <c r="AKJ1036" s="1610"/>
      <c r="AKK1036" s="1610"/>
      <c r="AKL1036" s="1610"/>
      <c r="AKM1036" s="1610"/>
      <c r="AKN1036" s="1610"/>
      <c r="AKO1036" s="1610"/>
      <c r="AKP1036" s="1610"/>
      <c r="AKQ1036" s="1610"/>
      <c r="AKR1036" s="1610"/>
      <c r="AKS1036" s="1610"/>
      <c r="AKT1036" s="1610"/>
      <c r="AKU1036" s="1610"/>
      <c r="AKV1036" s="1610"/>
      <c r="AKW1036" s="1610"/>
      <c r="AKX1036" s="1610"/>
      <c r="AKY1036" s="1610"/>
      <c r="AKZ1036" s="1610"/>
      <c r="ALA1036" s="1610"/>
      <c r="ALB1036" s="1610"/>
      <c r="ALC1036" s="1610"/>
      <c r="ALD1036" s="1610"/>
      <c r="ALE1036" s="1610"/>
      <c r="ALF1036" s="1610"/>
      <c r="ALG1036" s="1610"/>
      <c r="ALH1036" s="1610"/>
      <c r="ALI1036" s="1610"/>
      <c r="ALJ1036" s="1610"/>
      <c r="ALK1036" s="1610"/>
      <c r="ALL1036" s="1610"/>
      <c r="ALM1036" s="1610"/>
      <c r="ALN1036" s="1610"/>
      <c r="ALO1036" s="1610"/>
      <c r="ALP1036" s="1610"/>
      <c r="ALQ1036" s="1610"/>
      <c r="ALR1036" s="1610"/>
      <c r="ALS1036" s="1610"/>
      <c r="ALT1036" s="1610"/>
      <c r="ALU1036" s="1610"/>
      <c r="ALV1036" s="1610"/>
      <c r="ALW1036" s="1610"/>
      <c r="ALX1036" s="1610"/>
      <c r="ALY1036" s="1610"/>
      <c r="ALZ1036" s="1610"/>
      <c r="AMA1036" s="1610"/>
      <c r="AMB1036" s="1610"/>
      <c r="AMC1036" s="1610"/>
      <c r="AMD1036" s="1610"/>
      <c r="AME1036" s="1610"/>
      <c r="AMF1036" s="1610"/>
      <c r="AMG1036" s="1610"/>
      <c r="AMH1036" s="1610"/>
      <c r="AMI1036" s="1610"/>
      <c r="AMJ1036" s="1610"/>
      <c r="AMK1036" s="1610"/>
      <c r="AML1036" s="1610"/>
      <c r="AMM1036" s="1610"/>
      <c r="AMN1036" s="1610"/>
      <c r="AMO1036" s="1610"/>
      <c r="AMP1036" s="1610"/>
      <c r="AMQ1036" s="1610"/>
      <c r="AMR1036" s="1610"/>
      <c r="AMS1036" s="1610"/>
      <c r="AMT1036" s="1610"/>
      <c r="AMU1036" s="1610"/>
      <c r="AMV1036" s="1610"/>
      <c r="AMW1036" s="1610"/>
      <c r="AMX1036" s="1610"/>
      <c r="AMY1036" s="1610"/>
      <c r="AMZ1036" s="1610"/>
      <c r="ANA1036" s="1610"/>
      <c r="ANB1036" s="1610"/>
      <c r="ANC1036" s="1610"/>
      <c r="AND1036" s="1610"/>
      <c r="ANE1036" s="1610"/>
      <c r="ANF1036" s="1610"/>
      <c r="ANG1036" s="1610"/>
      <c r="ANH1036" s="1610"/>
      <c r="ANI1036" s="1610"/>
      <c r="ANJ1036" s="1610"/>
      <c r="ANK1036" s="1610"/>
      <c r="ANL1036" s="1610"/>
      <c r="ANM1036" s="1610"/>
      <c r="ANN1036" s="1610"/>
      <c r="ANO1036" s="1610"/>
      <c r="ANP1036" s="1610"/>
      <c r="ANQ1036" s="1610"/>
      <c r="ANR1036" s="1610"/>
      <c r="ANS1036" s="1610"/>
      <c r="ANT1036" s="1610"/>
      <c r="ANU1036" s="1610"/>
      <c r="ANV1036" s="1610"/>
      <c r="ANW1036" s="1610"/>
      <c r="ANX1036" s="1610"/>
      <c r="ANY1036" s="1610"/>
      <c r="ANZ1036" s="1610"/>
      <c r="AOA1036" s="1610"/>
      <c r="AOB1036" s="1610"/>
      <c r="AOC1036" s="1610"/>
      <c r="AOD1036" s="1610"/>
      <c r="AOE1036" s="1610"/>
      <c r="AOF1036" s="1610"/>
      <c r="AOG1036" s="1610"/>
      <c r="AOH1036" s="1610"/>
      <c r="AOI1036" s="1610"/>
      <c r="AOJ1036" s="1610"/>
      <c r="AOK1036" s="1610"/>
      <c r="AOL1036" s="1610"/>
      <c r="AOM1036" s="1610"/>
      <c r="AON1036" s="1610"/>
      <c r="AOO1036" s="1610"/>
      <c r="AOP1036" s="1610"/>
      <c r="AOQ1036" s="1610"/>
      <c r="AOR1036" s="1610"/>
      <c r="AOS1036" s="1610"/>
      <c r="AOT1036" s="1610"/>
      <c r="AOU1036" s="1610"/>
      <c r="AOV1036" s="1610"/>
      <c r="AOW1036" s="1610"/>
      <c r="AOX1036" s="1610"/>
      <c r="AOY1036" s="1610"/>
      <c r="AOZ1036" s="1610"/>
      <c r="APA1036" s="1610"/>
      <c r="APB1036" s="1610"/>
      <c r="APC1036" s="1610"/>
      <c r="APD1036" s="1610"/>
      <c r="APE1036" s="1610"/>
      <c r="APF1036" s="1610"/>
      <c r="APG1036" s="1610"/>
      <c r="APH1036" s="1610"/>
      <c r="API1036" s="1610"/>
      <c r="APJ1036" s="1610"/>
      <c r="APK1036" s="1610"/>
      <c r="APL1036" s="1610"/>
      <c r="APM1036" s="1610"/>
      <c r="APN1036" s="1610"/>
      <c r="APO1036" s="1610"/>
      <c r="APP1036" s="1610"/>
      <c r="APQ1036" s="1610"/>
      <c r="APR1036" s="1610"/>
      <c r="APS1036" s="1610"/>
      <c r="APT1036" s="1610"/>
      <c r="APU1036" s="1610"/>
      <c r="APV1036" s="1610"/>
      <c r="APW1036" s="1610"/>
      <c r="APX1036" s="1610"/>
      <c r="APY1036" s="1610"/>
      <c r="APZ1036" s="1610"/>
      <c r="AQA1036" s="1610"/>
      <c r="AQB1036" s="1610"/>
      <c r="AQC1036" s="1610"/>
      <c r="AQD1036" s="1610"/>
      <c r="AQE1036" s="1610"/>
      <c r="AQF1036" s="1610"/>
      <c r="AQG1036" s="1610"/>
      <c r="AQH1036" s="1610"/>
      <c r="AQI1036" s="1610"/>
      <c r="AQJ1036" s="1610"/>
      <c r="AQK1036" s="1610"/>
      <c r="AQL1036" s="1610"/>
      <c r="AQM1036" s="1610"/>
      <c r="AQN1036" s="1610"/>
      <c r="AQO1036" s="1610"/>
      <c r="AQP1036" s="1610"/>
      <c r="AQQ1036" s="1610"/>
      <c r="AQR1036" s="1610"/>
      <c r="AQS1036" s="1610"/>
      <c r="AQT1036" s="1610"/>
      <c r="AQU1036" s="1610"/>
      <c r="AQV1036" s="1610"/>
      <c r="AQW1036" s="1610"/>
      <c r="AQX1036" s="1610"/>
      <c r="AQY1036" s="1610"/>
      <c r="AQZ1036" s="1610"/>
      <c r="ARA1036" s="1610"/>
      <c r="ARB1036" s="1610"/>
      <c r="ARC1036" s="1610"/>
      <c r="ARD1036" s="1610"/>
      <c r="ARE1036" s="1610"/>
      <c r="ARF1036" s="1610"/>
      <c r="ARG1036" s="1610"/>
      <c r="ARH1036" s="1610"/>
      <c r="ARI1036" s="1610"/>
      <c r="ARJ1036" s="1610"/>
      <c r="ARK1036" s="1610"/>
      <c r="ARL1036" s="1610"/>
      <c r="ARM1036" s="1610"/>
      <c r="ARN1036" s="1610"/>
      <c r="ARO1036" s="1610"/>
      <c r="ARP1036" s="1610"/>
      <c r="ARQ1036" s="1610"/>
      <c r="ARR1036" s="1610"/>
      <c r="ARS1036" s="1610"/>
      <c r="ART1036" s="1610"/>
      <c r="ARU1036" s="1610"/>
      <c r="ARV1036" s="1610"/>
      <c r="ARW1036" s="1610"/>
      <c r="ARX1036" s="1610"/>
      <c r="ARY1036" s="1610"/>
      <c r="ARZ1036" s="1610"/>
      <c r="ASA1036" s="1610"/>
      <c r="ASB1036" s="1610"/>
      <c r="ASC1036" s="1610"/>
      <c r="ASD1036" s="1610"/>
      <c r="ASE1036" s="1610"/>
      <c r="ASF1036" s="1610"/>
      <c r="ASG1036" s="1610"/>
      <c r="ASH1036" s="1610"/>
      <c r="ASI1036" s="1610"/>
      <c r="ASJ1036" s="1610"/>
      <c r="ASK1036" s="1610"/>
      <c r="ASL1036" s="1610"/>
      <c r="ASM1036" s="1610"/>
      <c r="ASN1036" s="1610"/>
      <c r="ASO1036" s="1610"/>
      <c r="ASP1036" s="1610"/>
      <c r="ASQ1036" s="1610"/>
      <c r="ASR1036" s="1610"/>
      <c r="ASS1036" s="1610"/>
      <c r="AST1036" s="1610"/>
      <c r="ASU1036" s="1610"/>
      <c r="ASV1036" s="1610"/>
      <c r="ASW1036" s="1610"/>
      <c r="ASX1036" s="1610"/>
      <c r="ASY1036" s="1610"/>
      <c r="ASZ1036" s="1610"/>
      <c r="ATA1036" s="1610"/>
      <c r="ATB1036" s="1610"/>
      <c r="ATC1036" s="1610"/>
      <c r="ATD1036" s="1610"/>
      <c r="ATE1036" s="1610"/>
      <c r="ATF1036" s="1610"/>
      <c r="ATG1036" s="1610"/>
      <c r="ATH1036" s="1610"/>
      <c r="ATI1036" s="1610"/>
      <c r="ATJ1036" s="1610"/>
      <c r="ATK1036" s="1610"/>
      <c r="ATL1036" s="1610"/>
      <c r="ATM1036" s="1610"/>
      <c r="ATN1036" s="1610"/>
      <c r="ATO1036" s="1610"/>
      <c r="ATP1036" s="1610"/>
      <c r="ATQ1036" s="1610"/>
      <c r="ATR1036" s="1610"/>
      <c r="ATS1036" s="1610"/>
      <c r="ATT1036" s="1610"/>
      <c r="ATU1036" s="1610"/>
      <c r="ATV1036" s="1610"/>
      <c r="ATW1036" s="1610"/>
      <c r="ATX1036" s="1610"/>
      <c r="ATY1036" s="1610"/>
      <c r="ATZ1036" s="1610"/>
      <c r="AUA1036" s="1610"/>
      <c r="AUB1036" s="1610"/>
      <c r="AUC1036" s="1610"/>
      <c r="AUD1036" s="1610"/>
      <c r="AUE1036" s="1610"/>
      <c r="AUF1036" s="1610"/>
      <c r="AUG1036" s="1610"/>
      <c r="AUH1036" s="1610"/>
      <c r="AUI1036" s="1610"/>
      <c r="AUJ1036" s="1610"/>
      <c r="AUK1036" s="1610"/>
      <c r="AUL1036" s="1610"/>
      <c r="AUM1036" s="1610"/>
      <c r="AUN1036" s="1610"/>
      <c r="AUO1036" s="1610"/>
      <c r="AUP1036" s="1610"/>
      <c r="AUQ1036" s="1610"/>
      <c r="AUR1036" s="1610"/>
      <c r="AUS1036" s="1610"/>
      <c r="AUT1036" s="1610"/>
      <c r="AUU1036" s="1610"/>
      <c r="AUV1036" s="1610"/>
      <c r="AUW1036" s="1610"/>
      <c r="AUX1036" s="1610"/>
      <c r="AUY1036" s="1610"/>
      <c r="AUZ1036" s="1610"/>
      <c r="AVA1036" s="1610"/>
      <c r="AVB1036" s="1610"/>
      <c r="AVC1036" s="1610"/>
      <c r="AVD1036" s="1610"/>
      <c r="AVE1036" s="1610"/>
      <c r="AVF1036" s="1610"/>
      <c r="AVG1036" s="1610"/>
      <c r="AVH1036" s="1610"/>
      <c r="AVI1036" s="1610"/>
      <c r="AVJ1036" s="1610"/>
      <c r="AVK1036" s="1610"/>
      <c r="AVL1036" s="1610"/>
      <c r="AVM1036" s="1610"/>
      <c r="AVN1036" s="1610"/>
      <c r="AVO1036" s="1610"/>
      <c r="AVP1036" s="1610"/>
      <c r="AVQ1036" s="1610"/>
      <c r="AVR1036" s="1610"/>
      <c r="AVS1036" s="1610"/>
      <c r="AVT1036" s="1610"/>
      <c r="AVU1036" s="1610"/>
      <c r="AVV1036" s="1610"/>
      <c r="AVW1036" s="1610"/>
      <c r="AVX1036" s="1610"/>
      <c r="AVY1036" s="1610"/>
      <c r="AVZ1036" s="1610"/>
      <c r="AWA1036" s="1610"/>
      <c r="AWB1036" s="1610"/>
      <c r="AWC1036" s="1610"/>
      <c r="AWD1036" s="1610"/>
      <c r="AWE1036" s="1610"/>
      <c r="AWF1036" s="1610"/>
      <c r="AWG1036" s="1610"/>
      <c r="AWH1036" s="1610"/>
      <c r="AWI1036" s="1610"/>
      <c r="AWJ1036" s="1610"/>
      <c r="AWK1036" s="1610"/>
      <c r="AWL1036" s="1610"/>
      <c r="AWM1036" s="1610"/>
      <c r="AWN1036" s="1610"/>
      <c r="AWO1036" s="1610"/>
      <c r="AWP1036" s="1610"/>
      <c r="AWQ1036" s="1610"/>
      <c r="AWR1036" s="1610"/>
      <c r="AWS1036" s="1610"/>
      <c r="AWT1036" s="1610"/>
      <c r="AWU1036" s="1610"/>
      <c r="AWV1036" s="1610"/>
      <c r="AWW1036" s="1610"/>
      <c r="AWX1036" s="1610"/>
      <c r="AWY1036" s="1610"/>
      <c r="AWZ1036" s="1610"/>
      <c r="AXA1036" s="1610"/>
      <c r="AXB1036" s="1610"/>
      <c r="AXC1036" s="1610"/>
      <c r="AXD1036" s="1610"/>
      <c r="AXE1036" s="1610"/>
      <c r="AXF1036" s="1610"/>
      <c r="AXG1036" s="1610"/>
      <c r="AXH1036" s="1610"/>
      <c r="AXI1036" s="1610"/>
      <c r="AXJ1036" s="1610"/>
      <c r="AXK1036" s="1610"/>
      <c r="AXL1036" s="1610"/>
      <c r="AXM1036" s="1610"/>
      <c r="AXN1036" s="1610"/>
      <c r="AXO1036" s="1610"/>
      <c r="AXP1036" s="1610"/>
      <c r="AXQ1036" s="1610"/>
      <c r="AXR1036" s="1610"/>
      <c r="AXS1036" s="1610"/>
      <c r="AXT1036" s="1610"/>
      <c r="AXU1036" s="1610"/>
      <c r="AXV1036" s="1610"/>
      <c r="AXW1036" s="1610"/>
      <c r="AXX1036" s="1610"/>
      <c r="AXY1036" s="1610"/>
      <c r="AXZ1036" s="1610"/>
      <c r="AYA1036" s="1610"/>
      <c r="AYB1036" s="1610"/>
      <c r="AYC1036" s="1610"/>
      <c r="AYD1036" s="1610"/>
      <c r="AYE1036" s="1610"/>
      <c r="AYF1036" s="1610"/>
      <c r="AYG1036" s="1610"/>
      <c r="AYH1036" s="1610"/>
      <c r="AYI1036" s="1610"/>
      <c r="AYJ1036" s="1610"/>
      <c r="AYK1036" s="1610"/>
      <c r="AYL1036" s="1610"/>
      <c r="AYM1036" s="1610"/>
      <c r="AYN1036" s="1610"/>
      <c r="AYO1036" s="1610"/>
      <c r="AYP1036" s="1610"/>
      <c r="AYQ1036" s="1610"/>
      <c r="AYR1036" s="1610"/>
      <c r="AYS1036" s="1610"/>
      <c r="AYT1036" s="1610"/>
      <c r="AYU1036" s="1610"/>
      <c r="AYV1036" s="1610"/>
      <c r="AYW1036" s="1610"/>
      <c r="AYX1036" s="1610"/>
      <c r="AYY1036" s="1610"/>
      <c r="AYZ1036" s="1610"/>
      <c r="AZA1036" s="1610"/>
      <c r="AZB1036" s="1610"/>
      <c r="AZC1036" s="1610"/>
      <c r="AZD1036" s="1610"/>
      <c r="AZE1036" s="1610"/>
      <c r="AZF1036" s="1610"/>
      <c r="AZG1036" s="1610"/>
      <c r="AZH1036" s="1610"/>
      <c r="AZI1036" s="1610"/>
      <c r="AZJ1036" s="1610"/>
      <c r="AZK1036" s="1610"/>
      <c r="AZL1036" s="1610"/>
      <c r="AZM1036" s="1610"/>
      <c r="AZN1036" s="1610"/>
      <c r="AZO1036" s="1610"/>
      <c r="AZP1036" s="1610"/>
      <c r="AZQ1036" s="1610"/>
      <c r="AZR1036" s="1610"/>
      <c r="AZS1036" s="1610"/>
      <c r="AZT1036" s="1610"/>
      <c r="AZU1036" s="1610"/>
      <c r="AZV1036" s="1610"/>
      <c r="AZW1036" s="1610"/>
      <c r="AZX1036" s="1610"/>
      <c r="AZY1036" s="1610"/>
      <c r="AZZ1036" s="1610"/>
      <c r="BAA1036" s="1610"/>
      <c r="BAB1036" s="1610"/>
      <c r="BAC1036" s="1610"/>
      <c r="BAD1036" s="1610"/>
      <c r="BAE1036" s="1610"/>
      <c r="BAF1036" s="1610"/>
      <c r="BAG1036" s="1610"/>
      <c r="BAH1036" s="1610"/>
      <c r="BAI1036" s="1610"/>
      <c r="BAJ1036" s="1610"/>
      <c r="BAK1036" s="1610"/>
      <c r="BAL1036" s="1610"/>
      <c r="BAM1036" s="1610"/>
      <c r="BAN1036" s="1610"/>
      <c r="BAO1036" s="1610"/>
      <c r="BAP1036" s="1610"/>
      <c r="BAQ1036" s="1610"/>
      <c r="BAR1036" s="1610"/>
      <c r="BAS1036" s="1610"/>
      <c r="BAT1036" s="1610"/>
      <c r="BAU1036" s="1610"/>
      <c r="BAV1036" s="1610"/>
      <c r="BAW1036" s="1610"/>
      <c r="BAX1036" s="1610"/>
      <c r="BAY1036" s="1610"/>
      <c r="BAZ1036" s="1610"/>
      <c r="BBA1036" s="1610"/>
      <c r="BBB1036" s="1610"/>
      <c r="BBC1036" s="1610"/>
      <c r="BBD1036" s="1610"/>
      <c r="BBE1036" s="1610"/>
      <c r="BBF1036" s="1610"/>
      <c r="BBG1036" s="1610"/>
      <c r="BBH1036" s="1610"/>
      <c r="BBI1036" s="1610"/>
      <c r="BBJ1036" s="1610"/>
      <c r="BBK1036" s="1610"/>
      <c r="BBL1036" s="1610"/>
      <c r="BBM1036" s="1610"/>
      <c r="BBN1036" s="1610"/>
      <c r="BBO1036" s="1610"/>
      <c r="BBP1036" s="1610"/>
      <c r="BBQ1036" s="1610"/>
      <c r="BBR1036" s="1610"/>
      <c r="BBS1036" s="1610"/>
      <c r="BBT1036" s="1610"/>
      <c r="BBU1036" s="1610"/>
      <c r="BBV1036" s="1610"/>
      <c r="BBW1036" s="1610"/>
      <c r="BBX1036" s="1610"/>
      <c r="BBY1036" s="1610"/>
      <c r="BBZ1036" s="1610"/>
      <c r="BCA1036" s="1610"/>
      <c r="BCB1036" s="1610"/>
      <c r="BCC1036" s="1610"/>
      <c r="BCD1036" s="1610"/>
      <c r="BCE1036" s="1610"/>
      <c r="BCF1036" s="1610"/>
      <c r="BCG1036" s="1610"/>
      <c r="BCH1036" s="1610"/>
      <c r="BCI1036" s="1610"/>
      <c r="BCJ1036" s="1610"/>
      <c r="BCK1036" s="1610"/>
      <c r="BCL1036" s="1610"/>
      <c r="BCM1036" s="1610"/>
      <c r="BCN1036" s="1610"/>
      <c r="BCO1036" s="1610"/>
      <c r="BCP1036" s="1610"/>
      <c r="BCQ1036" s="1610"/>
      <c r="BCR1036" s="1610"/>
      <c r="BCS1036" s="1610"/>
      <c r="BCT1036" s="1610"/>
      <c r="BCU1036" s="1610"/>
      <c r="BCV1036" s="1610"/>
      <c r="BCW1036" s="1610"/>
      <c r="BCX1036" s="1610"/>
      <c r="BCY1036" s="1610"/>
      <c r="BCZ1036" s="1610"/>
      <c r="BDA1036" s="1610"/>
      <c r="BDB1036" s="1610"/>
      <c r="BDC1036" s="1610"/>
      <c r="BDD1036" s="1610"/>
      <c r="BDE1036" s="1610"/>
      <c r="BDF1036" s="1610"/>
      <c r="BDG1036" s="1610"/>
      <c r="BDH1036" s="1610"/>
      <c r="BDI1036" s="1610"/>
      <c r="BDJ1036" s="1610"/>
      <c r="BDK1036" s="1610"/>
      <c r="BDL1036" s="1610"/>
      <c r="BDM1036" s="1610"/>
      <c r="BDN1036" s="1610"/>
      <c r="BDO1036" s="1610"/>
      <c r="BDP1036" s="1610"/>
      <c r="BDQ1036" s="1610"/>
      <c r="BDR1036" s="1610"/>
      <c r="BDS1036" s="1610"/>
      <c r="BDT1036" s="1610"/>
      <c r="BDU1036" s="1610"/>
      <c r="BDV1036" s="1610"/>
      <c r="BDW1036" s="1610"/>
      <c r="BDX1036" s="1610"/>
      <c r="BDY1036" s="1610"/>
      <c r="BDZ1036" s="1610"/>
      <c r="BEA1036" s="1610"/>
      <c r="BEB1036" s="1610"/>
      <c r="BEC1036" s="1610"/>
      <c r="BED1036" s="1610"/>
      <c r="BEE1036" s="1610"/>
      <c r="BEF1036" s="1610"/>
      <c r="BEG1036" s="1610"/>
      <c r="BEH1036" s="1610"/>
      <c r="BEI1036" s="1610"/>
      <c r="BEJ1036" s="1610"/>
      <c r="BEK1036" s="1610"/>
      <c r="BEL1036" s="1610"/>
      <c r="BEM1036" s="1610"/>
      <c r="BEN1036" s="1610"/>
      <c r="BEO1036" s="1610"/>
      <c r="BEP1036" s="1610"/>
      <c r="BEQ1036" s="1610"/>
      <c r="BER1036" s="1610"/>
      <c r="BES1036" s="1610"/>
      <c r="BET1036" s="1610"/>
      <c r="BEU1036" s="1610"/>
      <c r="BEV1036" s="1610"/>
      <c r="BEW1036" s="1610"/>
      <c r="BEX1036" s="1610"/>
      <c r="BEY1036" s="1610"/>
      <c r="BEZ1036" s="1610"/>
      <c r="BFA1036" s="1610"/>
      <c r="BFB1036" s="1610"/>
      <c r="BFC1036" s="1610"/>
      <c r="BFD1036" s="1610"/>
      <c r="BFE1036" s="1610"/>
      <c r="BFF1036" s="1610"/>
      <c r="BFG1036" s="1610"/>
      <c r="BFH1036" s="1610"/>
      <c r="BFI1036" s="1610"/>
      <c r="BFJ1036" s="1610"/>
      <c r="BFK1036" s="1610"/>
      <c r="BFL1036" s="1610"/>
      <c r="BFM1036" s="1610"/>
      <c r="BFN1036" s="1610"/>
      <c r="BFO1036" s="1610"/>
      <c r="BFP1036" s="1610"/>
      <c r="BFQ1036" s="1610"/>
      <c r="BFR1036" s="1610"/>
      <c r="BFS1036" s="1610"/>
      <c r="BFT1036" s="1610"/>
      <c r="BFU1036" s="1610"/>
      <c r="BFV1036" s="1610"/>
      <c r="BFW1036" s="1610"/>
      <c r="BFX1036" s="1610"/>
      <c r="BFY1036" s="1610"/>
      <c r="BFZ1036" s="1610"/>
      <c r="BGA1036" s="1610"/>
      <c r="BGB1036" s="1610"/>
      <c r="BGC1036" s="1610"/>
      <c r="BGD1036" s="1610"/>
      <c r="BGE1036" s="1610"/>
      <c r="BGF1036" s="1610"/>
      <c r="BGG1036" s="1610"/>
      <c r="BGH1036" s="1610"/>
      <c r="BGI1036" s="1610"/>
      <c r="BGJ1036" s="1610"/>
      <c r="BGK1036" s="1610"/>
      <c r="BGL1036" s="1610"/>
      <c r="BGM1036" s="1610"/>
      <c r="BGN1036" s="1610"/>
      <c r="BGO1036" s="1610"/>
      <c r="BGP1036" s="1610"/>
      <c r="BGQ1036" s="1610"/>
      <c r="BGR1036" s="1610"/>
      <c r="BGS1036" s="1610"/>
      <c r="BGT1036" s="1610"/>
      <c r="BGU1036" s="1610"/>
      <c r="BGV1036" s="1610"/>
      <c r="BGW1036" s="1610"/>
      <c r="BGX1036" s="1610"/>
      <c r="BGY1036" s="1610"/>
      <c r="BGZ1036" s="1610"/>
      <c r="BHA1036" s="1610"/>
      <c r="BHB1036" s="1610"/>
      <c r="BHC1036" s="1610"/>
      <c r="BHD1036" s="1610"/>
      <c r="BHE1036" s="1610"/>
      <c r="BHF1036" s="1610"/>
      <c r="BHG1036" s="1610"/>
      <c r="BHH1036" s="1610"/>
      <c r="BHI1036" s="1610"/>
      <c r="BHJ1036" s="1610"/>
      <c r="BHK1036" s="1610"/>
      <c r="BHL1036" s="1610"/>
      <c r="BHM1036" s="1610"/>
      <c r="BHN1036" s="1610"/>
      <c r="BHO1036" s="1610"/>
      <c r="BHP1036" s="1610"/>
      <c r="BHQ1036" s="1610"/>
      <c r="BHR1036" s="1610"/>
      <c r="BHS1036" s="1610"/>
      <c r="BHT1036" s="1610"/>
      <c r="BHU1036" s="1610"/>
      <c r="BHV1036" s="1610"/>
      <c r="BHW1036" s="1610"/>
      <c r="BHX1036" s="1610"/>
      <c r="BHY1036" s="1610"/>
      <c r="BHZ1036" s="1610"/>
      <c r="BIA1036" s="1610"/>
      <c r="BIB1036" s="1610"/>
      <c r="BIC1036" s="1610"/>
      <c r="BID1036" s="1610"/>
      <c r="BIE1036" s="1610"/>
      <c r="BIF1036" s="1610"/>
      <c r="BIG1036" s="1610"/>
      <c r="BIH1036" s="1610"/>
      <c r="BII1036" s="1610"/>
      <c r="BIJ1036" s="1610"/>
      <c r="BIK1036" s="1610"/>
      <c r="BIL1036" s="1610"/>
      <c r="BIM1036" s="1610"/>
      <c r="BIN1036" s="1610"/>
      <c r="BIO1036" s="1610"/>
      <c r="BIP1036" s="1610"/>
      <c r="BIQ1036" s="1610"/>
      <c r="BIR1036" s="1610"/>
      <c r="BIS1036" s="1610"/>
      <c r="BIT1036" s="1610"/>
      <c r="BIU1036" s="1610"/>
      <c r="BIV1036" s="1610"/>
      <c r="BIW1036" s="1610"/>
      <c r="BIX1036" s="1610"/>
      <c r="BIY1036" s="1610"/>
      <c r="BIZ1036" s="1610"/>
      <c r="BJA1036" s="1610"/>
      <c r="BJB1036" s="1610"/>
      <c r="BJC1036" s="1610"/>
      <c r="BJD1036" s="1610"/>
      <c r="BJE1036" s="1610"/>
      <c r="BJF1036" s="1610"/>
      <c r="BJG1036" s="1610"/>
      <c r="BJH1036" s="1610"/>
      <c r="BJI1036" s="1610"/>
      <c r="BJJ1036" s="1610"/>
      <c r="BJK1036" s="1610"/>
      <c r="BJL1036" s="1610"/>
      <c r="BJM1036" s="1610"/>
      <c r="BJN1036" s="1610"/>
      <c r="BJO1036" s="1610"/>
      <c r="BJP1036" s="1610"/>
      <c r="BJQ1036" s="1610"/>
      <c r="BJR1036" s="1610"/>
      <c r="BJS1036" s="1610"/>
      <c r="BJT1036" s="1610"/>
      <c r="BJU1036" s="1610"/>
      <c r="BJV1036" s="1610"/>
      <c r="BJW1036" s="1610"/>
      <c r="BJX1036" s="1610"/>
      <c r="BJY1036" s="1610"/>
      <c r="BJZ1036" s="1610"/>
      <c r="BKA1036" s="1610"/>
      <c r="BKB1036" s="1610"/>
      <c r="BKC1036" s="1610"/>
      <c r="BKD1036" s="1610"/>
      <c r="BKE1036" s="1610"/>
      <c r="BKF1036" s="1610"/>
      <c r="BKG1036" s="1610"/>
      <c r="BKH1036" s="1610"/>
      <c r="BKI1036" s="1610"/>
      <c r="BKJ1036" s="1610"/>
      <c r="BKK1036" s="1610"/>
      <c r="BKL1036" s="1610"/>
      <c r="BKM1036" s="1610"/>
      <c r="BKN1036" s="1610"/>
      <c r="BKO1036" s="1610"/>
      <c r="BKP1036" s="1610"/>
      <c r="BKQ1036" s="1610"/>
      <c r="BKR1036" s="1610"/>
      <c r="BKS1036" s="1610"/>
      <c r="BKT1036" s="1610"/>
      <c r="BKU1036" s="1610"/>
      <c r="BKV1036" s="1610"/>
      <c r="BKW1036" s="1610"/>
      <c r="BKX1036" s="1610"/>
      <c r="BKY1036" s="1610"/>
      <c r="BKZ1036" s="1610"/>
      <c r="BLA1036" s="1610"/>
      <c r="BLB1036" s="1610"/>
      <c r="BLC1036" s="1610"/>
      <c r="BLD1036" s="1610"/>
      <c r="BLE1036" s="1610"/>
      <c r="BLF1036" s="1610"/>
      <c r="BLG1036" s="1610"/>
      <c r="BLH1036" s="1610"/>
      <c r="BLI1036" s="1610"/>
      <c r="BLJ1036" s="1610"/>
      <c r="BLK1036" s="1610"/>
      <c r="BLL1036" s="1610"/>
      <c r="BLM1036" s="1610"/>
      <c r="BLN1036" s="1610"/>
      <c r="BLO1036" s="1610"/>
      <c r="BLP1036" s="1610"/>
      <c r="BLQ1036" s="1610"/>
      <c r="BLR1036" s="1610"/>
      <c r="BLS1036" s="1610"/>
      <c r="BLT1036" s="1610"/>
      <c r="BLU1036" s="1610"/>
      <c r="BLV1036" s="1610"/>
      <c r="BLW1036" s="1610"/>
      <c r="BLX1036" s="1610"/>
      <c r="BLY1036" s="1610"/>
      <c r="BLZ1036" s="1610"/>
      <c r="BMA1036" s="1610"/>
      <c r="BMB1036" s="1610"/>
      <c r="BMC1036" s="1610"/>
      <c r="BMD1036" s="1610"/>
      <c r="BME1036" s="1610"/>
      <c r="BMF1036" s="1610"/>
      <c r="BMG1036" s="1610"/>
      <c r="BMH1036" s="1610"/>
      <c r="BMI1036" s="1610"/>
      <c r="BMJ1036" s="1610"/>
      <c r="BMK1036" s="1610"/>
      <c r="BML1036" s="1610"/>
      <c r="BMM1036" s="1610"/>
      <c r="BMN1036" s="1610"/>
      <c r="BMO1036" s="1610"/>
      <c r="BMP1036" s="1610"/>
      <c r="BMQ1036" s="1610"/>
      <c r="BMR1036" s="1610"/>
      <c r="BMS1036" s="1610"/>
      <c r="BMT1036" s="1610"/>
      <c r="BMU1036" s="1610"/>
      <c r="BMV1036" s="1610"/>
      <c r="BMW1036" s="1610"/>
      <c r="BMX1036" s="1610"/>
      <c r="BMY1036" s="1610"/>
      <c r="BMZ1036" s="1610"/>
      <c r="BNA1036" s="1610"/>
      <c r="BNB1036" s="1610"/>
      <c r="BNC1036" s="1610"/>
      <c r="BND1036" s="1610"/>
      <c r="BNE1036" s="1610"/>
      <c r="BNF1036" s="1610"/>
      <c r="BNG1036" s="1610"/>
      <c r="BNH1036" s="1610"/>
      <c r="BNI1036" s="1610"/>
      <c r="BNJ1036" s="1610"/>
      <c r="BNK1036" s="1610"/>
      <c r="BNL1036" s="1610"/>
      <c r="BNM1036" s="1610"/>
      <c r="BNN1036" s="1610"/>
      <c r="BNO1036" s="1610"/>
      <c r="BNP1036" s="1610"/>
      <c r="BNQ1036" s="1610"/>
      <c r="BNR1036" s="1610"/>
      <c r="BNS1036" s="1610"/>
      <c r="BNT1036" s="1610"/>
      <c r="BNU1036" s="1610"/>
      <c r="BNV1036" s="1610"/>
      <c r="BNW1036" s="1610"/>
      <c r="BNX1036" s="1610"/>
      <c r="BNY1036" s="1610"/>
      <c r="BNZ1036" s="1610"/>
      <c r="BOA1036" s="1610"/>
      <c r="BOB1036" s="1610"/>
      <c r="BOC1036" s="1610"/>
      <c r="BOD1036" s="1610"/>
      <c r="BOE1036" s="1610"/>
      <c r="BOF1036" s="1610"/>
      <c r="BOG1036" s="1610"/>
      <c r="BOH1036" s="1610"/>
      <c r="BOI1036" s="1610"/>
      <c r="BOJ1036" s="1610"/>
      <c r="BOK1036" s="1610"/>
      <c r="BOL1036" s="1610"/>
      <c r="BOM1036" s="1610"/>
      <c r="BON1036" s="1610"/>
      <c r="BOO1036" s="1610"/>
      <c r="BOP1036" s="1610"/>
      <c r="BOQ1036" s="1610"/>
      <c r="BOR1036" s="1610"/>
      <c r="BOS1036" s="1610"/>
      <c r="BOT1036" s="1610"/>
      <c r="BOU1036" s="1610"/>
      <c r="BOV1036" s="1610"/>
      <c r="BOW1036" s="1610"/>
      <c r="BOX1036" s="1610"/>
      <c r="BOY1036" s="1610"/>
      <c r="BOZ1036" s="1610"/>
      <c r="BPA1036" s="1610"/>
      <c r="BPB1036" s="1610"/>
      <c r="BPC1036" s="1610"/>
      <c r="BPD1036" s="1610"/>
      <c r="BPE1036" s="1610"/>
      <c r="BPF1036" s="1610"/>
      <c r="BPG1036" s="1610"/>
      <c r="BPH1036" s="1610"/>
      <c r="BPI1036" s="1610"/>
      <c r="BPJ1036" s="1610"/>
      <c r="BPK1036" s="1610"/>
      <c r="BPL1036" s="1610"/>
      <c r="BPM1036" s="1610"/>
      <c r="BPN1036" s="1610"/>
      <c r="BPO1036" s="1610"/>
      <c r="BPP1036" s="1610"/>
      <c r="BPQ1036" s="1610"/>
      <c r="BPR1036" s="1610"/>
      <c r="BPS1036" s="1610"/>
      <c r="BPT1036" s="1610"/>
      <c r="BPU1036" s="1610"/>
      <c r="BPV1036" s="1610"/>
      <c r="BPW1036" s="1610"/>
      <c r="BPX1036" s="1610"/>
      <c r="BPY1036" s="1610"/>
      <c r="BPZ1036" s="1610"/>
      <c r="BQA1036" s="1610"/>
      <c r="BQB1036" s="1610"/>
      <c r="BQC1036" s="1610"/>
      <c r="BQD1036" s="1610"/>
      <c r="BQE1036" s="1610"/>
      <c r="BQF1036" s="1610"/>
      <c r="BQG1036" s="1610"/>
      <c r="BQH1036" s="1610"/>
      <c r="BQI1036" s="1610"/>
      <c r="BQJ1036" s="1610"/>
      <c r="BQK1036" s="1610"/>
      <c r="BQL1036" s="1610"/>
      <c r="BQM1036" s="1610"/>
      <c r="BQN1036" s="1610"/>
      <c r="BQO1036" s="1610"/>
      <c r="BQP1036" s="1610"/>
      <c r="BQQ1036" s="1610"/>
      <c r="BQR1036" s="1610"/>
      <c r="BQS1036" s="1610"/>
      <c r="BQT1036" s="1610"/>
      <c r="BQU1036" s="1610"/>
      <c r="BQV1036" s="1610"/>
      <c r="BQW1036" s="1610"/>
      <c r="BQX1036" s="1610"/>
      <c r="BQY1036" s="1610"/>
      <c r="BQZ1036" s="1610"/>
      <c r="BRA1036" s="1610"/>
      <c r="BRB1036" s="1610"/>
      <c r="BRC1036" s="1610"/>
      <c r="BRD1036" s="1610"/>
      <c r="BRE1036" s="1610"/>
      <c r="BRF1036" s="1610"/>
      <c r="BRG1036" s="1610"/>
      <c r="BRH1036" s="1610"/>
      <c r="BRI1036" s="1610"/>
      <c r="BRJ1036" s="1610"/>
      <c r="BRK1036" s="1610"/>
      <c r="BRL1036" s="1610"/>
      <c r="BRM1036" s="1610"/>
      <c r="BRN1036" s="1610"/>
      <c r="BRO1036" s="1610"/>
      <c r="BRP1036" s="1610"/>
      <c r="BRQ1036" s="1610"/>
      <c r="BRR1036" s="1610"/>
      <c r="BRS1036" s="1610"/>
      <c r="BRT1036" s="1610"/>
      <c r="BRU1036" s="1610"/>
      <c r="BRV1036" s="1610"/>
      <c r="BRW1036" s="1610"/>
      <c r="BRX1036" s="1610"/>
      <c r="BRY1036" s="1610"/>
      <c r="BRZ1036" s="1610"/>
      <c r="BSA1036" s="1610"/>
      <c r="BSB1036" s="1610"/>
      <c r="BSC1036" s="1610"/>
      <c r="BSD1036" s="1610"/>
      <c r="BSE1036" s="1610"/>
      <c r="BSF1036" s="1610"/>
      <c r="BSG1036" s="1610"/>
      <c r="BSH1036" s="1610"/>
      <c r="BSI1036" s="1610"/>
      <c r="BSJ1036" s="1610"/>
      <c r="BSK1036" s="1610"/>
      <c r="BSL1036" s="1610"/>
      <c r="BSM1036" s="1610"/>
      <c r="BSN1036" s="1610"/>
      <c r="BSO1036" s="1610"/>
      <c r="BSP1036" s="1610"/>
      <c r="BSQ1036" s="1610"/>
      <c r="BSR1036" s="1610"/>
      <c r="BSS1036" s="1610"/>
      <c r="BST1036" s="1610"/>
      <c r="BSU1036" s="1610"/>
      <c r="BSV1036" s="1610"/>
      <c r="BSW1036" s="1610"/>
      <c r="BSX1036" s="1610"/>
      <c r="BSY1036" s="1610"/>
      <c r="BSZ1036" s="1610"/>
      <c r="BTA1036" s="1610"/>
      <c r="BTB1036" s="1610"/>
      <c r="BTC1036" s="1610"/>
      <c r="BTD1036" s="1610"/>
      <c r="BTE1036" s="1610"/>
      <c r="BTF1036" s="1610"/>
      <c r="BTG1036" s="1610"/>
      <c r="BTH1036" s="1610"/>
      <c r="BTI1036" s="1610"/>
      <c r="BTJ1036" s="1610"/>
      <c r="BTK1036" s="1610"/>
      <c r="BTL1036" s="1610"/>
      <c r="BTM1036" s="1610"/>
      <c r="BTN1036" s="1610"/>
      <c r="BTO1036" s="1610"/>
      <c r="BTP1036" s="1610"/>
      <c r="BTQ1036" s="1610"/>
      <c r="BTR1036" s="1610"/>
      <c r="BTS1036" s="1610"/>
      <c r="BTT1036" s="1610"/>
      <c r="BTU1036" s="1610"/>
      <c r="BTV1036" s="1610"/>
      <c r="BTW1036" s="1610"/>
      <c r="BTX1036" s="1610"/>
      <c r="BTY1036" s="1610"/>
      <c r="BTZ1036" s="1610"/>
      <c r="BUA1036" s="1610"/>
      <c r="BUB1036" s="1610"/>
      <c r="BUC1036" s="1610"/>
      <c r="BUD1036" s="1610"/>
      <c r="BUE1036" s="1610"/>
      <c r="BUF1036" s="1610"/>
      <c r="BUG1036" s="1610"/>
      <c r="BUH1036" s="1610"/>
      <c r="BUI1036" s="1610"/>
      <c r="BUJ1036" s="1610"/>
      <c r="BUK1036" s="1610"/>
      <c r="BUL1036" s="1610"/>
      <c r="BUM1036" s="1610"/>
      <c r="BUN1036" s="1610"/>
      <c r="BUO1036" s="1610"/>
      <c r="BUP1036" s="1610"/>
      <c r="BUQ1036" s="1610"/>
      <c r="BUR1036" s="1610"/>
      <c r="BUS1036" s="1610"/>
      <c r="BUT1036" s="1610"/>
      <c r="BUU1036" s="1610"/>
      <c r="BUV1036" s="1610"/>
      <c r="BUW1036" s="1610"/>
      <c r="BUX1036" s="1610"/>
      <c r="BUY1036" s="1610"/>
      <c r="BUZ1036" s="1610"/>
      <c r="BVA1036" s="1610"/>
      <c r="BVB1036" s="1610"/>
      <c r="BVC1036" s="1610"/>
      <c r="BVD1036" s="1610"/>
      <c r="BVE1036" s="1610"/>
      <c r="BVF1036" s="1610"/>
      <c r="BVG1036" s="1610"/>
      <c r="BVH1036" s="1610"/>
      <c r="BVI1036" s="1610"/>
      <c r="BVJ1036" s="1610"/>
      <c r="BVK1036" s="1610"/>
      <c r="BVL1036" s="1610"/>
      <c r="BVM1036" s="1610"/>
      <c r="BVN1036" s="1610"/>
      <c r="BVO1036" s="1610"/>
      <c r="BVP1036" s="1610"/>
      <c r="BVQ1036" s="1610"/>
      <c r="BVR1036" s="1610"/>
      <c r="BVS1036" s="1610"/>
      <c r="BVT1036" s="1610"/>
      <c r="BVU1036" s="1610"/>
      <c r="BVV1036" s="1610"/>
      <c r="BVW1036" s="1610"/>
      <c r="BVX1036" s="1610"/>
      <c r="BVY1036" s="1610"/>
      <c r="BVZ1036" s="1610"/>
      <c r="BWA1036" s="1610"/>
      <c r="BWB1036" s="1610"/>
      <c r="BWC1036" s="1610"/>
      <c r="BWD1036" s="1610"/>
      <c r="BWE1036" s="1610"/>
      <c r="BWF1036" s="1610"/>
      <c r="BWG1036" s="1610"/>
      <c r="BWH1036" s="1610"/>
      <c r="BWI1036" s="1610"/>
      <c r="BWJ1036" s="1610"/>
      <c r="BWK1036" s="1610"/>
      <c r="BWL1036" s="1610"/>
      <c r="BWM1036" s="1610"/>
      <c r="BWN1036" s="1610"/>
      <c r="BWO1036" s="1610"/>
      <c r="BWP1036" s="1610"/>
      <c r="BWQ1036" s="1610"/>
      <c r="BWR1036" s="1610"/>
      <c r="BWS1036" s="1610"/>
      <c r="BWT1036" s="1610"/>
      <c r="BWU1036" s="1610"/>
      <c r="BWV1036" s="1610"/>
      <c r="BWW1036" s="1610"/>
      <c r="BWX1036" s="1610"/>
      <c r="BWY1036" s="1610"/>
      <c r="BWZ1036" s="1610"/>
      <c r="BXA1036" s="1610"/>
      <c r="BXB1036" s="1610"/>
      <c r="BXC1036" s="1610"/>
      <c r="BXD1036" s="1610"/>
      <c r="BXE1036" s="1610"/>
      <c r="BXF1036" s="1610"/>
      <c r="BXG1036" s="1610"/>
      <c r="BXH1036" s="1610"/>
      <c r="BXI1036" s="1610"/>
      <c r="BXJ1036" s="1610"/>
      <c r="BXK1036" s="1610"/>
      <c r="BXL1036" s="1610"/>
      <c r="BXM1036" s="1610"/>
      <c r="BXN1036" s="1610"/>
      <c r="BXO1036" s="1610"/>
      <c r="BXP1036" s="1610"/>
      <c r="BXQ1036" s="1610"/>
      <c r="BXR1036" s="1610"/>
      <c r="BXS1036" s="1610"/>
      <c r="BXT1036" s="1610"/>
      <c r="BXU1036" s="1610"/>
      <c r="BXV1036" s="1610"/>
      <c r="BXW1036" s="1610"/>
      <c r="BXX1036" s="1610"/>
      <c r="BXY1036" s="1610"/>
      <c r="BXZ1036" s="1610"/>
      <c r="BYA1036" s="1610"/>
      <c r="BYB1036" s="1610"/>
      <c r="BYC1036" s="1610"/>
      <c r="BYD1036" s="1610"/>
      <c r="BYE1036" s="1610"/>
      <c r="BYF1036" s="1610"/>
      <c r="BYG1036" s="1610"/>
      <c r="BYH1036" s="1610"/>
      <c r="BYI1036" s="1610"/>
      <c r="BYJ1036" s="1610"/>
      <c r="BYK1036" s="1610"/>
      <c r="BYL1036" s="1610"/>
      <c r="BYM1036" s="1610"/>
      <c r="BYN1036" s="1610"/>
      <c r="BYO1036" s="1610"/>
      <c r="BYP1036" s="1610"/>
      <c r="BYQ1036" s="1610"/>
      <c r="BYR1036" s="1610"/>
      <c r="BYS1036" s="1610"/>
      <c r="BYT1036" s="1610"/>
      <c r="BYU1036" s="1610"/>
      <c r="BYV1036" s="1610"/>
      <c r="BYW1036" s="1610"/>
      <c r="BYX1036" s="1610"/>
      <c r="BYY1036" s="1610"/>
      <c r="BYZ1036" s="1610"/>
      <c r="BZA1036" s="1610"/>
      <c r="BZB1036" s="1610"/>
      <c r="BZC1036" s="1610"/>
      <c r="BZD1036" s="1610"/>
      <c r="BZE1036" s="1610"/>
      <c r="BZF1036" s="1610"/>
      <c r="BZG1036" s="1610"/>
      <c r="BZH1036" s="1610"/>
      <c r="BZI1036" s="1610"/>
      <c r="BZJ1036" s="1610"/>
      <c r="BZK1036" s="1610"/>
      <c r="BZL1036" s="1610"/>
      <c r="BZM1036" s="1610"/>
      <c r="BZN1036" s="1610"/>
      <c r="BZO1036" s="1610"/>
      <c r="BZP1036" s="1610"/>
      <c r="BZQ1036" s="1610"/>
      <c r="BZR1036" s="1610"/>
      <c r="BZS1036" s="1610"/>
      <c r="BZT1036" s="1610"/>
      <c r="BZU1036" s="1610"/>
      <c r="BZV1036" s="1610"/>
      <c r="BZW1036" s="1610"/>
      <c r="BZX1036" s="1610"/>
      <c r="BZY1036" s="1610"/>
      <c r="BZZ1036" s="1610"/>
      <c r="CAA1036" s="1610"/>
      <c r="CAB1036" s="1610"/>
      <c r="CAC1036" s="1610"/>
      <c r="CAD1036" s="1610"/>
      <c r="CAE1036" s="1610"/>
      <c r="CAF1036" s="1610"/>
      <c r="CAG1036" s="1610"/>
      <c r="CAH1036" s="1610"/>
      <c r="CAI1036" s="1610"/>
      <c r="CAJ1036" s="1610"/>
      <c r="CAK1036" s="1610"/>
      <c r="CAL1036" s="1610"/>
      <c r="CAM1036" s="1610"/>
      <c r="CAN1036" s="1610"/>
      <c r="CAO1036" s="1610"/>
      <c r="CAP1036" s="1610"/>
      <c r="CAQ1036" s="1610"/>
      <c r="CAR1036" s="1610"/>
      <c r="CAS1036" s="1610"/>
      <c r="CAT1036" s="1610"/>
      <c r="CAU1036" s="1610"/>
      <c r="CAV1036" s="1610"/>
      <c r="CAW1036" s="1610"/>
      <c r="CAX1036" s="1610"/>
      <c r="CAY1036" s="1610"/>
      <c r="CAZ1036" s="1610"/>
      <c r="CBA1036" s="1610"/>
      <c r="CBB1036" s="1610"/>
      <c r="CBC1036" s="1610"/>
      <c r="CBD1036" s="1610"/>
      <c r="CBE1036" s="1610"/>
      <c r="CBF1036" s="1610"/>
      <c r="CBG1036" s="1610"/>
      <c r="CBH1036" s="1610"/>
      <c r="CBI1036" s="1610"/>
      <c r="CBJ1036" s="1610"/>
      <c r="CBK1036" s="1610"/>
      <c r="CBL1036" s="1610"/>
      <c r="CBM1036" s="1610"/>
      <c r="CBN1036" s="1610"/>
      <c r="CBO1036" s="1610"/>
      <c r="CBP1036" s="1610"/>
      <c r="CBQ1036" s="1610"/>
      <c r="CBR1036" s="1610"/>
      <c r="CBS1036" s="1610"/>
      <c r="CBT1036" s="1610"/>
      <c r="CBU1036" s="1610"/>
      <c r="CBV1036" s="1610"/>
      <c r="CBW1036" s="1610"/>
      <c r="CBX1036" s="1610"/>
      <c r="CBY1036" s="1610"/>
      <c r="CBZ1036" s="1610"/>
      <c r="CCA1036" s="1610"/>
      <c r="CCB1036" s="1610"/>
      <c r="CCC1036" s="1610"/>
      <c r="CCD1036" s="1610"/>
      <c r="CCE1036" s="1610"/>
      <c r="CCF1036" s="1610"/>
      <c r="CCG1036" s="1610"/>
      <c r="CCH1036" s="1610"/>
      <c r="CCI1036" s="1610"/>
      <c r="CCJ1036" s="1610"/>
      <c r="CCK1036" s="1610"/>
      <c r="CCL1036" s="1610"/>
      <c r="CCM1036" s="1610"/>
      <c r="CCN1036" s="1610"/>
      <c r="CCO1036" s="1610"/>
      <c r="CCP1036" s="1610"/>
      <c r="CCQ1036" s="1610"/>
      <c r="CCR1036" s="1610"/>
      <c r="CCS1036" s="1610"/>
      <c r="CCT1036" s="1610"/>
      <c r="CCU1036" s="1610"/>
      <c r="CCV1036" s="1610"/>
      <c r="CCW1036" s="1610"/>
      <c r="CCX1036" s="1610"/>
      <c r="CCY1036" s="1610"/>
      <c r="CCZ1036" s="1610"/>
      <c r="CDA1036" s="1610"/>
      <c r="CDB1036" s="1610"/>
      <c r="CDC1036" s="1610"/>
      <c r="CDD1036" s="1610"/>
      <c r="CDE1036" s="1610"/>
      <c r="CDF1036" s="1610"/>
      <c r="CDG1036" s="1610"/>
      <c r="CDH1036" s="1610"/>
      <c r="CDI1036" s="1610"/>
      <c r="CDJ1036" s="1610"/>
      <c r="CDK1036" s="1610"/>
      <c r="CDL1036" s="1610"/>
      <c r="CDM1036" s="1610"/>
      <c r="CDN1036" s="1610"/>
      <c r="CDO1036" s="1610"/>
      <c r="CDP1036" s="1610"/>
      <c r="CDQ1036" s="1610"/>
      <c r="CDR1036" s="1610"/>
      <c r="CDS1036" s="1610"/>
      <c r="CDT1036" s="1610"/>
      <c r="CDU1036" s="1610"/>
      <c r="CDV1036" s="1610"/>
      <c r="CDW1036" s="1610"/>
      <c r="CDX1036" s="1610"/>
      <c r="CDY1036" s="1610"/>
      <c r="CDZ1036" s="1610"/>
      <c r="CEA1036" s="1610"/>
      <c r="CEB1036" s="1610"/>
      <c r="CEC1036" s="1610"/>
      <c r="CED1036" s="1610"/>
      <c r="CEE1036" s="1610"/>
      <c r="CEF1036" s="1610"/>
      <c r="CEG1036" s="1610"/>
      <c r="CEH1036" s="1610"/>
      <c r="CEI1036" s="1610"/>
      <c r="CEJ1036" s="1610"/>
      <c r="CEK1036" s="1610"/>
      <c r="CEL1036" s="1610"/>
      <c r="CEM1036" s="1610"/>
      <c r="CEN1036" s="1610"/>
      <c r="CEO1036" s="1610"/>
      <c r="CEP1036" s="1610"/>
      <c r="CEQ1036" s="1610"/>
      <c r="CER1036" s="1610"/>
      <c r="CES1036" s="1610"/>
      <c r="CET1036" s="1610"/>
      <c r="CEU1036" s="1610"/>
      <c r="CEV1036" s="1610"/>
      <c r="CEW1036" s="1610"/>
      <c r="CEX1036" s="1610"/>
      <c r="CEY1036" s="1610"/>
      <c r="CEZ1036" s="1610"/>
      <c r="CFA1036" s="1610"/>
      <c r="CFB1036" s="1610"/>
      <c r="CFC1036" s="1610"/>
      <c r="CFD1036" s="1610"/>
      <c r="CFE1036" s="1610"/>
      <c r="CFF1036" s="1610"/>
      <c r="CFG1036" s="1610"/>
      <c r="CFH1036" s="1610"/>
      <c r="CFI1036" s="1610"/>
      <c r="CFJ1036" s="1610"/>
      <c r="CFK1036" s="1610"/>
      <c r="CFL1036" s="1610"/>
      <c r="CFM1036" s="1610"/>
      <c r="CFN1036" s="1610"/>
      <c r="CFO1036" s="1610"/>
      <c r="CFP1036" s="1610"/>
      <c r="CFQ1036" s="1610"/>
      <c r="CFR1036" s="1610"/>
      <c r="CFS1036" s="1610"/>
      <c r="CFT1036" s="1610"/>
      <c r="CFU1036" s="1610"/>
      <c r="CFV1036" s="1610"/>
      <c r="CFW1036" s="1610"/>
      <c r="CFX1036" s="1610"/>
      <c r="CFY1036" s="1610"/>
      <c r="CFZ1036" s="1610"/>
      <c r="CGA1036" s="1610"/>
      <c r="CGB1036" s="1610"/>
      <c r="CGC1036" s="1610"/>
      <c r="CGD1036" s="1610"/>
      <c r="CGE1036" s="1610"/>
      <c r="CGF1036" s="1610"/>
      <c r="CGG1036" s="1610"/>
      <c r="CGH1036" s="1610"/>
      <c r="CGI1036" s="1610"/>
      <c r="CGJ1036" s="1610"/>
      <c r="CGK1036" s="1610"/>
      <c r="CGL1036" s="1610"/>
      <c r="CGM1036" s="1610"/>
      <c r="CGN1036" s="1610"/>
      <c r="CGO1036" s="1610"/>
      <c r="CGP1036" s="1610"/>
      <c r="CGQ1036" s="1610"/>
      <c r="CGR1036" s="1610"/>
      <c r="CGS1036" s="1610"/>
      <c r="CGT1036" s="1610"/>
      <c r="CGU1036" s="1610"/>
      <c r="CGV1036" s="1610"/>
      <c r="CGW1036" s="1610"/>
      <c r="CGX1036" s="1610"/>
      <c r="CGY1036" s="1610"/>
      <c r="CGZ1036" s="1610"/>
      <c r="CHA1036" s="1610"/>
      <c r="CHB1036" s="1610"/>
      <c r="CHC1036" s="1610"/>
      <c r="CHD1036" s="1610"/>
      <c r="CHE1036" s="1610"/>
      <c r="CHF1036" s="1610"/>
      <c r="CHG1036" s="1610"/>
      <c r="CHH1036" s="1610"/>
      <c r="CHI1036" s="1610"/>
      <c r="CHJ1036" s="1610"/>
      <c r="CHK1036" s="1610"/>
      <c r="CHL1036" s="1610"/>
      <c r="CHM1036" s="1610"/>
      <c r="CHN1036" s="1610"/>
      <c r="CHO1036" s="1610"/>
      <c r="CHP1036" s="1610"/>
      <c r="CHQ1036" s="1610"/>
      <c r="CHR1036" s="1610"/>
      <c r="CHS1036" s="1610"/>
      <c r="CHT1036" s="1610"/>
      <c r="CHU1036" s="1610"/>
      <c r="CHV1036" s="1610"/>
      <c r="CHW1036" s="1610"/>
      <c r="CHX1036" s="1610"/>
      <c r="CHY1036" s="1610"/>
      <c r="CHZ1036" s="1610"/>
      <c r="CIA1036" s="1610"/>
      <c r="CIB1036" s="1610"/>
      <c r="CIC1036" s="1610"/>
      <c r="CID1036" s="1610"/>
      <c r="CIE1036" s="1610"/>
      <c r="CIF1036" s="1610"/>
      <c r="CIG1036" s="1610"/>
      <c r="CIH1036" s="1610"/>
      <c r="CII1036" s="1610"/>
      <c r="CIJ1036" s="1610"/>
      <c r="CIK1036" s="1610"/>
      <c r="CIL1036" s="1610"/>
      <c r="CIM1036" s="1610"/>
      <c r="CIN1036" s="1610"/>
      <c r="CIO1036" s="1610"/>
      <c r="CIP1036" s="1610"/>
      <c r="CIQ1036" s="1610"/>
      <c r="CIR1036" s="1610"/>
      <c r="CIS1036" s="1610"/>
      <c r="CIT1036" s="1610"/>
      <c r="CIU1036" s="1610"/>
      <c r="CIV1036" s="1610"/>
      <c r="CIW1036" s="1610"/>
      <c r="CIX1036" s="1610"/>
      <c r="CIY1036" s="1610"/>
      <c r="CIZ1036" s="1610"/>
      <c r="CJA1036" s="1610"/>
      <c r="CJB1036" s="1610"/>
      <c r="CJC1036" s="1610"/>
      <c r="CJD1036" s="1610"/>
      <c r="CJE1036" s="1610"/>
      <c r="CJF1036" s="1610"/>
      <c r="CJG1036" s="1610"/>
      <c r="CJH1036" s="1610"/>
      <c r="CJI1036" s="1610"/>
      <c r="CJJ1036" s="1610"/>
      <c r="CJK1036" s="1610"/>
      <c r="CJL1036" s="1610"/>
      <c r="CJM1036" s="1610"/>
      <c r="CJN1036" s="1610"/>
      <c r="CJO1036" s="1610"/>
      <c r="CJP1036" s="1610"/>
      <c r="CJQ1036" s="1610"/>
      <c r="CJR1036" s="1610"/>
      <c r="CJS1036" s="1610"/>
      <c r="CJT1036" s="1610"/>
      <c r="CJU1036" s="1610"/>
      <c r="CJV1036" s="1610"/>
      <c r="CJW1036" s="1610"/>
      <c r="CJX1036" s="1610"/>
      <c r="CJY1036" s="1610"/>
      <c r="CJZ1036" s="1610"/>
      <c r="CKA1036" s="1610"/>
      <c r="CKB1036" s="1610"/>
      <c r="CKC1036" s="1610"/>
      <c r="CKD1036" s="1610"/>
      <c r="CKE1036" s="1610"/>
      <c r="CKF1036" s="1610"/>
      <c r="CKG1036" s="1610"/>
      <c r="CKH1036" s="1610"/>
      <c r="CKI1036" s="1610"/>
      <c r="CKJ1036" s="1610"/>
      <c r="CKK1036" s="1610"/>
      <c r="CKL1036" s="1610"/>
      <c r="CKM1036" s="1610"/>
      <c r="CKN1036" s="1610"/>
      <c r="CKO1036" s="1610"/>
      <c r="CKP1036" s="1610"/>
      <c r="CKQ1036" s="1610"/>
      <c r="CKR1036" s="1610"/>
      <c r="CKS1036" s="1610"/>
      <c r="CKT1036" s="1610"/>
      <c r="CKU1036" s="1610"/>
      <c r="CKV1036" s="1610"/>
      <c r="CKW1036" s="1610"/>
      <c r="CKX1036" s="1610"/>
      <c r="CKY1036" s="1610"/>
      <c r="CKZ1036" s="1610"/>
      <c r="CLA1036" s="1610"/>
      <c r="CLB1036" s="1610"/>
      <c r="CLC1036" s="1610"/>
      <c r="CLD1036" s="1610"/>
      <c r="CLE1036" s="1610"/>
      <c r="CLF1036" s="1610"/>
      <c r="CLG1036" s="1610"/>
      <c r="CLH1036" s="1610"/>
      <c r="CLI1036" s="1610"/>
      <c r="CLJ1036" s="1610"/>
      <c r="CLK1036" s="1610"/>
      <c r="CLL1036" s="1610"/>
      <c r="CLM1036" s="1610"/>
      <c r="CLN1036" s="1610"/>
      <c r="CLO1036" s="1610"/>
      <c r="CLP1036" s="1610"/>
      <c r="CLQ1036" s="1610"/>
      <c r="CLR1036" s="1610"/>
      <c r="CLS1036" s="1610"/>
      <c r="CLT1036" s="1610"/>
      <c r="CLU1036" s="1610"/>
      <c r="CLV1036" s="1610"/>
      <c r="CLW1036" s="1610"/>
      <c r="CLX1036" s="1610"/>
      <c r="CLY1036" s="1610"/>
      <c r="CLZ1036" s="1610"/>
      <c r="CMA1036" s="1610"/>
      <c r="CMB1036" s="1610"/>
      <c r="CMC1036" s="1610"/>
      <c r="CMD1036" s="1610"/>
      <c r="CME1036" s="1610"/>
      <c r="CMF1036" s="1610"/>
      <c r="CMG1036" s="1610"/>
      <c r="CMH1036" s="1610"/>
      <c r="CMI1036" s="1610"/>
      <c r="CMJ1036" s="1610"/>
      <c r="CMK1036" s="1610"/>
      <c r="CML1036" s="1610"/>
      <c r="CMM1036" s="1610"/>
      <c r="CMN1036" s="1610"/>
      <c r="CMO1036" s="1610"/>
      <c r="CMP1036" s="1610"/>
      <c r="CMQ1036" s="1610"/>
      <c r="CMR1036" s="1610"/>
      <c r="CMS1036" s="1610"/>
      <c r="CMT1036" s="1610"/>
      <c r="CMU1036" s="1610"/>
      <c r="CMV1036" s="1610"/>
      <c r="CMW1036" s="1610"/>
      <c r="CMX1036" s="1610"/>
      <c r="CMY1036" s="1610"/>
      <c r="CMZ1036" s="1610"/>
      <c r="CNA1036" s="1610"/>
      <c r="CNB1036" s="1610"/>
      <c r="CNC1036" s="1610"/>
      <c r="CND1036" s="1610"/>
      <c r="CNE1036" s="1610"/>
      <c r="CNF1036" s="1610"/>
      <c r="CNG1036" s="1610"/>
      <c r="CNH1036" s="1610"/>
      <c r="CNI1036" s="1610"/>
      <c r="CNJ1036" s="1610"/>
      <c r="CNK1036" s="1610"/>
      <c r="CNL1036" s="1610"/>
      <c r="CNM1036" s="1610"/>
      <c r="CNN1036" s="1610"/>
      <c r="CNO1036" s="1610"/>
      <c r="CNP1036" s="1610"/>
      <c r="CNQ1036" s="1610"/>
      <c r="CNR1036" s="1610"/>
      <c r="CNS1036" s="1610"/>
      <c r="CNT1036" s="1610"/>
      <c r="CNU1036" s="1610"/>
      <c r="CNV1036" s="1610"/>
      <c r="CNW1036" s="1610"/>
      <c r="CNX1036" s="1610"/>
      <c r="CNY1036" s="1610"/>
      <c r="CNZ1036" s="1610"/>
      <c r="COA1036" s="1610"/>
      <c r="COB1036" s="1610"/>
      <c r="COC1036" s="1610"/>
      <c r="COD1036" s="1610"/>
      <c r="COE1036" s="1610"/>
      <c r="COF1036" s="1610"/>
      <c r="COG1036" s="1610"/>
      <c r="COH1036" s="1610"/>
      <c r="COI1036" s="1610"/>
      <c r="COJ1036" s="1610"/>
      <c r="COK1036" s="1610"/>
      <c r="COL1036" s="1610"/>
      <c r="COM1036" s="1610"/>
      <c r="CON1036" s="1610"/>
      <c r="COO1036" s="1610"/>
      <c r="COP1036" s="1610"/>
      <c r="COQ1036" s="1610"/>
      <c r="COR1036" s="1610"/>
      <c r="COS1036" s="1610"/>
      <c r="COT1036" s="1610"/>
      <c r="COU1036" s="1610"/>
      <c r="COV1036" s="1610"/>
      <c r="COW1036" s="1610"/>
      <c r="COX1036" s="1610"/>
      <c r="COY1036" s="1610"/>
      <c r="COZ1036" s="1610"/>
      <c r="CPA1036" s="1610"/>
      <c r="CPB1036" s="1610"/>
      <c r="CPC1036" s="1610"/>
      <c r="CPD1036" s="1610"/>
      <c r="CPE1036" s="1610"/>
      <c r="CPF1036" s="1610"/>
      <c r="CPG1036" s="1610"/>
      <c r="CPH1036" s="1610"/>
      <c r="CPI1036" s="1610"/>
      <c r="CPJ1036" s="1610"/>
      <c r="CPK1036" s="1610"/>
      <c r="CPL1036" s="1610"/>
      <c r="CPM1036" s="1610"/>
      <c r="CPN1036" s="1610"/>
      <c r="CPO1036" s="1610"/>
      <c r="CPP1036" s="1610"/>
      <c r="CPQ1036" s="1610"/>
      <c r="CPR1036" s="1610"/>
      <c r="CPS1036" s="1610"/>
      <c r="CPT1036" s="1610"/>
      <c r="CPU1036" s="1610"/>
      <c r="CPV1036" s="1610"/>
      <c r="CPW1036" s="1610"/>
      <c r="CPX1036" s="1610"/>
      <c r="CPY1036" s="1610"/>
      <c r="CPZ1036" s="1610"/>
      <c r="CQA1036" s="1610"/>
      <c r="CQB1036" s="1610"/>
      <c r="CQC1036" s="1610"/>
      <c r="CQD1036" s="1610"/>
      <c r="CQE1036" s="1610"/>
      <c r="CQF1036" s="1610"/>
      <c r="CQG1036" s="1610"/>
      <c r="CQH1036" s="1610"/>
      <c r="CQI1036" s="1610"/>
      <c r="CQJ1036" s="1610"/>
      <c r="CQK1036" s="1610"/>
      <c r="CQL1036" s="1610"/>
      <c r="CQM1036" s="1610"/>
      <c r="CQN1036" s="1610"/>
      <c r="CQO1036" s="1610"/>
      <c r="CQP1036" s="1610"/>
      <c r="CQQ1036" s="1610"/>
      <c r="CQR1036" s="1610"/>
      <c r="CQS1036" s="1610"/>
      <c r="CQT1036" s="1610"/>
      <c r="CQU1036" s="1610"/>
      <c r="CQV1036" s="1610"/>
      <c r="CQW1036" s="1610"/>
      <c r="CQX1036" s="1610"/>
      <c r="CQY1036" s="1610"/>
      <c r="CQZ1036" s="1610"/>
      <c r="CRA1036" s="1610"/>
      <c r="CRB1036" s="1610"/>
      <c r="CRC1036" s="1610"/>
      <c r="CRD1036" s="1610"/>
      <c r="CRE1036" s="1610"/>
      <c r="CRF1036" s="1610"/>
      <c r="CRG1036" s="1610"/>
      <c r="CRH1036" s="1610"/>
      <c r="CRI1036" s="1610"/>
      <c r="CRJ1036" s="1610"/>
      <c r="CRK1036" s="1610"/>
      <c r="CRL1036" s="1610"/>
      <c r="CRM1036" s="1610"/>
      <c r="CRN1036" s="1610"/>
      <c r="CRO1036" s="1610"/>
      <c r="CRP1036" s="1610"/>
      <c r="CRQ1036" s="1610"/>
      <c r="CRR1036" s="1610"/>
      <c r="CRS1036" s="1610"/>
      <c r="CRT1036" s="1610"/>
      <c r="CRU1036" s="1610"/>
      <c r="CRV1036" s="1610"/>
      <c r="CRW1036" s="1610"/>
      <c r="CRX1036" s="1610"/>
      <c r="CRY1036" s="1610"/>
      <c r="CRZ1036" s="1610"/>
      <c r="CSA1036" s="1610"/>
      <c r="CSB1036" s="1610"/>
      <c r="CSC1036" s="1610"/>
      <c r="CSD1036" s="1610"/>
      <c r="CSE1036" s="1610"/>
      <c r="CSF1036" s="1610"/>
      <c r="CSG1036" s="1610"/>
      <c r="CSH1036" s="1610"/>
      <c r="CSI1036" s="1610"/>
      <c r="CSJ1036" s="1610"/>
      <c r="CSK1036" s="1610"/>
      <c r="CSL1036" s="1610"/>
      <c r="CSM1036" s="1610"/>
      <c r="CSN1036" s="1610"/>
      <c r="CSO1036" s="1610"/>
      <c r="CSP1036" s="1610"/>
      <c r="CSQ1036" s="1610"/>
      <c r="CSR1036" s="1610"/>
      <c r="CSS1036" s="1610"/>
      <c r="CST1036" s="1610"/>
      <c r="CSU1036" s="1610"/>
      <c r="CSV1036" s="1610"/>
      <c r="CSW1036" s="1610"/>
      <c r="CSX1036" s="1610"/>
      <c r="CSY1036" s="1610"/>
      <c r="CSZ1036" s="1610"/>
      <c r="CTA1036" s="1610"/>
      <c r="CTB1036" s="1610"/>
      <c r="CTC1036" s="1610"/>
      <c r="CTD1036" s="1610"/>
      <c r="CTE1036" s="1610"/>
      <c r="CTF1036" s="1610"/>
      <c r="CTG1036" s="1610"/>
      <c r="CTH1036" s="1610"/>
      <c r="CTI1036" s="1610"/>
      <c r="CTJ1036" s="1610"/>
      <c r="CTK1036" s="1610"/>
      <c r="CTL1036" s="1610"/>
      <c r="CTM1036" s="1610"/>
      <c r="CTN1036" s="1610"/>
      <c r="CTO1036" s="1610"/>
      <c r="CTP1036" s="1610"/>
      <c r="CTQ1036" s="1610"/>
      <c r="CTR1036" s="1610"/>
      <c r="CTS1036" s="1610"/>
      <c r="CTT1036" s="1610"/>
      <c r="CTU1036" s="1610"/>
      <c r="CTV1036" s="1610"/>
      <c r="CTW1036" s="1610"/>
      <c r="CTX1036" s="1610"/>
      <c r="CTY1036" s="1610"/>
      <c r="CTZ1036" s="1610"/>
      <c r="CUA1036" s="1610"/>
      <c r="CUB1036" s="1610"/>
      <c r="CUC1036" s="1610"/>
      <c r="CUD1036" s="1610"/>
      <c r="CUE1036" s="1610"/>
      <c r="CUF1036" s="1610"/>
      <c r="CUG1036" s="1610"/>
      <c r="CUH1036" s="1610"/>
      <c r="CUI1036" s="1610"/>
      <c r="CUJ1036" s="1610"/>
      <c r="CUK1036" s="1610"/>
      <c r="CUL1036" s="1610"/>
      <c r="CUM1036" s="1610"/>
      <c r="CUN1036" s="1610"/>
      <c r="CUO1036" s="1610"/>
      <c r="CUP1036" s="1610"/>
      <c r="CUQ1036" s="1610"/>
      <c r="CUR1036" s="1610"/>
      <c r="CUS1036" s="1610"/>
      <c r="CUT1036" s="1610"/>
      <c r="CUU1036" s="1610"/>
      <c r="CUV1036" s="1610"/>
      <c r="CUW1036" s="1610"/>
      <c r="CUX1036" s="1610"/>
      <c r="CUY1036" s="1610"/>
      <c r="CUZ1036" s="1610"/>
      <c r="CVA1036" s="1610"/>
      <c r="CVB1036" s="1610"/>
      <c r="CVC1036" s="1610"/>
      <c r="CVD1036" s="1610"/>
      <c r="CVE1036" s="1610"/>
      <c r="CVF1036" s="1610"/>
      <c r="CVG1036" s="1610"/>
      <c r="CVH1036" s="1610"/>
      <c r="CVI1036" s="1610"/>
      <c r="CVJ1036" s="1610"/>
      <c r="CVK1036" s="1610"/>
      <c r="CVL1036" s="1610"/>
      <c r="CVM1036" s="1610"/>
      <c r="CVN1036" s="1610"/>
      <c r="CVO1036" s="1610"/>
      <c r="CVP1036" s="1610"/>
      <c r="CVQ1036" s="1610"/>
      <c r="CVR1036" s="1610"/>
      <c r="CVS1036" s="1610"/>
      <c r="CVT1036" s="1610"/>
      <c r="CVU1036" s="1610"/>
      <c r="CVV1036" s="1610"/>
      <c r="CVW1036" s="1610"/>
      <c r="CVX1036" s="1610"/>
      <c r="CVY1036" s="1610"/>
      <c r="CVZ1036" s="1610"/>
      <c r="CWA1036" s="1610"/>
      <c r="CWB1036" s="1610"/>
      <c r="CWC1036" s="1610"/>
      <c r="CWD1036" s="1610"/>
      <c r="CWE1036" s="1610"/>
      <c r="CWF1036" s="1610"/>
      <c r="CWG1036" s="1610"/>
      <c r="CWH1036" s="1610"/>
      <c r="CWI1036" s="1610"/>
      <c r="CWJ1036" s="1610"/>
      <c r="CWK1036" s="1610"/>
      <c r="CWL1036" s="1610"/>
      <c r="CWM1036" s="1610"/>
      <c r="CWN1036" s="1610"/>
      <c r="CWO1036" s="1610"/>
      <c r="CWP1036" s="1610"/>
      <c r="CWQ1036" s="1610"/>
      <c r="CWR1036" s="1610"/>
      <c r="CWS1036" s="1610"/>
      <c r="CWT1036" s="1610"/>
      <c r="CWU1036" s="1610"/>
      <c r="CWV1036" s="1610"/>
      <c r="CWW1036" s="1610"/>
      <c r="CWX1036" s="1610"/>
      <c r="CWY1036" s="1610"/>
      <c r="CWZ1036" s="1610"/>
      <c r="CXA1036" s="1610"/>
      <c r="CXB1036" s="1610"/>
      <c r="CXC1036" s="1610"/>
      <c r="CXD1036" s="1610"/>
      <c r="CXE1036" s="1610"/>
      <c r="CXF1036" s="1610"/>
      <c r="CXG1036" s="1610"/>
      <c r="CXH1036" s="1610"/>
      <c r="CXI1036" s="1610"/>
      <c r="CXJ1036" s="1610"/>
      <c r="CXK1036" s="1610"/>
      <c r="CXL1036" s="1610"/>
      <c r="CXM1036" s="1610"/>
      <c r="CXN1036" s="1610"/>
      <c r="CXO1036" s="1610"/>
      <c r="CXP1036" s="1610"/>
      <c r="CXQ1036" s="1610"/>
      <c r="CXR1036" s="1610"/>
      <c r="CXS1036" s="1610"/>
      <c r="CXT1036" s="1610"/>
      <c r="CXU1036" s="1610"/>
      <c r="CXV1036" s="1610"/>
      <c r="CXW1036" s="1610"/>
      <c r="CXX1036" s="1610"/>
      <c r="CXY1036" s="1610"/>
      <c r="CXZ1036" s="1610"/>
      <c r="CYA1036" s="1610"/>
      <c r="CYB1036" s="1610"/>
      <c r="CYC1036" s="1610"/>
      <c r="CYD1036" s="1610"/>
      <c r="CYE1036" s="1610"/>
      <c r="CYF1036" s="1610"/>
      <c r="CYG1036" s="1610"/>
      <c r="CYH1036" s="1610"/>
      <c r="CYI1036" s="1610"/>
      <c r="CYJ1036" s="1610"/>
      <c r="CYK1036" s="1610"/>
      <c r="CYL1036" s="1610"/>
      <c r="CYM1036" s="1610"/>
      <c r="CYN1036" s="1610"/>
      <c r="CYO1036" s="1610"/>
      <c r="CYP1036" s="1610"/>
      <c r="CYQ1036" s="1610"/>
      <c r="CYR1036" s="1610"/>
      <c r="CYS1036" s="1610"/>
      <c r="CYT1036" s="1610"/>
      <c r="CYU1036" s="1610"/>
      <c r="CYV1036" s="1610"/>
      <c r="CYW1036" s="1610"/>
      <c r="CYX1036" s="1610"/>
      <c r="CYY1036" s="1610"/>
      <c r="CYZ1036" s="1610"/>
      <c r="CZA1036" s="1610"/>
      <c r="CZB1036" s="1610"/>
      <c r="CZC1036" s="1610"/>
      <c r="CZD1036" s="1610"/>
      <c r="CZE1036" s="1610"/>
      <c r="CZF1036" s="1610"/>
      <c r="CZG1036" s="1610"/>
      <c r="CZH1036" s="1610"/>
      <c r="CZI1036" s="1610"/>
      <c r="CZJ1036" s="1610"/>
      <c r="CZK1036" s="1610"/>
      <c r="CZL1036" s="1610"/>
      <c r="CZM1036" s="1610"/>
      <c r="CZN1036" s="1610"/>
      <c r="CZO1036" s="1610"/>
      <c r="CZP1036" s="1610"/>
      <c r="CZQ1036" s="1610"/>
      <c r="CZR1036" s="1610"/>
      <c r="CZS1036" s="1610"/>
      <c r="CZT1036" s="1610"/>
      <c r="CZU1036" s="1610"/>
      <c r="CZV1036" s="1610"/>
      <c r="CZW1036" s="1610"/>
      <c r="CZX1036" s="1610"/>
      <c r="CZY1036" s="1610"/>
      <c r="CZZ1036" s="1610"/>
      <c r="DAA1036" s="1610"/>
      <c r="DAB1036" s="1610"/>
      <c r="DAC1036" s="1610"/>
      <c r="DAD1036" s="1610"/>
      <c r="DAE1036" s="1610"/>
      <c r="DAF1036" s="1610"/>
      <c r="DAG1036" s="1610"/>
      <c r="DAH1036" s="1610"/>
      <c r="DAI1036" s="1610"/>
      <c r="DAJ1036" s="1610"/>
      <c r="DAK1036" s="1610"/>
      <c r="DAL1036" s="1610"/>
      <c r="DAM1036" s="1610"/>
      <c r="DAN1036" s="1610"/>
      <c r="DAO1036" s="1610"/>
      <c r="DAP1036" s="1610"/>
      <c r="DAQ1036" s="1610"/>
      <c r="DAR1036" s="1610"/>
      <c r="DAS1036" s="1610"/>
      <c r="DAT1036" s="1610"/>
      <c r="DAU1036" s="1610"/>
      <c r="DAV1036" s="1610"/>
      <c r="DAW1036" s="1610"/>
      <c r="DAX1036" s="1610"/>
      <c r="DAY1036" s="1610"/>
      <c r="DAZ1036" s="1610"/>
      <c r="DBA1036" s="1610"/>
      <c r="DBB1036" s="1610"/>
      <c r="DBC1036" s="1610"/>
      <c r="DBD1036" s="1610"/>
      <c r="DBE1036" s="1610"/>
      <c r="DBF1036" s="1610"/>
      <c r="DBG1036" s="1610"/>
      <c r="DBH1036" s="1610"/>
      <c r="DBI1036" s="1610"/>
      <c r="DBJ1036" s="1610"/>
      <c r="DBK1036" s="1610"/>
      <c r="DBL1036" s="1610"/>
      <c r="DBM1036" s="1610"/>
      <c r="DBN1036" s="1610"/>
      <c r="DBO1036" s="1610"/>
      <c r="DBP1036" s="1610"/>
      <c r="DBQ1036" s="1610"/>
      <c r="DBR1036" s="1610"/>
      <c r="DBS1036" s="1610"/>
      <c r="DBT1036" s="1610"/>
      <c r="DBU1036" s="1610"/>
      <c r="DBV1036" s="1610"/>
      <c r="DBW1036" s="1610"/>
      <c r="DBX1036" s="1610"/>
      <c r="DBY1036" s="1610"/>
      <c r="DBZ1036" s="1610"/>
      <c r="DCA1036" s="1610"/>
      <c r="DCB1036" s="1610"/>
      <c r="DCC1036" s="1610"/>
      <c r="DCD1036" s="1610"/>
      <c r="DCE1036" s="1610"/>
      <c r="DCF1036" s="1610"/>
      <c r="DCG1036" s="1610"/>
      <c r="DCH1036" s="1610"/>
      <c r="DCI1036" s="1610"/>
      <c r="DCJ1036" s="1610"/>
      <c r="DCK1036" s="1610"/>
      <c r="DCL1036" s="1610"/>
      <c r="DCM1036" s="1610"/>
      <c r="DCN1036" s="1610"/>
      <c r="DCO1036" s="1610"/>
      <c r="DCP1036" s="1610"/>
      <c r="DCQ1036" s="1610"/>
      <c r="DCR1036" s="1610"/>
      <c r="DCS1036" s="1610"/>
      <c r="DCT1036" s="1610"/>
      <c r="DCU1036" s="1610"/>
      <c r="DCV1036" s="1610"/>
      <c r="DCW1036" s="1610"/>
      <c r="DCX1036" s="1610"/>
      <c r="DCY1036" s="1610"/>
      <c r="DCZ1036" s="1610"/>
      <c r="DDA1036" s="1610"/>
      <c r="DDB1036" s="1610"/>
      <c r="DDC1036" s="1610"/>
      <c r="DDD1036" s="1610"/>
      <c r="DDE1036" s="1610"/>
      <c r="DDF1036" s="1610"/>
      <c r="DDG1036" s="1610"/>
      <c r="DDH1036" s="1610"/>
      <c r="DDI1036" s="1610"/>
      <c r="DDJ1036" s="1610"/>
      <c r="DDK1036" s="1610"/>
      <c r="DDL1036" s="1610"/>
      <c r="DDM1036" s="1610"/>
      <c r="DDN1036" s="1610"/>
      <c r="DDO1036" s="1610"/>
      <c r="DDP1036" s="1610"/>
      <c r="DDQ1036" s="1610"/>
      <c r="DDR1036" s="1610"/>
      <c r="DDS1036" s="1610"/>
      <c r="DDT1036" s="1610"/>
      <c r="DDU1036" s="1610"/>
      <c r="DDV1036" s="1610"/>
      <c r="DDW1036" s="1610"/>
      <c r="DDX1036" s="1610"/>
      <c r="DDY1036" s="1610"/>
      <c r="DDZ1036" s="1610"/>
      <c r="DEA1036" s="1610"/>
      <c r="DEB1036" s="1610"/>
      <c r="DEC1036" s="1610"/>
      <c r="DED1036" s="1610"/>
      <c r="DEE1036" s="1610"/>
      <c r="DEF1036" s="1610"/>
      <c r="DEG1036" s="1610"/>
      <c r="DEH1036" s="1610"/>
      <c r="DEI1036" s="1610"/>
      <c r="DEJ1036" s="1610"/>
      <c r="DEK1036" s="1610"/>
      <c r="DEL1036" s="1610"/>
      <c r="DEM1036" s="1610"/>
      <c r="DEN1036" s="1610"/>
      <c r="DEO1036" s="1610"/>
      <c r="DEP1036" s="1610"/>
      <c r="DEQ1036" s="1610"/>
      <c r="DER1036" s="1610"/>
      <c r="DES1036" s="1610"/>
      <c r="DET1036" s="1610"/>
      <c r="DEU1036" s="1610"/>
      <c r="DEV1036" s="1610"/>
      <c r="DEW1036" s="1610"/>
      <c r="DEX1036" s="1610"/>
      <c r="DEY1036" s="1610"/>
      <c r="DEZ1036" s="1610"/>
      <c r="DFA1036" s="1610"/>
      <c r="DFB1036" s="1610"/>
      <c r="DFC1036" s="1610"/>
      <c r="DFD1036" s="1610"/>
      <c r="DFE1036" s="1610"/>
      <c r="DFF1036" s="1610"/>
      <c r="DFG1036" s="1610"/>
      <c r="DFH1036" s="1610"/>
      <c r="DFI1036" s="1610"/>
      <c r="DFJ1036" s="1610"/>
      <c r="DFK1036" s="1610"/>
      <c r="DFL1036" s="1610"/>
      <c r="DFM1036" s="1610"/>
      <c r="DFN1036" s="1610"/>
      <c r="DFO1036" s="1610"/>
      <c r="DFP1036" s="1610"/>
      <c r="DFQ1036" s="1610"/>
      <c r="DFR1036" s="1610"/>
      <c r="DFS1036" s="1610"/>
      <c r="DFT1036" s="1610"/>
      <c r="DFU1036" s="1610"/>
      <c r="DFV1036" s="1610"/>
      <c r="DFW1036" s="1610"/>
      <c r="DFX1036" s="1610"/>
      <c r="DFY1036" s="1610"/>
      <c r="DFZ1036" s="1610"/>
      <c r="DGA1036" s="1610"/>
      <c r="DGB1036" s="1610"/>
      <c r="DGC1036" s="1610"/>
      <c r="DGD1036" s="1610"/>
      <c r="DGE1036" s="1610"/>
      <c r="DGF1036" s="1610"/>
      <c r="DGG1036" s="1610"/>
      <c r="DGH1036" s="1610"/>
      <c r="DGI1036" s="1610"/>
      <c r="DGJ1036" s="1610"/>
      <c r="DGK1036" s="1610"/>
      <c r="DGL1036" s="1610"/>
      <c r="DGM1036" s="1610"/>
      <c r="DGN1036" s="1610"/>
      <c r="DGO1036" s="1610"/>
      <c r="DGP1036" s="1610"/>
      <c r="DGQ1036" s="1610"/>
      <c r="DGR1036" s="1610"/>
      <c r="DGS1036" s="1610"/>
      <c r="DGT1036" s="1610"/>
      <c r="DGU1036" s="1610"/>
      <c r="DGV1036" s="1610"/>
      <c r="DGW1036" s="1610"/>
      <c r="DGX1036" s="1610"/>
      <c r="DGY1036" s="1610"/>
      <c r="DGZ1036" s="1610"/>
      <c r="DHA1036" s="1610"/>
      <c r="DHB1036" s="1610"/>
      <c r="DHC1036" s="1610"/>
      <c r="DHD1036" s="1610"/>
      <c r="DHE1036" s="1610"/>
      <c r="DHF1036" s="1610"/>
      <c r="DHG1036" s="1610"/>
      <c r="DHH1036" s="1610"/>
      <c r="DHI1036" s="1610"/>
      <c r="DHJ1036" s="1610"/>
      <c r="DHK1036" s="1610"/>
      <c r="DHL1036" s="1610"/>
      <c r="DHM1036" s="1610"/>
      <c r="DHN1036" s="1610"/>
      <c r="DHO1036" s="1610"/>
      <c r="DHP1036" s="1610"/>
      <c r="DHQ1036" s="1610"/>
      <c r="DHR1036" s="1610"/>
      <c r="DHS1036" s="1610"/>
      <c r="DHT1036" s="1610"/>
      <c r="DHU1036" s="1610"/>
      <c r="DHV1036" s="1610"/>
      <c r="DHW1036" s="1610"/>
      <c r="DHX1036" s="1610"/>
      <c r="DHY1036" s="1610"/>
      <c r="DHZ1036" s="1610"/>
      <c r="DIA1036" s="1610"/>
      <c r="DIB1036" s="1610"/>
      <c r="DIC1036" s="1610"/>
      <c r="DID1036" s="1610"/>
      <c r="DIE1036" s="1610"/>
      <c r="DIF1036" s="1610"/>
      <c r="DIG1036" s="1610"/>
      <c r="DIH1036" s="1610"/>
      <c r="DII1036" s="1610"/>
      <c r="DIJ1036" s="1610"/>
      <c r="DIK1036" s="1610"/>
      <c r="DIL1036" s="1610"/>
      <c r="DIM1036" s="1610"/>
      <c r="DIN1036" s="1610"/>
      <c r="DIO1036" s="1610"/>
      <c r="DIP1036" s="1610"/>
      <c r="DIQ1036" s="1610"/>
      <c r="DIR1036" s="1610"/>
      <c r="DIS1036" s="1610"/>
      <c r="DIT1036" s="1610"/>
      <c r="DIU1036" s="1610"/>
      <c r="DIV1036" s="1610"/>
      <c r="DIW1036" s="1610"/>
      <c r="DIX1036" s="1610"/>
      <c r="DIY1036" s="1610"/>
      <c r="DIZ1036" s="1610"/>
      <c r="DJA1036" s="1610"/>
      <c r="DJB1036" s="1610"/>
      <c r="DJC1036" s="1610"/>
      <c r="DJD1036" s="1610"/>
      <c r="DJE1036" s="1610"/>
      <c r="DJF1036" s="1610"/>
      <c r="DJG1036" s="1610"/>
      <c r="DJH1036" s="1610"/>
      <c r="DJI1036" s="1610"/>
      <c r="DJJ1036" s="1610"/>
      <c r="DJK1036" s="1610"/>
      <c r="DJL1036" s="1610"/>
      <c r="DJM1036" s="1610"/>
      <c r="DJN1036" s="1610"/>
      <c r="DJO1036" s="1610"/>
      <c r="DJP1036" s="1610"/>
      <c r="DJQ1036" s="1610"/>
      <c r="DJR1036" s="1610"/>
      <c r="DJS1036" s="1610"/>
      <c r="DJT1036" s="1610"/>
      <c r="DJU1036" s="1610"/>
      <c r="DJV1036" s="1610"/>
      <c r="DJW1036" s="1610"/>
      <c r="DJX1036" s="1610"/>
      <c r="DJY1036" s="1610"/>
      <c r="DJZ1036" s="1610"/>
      <c r="DKA1036" s="1610"/>
      <c r="DKB1036" s="1610"/>
      <c r="DKC1036" s="1610"/>
      <c r="DKD1036" s="1610"/>
      <c r="DKE1036" s="1610"/>
      <c r="DKF1036" s="1610"/>
      <c r="DKG1036" s="1610"/>
      <c r="DKH1036" s="1610"/>
      <c r="DKI1036" s="1610"/>
      <c r="DKJ1036" s="1610"/>
      <c r="DKK1036" s="1610"/>
      <c r="DKL1036" s="1610"/>
      <c r="DKM1036" s="1610"/>
      <c r="DKN1036" s="1610"/>
      <c r="DKO1036" s="1610"/>
      <c r="DKP1036" s="1610"/>
      <c r="DKQ1036" s="1610"/>
      <c r="DKR1036" s="1610"/>
      <c r="DKS1036" s="1610"/>
      <c r="DKT1036" s="1610"/>
      <c r="DKU1036" s="1610"/>
      <c r="DKV1036" s="1610"/>
      <c r="DKW1036" s="1610"/>
      <c r="DKX1036" s="1610"/>
      <c r="DKY1036" s="1610"/>
      <c r="DKZ1036" s="1610"/>
      <c r="DLA1036" s="1610"/>
      <c r="DLB1036" s="1610"/>
      <c r="DLC1036" s="1610"/>
      <c r="DLD1036" s="1610"/>
      <c r="DLE1036" s="1610"/>
      <c r="DLF1036" s="1610"/>
      <c r="DLG1036" s="1610"/>
      <c r="DLH1036" s="1610"/>
      <c r="DLI1036" s="1610"/>
      <c r="DLJ1036" s="1610"/>
      <c r="DLK1036" s="1610"/>
      <c r="DLL1036" s="1610"/>
      <c r="DLM1036" s="1610"/>
      <c r="DLN1036" s="1610"/>
      <c r="DLO1036" s="1610"/>
      <c r="DLP1036" s="1610"/>
      <c r="DLQ1036" s="1610"/>
      <c r="DLR1036" s="1610"/>
      <c r="DLS1036" s="1610"/>
      <c r="DLT1036" s="1610"/>
      <c r="DLU1036" s="1610"/>
      <c r="DLV1036" s="1610"/>
      <c r="DLW1036" s="1610"/>
      <c r="DLX1036" s="1610"/>
      <c r="DLY1036" s="1610"/>
      <c r="DLZ1036" s="1610"/>
      <c r="DMA1036" s="1610"/>
      <c r="DMB1036" s="1610"/>
      <c r="DMC1036" s="1610"/>
      <c r="DMD1036" s="1610"/>
      <c r="DME1036" s="1610"/>
      <c r="DMF1036" s="1610"/>
      <c r="DMG1036" s="1610"/>
      <c r="DMH1036" s="1610"/>
      <c r="DMI1036" s="1610"/>
      <c r="DMJ1036" s="1610"/>
      <c r="DMK1036" s="1610"/>
      <c r="DML1036" s="1610"/>
      <c r="DMM1036" s="1610"/>
      <c r="DMN1036" s="1610"/>
      <c r="DMO1036" s="1610"/>
      <c r="DMP1036" s="1610"/>
      <c r="DMQ1036" s="1610"/>
      <c r="DMR1036" s="1610"/>
      <c r="DMS1036" s="1610"/>
      <c r="DMT1036" s="1610"/>
      <c r="DMU1036" s="1610"/>
      <c r="DMV1036" s="1610"/>
      <c r="DMW1036" s="1610"/>
      <c r="DMX1036" s="1610"/>
      <c r="DMY1036" s="1610"/>
      <c r="DMZ1036" s="1610"/>
      <c r="DNA1036" s="1610"/>
      <c r="DNB1036" s="1610"/>
      <c r="DNC1036" s="1610"/>
      <c r="DND1036" s="1610"/>
      <c r="DNE1036" s="1610"/>
      <c r="DNF1036" s="1610"/>
      <c r="DNG1036" s="1610"/>
      <c r="DNH1036" s="1610"/>
      <c r="DNI1036" s="1610"/>
      <c r="DNJ1036" s="1610"/>
      <c r="DNK1036" s="1610"/>
      <c r="DNL1036" s="1610"/>
      <c r="DNM1036" s="1610"/>
      <c r="DNN1036" s="1610"/>
      <c r="DNO1036" s="1610"/>
      <c r="DNP1036" s="1610"/>
      <c r="DNQ1036" s="1610"/>
      <c r="DNR1036" s="1610"/>
      <c r="DNS1036" s="1610"/>
      <c r="DNT1036" s="1610"/>
      <c r="DNU1036" s="1610"/>
      <c r="DNV1036" s="1610"/>
      <c r="DNW1036" s="1610"/>
      <c r="DNX1036" s="1610"/>
      <c r="DNY1036" s="1610"/>
      <c r="DNZ1036" s="1610"/>
      <c r="DOA1036" s="1610"/>
      <c r="DOB1036" s="1610"/>
      <c r="DOC1036" s="1610"/>
      <c r="DOD1036" s="1610"/>
      <c r="DOE1036" s="1610"/>
      <c r="DOF1036" s="1610"/>
      <c r="DOG1036" s="1610"/>
      <c r="DOH1036" s="1610"/>
      <c r="DOI1036" s="1610"/>
      <c r="DOJ1036" s="1610"/>
      <c r="DOK1036" s="1610"/>
      <c r="DOL1036" s="1610"/>
      <c r="DOM1036" s="1610"/>
      <c r="DON1036" s="1610"/>
      <c r="DOO1036" s="1610"/>
      <c r="DOP1036" s="1610"/>
      <c r="DOQ1036" s="1610"/>
      <c r="DOR1036" s="1610"/>
      <c r="DOS1036" s="1610"/>
      <c r="DOT1036" s="1610"/>
      <c r="DOU1036" s="1610"/>
      <c r="DOV1036" s="1610"/>
      <c r="DOW1036" s="1610"/>
      <c r="DOX1036" s="1610"/>
      <c r="DOY1036" s="1610"/>
      <c r="DOZ1036" s="1610"/>
      <c r="DPA1036" s="1610"/>
      <c r="DPB1036" s="1610"/>
      <c r="DPC1036" s="1610"/>
      <c r="DPD1036" s="1610"/>
      <c r="DPE1036" s="1610"/>
      <c r="DPF1036" s="1610"/>
      <c r="DPG1036" s="1610"/>
      <c r="DPH1036" s="1610"/>
      <c r="DPI1036" s="1610"/>
      <c r="DPJ1036" s="1610"/>
      <c r="DPK1036" s="1610"/>
      <c r="DPL1036" s="1610"/>
      <c r="DPM1036" s="1610"/>
      <c r="DPN1036" s="1610"/>
      <c r="DPO1036" s="1610"/>
      <c r="DPP1036" s="1610"/>
      <c r="DPQ1036" s="1610"/>
      <c r="DPR1036" s="1610"/>
      <c r="DPS1036" s="1610"/>
      <c r="DPT1036" s="1610"/>
      <c r="DPU1036" s="1610"/>
      <c r="DPV1036" s="1610"/>
      <c r="DPW1036" s="1610"/>
      <c r="DPX1036" s="1610"/>
      <c r="DPY1036" s="1610"/>
      <c r="DPZ1036" s="1610"/>
      <c r="DQA1036" s="1610"/>
      <c r="DQB1036" s="1610"/>
      <c r="DQC1036" s="1610"/>
      <c r="DQD1036" s="1610"/>
      <c r="DQE1036" s="1610"/>
      <c r="DQF1036" s="1610"/>
      <c r="DQG1036" s="1610"/>
      <c r="DQH1036" s="1610"/>
      <c r="DQI1036" s="1610"/>
      <c r="DQJ1036" s="1610"/>
      <c r="DQK1036" s="1610"/>
      <c r="DQL1036" s="1610"/>
      <c r="DQM1036" s="1610"/>
      <c r="DQN1036" s="1610"/>
      <c r="DQO1036" s="1610"/>
      <c r="DQP1036" s="1610"/>
      <c r="DQQ1036" s="1610"/>
      <c r="DQR1036" s="1610"/>
      <c r="DQS1036" s="1610"/>
      <c r="DQT1036" s="1610"/>
      <c r="DQU1036" s="1610"/>
      <c r="DQV1036" s="1610"/>
      <c r="DQW1036" s="1610"/>
      <c r="DQX1036" s="1610"/>
      <c r="DQY1036" s="1610"/>
      <c r="DQZ1036" s="1610"/>
      <c r="DRA1036" s="1610"/>
      <c r="DRB1036" s="1610"/>
      <c r="DRC1036" s="1610"/>
      <c r="DRD1036" s="1610"/>
      <c r="DRE1036" s="1610"/>
      <c r="DRF1036" s="1610"/>
      <c r="DRG1036" s="1610"/>
      <c r="DRH1036" s="1610"/>
      <c r="DRI1036" s="1610"/>
      <c r="DRJ1036" s="1610"/>
      <c r="DRK1036" s="1610"/>
      <c r="DRL1036" s="1610"/>
      <c r="DRM1036" s="1610"/>
      <c r="DRN1036" s="1610"/>
      <c r="DRO1036" s="1610"/>
      <c r="DRP1036" s="1610"/>
      <c r="DRQ1036" s="1610"/>
      <c r="DRR1036" s="1610"/>
      <c r="DRS1036" s="1610"/>
      <c r="DRT1036" s="1610"/>
      <c r="DRU1036" s="1610"/>
      <c r="DRV1036" s="1610"/>
      <c r="DRW1036" s="1610"/>
      <c r="DRX1036" s="1610"/>
      <c r="DRY1036" s="1610"/>
      <c r="DRZ1036" s="1610"/>
      <c r="DSA1036" s="1610"/>
      <c r="DSB1036" s="1610"/>
      <c r="DSC1036" s="1610"/>
      <c r="DSD1036" s="1610"/>
      <c r="DSE1036" s="1610"/>
      <c r="DSF1036" s="1610"/>
      <c r="DSG1036" s="1610"/>
      <c r="DSH1036" s="1610"/>
      <c r="DSI1036" s="1610"/>
      <c r="DSJ1036" s="1610"/>
      <c r="DSK1036" s="1610"/>
      <c r="DSL1036" s="1610"/>
      <c r="DSM1036" s="1610"/>
      <c r="DSN1036" s="1610"/>
      <c r="DSO1036" s="1610"/>
      <c r="DSP1036" s="1610"/>
      <c r="DSQ1036" s="1610"/>
      <c r="DSR1036" s="1610"/>
      <c r="DSS1036" s="1610"/>
      <c r="DST1036" s="1610"/>
      <c r="DSU1036" s="1610"/>
      <c r="DSV1036" s="1610"/>
      <c r="DSW1036" s="1610"/>
      <c r="DSX1036" s="1610"/>
      <c r="DSY1036" s="1610"/>
      <c r="DSZ1036" s="1610"/>
      <c r="DTA1036" s="1610"/>
      <c r="DTB1036" s="1610"/>
      <c r="DTC1036" s="1610"/>
      <c r="DTD1036" s="1610"/>
      <c r="DTE1036" s="1610"/>
      <c r="DTF1036" s="1610"/>
      <c r="DTG1036" s="1610"/>
      <c r="DTH1036" s="1610"/>
      <c r="DTI1036" s="1610"/>
      <c r="DTJ1036" s="1610"/>
      <c r="DTK1036" s="1610"/>
      <c r="DTL1036" s="1610"/>
      <c r="DTM1036" s="1610"/>
      <c r="DTN1036" s="1610"/>
      <c r="DTO1036" s="1610"/>
      <c r="DTP1036" s="1610"/>
      <c r="DTQ1036" s="1610"/>
      <c r="DTR1036" s="1610"/>
      <c r="DTS1036" s="1610"/>
      <c r="DTT1036" s="1610"/>
      <c r="DTU1036" s="1610"/>
      <c r="DTV1036" s="1610"/>
      <c r="DTW1036" s="1610"/>
      <c r="DTX1036" s="1610"/>
      <c r="DTY1036" s="1610"/>
      <c r="DTZ1036" s="1610"/>
      <c r="DUA1036" s="1610"/>
      <c r="DUB1036" s="1610"/>
      <c r="DUC1036" s="1610"/>
      <c r="DUD1036" s="1610"/>
      <c r="DUE1036" s="1610"/>
      <c r="DUF1036" s="1610"/>
      <c r="DUG1036" s="1610"/>
      <c r="DUH1036" s="1610"/>
      <c r="DUI1036" s="1610"/>
      <c r="DUJ1036" s="1610"/>
      <c r="DUK1036" s="1610"/>
      <c r="DUL1036" s="1610"/>
      <c r="DUM1036" s="1610"/>
      <c r="DUN1036" s="1610"/>
      <c r="DUO1036" s="1610"/>
      <c r="DUP1036" s="1610"/>
      <c r="DUQ1036" s="1610"/>
      <c r="DUR1036" s="1610"/>
      <c r="DUS1036" s="1610"/>
      <c r="DUT1036" s="1610"/>
      <c r="DUU1036" s="1610"/>
      <c r="DUV1036" s="1610"/>
      <c r="DUW1036" s="1610"/>
      <c r="DUX1036" s="1610"/>
      <c r="DUY1036" s="1610"/>
      <c r="DUZ1036" s="1610"/>
      <c r="DVA1036" s="1610"/>
      <c r="DVB1036" s="1610"/>
      <c r="DVC1036" s="1610"/>
      <c r="DVD1036" s="1610"/>
      <c r="DVE1036" s="1610"/>
      <c r="DVF1036" s="1610"/>
      <c r="DVG1036" s="1610"/>
      <c r="DVH1036" s="1610"/>
      <c r="DVI1036" s="1610"/>
      <c r="DVJ1036" s="1610"/>
      <c r="DVK1036" s="1610"/>
      <c r="DVL1036" s="1610"/>
      <c r="DVM1036" s="1610"/>
      <c r="DVN1036" s="1610"/>
      <c r="DVO1036" s="1610"/>
      <c r="DVP1036" s="1610"/>
      <c r="DVQ1036" s="1610"/>
      <c r="DVR1036" s="1610"/>
      <c r="DVS1036" s="1610"/>
      <c r="DVT1036" s="1610"/>
      <c r="DVU1036" s="1610"/>
      <c r="DVV1036" s="1610"/>
      <c r="DVW1036" s="1610"/>
      <c r="DVX1036" s="1610"/>
      <c r="DVY1036" s="1610"/>
      <c r="DVZ1036" s="1610"/>
      <c r="DWA1036" s="1610"/>
      <c r="DWB1036" s="1610"/>
      <c r="DWC1036" s="1610"/>
      <c r="DWD1036" s="1610"/>
      <c r="DWE1036" s="1610"/>
      <c r="DWF1036" s="1610"/>
      <c r="DWG1036" s="1610"/>
      <c r="DWH1036" s="1610"/>
      <c r="DWI1036" s="1610"/>
      <c r="DWJ1036" s="1610"/>
      <c r="DWK1036" s="1610"/>
      <c r="DWL1036" s="1610"/>
      <c r="DWM1036" s="1610"/>
      <c r="DWN1036" s="1610"/>
      <c r="DWO1036" s="1610"/>
      <c r="DWP1036" s="1610"/>
      <c r="DWQ1036" s="1610"/>
      <c r="DWR1036" s="1610"/>
      <c r="DWS1036" s="1610"/>
      <c r="DWT1036" s="1610"/>
      <c r="DWU1036" s="1610"/>
      <c r="DWV1036" s="1610"/>
      <c r="DWW1036" s="1610"/>
      <c r="DWX1036" s="1610"/>
      <c r="DWY1036" s="1610"/>
      <c r="DWZ1036" s="1610"/>
      <c r="DXA1036" s="1610"/>
      <c r="DXB1036" s="1610"/>
      <c r="DXC1036" s="1610"/>
      <c r="DXD1036" s="1610"/>
      <c r="DXE1036" s="1610"/>
      <c r="DXF1036" s="1610"/>
      <c r="DXG1036" s="1610"/>
      <c r="DXH1036" s="1610"/>
      <c r="DXI1036" s="1610"/>
      <c r="DXJ1036" s="1610"/>
      <c r="DXK1036" s="1610"/>
      <c r="DXL1036" s="1610"/>
      <c r="DXM1036" s="1610"/>
      <c r="DXN1036" s="1610"/>
      <c r="DXO1036" s="1610"/>
      <c r="DXP1036" s="1610"/>
      <c r="DXQ1036" s="1610"/>
      <c r="DXR1036" s="1610"/>
      <c r="DXS1036" s="1610"/>
      <c r="DXT1036" s="1610"/>
      <c r="DXU1036" s="1610"/>
      <c r="DXV1036" s="1610"/>
      <c r="DXW1036" s="1610"/>
      <c r="DXX1036" s="1610"/>
      <c r="DXY1036" s="1610"/>
      <c r="DXZ1036" s="1610"/>
      <c r="DYA1036" s="1610"/>
      <c r="DYB1036" s="1610"/>
      <c r="DYC1036" s="1610"/>
      <c r="DYD1036" s="1610"/>
      <c r="DYE1036" s="1610"/>
      <c r="DYF1036" s="1610"/>
      <c r="DYG1036" s="1610"/>
      <c r="DYH1036" s="1610"/>
      <c r="DYI1036" s="1610"/>
      <c r="DYJ1036" s="1610"/>
      <c r="DYK1036" s="1610"/>
      <c r="DYL1036" s="1610"/>
      <c r="DYM1036" s="1610"/>
      <c r="DYN1036" s="1610"/>
      <c r="DYO1036" s="1610"/>
      <c r="DYP1036" s="1610"/>
      <c r="DYQ1036" s="1610"/>
      <c r="DYR1036" s="1610"/>
      <c r="DYS1036" s="1610"/>
      <c r="DYT1036" s="1610"/>
      <c r="DYU1036" s="1610"/>
      <c r="DYV1036" s="1610"/>
      <c r="DYW1036" s="1610"/>
      <c r="DYX1036" s="1610"/>
      <c r="DYY1036" s="1610"/>
      <c r="DYZ1036" s="1610"/>
      <c r="DZA1036" s="1610"/>
      <c r="DZB1036" s="1610"/>
      <c r="DZC1036" s="1610"/>
      <c r="DZD1036" s="1610"/>
      <c r="DZE1036" s="1610"/>
      <c r="DZF1036" s="1610"/>
      <c r="DZG1036" s="1610"/>
      <c r="DZH1036" s="1610"/>
      <c r="DZI1036" s="1610"/>
      <c r="DZJ1036" s="1610"/>
      <c r="DZK1036" s="1610"/>
      <c r="DZL1036" s="1610"/>
      <c r="DZM1036" s="1610"/>
      <c r="DZN1036" s="1610"/>
      <c r="DZO1036" s="1610"/>
      <c r="DZP1036" s="1610"/>
      <c r="DZQ1036" s="1610"/>
      <c r="DZR1036" s="1610"/>
      <c r="DZS1036" s="1610"/>
      <c r="DZT1036" s="1610"/>
      <c r="DZU1036" s="1610"/>
      <c r="DZV1036" s="1610"/>
      <c r="DZW1036" s="1610"/>
      <c r="DZX1036" s="1610"/>
      <c r="DZY1036" s="1610"/>
      <c r="DZZ1036" s="1610"/>
      <c r="EAA1036" s="1610"/>
      <c r="EAB1036" s="1610"/>
      <c r="EAC1036" s="1610"/>
      <c r="EAD1036" s="1610"/>
      <c r="EAE1036" s="1610"/>
      <c r="EAF1036" s="1610"/>
      <c r="EAG1036" s="1610"/>
      <c r="EAH1036" s="1610"/>
      <c r="EAI1036" s="1610"/>
      <c r="EAJ1036" s="1610"/>
      <c r="EAK1036" s="1610"/>
      <c r="EAL1036" s="1610"/>
      <c r="EAM1036" s="1610"/>
      <c r="EAN1036" s="1610"/>
      <c r="EAO1036" s="1610"/>
      <c r="EAP1036" s="1610"/>
      <c r="EAQ1036" s="1610"/>
      <c r="EAR1036" s="1610"/>
      <c r="EAS1036" s="1610"/>
      <c r="EAT1036" s="1610"/>
      <c r="EAU1036" s="1610"/>
      <c r="EAV1036" s="1610"/>
      <c r="EAW1036" s="1610"/>
      <c r="EAX1036" s="1610"/>
      <c r="EAY1036" s="1610"/>
      <c r="EAZ1036" s="1610"/>
      <c r="EBA1036" s="1610"/>
      <c r="EBB1036" s="1610"/>
      <c r="EBC1036" s="1610"/>
      <c r="EBD1036" s="1610"/>
      <c r="EBE1036" s="1610"/>
      <c r="EBF1036" s="1610"/>
      <c r="EBG1036" s="1610"/>
      <c r="EBH1036" s="1610"/>
      <c r="EBI1036" s="1610"/>
      <c r="EBJ1036" s="1610"/>
      <c r="EBK1036" s="1610"/>
      <c r="EBL1036" s="1610"/>
      <c r="EBM1036" s="1610"/>
      <c r="EBN1036" s="1610"/>
      <c r="EBO1036" s="1610"/>
      <c r="EBP1036" s="1610"/>
      <c r="EBQ1036" s="1610"/>
      <c r="EBR1036" s="1610"/>
      <c r="EBS1036" s="1610"/>
      <c r="EBT1036" s="1610"/>
      <c r="EBU1036" s="1610"/>
      <c r="EBV1036" s="1610"/>
      <c r="EBW1036" s="1610"/>
      <c r="EBX1036" s="1610"/>
      <c r="EBY1036" s="1610"/>
      <c r="EBZ1036" s="1610"/>
      <c r="ECA1036" s="1610"/>
      <c r="ECB1036" s="1610"/>
      <c r="ECC1036" s="1610"/>
      <c r="ECD1036" s="1610"/>
      <c r="ECE1036" s="1610"/>
      <c r="ECF1036" s="1610"/>
      <c r="ECG1036" s="1610"/>
      <c r="ECH1036" s="1610"/>
      <c r="ECI1036" s="1610"/>
      <c r="ECJ1036" s="1610"/>
      <c r="ECK1036" s="1610"/>
      <c r="ECL1036" s="1610"/>
      <c r="ECM1036" s="1610"/>
      <c r="ECN1036" s="1610"/>
      <c r="ECO1036" s="1610"/>
      <c r="ECP1036" s="1610"/>
      <c r="ECQ1036" s="1610"/>
      <c r="ECR1036" s="1610"/>
      <c r="ECS1036" s="1610"/>
      <c r="ECT1036" s="1610"/>
      <c r="ECU1036" s="1610"/>
      <c r="ECV1036" s="1610"/>
      <c r="ECW1036" s="1610"/>
      <c r="ECX1036" s="1610"/>
      <c r="ECY1036" s="1610"/>
      <c r="ECZ1036" s="1610"/>
      <c r="EDA1036" s="1610"/>
      <c r="EDB1036" s="1610"/>
      <c r="EDC1036" s="1610"/>
      <c r="EDD1036" s="1610"/>
      <c r="EDE1036" s="1610"/>
      <c r="EDF1036" s="1610"/>
      <c r="EDG1036" s="1610"/>
      <c r="EDH1036" s="1610"/>
      <c r="EDI1036" s="1610"/>
      <c r="EDJ1036" s="1610"/>
      <c r="EDK1036" s="1610"/>
      <c r="EDL1036" s="1610"/>
      <c r="EDM1036" s="1610"/>
      <c r="EDN1036" s="1610"/>
      <c r="EDO1036" s="1610"/>
      <c r="EDP1036" s="1610"/>
      <c r="EDQ1036" s="1610"/>
      <c r="EDR1036" s="1610"/>
      <c r="EDS1036" s="1610"/>
      <c r="EDT1036" s="1610"/>
      <c r="EDU1036" s="1610"/>
      <c r="EDV1036" s="1610"/>
      <c r="EDW1036" s="1610"/>
      <c r="EDX1036" s="1610"/>
      <c r="EDY1036" s="1610"/>
      <c r="EDZ1036" s="1610"/>
      <c r="EEA1036" s="1610"/>
      <c r="EEB1036" s="1610"/>
      <c r="EEC1036" s="1610"/>
      <c r="EED1036" s="1610"/>
      <c r="EEE1036" s="1610"/>
      <c r="EEF1036" s="1610"/>
      <c r="EEG1036" s="1610"/>
      <c r="EEH1036" s="1610"/>
      <c r="EEI1036" s="1610"/>
      <c r="EEJ1036" s="1610"/>
      <c r="EEK1036" s="1610"/>
      <c r="EEL1036" s="1610"/>
      <c r="EEM1036" s="1610"/>
      <c r="EEN1036" s="1610"/>
      <c r="EEO1036" s="1610"/>
      <c r="EEP1036" s="1610"/>
      <c r="EEQ1036" s="1610"/>
      <c r="EER1036" s="1610"/>
      <c r="EES1036" s="1610"/>
      <c r="EET1036" s="1610"/>
      <c r="EEU1036" s="1610"/>
      <c r="EEV1036" s="1610"/>
      <c r="EEW1036" s="1610"/>
      <c r="EEX1036" s="1610"/>
      <c r="EEY1036" s="1610"/>
      <c r="EEZ1036" s="1610"/>
      <c r="EFA1036" s="1610"/>
      <c r="EFB1036" s="1610"/>
      <c r="EFC1036" s="1610"/>
      <c r="EFD1036" s="1610"/>
      <c r="EFE1036" s="1610"/>
      <c r="EFF1036" s="1610"/>
      <c r="EFG1036" s="1610"/>
      <c r="EFH1036" s="1610"/>
      <c r="EFI1036" s="1610"/>
      <c r="EFJ1036" s="1610"/>
      <c r="EFK1036" s="1610"/>
      <c r="EFL1036" s="1610"/>
      <c r="EFM1036" s="1610"/>
      <c r="EFN1036" s="1610"/>
      <c r="EFO1036" s="1610"/>
      <c r="EFP1036" s="1610"/>
      <c r="EFQ1036" s="1610"/>
      <c r="EFR1036" s="1610"/>
      <c r="EFS1036" s="1610"/>
      <c r="EFT1036" s="1610"/>
      <c r="EFU1036" s="1610"/>
      <c r="EFV1036" s="1610"/>
      <c r="EFW1036" s="1610"/>
      <c r="EFX1036" s="1610"/>
      <c r="EFY1036" s="1610"/>
      <c r="EFZ1036" s="1610"/>
      <c r="EGA1036" s="1610"/>
      <c r="EGB1036" s="1610"/>
      <c r="EGC1036" s="1610"/>
      <c r="EGD1036" s="1610"/>
      <c r="EGE1036" s="1610"/>
      <c r="EGF1036" s="1610"/>
      <c r="EGG1036" s="1610"/>
      <c r="EGH1036" s="1610"/>
      <c r="EGI1036" s="1610"/>
      <c r="EGJ1036" s="1610"/>
      <c r="EGK1036" s="1610"/>
      <c r="EGL1036" s="1610"/>
      <c r="EGM1036" s="1610"/>
      <c r="EGN1036" s="1610"/>
      <c r="EGO1036" s="1610"/>
      <c r="EGP1036" s="1610"/>
      <c r="EGQ1036" s="1610"/>
      <c r="EGR1036" s="1610"/>
      <c r="EGS1036" s="1610"/>
      <c r="EGT1036" s="1610"/>
      <c r="EGU1036" s="1610"/>
      <c r="EGV1036" s="1610"/>
      <c r="EGW1036" s="1610"/>
      <c r="EGX1036" s="1610"/>
      <c r="EGY1036" s="1610"/>
      <c r="EGZ1036" s="1610"/>
      <c r="EHA1036" s="1610"/>
      <c r="EHB1036" s="1610"/>
      <c r="EHC1036" s="1610"/>
      <c r="EHD1036" s="1610"/>
      <c r="EHE1036" s="1610"/>
      <c r="EHF1036" s="1610"/>
      <c r="EHG1036" s="1610"/>
      <c r="EHH1036" s="1610"/>
      <c r="EHI1036" s="1610"/>
      <c r="EHJ1036" s="1610"/>
      <c r="EHK1036" s="1610"/>
      <c r="EHL1036" s="1610"/>
      <c r="EHM1036" s="1610"/>
      <c r="EHN1036" s="1610"/>
      <c r="EHO1036" s="1610"/>
      <c r="EHP1036" s="1610"/>
      <c r="EHQ1036" s="1610"/>
      <c r="EHR1036" s="1610"/>
      <c r="EHS1036" s="1610"/>
      <c r="EHT1036" s="1610"/>
      <c r="EHU1036" s="1610"/>
      <c r="EHV1036" s="1610"/>
      <c r="EHW1036" s="1610"/>
      <c r="EHX1036" s="1610"/>
      <c r="EHY1036" s="1610"/>
      <c r="EHZ1036" s="1610"/>
      <c r="EIA1036" s="1610"/>
      <c r="EIB1036" s="1610"/>
      <c r="EIC1036" s="1610"/>
      <c r="EID1036" s="1610"/>
      <c r="EIE1036" s="1610"/>
      <c r="EIF1036" s="1610"/>
      <c r="EIG1036" s="1610"/>
      <c r="EIH1036" s="1610"/>
      <c r="EII1036" s="1610"/>
      <c r="EIJ1036" s="1610"/>
      <c r="EIK1036" s="1610"/>
      <c r="EIL1036" s="1610"/>
      <c r="EIM1036" s="1610"/>
      <c r="EIN1036" s="1610"/>
      <c r="EIO1036" s="1610"/>
      <c r="EIP1036" s="1610"/>
      <c r="EIQ1036" s="1610"/>
      <c r="EIR1036" s="1610"/>
      <c r="EIS1036" s="1610"/>
      <c r="EIT1036" s="1610"/>
      <c r="EIU1036" s="1610"/>
      <c r="EIV1036" s="1610"/>
      <c r="EIW1036" s="1610"/>
      <c r="EIX1036" s="1610"/>
      <c r="EIY1036" s="1610"/>
      <c r="EIZ1036" s="1610"/>
      <c r="EJA1036" s="1610"/>
      <c r="EJB1036" s="1610"/>
      <c r="EJC1036" s="1610"/>
      <c r="EJD1036" s="1610"/>
      <c r="EJE1036" s="1610"/>
      <c r="EJF1036" s="1610"/>
      <c r="EJG1036" s="1610"/>
      <c r="EJH1036" s="1610"/>
      <c r="EJI1036" s="1610"/>
      <c r="EJJ1036" s="1610"/>
      <c r="EJK1036" s="1610"/>
      <c r="EJL1036" s="1610"/>
      <c r="EJM1036" s="1610"/>
      <c r="EJN1036" s="1610"/>
      <c r="EJO1036" s="1610"/>
      <c r="EJP1036" s="1610"/>
      <c r="EJQ1036" s="1610"/>
      <c r="EJR1036" s="1610"/>
      <c r="EJS1036" s="1610"/>
      <c r="EJT1036" s="1610"/>
      <c r="EJU1036" s="1610"/>
      <c r="EJV1036" s="1610"/>
      <c r="EJW1036" s="1610"/>
      <c r="EJX1036" s="1610"/>
      <c r="EJY1036" s="1610"/>
      <c r="EJZ1036" s="1610"/>
      <c r="EKA1036" s="1610"/>
      <c r="EKB1036" s="1610"/>
      <c r="EKC1036" s="1610"/>
      <c r="EKD1036" s="1610"/>
      <c r="EKE1036" s="1610"/>
      <c r="EKF1036" s="1610"/>
      <c r="EKG1036" s="1610"/>
      <c r="EKH1036" s="1610"/>
      <c r="EKI1036" s="1610"/>
      <c r="EKJ1036" s="1610"/>
      <c r="EKK1036" s="1610"/>
      <c r="EKL1036" s="1610"/>
      <c r="EKM1036" s="1610"/>
      <c r="EKN1036" s="1610"/>
      <c r="EKO1036" s="1610"/>
      <c r="EKP1036" s="1610"/>
      <c r="EKQ1036" s="1610"/>
      <c r="EKR1036" s="1610"/>
      <c r="EKS1036" s="1610"/>
      <c r="EKT1036" s="1610"/>
      <c r="EKU1036" s="1610"/>
      <c r="EKV1036" s="1610"/>
      <c r="EKW1036" s="1610"/>
      <c r="EKX1036" s="1610"/>
      <c r="EKY1036" s="1610"/>
      <c r="EKZ1036" s="1610"/>
      <c r="ELA1036" s="1610"/>
      <c r="ELB1036" s="1610"/>
      <c r="ELC1036" s="1610"/>
      <c r="ELD1036" s="1610"/>
      <c r="ELE1036" s="1610"/>
      <c r="ELF1036" s="1610"/>
      <c r="ELG1036" s="1610"/>
      <c r="ELH1036" s="1610"/>
      <c r="ELI1036" s="1610"/>
      <c r="ELJ1036" s="1610"/>
      <c r="ELK1036" s="1610"/>
      <c r="ELL1036" s="1610"/>
      <c r="ELM1036" s="1610"/>
      <c r="ELN1036" s="1610"/>
      <c r="ELO1036" s="1610"/>
      <c r="ELP1036" s="1610"/>
      <c r="ELQ1036" s="1610"/>
      <c r="ELR1036" s="1610"/>
      <c r="ELS1036" s="1610"/>
      <c r="ELT1036" s="1610"/>
      <c r="ELU1036" s="1610"/>
      <c r="ELV1036" s="1610"/>
      <c r="ELW1036" s="1610"/>
      <c r="ELX1036" s="1610"/>
      <c r="ELY1036" s="1610"/>
      <c r="ELZ1036" s="1610"/>
      <c r="EMA1036" s="1610"/>
      <c r="EMB1036" s="1610"/>
      <c r="EMC1036" s="1610"/>
      <c r="EMD1036" s="1610"/>
      <c r="EME1036" s="1610"/>
      <c r="EMF1036" s="1610"/>
      <c r="EMG1036" s="1610"/>
      <c r="EMH1036" s="1610"/>
      <c r="EMI1036" s="1610"/>
      <c r="EMJ1036" s="1610"/>
      <c r="EMK1036" s="1610"/>
      <c r="EML1036" s="1610"/>
      <c r="EMM1036" s="1610"/>
      <c r="EMN1036" s="1610"/>
      <c r="EMO1036" s="1610"/>
      <c r="EMP1036" s="1610"/>
      <c r="EMQ1036" s="1610"/>
      <c r="EMR1036" s="1610"/>
      <c r="EMS1036" s="1610"/>
      <c r="EMT1036" s="1610"/>
      <c r="EMU1036" s="1610"/>
      <c r="EMV1036" s="1610"/>
      <c r="EMW1036" s="1610"/>
      <c r="EMX1036" s="1610"/>
      <c r="EMY1036" s="1610"/>
      <c r="EMZ1036" s="1610"/>
      <c r="ENA1036" s="1610"/>
      <c r="ENB1036" s="1610"/>
      <c r="ENC1036" s="1610"/>
      <c r="END1036" s="1610"/>
      <c r="ENE1036" s="1610"/>
      <c r="ENF1036" s="1610"/>
      <c r="ENG1036" s="1610"/>
      <c r="ENH1036" s="1610"/>
      <c r="ENI1036" s="1610"/>
      <c r="ENJ1036" s="1610"/>
      <c r="ENK1036" s="1610"/>
      <c r="ENL1036" s="1610"/>
      <c r="ENM1036" s="1610"/>
      <c r="ENN1036" s="1610"/>
      <c r="ENO1036" s="1610"/>
      <c r="ENP1036" s="1610"/>
      <c r="ENQ1036" s="1610"/>
      <c r="ENR1036" s="1610"/>
      <c r="ENS1036" s="1610"/>
      <c r="ENT1036" s="1610"/>
      <c r="ENU1036" s="1610"/>
      <c r="ENV1036" s="1610"/>
      <c r="ENW1036" s="1610"/>
      <c r="ENX1036" s="1610"/>
      <c r="ENY1036" s="1610"/>
      <c r="ENZ1036" s="1610"/>
      <c r="EOA1036" s="1610"/>
      <c r="EOB1036" s="1610"/>
      <c r="EOC1036" s="1610"/>
      <c r="EOD1036" s="1610"/>
      <c r="EOE1036" s="1610"/>
      <c r="EOF1036" s="1610"/>
      <c r="EOG1036" s="1610"/>
      <c r="EOH1036" s="1610"/>
      <c r="EOI1036" s="1610"/>
      <c r="EOJ1036" s="1610"/>
      <c r="EOK1036" s="1610"/>
      <c r="EOL1036" s="1610"/>
      <c r="EOM1036" s="1610"/>
      <c r="EON1036" s="1610"/>
      <c r="EOO1036" s="1610"/>
      <c r="EOP1036" s="1610"/>
      <c r="EOQ1036" s="1610"/>
      <c r="EOR1036" s="1610"/>
      <c r="EOS1036" s="1610"/>
      <c r="EOT1036" s="1610"/>
      <c r="EOU1036" s="1610"/>
      <c r="EOV1036" s="1610"/>
      <c r="EOW1036" s="1610"/>
      <c r="EOX1036" s="1610"/>
      <c r="EOY1036" s="1610"/>
      <c r="EOZ1036" s="1610"/>
      <c r="EPA1036" s="1610"/>
      <c r="EPB1036" s="1610"/>
      <c r="EPC1036" s="1610"/>
      <c r="EPD1036" s="1610"/>
      <c r="EPE1036" s="1610"/>
      <c r="EPF1036" s="1610"/>
      <c r="EPG1036" s="1610"/>
      <c r="EPH1036" s="1610"/>
      <c r="EPI1036" s="1610"/>
      <c r="EPJ1036" s="1610"/>
      <c r="EPK1036" s="1610"/>
      <c r="EPL1036" s="1610"/>
      <c r="EPM1036" s="1610"/>
      <c r="EPN1036" s="1610"/>
      <c r="EPO1036" s="1610"/>
      <c r="EPP1036" s="1610"/>
      <c r="EPQ1036" s="1610"/>
      <c r="EPR1036" s="1610"/>
      <c r="EPS1036" s="1610"/>
      <c r="EPT1036" s="1610"/>
      <c r="EPU1036" s="1610"/>
      <c r="EPV1036" s="1610"/>
      <c r="EPW1036" s="1610"/>
      <c r="EPX1036" s="1610"/>
      <c r="EPY1036" s="1610"/>
      <c r="EPZ1036" s="1610"/>
      <c r="EQA1036" s="1610"/>
      <c r="EQB1036" s="1610"/>
      <c r="EQC1036" s="1610"/>
      <c r="EQD1036" s="1610"/>
      <c r="EQE1036" s="1610"/>
      <c r="EQF1036" s="1610"/>
      <c r="EQG1036" s="1610"/>
      <c r="EQH1036" s="1610"/>
      <c r="EQI1036" s="1610"/>
      <c r="EQJ1036" s="1610"/>
      <c r="EQK1036" s="1610"/>
      <c r="EQL1036" s="1610"/>
      <c r="EQM1036" s="1610"/>
      <c r="EQN1036" s="1610"/>
      <c r="EQO1036" s="1610"/>
      <c r="EQP1036" s="1610"/>
      <c r="EQQ1036" s="1610"/>
      <c r="EQR1036" s="1610"/>
      <c r="EQS1036" s="1610"/>
      <c r="EQT1036" s="1610"/>
      <c r="EQU1036" s="1610"/>
      <c r="EQV1036" s="1610"/>
      <c r="EQW1036" s="1610"/>
      <c r="EQX1036" s="1610"/>
      <c r="EQY1036" s="1610"/>
      <c r="EQZ1036" s="1610"/>
      <c r="ERA1036" s="1610"/>
      <c r="ERB1036" s="1610"/>
      <c r="ERC1036" s="1610"/>
      <c r="ERD1036" s="1610"/>
      <c r="ERE1036" s="1610"/>
      <c r="ERF1036" s="1610"/>
      <c r="ERG1036" s="1610"/>
      <c r="ERH1036" s="1610"/>
      <c r="ERI1036" s="1610"/>
      <c r="ERJ1036" s="1610"/>
      <c r="ERK1036" s="1610"/>
      <c r="ERL1036" s="1610"/>
      <c r="ERM1036" s="1610"/>
      <c r="ERN1036" s="1610"/>
      <c r="ERO1036" s="1610"/>
      <c r="ERP1036" s="1610"/>
      <c r="ERQ1036" s="1610"/>
      <c r="ERR1036" s="1610"/>
      <c r="ERS1036" s="1610"/>
      <c r="ERT1036" s="1610"/>
      <c r="ERU1036" s="1610"/>
      <c r="ERV1036" s="1610"/>
      <c r="ERW1036" s="1610"/>
      <c r="ERX1036" s="1610"/>
      <c r="ERY1036" s="1610"/>
      <c r="ERZ1036" s="1610"/>
      <c r="ESA1036" s="1610"/>
      <c r="ESB1036" s="1610"/>
      <c r="ESC1036" s="1610"/>
      <c r="ESD1036" s="1610"/>
      <c r="ESE1036" s="1610"/>
      <c r="ESF1036" s="1610"/>
      <c r="ESG1036" s="1610"/>
      <c r="ESH1036" s="1610"/>
      <c r="ESI1036" s="1610"/>
      <c r="ESJ1036" s="1610"/>
      <c r="ESK1036" s="1610"/>
      <c r="ESL1036" s="1610"/>
      <c r="ESM1036" s="1610"/>
      <c r="ESN1036" s="1610"/>
      <c r="ESO1036" s="1610"/>
      <c r="ESP1036" s="1610"/>
      <c r="ESQ1036" s="1610"/>
      <c r="ESR1036" s="1610"/>
      <c r="ESS1036" s="1610"/>
      <c r="EST1036" s="1610"/>
      <c r="ESU1036" s="1610"/>
      <c r="ESV1036" s="1610"/>
      <c r="ESW1036" s="1610"/>
      <c r="ESX1036" s="1610"/>
      <c r="ESY1036" s="1610"/>
      <c r="ESZ1036" s="1610"/>
      <c r="ETA1036" s="1610"/>
      <c r="ETB1036" s="1610"/>
      <c r="ETC1036" s="1610"/>
      <c r="ETD1036" s="1610"/>
      <c r="ETE1036" s="1610"/>
      <c r="ETF1036" s="1610"/>
      <c r="ETG1036" s="1610"/>
      <c r="ETH1036" s="1610"/>
      <c r="ETI1036" s="1610"/>
      <c r="ETJ1036" s="1610"/>
      <c r="ETK1036" s="1610"/>
      <c r="ETL1036" s="1610"/>
      <c r="ETM1036" s="1610"/>
      <c r="ETN1036" s="1610"/>
      <c r="ETO1036" s="1610"/>
      <c r="ETP1036" s="1610"/>
      <c r="ETQ1036" s="1610"/>
      <c r="ETR1036" s="1610"/>
      <c r="ETS1036" s="1610"/>
      <c r="ETT1036" s="1610"/>
      <c r="ETU1036" s="1610"/>
      <c r="ETV1036" s="1610"/>
      <c r="ETW1036" s="1610"/>
      <c r="ETX1036" s="1610"/>
      <c r="ETY1036" s="1610"/>
      <c r="ETZ1036" s="1610"/>
      <c r="EUA1036" s="1610"/>
      <c r="EUB1036" s="1610"/>
      <c r="EUC1036" s="1610"/>
      <c r="EUD1036" s="1610"/>
      <c r="EUE1036" s="1610"/>
      <c r="EUF1036" s="1610"/>
      <c r="EUG1036" s="1610"/>
      <c r="EUH1036" s="1610"/>
      <c r="EUI1036" s="1610"/>
      <c r="EUJ1036" s="1610"/>
      <c r="EUK1036" s="1610"/>
      <c r="EUL1036" s="1610"/>
      <c r="EUM1036" s="1610"/>
      <c r="EUN1036" s="1610"/>
      <c r="EUO1036" s="1610"/>
      <c r="EUP1036" s="1610"/>
      <c r="EUQ1036" s="1610"/>
      <c r="EUR1036" s="1610"/>
      <c r="EUS1036" s="1610"/>
      <c r="EUT1036" s="1610"/>
      <c r="EUU1036" s="1610"/>
      <c r="EUV1036" s="1610"/>
      <c r="EUW1036" s="1610"/>
      <c r="EUX1036" s="1610"/>
      <c r="EUY1036" s="1610"/>
      <c r="EUZ1036" s="1610"/>
      <c r="EVA1036" s="1610"/>
      <c r="EVB1036" s="1610"/>
      <c r="EVC1036" s="1610"/>
      <c r="EVD1036" s="1610"/>
      <c r="EVE1036" s="1610"/>
      <c r="EVF1036" s="1610"/>
      <c r="EVG1036" s="1610"/>
      <c r="EVH1036" s="1610"/>
      <c r="EVI1036" s="1610"/>
      <c r="EVJ1036" s="1610"/>
      <c r="EVK1036" s="1610"/>
      <c r="EVL1036" s="1610"/>
      <c r="EVM1036" s="1610"/>
      <c r="EVN1036" s="1610"/>
      <c r="EVO1036" s="1610"/>
      <c r="EVP1036" s="1610"/>
      <c r="EVQ1036" s="1610"/>
      <c r="EVR1036" s="1610"/>
      <c r="EVS1036" s="1610"/>
      <c r="EVT1036" s="1610"/>
      <c r="EVU1036" s="1610"/>
      <c r="EVV1036" s="1610"/>
      <c r="EVW1036" s="1610"/>
      <c r="EVX1036" s="1610"/>
      <c r="EVY1036" s="1610"/>
      <c r="EVZ1036" s="1610"/>
      <c r="EWA1036" s="1610"/>
      <c r="EWB1036" s="1610"/>
      <c r="EWC1036" s="1610"/>
      <c r="EWD1036" s="1610"/>
      <c r="EWE1036" s="1610"/>
      <c r="EWF1036" s="1610"/>
      <c r="EWG1036" s="1610"/>
      <c r="EWH1036" s="1610"/>
      <c r="EWI1036" s="1610"/>
      <c r="EWJ1036" s="1610"/>
      <c r="EWK1036" s="1610"/>
      <c r="EWL1036" s="1610"/>
      <c r="EWM1036" s="1610"/>
      <c r="EWN1036" s="1610"/>
      <c r="EWO1036" s="1610"/>
      <c r="EWP1036" s="1610"/>
      <c r="EWQ1036" s="1610"/>
      <c r="EWR1036" s="1610"/>
      <c r="EWS1036" s="1610"/>
      <c r="EWT1036" s="1610"/>
      <c r="EWU1036" s="1610"/>
      <c r="EWV1036" s="1610"/>
      <c r="EWW1036" s="1610"/>
      <c r="EWX1036" s="1610"/>
      <c r="EWY1036" s="1610"/>
      <c r="EWZ1036" s="1610"/>
      <c r="EXA1036" s="1610"/>
      <c r="EXB1036" s="1610"/>
      <c r="EXC1036" s="1610"/>
      <c r="EXD1036" s="1610"/>
      <c r="EXE1036" s="1610"/>
      <c r="EXF1036" s="1610"/>
      <c r="EXG1036" s="1610"/>
      <c r="EXH1036" s="1610"/>
      <c r="EXI1036" s="1610"/>
      <c r="EXJ1036" s="1610"/>
      <c r="EXK1036" s="1610"/>
      <c r="EXL1036" s="1610"/>
      <c r="EXM1036" s="1610"/>
      <c r="EXN1036" s="1610"/>
      <c r="EXO1036" s="1610"/>
      <c r="EXP1036" s="1610"/>
      <c r="EXQ1036" s="1610"/>
      <c r="EXR1036" s="1610"/>
      <c r="EXS1036" s="1610"/>
      <c r="EXT1036" s="1610"/>
      <c r="EXU1036" s="1610"/>
      <c r="EXV1036" s="1610"/>
      <c r="EXW1036" s="1610"/>
      <c r="EXX1036" s="1610"/>
      <c r="EXY1036" s="1610"/>
      <c r="EXZ1036" s="1610"/>
      <c r="EYA1036" s="1610"/>
      <c r="EYB1036" s="1610"/>
      <c r="EYC1036" s="1610"/>
      <c r="EYD1036" s="1610"/>
      <c r="EYE1036" s="1610"/>
      <c r="EYF1036" s="1610"/>
      <c r="EYG1036" s="1610"/>
      <c r="EYH1036" s="1610"/>
      <c r="EYI1036" s="1610"/>
      <c r="EYJ1036" s="1610"/>
      <c r="EYK1036" s="1610"/>
      <c r="EYL1036" s="1610"/>
      <c r="EYM1036" s="1610"/>
      <c r="EYN1036" s="1610"/>
      <c r="EYO1036" s="1610"/>
      <c r="EYP1036" s="1610"/>
      <c r="EYQ1036" s="1610"/>
      <c r="EYR1036" s="1610"/>
      <c r="EYS1036" s="1610"/>
      <c r="EYT1036" s="1610"/>
      <c r="EYU1036" s="1610"/>
      <c r="EYV1036" s="1610"/>
      <c r="EYW1036" s="1610"/>
      <c r="EYX1036" s="1610"/>
      <c r="EYY1036" s="1610"/>
      <c r="EYZ1036" s="1610"/>
      <c r="EZA1036" s="1610"/>
      <c r="EZB1036" s="1610"/>
      <c r="EZC1036" s="1610"/>
      <c r="EZD1036" s="1610"/>
      <c r="EZE1036" s="1610"/>
      <c r="EZF1036" s="1610"/>
      <c r="EZG1036" s="1610"/>
      <c r="EZH1036" s="1610"/>
      <c r="EZI1036" s="1610"/>
      <c r="EZJ1036" s="1610"/>
      <c r="EZK1036" s="1610"/>
      <c r="EZL1036" s="1610"/>
      <c r="EZM1036" s="1610"/>
      <c r="EZN1036" s="1610"/>
      <c r="EZO1036" s="1610"/>
      <c r="EZP1036" s="1610"/>
      <c r="EZQ1036" s="1610"/>
      <c r="EZR1036" s="1610"/>
      <c r="EZS1036" s="1610"/>
      <c r="EZT1036" s="1610"/>
      <c r="EZU1036" s="1610"/>
      <c r="EZV1036" s="1610"/>
      <c r="EZW1036" s="1610"/>
      <c r="EZX1036" s="1610"/>
      <c r="EZY1036" s="1610"/>
      <c r="EZZ1036" s="1610"/>
      <c r="FAA1036" s="1610"/>
      <c r="FAB1036" s="1610"/>
      <c r="FAC1036" s="1610"/>
      <c r="FAD1036" s="1610"/>
      <c r="FAE1036" s="1610"/>
      <c r="FAF1036" s="1610"/>
      <c r="FAG1036" s="1610"/>
      <c r="FAH1036" s="1610"/>
      <c r="FAI1036" s="1610"/>
      <c r="FAJ1036" s="1610"/>
      <c r="FAK1036" s="1610"/>
      <c r="FAL1036" s="1610"/>
      <c r="FAM1036" s="1610"/>
      <c r="FAN1036" s="1610"/>
      <c r="FAO1036" s="1610"/>
      <c r="FAP1036" s="1610"/>
      <c r="FAQ1036" s="1610"/>
      <c r="FAR1036" s="1610"/>
      <c r="FAS1036" s="1610"/>
      <c r="FAT1036" s="1610"/>
      <c r="FAU1036" s="1610"/>
      <c r="FAV1036" s="1610"/>
      <c r="FAW1036" s="1610"/>
      <c r="FAX1036" s="1610"/>
      <c r="FAY1036" s="1610"/>
      <c r="FAZ1036" s="1610"/>
      <c r="FBA1036" s="1610"/>
      <c r="FBB1036" s="1610"/>
      <c r="FBC1036" s="1610"/>
      <c r="FBD1036" s="1610"/>
      <c r="FBE1036" s="1610"/>
      <c r="FBF1036" s="1610"/>
      <c r="FBG1036" s="1610"/>
      <c r="FBH1036" s="1610"/>
      <c r="FBI1036" s="1610"/>
      <c r="FBJ1036" s="1610"/>
      <c r="FBK1036" s="1610"/>
      <c r="FBL1036" s="1610"/>
      <c r="FBM1036" s="1610"/>
      <c r="FBN1036" s="1610"/>
      <c r="FBO1036" s="1610"/>
      <c r="FBP1036" s="1610"/>
      <c r="FBQ1036" s="1610"/>
      <c r="FBR1036" s="1610"/>
      <c r="FBS1036" s="1610"/>
      <c r="FBT1036" s="1610"/>
      <c r="FBU1036" s="1610"/>
      <c r="FBV1036" s="1610"/>
      <c r="FBW1036" s="1610"/>
      <c r="FBX1036" s="1610"/>
      <c r="FBY1036" s="1610"/>
      <c r="FBZ1036" s="1610"/>
      <c r="FCA1036" s="1610"/>
      <c r="FCB1036" s="1610"/>
      <c r="FCC1036" s="1610"/>
      <c r="FCD1036" s="1610"/>
      <c r="FCE1036" s="1610"/>
      <c r="FCF1036" s="1610"/>
      <c r="FCG1036" s="1610"/>
      <c r="FCH1036" s="1610"/>
      <c r="FCI1036" s="1610"/>
      <c r="FCJ1036" s="1610"/>
      <c r="FCK1036" s="1610"/>
      <c r="FCL1036" s="1610"/>
      <c r="FCM1036" s="1610"/>
      <c r="FCN1036" s="1610"/>
      <c r="FCO1036" s="1610"/>
      <c r="FCP1036" s="1610"/>
      <c r="FCQ1036" s="1610"/>
      <c r="FCR1036" s="1610"/>
      <c r="FCS1036" s="1610"/>
      <c r="FCT1036" s="1610"/>
      <c r="FCU1036" s="1610"/>
      <c r="FCV1036" s="1610"/>
      <c r="FCW1036" s="1610"/>
      <c r="FCX1036" s="1610"/>
      <c r="FCY1036" s="1610"/>
      <c r="FCZ1036" s="1610"/>
      <c r="FDA1036" s="1610"/>
      <c r="FDB1036" s="1610"/>
      <c r="FDC1036" s="1610"/>
      <c r="FDD1036" s="1610"/>
      <c r="FDE1036" s="1610"/>
      <c r="FDF1036" s="1610"/>
      <c r="FDG1036" s="1610"/>
      <c r="FDH1036" s="1610"/>
      <c r="FDI1036" s="1610"/>
      <c r="FDJ1036" s="1610"/>
      <c r="FDK1036" s="1610"/>
      <c r="FDL1036" s="1610"/>
      <c r="FDM1036" s="1610"/>
      <c r="FDN1036" s="1610"/>
      <c r="FDO1036" s="1610"/>
      <c r="FDP1036" s="1610"/>
      <c r="FDQ1036" s="1610"/>
      <c r="FDR1036" s="1610"/>
      <c r="FDS1036" s="1610"/>
      <c r="FDT1036" s="1610"/>
      <c r="FDU1036" s="1610"/>
      <c r="FDV1036" s="1610"/>
      <c r="FDW1036" s="1610"/>
      <c r="FDX1036" s="1610"/>
      <c r="FDY1036" s="1610"/>
      <c r="FDZ1036" s="1610"/>
      <c r="FEA1036" s="1610"/>
      <c r="FEB1036" s="1610"/>
      <c r="FEC1036" s="1610"/>
      <c r="FED1036" s="1610"/>
      <c r="FEE1036" s="1610"/>
      <c r="FEF1036" s="1610"/>
      <c r="FEG1036" s="1610"/>
      <c r="FEH1036" s="1610"/>
      <c r="FEI1036" s="1610"/>
      <c r="FEJ1036" s="1610"/>
      <c r="FEK1036" s="1610"/>
      <c r="FEL1036" s="1610"/>
      <c r="FEM1036" s="1610"/>
      <c r="FEN1036" s="1610"/>
      <c r="FEO1036" s="1610"/>
      <c r="FEP1036" s="1610"/>
      <c r="FEQ1036" s="1610"/>
      <c r="FER1036" s="1610"/>
      <c r="FES1036" s="1610"/>
      <c r="FET1036" s="1610"/>
      <c r="FEU1036" s="1610"/>
      <c r="FEV1036" s="1610"/>
      <c r="FEW1036" s="1610"/>
      <c r="FEX1036" s="1610"/>
      <c r="FEY1036" s="1610"/>
      <c r="FEZ1036" s="1610"/>
      <c r="FFA1036" s="1610"/>
      <c r="FFB1036" s="1610"/>
      <c r="FFC1036" s="1610"/>
      <c r="FFD1036" s="1610"/>
      <c r="FFE1036" s="1610"/>
      <c r="FFF1036" s="1610"/>
      <c r="FFG1036" s="1610"/>
      <c r="FFH1036" s="1610"/>
      <c r="FFI1036" s="1610"/>
      <c r="FFJ1036" s="1610"/>
      <c r="FFK1036" s="1610"/>
      <c r="FFL1036" s="1610"/>
      <c r="FFM1036" s="1610"/>
      <c r="FFN1036" s="1610"/>
      <c r="FFO1036" s="1610"/>
      <c r="FFP1036" s="1610"/>
      <c r="FFQ1036" s="1610"/>
      <c r="FFR1036" s="1610"/>
      <c r="FFS1036" s="1610"/>
      <c r="FFT1036" s="1610"/>
      <c r="FFU1036" s="1610"/>
      <c r="FFV1036" s="1610"/>
      <c r="FFW1036" s="1610"/>
      <c r="FFX1036" s="1610"/>
      <c r="FFY1036" s="1610"/>
      <c r="FFZ1036" s="1610"/>
      <c r="FGA1036" s="1610"/>
      <c r="FGB1036" s="1610"/>
      <c r="FGC1036" s="1610"/>
      <c r="FGD1036" s="1610"/>
      <c r="FGE1036" s="1610"/>
      <c r="FGF1036" s="1610"/>
      <c r="FGG1036" s="1610"/>
      <c r="FGH1036" s="1610"/>
      <c r="FGI1036" s="1610"/>
      <c r="FGJ1036" s="1610"/>
      <c r="FGK1036" s="1610"/>
      <c r="FGL1036" s="1610"/>
      <c r="FGM1036" s="1610"/>
      <c r="FGN1036" s="1610"/>
      <c r="FGO1036" s="1610"/>
      <c r="FGP1036" s="1610"/>
      <c r="FGQ1036" s="1610"/>
      <c r="FGR1036" s="1610"/>
      <c r="FGS1036" s="1610"/>
      <c r="FGT1036" s="1610"/>
      <c r="FGU1036" s="1610"/>
      <c r="FGV1036" s="1610"/>
      <c r="FGW1036" s="1610"/>
      <c r="FGX1036" s="1610"/>
      <c r="FGY1036" s="1610"/>
      <c r="FGZ1036" s="1610"/>
      <c r="FHA1036" s="1610"/>
      <c r="FHB1036" s="1610"/>
      <c r="FHC1036" s="1610"/>
      <c r="FHD1036" s="1610"/>
      <c r="FHE1036" s="1610"/>
      <c r="FHF1036" s="1610"/>
      <c r="FHG1036" s="1610"/>
      <c r="FHH1036" s="1610"/>
      <c r="FHI1036" s="1610"/>
      <c r="FHJ1036" s="1610"/>
      <c r="FHK1036" s="1610"/>
      <c r="FHL1036" s="1610"/>
      <c r="FHM1036" s="1610"/>
      <c r="FHN1036" s="1610"/>
      <c r="FHO1036" s="1610"/>
      <c r="FHP1036" s="1610"/>
      <c r="FHQ1036" s="1610"/>
      <c r="FHR1036" s="1610"/>
      <c r="FHS1036" s="1610"/>
      <c r="FHT1036" s="1610"/>
      <c r="FHU1036" s="1610"/>
      <c r="FHV1036" s="1610"/>
      <c r="FHW1036" s="1610"/>
      <c r="FHX1036" s="1610"/>
      <c r="FHY1036" s="1610"/>
      <c r="FHZ1036" s="1610"/>
      <c r="FIA1036" s="1610"/>
      <c r="FIB1036" s="1610"/>
      <c r="FIC1036" s="1610"/>
      <c r="FID1036" s="1610"/>
      <c r="FIE1036" s="1610"/>
      <c r="FIF1036" s="1610"/>
      <c r="FIG1036" s="1610"/>
      <c r="FIH1036" s="1610"/>
      <c r="FII1036" s="1610"/>
      <c r="FIJ1036" s="1610"/>
      <c r="FIK1036" s="1610"/>
      <c r="FIL1036" s="1610"/>
      <c r="FIM1036" s="1610"/>
      <c r="FIN1036" s="1610"/>
      <c r="FIO1036" s="1610"/>
      <c r="FIP1036" s="1610"/>
      <c r="FIQ1036" s="1610"/>
      <c r="FIR1036" s="1610"/>
      <c r="FIS1036" s="1610"/>
      <c r="FIT1036" s="1610"/>
      <c r="FIU1036" s="1610"/>
      <c r="FIV1036" s="1610"/>
      <c r="FIW1036" s="1610"/>
      <c r="FIX1036" s="1610"/>
      <c r="FIY1036" s="1610"/>
      <c r="FIZ1036" s="1610"/>
      <c r="FJA1036" s="1610"/>
      <c r="FJB1036" s="1610"/>
      <c r="FJC1036" s="1610"/>
      <c r="FJD1036" s="1610"/>
      <c r="FJE1036" s="1610"/>
      <c r="FJF1036" s="1610"/>
      <c r="FJG1036" s="1610"/>
      <c r="FJH1036" s="1610"/>
      <c r="FJI1036" s="1610"/>
      <c r="FJJ1036" s="1610"/>
      <c r="FJK1036" s="1610"/>
      <c r="FJL1036" s="1610"/>
      <c r="FJM1036" s="1610"/>
      <c r="FJN1036" s="1610"/>
      <c r="FJO1036" s="1610"/>
      <c r="FJP1036" s="1610"/>
      <c r="FJQ1036" s="1610"/>
      <c r="FJR1036" s="1610"/>
      <c r="FJS1036" s="1610"/>
      <c r="FJT1036" s="1610"/>
      <c r="FJU1036" s="1610"/>
      <c r="FJV1036" s="1610"/>
      <c r="FJW1036" s="1610"/>
      <c r="FJX1036" s="1610"/>
      <c r="FJY1036" s="1610"/>
      <c r="FJZ1036" s="1610"/>
      <c r="FKA1036" s="1610"/>
      <c r="FKB1036" s="1610"/>
      <c r="FKC1036" s="1610"/>
      <c r="FKD1036" s="1610"/>
      <c r="FKE1036" s="1610"/>
      <c r="FKF1036" s="1610"/>
      <c r="FKG1036" s="1610"/>
      <c r="FKH1036" s="1610"/>
      <c r="FKI1036" s="1610"/>
      <c r="FKJ1036" s="1610"/>
      <c r="FKK1036" s="1610"/>
      <c r="FKL1036" s="1610"/>
      <c r="FKM1036" s="1610"/>
      <c r="FKN1036" s="1610"/>
      <c r="FKO1036" s="1610"/>
      <c r="FKP1036" s="1610"/>
      <c r="FKQ1036" s="1610"/>
      <c r="FKR1036" s="1610"/>
      <c r="FKS1036" s="1610"/>
      <c r="FKT1036" s="1610"/>
      <c r="FKU1036" s="1610"/>
      <c r="FKV1036" s="1610"/>
      <c r="FKW1036" s="1610"/>
      <c r="FKX1036" s="1610"/>
      <c r="FKY1036" s="1610"/>
      <c r="FKZ1036" s="1610"/>
      <c r="FLA1036" s="1610"/>
      <c r="FLB1036" s="1610"/>
      <c r="FLC1036" s="1610"/>
      <c r="FLD1036" s="1610"/>
      <c r="FLE1036" s="1610"/>
      <c r="FLF1036" s="1610"/>
      <c r="FLG1036" s="1610"/>
      <c r="FLH1036" s="1610"/>
      <c r="FLI1036" s="1610"/>
      <c r="FLJ1036" s="1610"/>
      <c r="FLK1036" s="1610"/>
      <c r="FLL1036" s="1610"/>
      <c r="FLM1036" s="1610"/>
      <c r="FLN1036" s="1610"/>
      <c r="FLO1036" s="1610"/>
      <c r="FLP1036" s="1610"/>
      <c r="FLQ1036" s="1610"/>
      <c r="FLR1036" s="1610"/>
      <c r="FLS1036" s="1610"/>
      <c r="FLT1036" s="1610"/>
      <c r="FLU1036" s="1610"/>
      <c r="FLV1036" s="1610"/>
      <c r="FLW1036" s="1610"/>
      <c r="FLX1036" s="1610"/>
      <c r="FLY1036" s="1610"/>
      <c r="FLZ1036" s="1610"/>
      <c r="FMA1036" s="1610"/>
      <c r="FMB1036" s="1610"/>
      <c r="FMC1036" s="1610"/>
      <c r="FMD1036" s="1610"/>
      <c r="FME1036" s="1610"/>
      <c r="FMF1036" s="1610"/>
      <c r="FMG1036" s="1610"/>
      <c r="FMH1036" s="1610"/>
      <c r="FMI1036" s="1610"/>
      <c r="FMJ1036" s="1610"/>
      <c r="FMK1036" s="1610"/>
      <c r="FML1036" s="1610"/>
      <c r="FMM1036" s="1610"/>
      <c r="FMN1036" s="1610"/>
      <c r="FMO1036" s="1610"/>
      <c r="FMP1036" s="1610"/>
      <c r="FMQ1036" s="1610"/>
      <c r="FMR1036" s="1610"/>
      <c r="FMS1036" s="1610"/>
      <c r="FMT1036" s="1610"/>
      <c r="FMU1036" s="1610"/>
      <c r="FMV1036" s="1610"/>
      <c r="FMW1036" s="1610"/>
      <c r="FMX1036" s="1610"/>
      <c r="FMY1036" s="1610"/>
      <c r="FMZ1036" s="1610"/>
      <c r="FNA1036" s="1610"/>
      <c r="FNB1036" s="1610"/>
      <c r="FNC1036" s="1610"/>
      <c r="FND1036" s="1610"/>
      <c r="FNE1036" s="1610"/>
      <c r="FNF1036" s="1610"/>
      <c r="FNG1036" s="1610"/>
      <c r="FNH1036" s="1610"/>
      <c r="FNI1036" s="1610"/>
      <c r="FNJ1036" s="1610"/>
      <c r="FNK1036" s="1610"/>
      <c r="FNL1036" s="1610"/>
      <c r="FNM1036" s="1610"/>
      <c r="FNN1036" s="1610"/>
      <c r="FNO1036" s="1610"/>
      <c r="FNP1036" s="1610"/>
      <c r="FNQ1036" s="1610"/>
      <c r="FNR1036" s="1610"/>
      <c r="FNS1036" s="1610"/>
      <c r="FNT1036" s="1610"/>
      <c r="FNU1036" s="1610"/>
      <c r="FNV1036" s="1610"/>
      <c r="FNW1036" s="1610"/>
      <c r="FNX1036" s="1610"/>
      <c r="FNY1036" s="1610"/>
      <c r="FNZ1036" s="1610"/>
      <c r="FOA1036" s="1610"/>
      <c r="FOB1036" s="1610"/>
      <c r="FOC1036" s="1610"/>
      <c r="FOD1036" s="1610"/>
      <c r="FOE1036" s="1610"/>
      <c r="FOF1036" s="1610"/>
      <c r="FOG1036" s="1610"/>
      <c r="FOH1036" s="1610"/>
      <c r="FOI1036" s="1610"/>
      <c r="FOJ1036" s="1610"/>
      <c r="FOK1036" s="1610"/>
      <c r="FOL1036" s="1610"/>
      <c r="FOM1036" s="1610"/>
      <c r="FON1036" s="1610"/>
      <c r="FOO1036" s="1610"/>
      <c r="FOP1036" s="1610"/>
      <c r="FOQ1036" s="1610"/>
      <c r="FOR1036" s="1610"/>
      <c r="FOS1036" s="1610"/>
      <c r="FOT1036" s="1610"/>
      <c r="FOU1036" s="1610"/>
      <c r="FOV1036" s="1610"/>
      <c r="FOW1036" s="1610"/>
      <c r="FOX1036" s="1610"/>
      <c r="FOY1036" s="1610"/>
      <c r="FOZ1036" s="1610"/>
      <c r="FPA1036" s="1610"/>
      <c r="FPB1036" s="1610"/>
      <c r="FPC1036" s="1610"/>
      <c r="FPD1036" s="1610"/>
      <c r="FPE1036" s="1610"/>
      <c r="FPF1036" s="1610"/>
      <c r="FPG1036" s="1610"/>
      <c r="FPH1036" s="1610"/>
      <c r="FPI1036" s="1610"/>
      <c r="FPJ1036" s="1610"/>
      <c r="FPK1036" s="1610"/>
      <c r="FPL1036" s="1610"/>
      <c r="FPM1036" s="1610"/>
      <c r="FPN1036" s="1610"/>
      <c r="FPO1036" s="1610"/>
      <c r="FPP1036" s="1610"/>
      <c r="FPQ1036" s="1610"/>
      <c r="FPR1036" s="1610"/>
      <c r="FPS1036" s="1610"/>
      <c r="FPT1036" s="1610"/>
      <c r="FPU1036" s="1610"/>
      <c r="FPV1036" s="1610"/>
      <c r="FPW1036" s="1610"/>
      <c r="FPX1036" s="1610"/>
      <c r="FPY1036" s="1610"/>
      <c r="FPZ1036" s="1610"/>
      <c r="FQA1036" s="1610"/>
      <c r="FQB1036" s="1610"/>
      <c r="FQC1036" s="1610"/>
      <c r="FQD1036" s="1610"/>
      <c r="FQE1036" s="1610"/>
      <c r="FQF1036" s="1610"/>
      <c r="FQG1036" s="1610"/>
      <c r="FQH1036" s="1610"/>
      <c r="FQI1036" s="1610"/>
      <c r="FQJ1036" s="1610"/>
      <c r="FQK1036" s="1610"/>
      <c r="FQL1036" s="1610"/>
      <c r="FQM1036" s="1610"/>
      <c r="FQN1036" s="1610"/>
      <c r="FQO1036" s="1610"/>
      <c r="FQP1036" s="1610"/>
      <c r="FQQ1036" s="1610"/>
      <c r="FQR1036" s="1610"/>
      <c r="FQS1036" s="1610"/>
      <c r="FQT1036" s="1610"/>
      <c r="FQU1036" s="1610"/>
      <c r="FQV1036" s="1610"/>
      <c r="FQW1036" s="1610"/>
      <c r="FQX1036" s="1610"/>
      <c r="FQY1036" s="1610"/>
      <c r="FQZ1036" s="1610"/>
      <c r="FRA1036" s="1610"/>
      <c r="FRB1036" s="1610"/>
      <c r="FRC1036" s="1610"/>
      <c r="FRD1036" s="1610"/>
      <c r="FRE1036" s="1610"/>
      <c r="FRF1036" s="1610"/>
      <c r="FRG1036" s="1610"/>
      <c r="FRH1036" s="1610"/>
      <c r="FRI1036" s="1610"/>
      <c r="FRJ1036" s="1610"/>
      <c r="FRK1036" s="1610"/>
      <c r="FRL1036" s="1610"/>
      <c r="FRM1036" s="1610"/>
      <c r="FRN1036" s="1610"/>
      <c r="FRO1036" s="1610"/>
      <c r="FRP1036" s="1610"/>
      <c r="FRQ1036" s="1610"/>
      <c r="FRR1036" s="1610"/>
      <c r="FRS1036" s="1610"/>
      <c r="FRT1036" s="1610"/>
      <c r="FRU1036" s="1610"/>
      <c r="FRV1036" s="1610"/>
      <c r="FRW1036" s="1610"/>
      <c r="FRX1036" s="1610"/>
      <c r="FRY1036" s="1610"/>
      <c r="FRZ1036" s="1610"/>
      <c r="FSA1036" s="1610"/>
      <c r="FSB1036" s="1610"/>
      <c r="FSC1036" s="1610"/>
      <c r="FSD1036" s="1610"/>
      <c r="FSE1036" s="1610"/>
      <c r="FSF1036" s="1610"/>
      <c r="FSG1036" s="1610"/>
      <c r="FSH1036" s="1610"/>
      <c r="FSI1036" s="1610"/>
      <c r="FSJ1036" s="1610"/>
      <c r="FSK1036" s="1610"/>
      <c r="FSL1036" s="1610"/>
      <c r="FSM1036" s="1610"/>
      <c r="FSN1036" s="1610"/>
      <c r="FSO1036" s="1610"/>
      <c r="FSP1036" s="1610"/>
      <c r="FSQ1036" s="1610"/>
      <c r="FSR1036" s="1610"/>
      <c r="FSS1036" s="1610"/>
      <c r="FST1036" s="1610"/>
      <c r="FSU1036" s="1610"/>
      <c r="FSV1036" s="1610"/>
      <c r="FSW1036" s="1610"/>
      <c r="FSX1036" s="1610"/>
      <c r="FSY1036" s="1610"/>
      <c r="FSZ1036" s="1610"/>
      <c r="FTA1036" s="1610"/>
      <c r="FTB1036" s="1610"/>
      <c r="FTC1036" s="1610"/>
      <c r="FTD1036" s="1610"/>
      <c r="FTE1036" s="1610"/>
      <c r="FTF1036" s="1610"/>
      <c r="FTG1036" s="1610"/>
      <c r="FTH1036" s="1610"/>
      <c r="FTI1036" s="1610"/>
      <c r="FTJ1036" s="1610"/>
      <c r="FTK1036" s="1610"/>
      <c r="FTL1036" s="1610"/>
      <c r="FTM1036" s="1610"/>
      <c r="FTN1036" s="1610"/>
      <c r="FTO1036" s="1610"/>
      <c r="FTP1036" s="1610"/>
      <c r="FTQ1036" s="1610"/>
      <c r="FTR1036" s="1610"/>
      <c r="FTS1036" s="1610"/>
      <c r="FTT1036" s="1610"/>
      <c r="FTU1036" s="1610"/>
      <c r="FTV1036" s="1610"/>
      <c r="FTW1036" s="1610"/>
      <c r="FTX1036" s="1610"/>
      <c r="FTY1036" s="1610"/>
      <c r="FTZ1036" s="1610"/>
      <c r="FUA1036" s="1610"/>
      <c r="FUB1036" s="1610"/>
      <c r="FUC1036" s="1610"/>
      <c r="FUD1036" s="1610"/>
      <c r="FUE1036" s="1610"/>
      <c r="FUF1036" s="1610"/>
      <c r="FUG1036" s="1610"/>
      <c r="FUH1036" s="1610"/>
      <c r="FUI1036" s="1610"/>
      <c r="FUJ1036" s="1610"/>
      <c r="FUK1036" s="1610"/>
      <c r="FUL1036" s="1610"/>
      <c r="FUM1036" s="1610"/>
      <c r="FUN1036" s="1610"/>
      <c r="FUO1036" s="1610"/>
      <c r="FUP1036" s="1610"/>
      <c r="FUQ1036" s="1610"/>
      <c r="FUR1036" s="1610"/>
      <c r="FUS1036" s="1610"/>
      <c r="FUT1036" s="1610"/>
      <c r="FUU1036" s="1610"/>
      <c r="FUV1036" s="1610"/>
      <c r="FUW1036" s="1610"/>
      <c r="FUX1036" s="1610"/>
      <c r="FUY1036" s="1610"/>
      <c r="FUZ1036" s="1610"/>
      <c r="FVA1036" s="1610"/>
      <c r="FVB1036" s="1610"/>
      <c r="FVC1036" s="1610"/>
      <c r="FVD1036" s="1610"/>
      <c r="FVE1036" s="1610"/>
      <c r="FVF1036" s="1610"/>
      <c r="FVG1036" s="1610"/>
      <c r="FVH1036" s="1610"/>
      <c r="FVI1036" s="1610"/>
      <c r="FVJ1036" s="1610"/>
      <c r="FVK1036" s="1610"/>
      <c r="FVL1036" s="1610"/>
      <c r="FVM1036" s="1610"/>
      <c r="FVN1036" s="1610"/>
      <c r="FVO1036" s="1610"/>
      <c r="FVP1036" s="1610"/>
      <c r="FVQ1036" s="1610"/>
      <c r="FVR1036" s="1610"/>
      <c r="FVS1036" s="1610"/>
      <c r="FVT1036" s="1610"/>
      <c r="FVU1036" s="1610"/>
      <c r="FVV1036" s="1610"/>
      <c r="FVW1036" s="1610"/>
      <c r="FVX1036" s="1610"/>
      <c r="FVY1036" s="1610"/>
      <c r="FVZ1036" s="1610"/>
      <c r="FWA1036" s="1610"/>
      <c r="FWB1036" s="1610"/>
      <c r="FWC1036" s="1610"/>
      <c r="FWD1036" s="1610"/>
      <c r="FWE1036" s="1610"/>
      <c r="FWF1036" s="1610"/>
      <c r="FWG1036" s="1610"/>
      <c r="FWH1036" s="1610"/>
      <c r="FWI1036" s="1610"/>
      <c r="FWJ1036" s="1610"/>
      <c r="FWK1036" s="1610"/>
      <c r="FWL1036" s="1610"/>
      <c r="FWM1036" s="1610"/>
      <c r="FWN1036" s="1610"/>
      <c r="FWO1036" s="1610"/>
      <c r="FWP1036" s="1610"/>
      <c r="FWQ1036" s="1610"/>
      <c r="FWR1036" s="1610"/>
      <c r="FWS1036" s="1610"/>
      <c r="FWT1036" s="1610"/>
      <c r="FWU1036" s="1610"/>
      <c r="FWV1036" s="1610"/>
      <c r="FWW1036" s="1610"/>
      <c r="FWX1036" s="1610"/>
      <c r="FWY1036" s="1610"/>
      <c r="FWZ1036" s="1610"/>
      <c r="FXA1036" s="1610"/>
      <c r="FXB1036" s="1610"/>
      <c r="FXC1036" s="1610"/>
      <c r="FXD1036" s="1610"/>
      <c r="FXE1036" s="1610"/>
      <c r="FXF1036" s="1610"/>
      <c r="FXG1036" s="1610"/>
      <c r="FXH1036" s="1610"/>
      <c r="FXI1036" s="1610"/>
      <c r="FXJ1036" s="1610"/>
      <c r="FXK1036" s="1610"/>
      <c r="FXL1036" s="1610"/>
      <c r="FXM1036" s="1610"/>
      <c r="FXN1036" s="1610"/>
      <c r="FXO1036" s="1610"/>
      <c r="FXP1036" s="1610"/>
      <c r="FXQ1036" s="1610"/>
      <c r="FXR1036" s="1610"/>
      <c r="FXS1036" s="1610"/>
      <c r="FXT1036" s="1610"/>
      <c r="FXU1036" s="1610"/>
      <c r="FXV1036" s="1610"/>
      <c r="FXW1036" s="1610"/>
      <c r="FXX1036" s="1610"/>
      <c r="FXY1036" s="1610"/>
      <c r="FXZ1036" s="1610"/>
      <c r="FYA1036" s="1610"/>
      <c r="FYB1036" s="1610"/>
      <c r="FYC1036" s="1610"/>
      <c r="FYD1036" s="1610"/>
      <c r="FYE1036" s="1610"/>
      <c r="FYF1036" s="1610"/>
      <c r="FYG1036" s="1610"/>
      <c r="FYH1036" s="1610"/>
      <c r="FYI1036" s="1610"/>
      <c r="FYJ1036" s="1610"/>
      <c r="FYK1036" s="1610"/>
      <c r="FYL1036" s="1610"/>
      <c r="FYM1036" s="1610"/>
      <c r="FYN1036" s="1610"/>
      <c r="FYO1036" s="1610"/>
      <c r="FYP1036" s="1610"/>
      <c r="FYQ1036" s="1610"/>
      <c r="FYR1036" s="1610"/>
      <c r="FYS1036" s="1610"/>
      <c r="FYT1036" s="1610"/>
      <c r="FYU1036" s="1610"/>
      <c r="FYV1036" s="1610"/>
      <c r="FYW1036" s="1610"/>
      <c r="FYX1036" s="1610"/>
      <c r="FYY1036" s="1610"/>
      <c r="FYZ1036" s="1610"/>
      <c r="FZA1036" s="1610"/>
      <c r="FZB1036" s="1610"/>
      <c r="FZC1036" s="1610"/>
      <c r="FZD1036" s="1610"/>
      <c r="FZE1036" s="1610"/>
      <c r="FZF1036" s="1610"/>
      <c r="FZG1036" s="1610"/>
      <c r="FZH1036" s="1610"/>
      <c r="FZI1036" s="1610"/>
      <c r="FZJ1036" s="1610"/>
      <c r="FZK1036" s="1610"/>
      <c r="FZL1036" s="1610"/>
      <c r="FZM1036" s="1610"/>
      <c r="FZN1036" s="1610"/>
      <c r="FZO1036" s="1610"/>
      <c r="FZP1036" s="1610"/>
      <c r="FZQ1036" s="1610"/>
      <c r="FZR1036" s="1610"/>
      <c r="FZS1036" s="1610"/>
      <c r="FZT1036" s="1610"/>
      <c r="FZU1036" s="1610"/>
      <c r="FZV1036" s="1610"/>
      <c r="FZW1036" s="1610"/>
      <c r="FZX1036" s="1610"/>
      <c r="FZY1036" s="1610"/>
      <c r="FZZ1036" s="1610"/>
      <c r="GAA1036" s="1610"/>
      <c r="GAB1036" s="1610"/>
      <c r="GAC1036" s="1610"/>
      <c r="GAD1036" s="1610"/>
      <c r="GAE1036" s="1610"/>
      <c r="GAF1036" s="1610"/>
      <c r="GAG1036" s="1610"/>
      <c r="GAH1036" s="1610"/>
      <c r="GAI1036" s="1610"/>
      <c r="GAJ1036" s="1610"/>
      <c r="GAK1036" s="1610"/>
      <c r="GAL1036" s="1610"/>
      <c r="GAM1036" s="1610"/>
      <c r="GAN1036" s="1610"/>
      <c r="GAO1036" s="1610"/>
      <c r="GAP1036" s="1610"/>
      <c r="GAQ1036" s="1610"/>
      <c r="GAR1036" s="1610"/>
      <c r="GAS1036" s="1610"/>
      <c r="GAT1036" s="1610"/>
      <c r="GAU1036" s="1610"/>
      <c r="GAV1036" s="1610"/>
      <c r="GAW1036" s="1610"/>
      <c r="GAX1036" s="1610"/>
      <c r="GAY1036" s="1610"/>
      <c r="GAZ1036" s="1610"/>
      <c r="GBA1036" s="1610"/>
      <c r="GBB1036" s="1610"/>
      <c r="GBC1036" s="1610"/>
      <c r="GBD1036" s="1610"/>
      <c r="GBE1036" s="1610"/>
      <c r="GBF1036" s="1610"/>
      <c r="GBG1036" s="1610"/>
      <c r="GBH1036" s="1610"/>
      <c r="GBI1036" s="1610"/>
      <c r="GBJ1036" s="1610"/>
      <c r="GBK1036" s="1610"/>
      <c r="GBL1036" s="1610"/>
      <c r="GBM1036" s="1610"/>
      <c r="GBN1036" s="1610"/>
      <c r="GBO1036" s="1610"/>
      <c r="GBP1036" s="1610"/>
      <c r="GBQ1036" s="1610"/>
      <c r="GBR1036" s="1610"/>
      <c r="GBS1036" s="1610"/>
      <c r="GBT1036" s="1610"/>
      <c r="GBU1036" s="1610"/>
      <c r="GBV1036" s="1610"/>
      <c r="GBW1036" s="1610"/>
      <c r="GBX1036" s="1610"/>
      <c r="GBY1036" s="1610"/>
      <c r="GBZ1036" s="1610"/>
      <c r="GCA1036" s="1610"/>
      <c r="GCB1036" s="1610"/>
      <c r="GCC1036" s="1610"/>
      <c r="GCD1036" s="1610"/>
      <c r="GCE1036" s="1610"/>
      <c r="GCF1036" s="1610"/>
      <c r="GCG1036" s="1610"/>
      <c r="GCH1036" s="1610"/>
      <c r="GCI1036" s="1610"/>
      <c r="GCJ1036" s="1610"/>
      <c r="GCK1036" s="1610"/>
      <c r="GCL1036" s="1610"/>
      <c r="GCM1036" s="1610"/>
      <c r="GCN1036" s="1610"/>
      <c r="GCO1036" s="1610"/>
      <c r="GCP1036" s="1610"/>
      <c r="GCQ1036" s="1610"/>
      <c r="GCR1036" s="1610"/>
      <c r="GCS1036" s="1610"/>
      <c r="GCT1036" s="1610"/>
      <c r="GCU1036" s="1610"/>
      <c r="GCV1036" s="1610"/>
      <c r="GCW1036" s="1610"/>
      <c r="GCX1036" s="1610"/>
      <c r="GCY1036" s="1610"/>
      <c r="GCZ1036" s="1610"/>
      <c r="GDA1036" s="1610"/>
      <c r="GDB1036" s="1610"/>
      <c r="GDC1036" s="1610"/>
      <c r="GDD1036" s="1610"/>
      <c r="GDE1036" s="1610"/>
      <c r="GDF1036" s="1610"/>
      <c r="GDG1036" s="1610"/>
      <c r="GDH1036" s="1610"/>
      <c r="GDI1036" s="1610"/>
      <c r="GDJ1036" s="1610"/>
      <c r="GDK1036" s="1610"/>
      <c r="GDL1036" s="1610"/>
      <c r="GDM1036" s="1610"/>
      <c r="GDN1036" s="1610"/>
      <c r="GDO1036" s="1610"/>
      <c r="GDP1036" s="1610"/>
      <c r="GDQ1036" s="1610"/>
      <c r="GDR1036" s="1610"/>
      <c r="GDS1036" s="1610"/>
      <c r="GDT1036" s="1610"/>
      <c r="GDU1036" s="1610"/>
      <c r="GDV1036" s="1610"/>
      <c r="GDW1036" s="1610"/>
      <c r="GDX1036" s="1610"/>
      <c r="GDY1036" s="1610"/>
      <c r="GDZ1036" s="1610"/>
      <c r="GEA1036" s="1610"/>
      <c r="GEB1036" s="1610"/>
      <c r="GEC1036" s="1610"/>
      <c r="GED1036" s="1610"/>
      <c r="GEE1036" s="1610"/>
      <c r="GEF1036" s="1610"/>
      <c r="GEG1036" s="1610"/>
      <c r="GEH1036" s="1610"/>
      <c r="GEI1036" s="1610"/>
      <c r="GEJ1036" s="1610"/>
      <c r="GEK1036" s="1610"/>
      <c r="GEL1036" s="1610"/>
      <c r="GEM1036" s="1610"/>
      <c r="GEN1036" s="1610"/>
      <c r="GEO1036" s="1610"/>
      <c r="GEP1036" s="1610"/>
      <c r="GEQ1036" s="1610"/>
      <c r="GER1036" s="1610"/>
      <c r="GES1036" s="1610"/>
      <c r="GET1036" s="1610"/>
      <c r="GEU1036" s="1610"/>
      <c r="GEV1036" s="1610"/>
      <c r="GEW1036" s="1610"/>
      <c r="GEX1036" s="1610"/>
      <c r="GEY1036" s="1610"/>
      <c r="GEZ1036" s="1610"/>
      <c r="GFA1036" s="1610"/>
      <c r="GFB1036" s="1610"/>
      <c r="GFC1036" s="1610"/>
      <c r="GFD1036" s="1610"/>
      <c r="GFE1036" s="1610"/>
      <c r="GFF1036" s="1610"/>
      <c r="GFG1036" s="1610"/>
      <c r="GFH1036" s="1610"/>
      <c r="GFI1036" s="1610"/>
      <c r="GFJ1036" s="1610"/>
      <c r="GFK1036" s="1610"/>
      <c r="GFL1036" s="1610"/>
      <c r="GFM1036" s="1610"/>
      <c r="GFN1036" s="1610"/>
      <c r="GFO1036" s="1610"/>
      <c r="GFP1036" s="1610"/>
      <c r="GFQ1036" s="1610"/>
      <c r="GFR1036" s="1610"/>
      <c r="GFS1036" s="1610"/>
      <c r="GFT1036" s="1610"/>
      <c r="GFU1036" s="1610"/>
      <c r="GFV1036" s="1610"/>
      <c r="GFW1036" s="1610"/>
      <c r="GFX1036" s="1610"/>
      <c r="GFY1036" s="1610"/>
      <c r="GFZ1036" s="1610"/>
      <c r="GGA1036" s="1610"/>
      <c r="GGB1036" s="1610"/>
      <c r="GGC1036" s="1610"/>
      <c r="GGD1036" s="1610"/>
      <c r="GGE1036" s="1610"/>
      <c r="GGF1036" s="1610"/>
      <c r="GGG1036" s="1610"/>
      <c r="GGH1036" s="1610"/>
      <c r="GGI1036" s="1610"/>
      <c r="GGJ1036" s="1610"/>
      <c r="GGK1036" s="1610"/>
      <c r="GGL1036" s="1610"/>
      <c r="GGM1036" s="1610"/>
      <c r="GGN1036" s="1610"/>
      <c r="GGO1036" s="1610"/>
      <c r="GGP1036" s="1610"/>
      <c r="GGQ1036" s="1610"/>
      <c r="GGR1036" s="1610"/>
      <c r="GGS1036" s="1610"/>
      <c r="GGT1036" s="1610"/>
      <c r="GGU1036" s="1610"/>
      <c r="GGV1036" s="1610"/>
      <c r="GGW1036" s="1610"/>
      <c r="GGX1036" s="1610"/>
      <c r="GGY1036" s="1610"/>
      <c r="GGZ1036" s="1610"/>
      <c r="GHA1036" s="1610"/>
      <c r="GHB1036" s="1610"/>
      <c r="GHC1036" s="1610"/>
      <c r="GHD1036" s="1610"/>
      <c r="GHE1036" s="1610"/>
      <c r="GHF1036" s="1610"/>
      <c r="GHG1036" s="1610"/>
      <c r="GHH1036" s="1610"/>
      <c r="GHI1036" s="1610"/>
      <c r="GHJ1036" s="1610"/>
      <c r="GHK1036" s="1610"/>
      <c r="GHL1036" s="1610"/>
      <c r="GHM1036" s="1610"/>
      <c r="GHN1036" s="1610"/>
      <c r="GHO1036" s="1610"/>
      <c r="GHP1036" s="1610"/>
      <c r="GHQ1036" s="1610"/>
      <c r="GHR1036" s="1610"/>
      <c r="GHS1036" s="1610"/>
      <c r="GHT1036" s="1610"/>
      <c r="GHU1036" s="1610"/>
      <c r="GHV1036" s="1610"/>
      <c r="GHW1036" s="1610"/>
      <c r="GHX1036" s="1610"/>
      <c r="GHY1036" s="1610"/>
      <c r="GHZ1036" s="1610"/>
      <c r="GIA1036" s="1610"/>
      <c r="GIB1036" s="1610"/>
      <c r="GIC1036" s="1610"/>
      <c r="GID1036" s="1610"/>
      <c r="GIE1036" s="1610"/>
      <c r="GIF1036" s="1610"/>
      <c r="GIG1036" s="1610"/>
      <c r="GIH1036" s="1610"/>
      <c r="GII1036" s="1610"/>
      <c r="GIJ1036" s="1610"/>
      <c r="GIK1036" s="1610"/>
      <c r="GIL1036" s="1610"/>
      <c r="GIM1036" s="1610"/>
      <c r="GIN1036" s="1610"/>
      <c r="GIO1036" s="1610"/>
      <c r="GIP1036" s="1610"/>
      <c r="GIQ1036" s="1610"/>
      <c r="GIR1036" s="1610"/>
      <c r="GIS1036" s="1610"/>
      <c r="GIT1036" s="1610"/>
      <c r="GIU1036" s="1610"/>
      <c r="GIV1036" s="1610"/>
      <c r="GIW1036" s="1610"/>
      <c r="GIX1036" s="1610"/>
      <c r="GIY1036" s="1610"/>
      <c r="GIZ1036" s="1610"/>
      <c r="GJA1036" s="1610"/>
      <c r="GJB1036" s="1610"/>
      <c r="GJC1036" s="1610"/>
      <c r="GJD1036" s="1610"/>
      <c r="GJE1036" s="1610"/>
      <c r="GJF1036" s="1610"/>
      <c r="GJG1036" s="1610"/>
      <c r="GJH1036" s="1610"/>
      <c r="GJI1036" s="1610"/>
      <c r="GJJ1036" s="1610"/>
      <c r="GJK1036" s="1610"/>
      <c r="GJL1036" s="1610"/>
      <c r="GJM1036" s="1610"/>
      <c r="GJN1036" s="1610"/>
      <c r="GJO1036" s="1610"/>
      <c r="GJP1036" s="1610"/>
      <c r="GJQ1036" s="1610"/>
      <c r="GJR1036" s="1610"/>
      <c r="GJS1036" s="1610"/>
      <c r="GJT1036" s="1610"/>
      <c r="GJU1036" s="1610"/>
      <c r="GJV1036" s="1610"/>
      <c r="GJW1036" s="1610"/>
      <c r="GJX1036" s="1610"/>
      <c r="GJY1036" s="1610"/>
      <c r="GJZ1036" s="1610"/>
      <c r="GKA1036" s="1610"/>
      <c r="GKB1036" s="1610"/>
      <c r="GKC1036" s="1610"/>
      <c r="GKD1036" s="1610"/>
      <c r="GKE1036" s="1610"/>
      <c r="GKF1036" s="1610"/>
      <c r="GKG1036" s="1610"/>
      <c r="GKH1036" s="1610"/>
      <c r="GKI1036" s="1610"/>
      <c r="GKJ1036" s="1610"/>
      <c r="GKK1036" s="1610"/>
      <c r="GKL1036" s="1610"/>
      <c r="GKM1036" s="1610"/>
      <c r="GKN1036" s="1610"/>
      <c r="GKO1036" s="1610"/>
      <c r="GKP1036" s="1610"/>
      <c r="GKQ1036" s="1610"/>
      <c r="GKR1036" s="1610"/>
      <c r="GKS1036" s="1610"/>
      <c r="GKT1036" s="1610"/>
      <c r="GKU1036" s="1610"/>
      <c r="GKV1036" s="1610"/>
      <c r="GKW1036" s="1610"/>
      <c r="GKX1036" s="1610"/>
      <c r="GKY1036" s="1610"/>
      <c r="GKZ1036" s="1610"/>
      <c r="GLA1036" s="1610"/>
      <c r="GLB1036" s="1610"/>
      <c r="GLC1036" s="1610"/>
      <c r="GLD1036" s="1610"/>
      <c r="GLE1036" s="1610"/>
      <c r="GLF1036" s="1610"/>
      <c r="GLG1036" s="1610"/>
      <c r="GLH1036" s="1610"/>
      <c r="GLI1036" s="1610"/>
      <c r="GLJ1036" s="1610"/>
      <c r="GLK1036" s="1610"/>
      <c r="GLL1036" s="1610"/>
      <c r="GLM1036" s="1610"/>
      <c r="GLN1036" s="1610"/>
      <c r="GLO1036" s="1610"/>
      <c r="GLP1036" s="1610"/>
      <c r="GLQ1036" s="1610"/>
      <c r="GLR1036" s="1610"/>
      <c r="GLS1036" s="1610"/>
      <c r="GLT1036" s="1610"/>
      <c r="GLU1036" s="1610"/>
      <c r="GLV1036" s="1610"/>
      <c r="GLW1036" s="1610"/>
      <c r="GLX1036" s="1610"/>
      <c r="GLY1036" s="1610"/>
      <c r="GLZ1036" s="1610"/>
      <c r="GMA1036" s="1610"/>
      <c r="GMB1036" s="1610"/>
      <c r="GMC1036" s="1610"/>
      <c r="GMD1036" s="1610"/>
      <c r="GME1036" s="1610"/>
      <c r="GMF1036" s="1610"/>
      <c r="GMG1036" s="1610"/>
      <c r="GMH1036" s="1610"/>
      <c r="GMI1036" s="1610"/>
      <c r="GMJ1036" s="1610"/>
      <c r="GMK1036" s="1610"/>
      <c r="GML1036" s="1610"/>
      <c r="GMM1036" s="1610"/>
      <c r="GMN1036" s="1610"/>
      <c r="GMO1036" s="1610"/>
      <c r="GMP1036" s="1610"/>
      <c r="GMQ1036" s="1610"/>
      <c r="GMR1036" s="1610"/>
      <c r="GMS1036" s="1610"/>
      <c r="GMT1036" s="1610"/>
      <c r="GMU1036" s="1610"/>
      <c r="GMV1036" s="1610"/>
      <c r="GMW1036" s="1610"/>
      <c r="GMX1036" s="1610"/>
      <c r="GMY1036" s="1610"/>
      <c r="GMZ1036" s="1610"/>
      <c r="GNA1036" s="1610"/>
      <c r="GNB1036" s="1610"/>
      <c r="GNC1036" s="1610"/>
      <c r="GND1036" s="1610"/>
      <c r="GNE1036" s="1610"/>
      <c r="GNF1036" s="1610"/>
      <c r="GNG1036" s="1610"/>
      <c r="GNH1036" s="1610"/>
      <c r="GNI1036" s="1610"/>
      <c r="GNJ1036" s="1610"/>
      <c r="GNK1036" s="1610"/>
      <c r="GNL1036" s="1610"/>
      <c r="GNM1036" s="1610"/>
      <c r="GNN1036" s="1610"/>
      <c r="GNO1036" s="1610"/>
      <c r="GNP1036" s="1610"/>
      <c r="GNQ1036" s="1610"/>
      <c r="GNR1036" s="1610"/>
      <c r="GNS1036" s="1610"/>
      <c r="GNT1036" s="1610"/>
      <c r="GNU1036" s="1610"/>
      <c r="GNV1036" s="1610"/>
      <c r="GNW1036" s="1610"/>
      <c r="GNX1036" s="1610"/>
      <c r="GNY1036" s="1610"/>
      <c r="GNZ1036" s="1610"/>
      <c r="GOA1036" s="1610"/>
      <c r="GOB1036" s="1610"/>
      <c r="GOC1036" s="1610"/>
      <c r="GOD1036" s="1610"/>
      <c r="GOE1036" s="1610"/>
      <c r="GOF1036" s="1610"/>
      <c r="GOG1036" s="1610"/>
      <c r="GOH1036" s="1610"/>
      <c r="GOI1036" s="1610"/>
      <c r="GOJ1036" s="1610"/>
      <c r="GOK1036" s="1610"/>
      <c r="GOL1036" s="1610"/>
      <c r="GOM1036" s="1610"/>
      <c r="GON1036" s="1610"/>
      <c r="GOO1036" s="1610"/>
      <c r="GOP1036" s="1610"/>
      <c r="GOQ1036" s="1610"/>
      <c r="GOR1036" s="1610"/>
      <c r="GOS1036" s="1610"/>
      <c r="GOT1036" s="1610"/>
      <c r="GOU1036" s="1610"/>
      <c r="GOV1036" s="1610"/>
      <c r="GOW1036" s="1610"/>
      <c r="GOX1036" s="1610"/>
      <c r="GOY1036" s="1610"/>
      <c r="GOZ1036" s="1610"/>
      <c r="GPA1036" s="1610"/>
      <c r="GPB1036" s="1610"/>
      <c r="GPC1036" s="1610"/>
      <c r="GPD1036" s="1610"/>
      <c r="GPE1036" s="1610"/>
      <c r="GPF1036" s="1610"/>
      <c r="GPG1036" s="1610"/>
      <c r="GPH1036" s="1610"/>
      <c r="GPI1036" s="1610"/>
      <c r="GPJ1036" s="1610"/>
      <c r="GPK1036" s="1610"/>
      <c r="GPL1036" s="1610"/>
      <c r="GPM1036" s="1610"/>
      <c r="GPN1036" s="1610"/>
      <c r="GPO1036" s="1610"/>
      <c r="GPP1036" s="1610"/>
      <c r="GPQ1036" s="1610"/>
      <c r="GPR1036" s="1610"/>
      <c r="GPS1036" s="1610"/>
      <c r="GPT1036" s="1610"/>
      <c r="GPU1036" s="1610"/>
      <c r="GPV1036" s="1610"/>
      <c r="GPW1036" s="1610"/>
      <c r="GPX1036" s="1610"/>
      <c r="GPY1036" s="1610"/>
      <c r="GPZ1036" s="1610"/>
      <c r="GQA1036" s="1610"/>
      <c r="GQB1036" s="1610"/>
      <c r="GQC1036" s="1610"/>
      <c r="GQD1036" s="1610"/>
      <c r="GQE1036" s="1610"/>
      <c r="GQF1036" s="1610"/>
      <c r="GQG1036" s="1610"/>
      <c r="GQH1036" s="1610"/>
      <c r="GQI1036" s="1610"/>
      <c r="GQJ1036" s="1610"/>
      <c r="GQK1036" s="1610"/>
      <c r="GQL1036" s="1610"/>
      <c r="GQM1036" s="1610"/>
      <c r="GQN1036" s="1610"/>
      <c r="GQO1036" s="1610"/>
      <c r="GQP1036" s="1610"/>
      <c r="GQQ1036" s="1610"/>
      <c r="GQR1036" s="1610"/>
      <c r="GQS1036" s="1610"/>
      <c r="GQT1036" s="1610"/>
      <c r="GQU1036" s="1610"/>
      <c r="GQV1036" s="1610"/>
      <c r="GQW1036" s="1610"/>
      <c r="GQX1036" s="1610"/>
      <c r="GQY1036" s="1610"/>
      <c r="GQZ1036" s="1610"/>
      <c r="GRA1036" s="1610"/>
      <c r="GRB1036" s="1610"/>
      <c r="GRC1036" s="1610"/>
      <c r="GRD1036" s="1610"/>
      <c r="GRE1036" s="1610"/>
      <c r="GRF1036" s="1610"/>
      <c r="GRG1036" s="1610"/>
      <c r="GRH1036" s="1610"/>
      <c r="GRI1036" s="1610"/>
      <c r="GRJ1036" s="1610"/>
      <c r="GRK1036" s="1610"/>
      <c r="GRL1036" s="1610"/>
      <c r="GRM1036" s="1610"/>
      <c r="GRN1036" s="1610"/>
      <c r="GRO1036" s="1610"/>
      <c r="GRP1036" s="1610"/>
      <c r="GRQ1036" s="1610"/>
      <c r="GRR1036" s="1610"/>
      <c r="GRS1036" s="1610"/>
      <c r="GRT1036" s="1610"/>
      <c r="GRU1036" s="1610"/>
      <c r="GRV1036" s="1610"/>
      <c r="GRW1036" s="1610"/>
      <c r="GRX1036" s="1610"/>
      <c r="GRY1036" s="1610"/>
      <c r="GRZ1036" s="1610"/>
      <c r="GSA1036" s="1610"/>
      <c r="GSB1036" s="1610"/>
      <c r="GSC1036" s="1610"/>
      <c r="GSD1036" s="1610"/>
      <c r="GSE1036" s="1610"/>
      <c r="GSF1036" s="1610"/>
      <c r="GSG1036" s="1610"/>
      <c r="GSH1036" s="1610"/>
      <c r="GSI1036" s="1610"/>
      <c r="GSJ1036" s="1610"/>
      <c r="GSK1036" s="1610"/>
      <c r="GSL1036" s="1610"/>
      <c r="GSM1036" s="1610"/>
      <c r="GSN1036" s="1610"/>
      <c r="GSO1036" s="1610"/>
      <c r="GSP1036" s="1610"/>
      <c r="GSQ1036" s="1610"/>
      <c r="GSR1036" s="1610"/>
      <c r="GSS1036" s="1610"/>
      <c r="GST1036" s="1610"/>
      <c r="GSU1036" s="1610"/>
      <c r="GSV1036" s="1610"/>
      <c r="GSW1036" s="1610"/>
      <c r="GSX1036" s="1610"/>
      <c r="GSY1036" s="1610"/>
      <c r="GSZ1036" s="1610"/>
      <c r="GTA1036" s="1610"/>
      <c r="GTB1036" s="1610"/>
      <c r="GTC1036" s="1610"/>
      <c r="GTD1036" s="1610"/>
      <c r="GTE1036" s="1610"/>
      <c r="GTF1036" s="1610"/>
      <c r="GTG1036" s="1610"/>
      <c r="GTH1036" s="1610"/>
      <c r="GTI1036" s="1610"/>
      <c r="GTJ1036" s="1610"/>
      <c r="GTK1036" s="1610"/>
      <c r="GTL1036" s="1610"/>
      <c r="GTM1036" s="1610"/>
      <c r="GTN1036" s="1610"/>
      <c r="GTO1036" s="1610"/>
      <c r="GTP1036" s="1610"/>
      <c r="GTQ1036" s="1610"/>
      <c r="GTR1036" s="1610"/>
      <c r="GTS1036" s="1610"/>
      <c r="GTT1036" s="1610"/>
      <c r="GTU1036" s="1610"/>
      <c r="GTV1036" s="1610"/>
      <c r="GTW1036" s="1610"/>
      <c r="GTX1036" s="1610"/>
      <c r="GTY1036" s="1610"/>
      <c r="GTZ1036" s="1610"/>
      <c r="GUA1036" s="1610"/>
      <c r="GUB1036" s="1610"/>
      <c r="GUC1036" s="1610"/>
      <c r="GUD1036" s="1610"/>
      <c r="GUE1036" s="1610"/>
      <c r="GUF1036" s="1610"/>
      <c r="GUG1036" s="1610"/>
      <c r="GUH1036" s="1610"/>
      <c r="GUI1036" s="1610"/>
      <c r="GUJ1036" s="1610"/>
      <c r="GUK1036" s="1610"/>
      <c r="GUL1036" s="1610"/>
      <c r="GUM1036" s="1610"/>
      <c r="GUN1036" s="1610"/>
      <c r="GUO1036" s="1610"/>
      <c r="GUP1036" s="1610"/>
      <c r="GUQ1036" s="1610"/>
      <c r="GUR1036" s="1610"/>
      <c r="GUS1036" s="1610"/>
      <c r="GUT1036" s="1610"/>
      <c r="GUU1036" s="1610"/>
      <c r="GUV1036" s="1610"/>
      <c r="GUW1036" s="1610"/>
      <c r="GUX1036" s="1610"/>
      <c r="GUY1036" s="1610"/>
      <c r="GUZ1036" s="1610"/>
      <c r="GVA1036" s="1610"/>
      <c r="GVB1036" s="1610"/>
      <c r="GVC1036" s="1610"/>
      <c r="GVD1036" s="1610"/>
      <c r="GVE1036" s="1610"/>
      <c r="GVF1036" s="1610"/>
      <c r="GVG1036" s="1610"/>
      <c r="GVH1036" s="1610"/>
      <c r="GVI1036" s="1610"/>
      <c r="GVJ1036" s="1610"/>
      <c r="GVK1036" s="1610"/>
      <c r="GVL1036" s="1610"/>
      <c r="GVM1036" s="1610"/>
      <c r="GVN1036" s="1610"/>
      <c r="GVO1036" s="1610"/>
      <c r="GVP1036" s="1610"/>
      <c r="GVQ1036" s="1610"/>
      <c r="GVR1036" s="1610"/>
      <c r="GVS1036" s="1610"/>
      <c r="GVT1036" s="1610"/>
      <c r="GVU1036" s="1610"/>
      <c r="GVV1036" s="1610"/>
      <c r="GVW1036" s="1610"/>
      <c r="GVX1036" s="1610"/>
      <c r="GVY1036" s="1610"/>
      <c r="GVZ1036" s="1610"/>
      <c r="GWA1036" s="1610"/>
      <c r="GWB1036" s="1610"/>
      <c r="GWC1036" s="1610"/>
      <c r="GWD1036" s="1610"/>
      <c r="GWE1036" s="1610"/>
      <c r="GWF1036" s="1610"/>
      <c r="GWG1036" s="1610"/>
      <c r="GWH1036" s="1610"/>
      <c r="GWI1036" s="1610"/>
      <c r="GWJ1036" s="1610"/>
      <c r="GWK1036" s="1610"/>
      <c r="GWL1036" s="1610"/>
      <c r="GWM1036" s="1610"/>
      <c r="GWN1036" s="1610"/>
      <c r="GWO1036" s="1610"/>
      <c r="GWP1036" s="1610"/>
      <c r="GWQ1036" s="1610"/>
      <c r="GWR1036" s="1610"/>
      <c r="GWS1036" s="1610"/>
      <c r="GWT1036" s="1610"/>
      <c r="GWU1036" s="1610"/>
      <c r="GWV1036" s="1610"/>
      <c r="GWW1036" s="1610"/>
      <c r="GWX1036" s="1610"/>
      <c r="GWY1036" s="1610"/>
      <c r="GWZ1036" s="1610"/>
      <c r="GXA1036" s="1610"/>
      <c r="GXB1036" s="1610"/>
      <c r="GXC1036" s="1610"/>
      <c r="GXD1036" s="1610"/>
      <c r="GXE1036" s="1610"/>
      <c r="GXF1036" s="1610"/>
      <c r="GXG1036" s="1610"/>
      <c r="GXH1036" s="1610"/>
      <c r="GXI1036" s="1610"/>
      <c r="GXJ1036" s="1610"/>
      <c r="GXK1036" s="1610"/>
      <c r="GXL1036" s="1610"/>
      <c r="GXM1036" s="1610"/>
      <c r="GXN1036" s="1610"/>
      <c r="GXO1036" s="1610"/>
      <c r="GXP1036" s="1610"/>
      <c r="GXQ1036" s="1610"/>
      <c r="GXR1036" s="1610"/>
      <c r="GXS1036" s="1610"/>
      <c r="GXT1036" s="1610"/>
      <c r="GXU1036" s="1610"/>
      <c r="GXV1036" s="1610"/>
      <c r="GXW1036" s="1610"/>
      <c r="GXX1036" s="1610"/>
      <c r="GXY1036" s="1610"/>
      <c r="GXZ1036" s="1610"/>
      <c r="GYA1036" s="1610"/>
      <c r="GYB1036" s="1610"/>
      <c r="GYC1036" s="1610"/>
      <c r="GYD1036" s="1610"/>
      <c r="GYE1036" s="1610"/>
      <c r="GYF1036" s="1610"/>
      <c r="GYG1036" s="1610"/>
      <c r="GYH1036" s="1610"/>
      <c r="GYI1036" s="1610"/>
      <c r="GYJ1036" s="1610"/>
      <c r="GYK1036" s="1610"/>
      <c r="GYL1036" s="1610"/>
      <c r="GYM1036" s="1610"/>
      <c r="GYN1036" s="1610"/>
      <c r="GYO1036" s="1610"/>
      <c r="GYP1036" s="1610"/>
      <c r="GYQ1036" s="1610"/>
      <c r="GYR1036" s="1610"/>
      <c r="GYS1036" s="1610"/>
      <c r="GYT1036" s="1610"/>
      <c r="GYU1036" s="1610"/>
      <c r="GYV1036" s="1610"/>
      <c r="GYW1036" s="1610"/>
      <c r="GYX1036" s="1610"/>
      <c r="GYY1036" s="1610"/>
      <c r="GYZ1036" s="1610"/>
      <c r="GZA1036" s="1610"/>
      <c r="GZB1036" s="1610"/>
      <c r="GZC1036" s="1610"/>
      <c r="GZD1036" s="1610"/>
      <c r="GZE1036" s="1610"/>
      <c r="GZF1036" s="1610"/>
      <c r="GZG1036" s="1610"/>
      <c r="GZH1036" s="1610"/>
      <c r="GZI1036" s="1610"/>
      <c r="GZJ1036" s="1610"/>
      <c r="GZK1036" s="1610"/>
      <c r="GZL1036" s="1610"/>
      <c r="GZM1036" s="1610"/>
      <c r="GZN1036" s="1610"/>
      <c r="GZO1036" s="1610"/>
      <c r="GZP1036" s="1610"/>
      <c r="GZQ1036" s="1610"/>
      <c r="GZR1036" s="1610"/>
      <c r="GZS1036" s="1610"/>
      <c r="GZT1036" s="1610"/>
      <c r="GZU1036" s="1610"/>
      <c r="GZV1036" s="1610"/>
      <c r="GZW1036" s="1610"/>
      <c r="GZX1036" s="1610"/>
      <c r="GZY1036" s="1610"/>
      <c r="GZZ1036" s="1610"/>
      <c r="HAA1036" s="1610"/>
      <c r="HAB1036" s="1610"/>
      <c r="HAC1036" s="1610"/>
      <c r="HAD1036" s="1610"/>
      <c r="HAE1036" s="1610"/>
      <c r="HAF1036" s="1610"/>
      <c r="HAG1036" s="1610"/>
      <c r="HAH1036" s="1610"/>
      <c r="HAI1036" s="1610"/>
      <c r="HAJ1036" s="1610"/>
      <c r="HAK1036" s="1610"/>
      <c r="HAL1036" s="1610"/>
      <c r="HAM1036" s="1610"/>
      <c r="HAN1036" s="1610"/>
      <c r="HAO1036" s="1610"/>
      <c r="HAP1036" s="1610"/>
      <c r="HAQ1036" s="1610"/>
      <c r="HAR1036" s="1610"/>
      <c r="HAS1036" s="1610"/>
      <c r="HAT1036" s="1610"/>
      <c r="HAU1036" s="1610"/>
      <c r="HAV1036" s="1610"/>
      <c r="HAW1036" s="1610"/>
      <c r="HAX1036" s="1610"/>
      <c r="HAY1036" s="1610"/>
      <c r="HAZ1036" s="1610"/>
      <c r="HBA1036" s="1610"/>
      <c r="HBB1036" s="1610"/>
      <c r="HBC1036" s="1610"/>
      <c r="HBD1036" s="1610"/>
      <c r="HBE1036" s="1610"/>
      <c r="HBF1036" s="1610"/>
      <c r="HBG1036" s="1610"/>
      <c r="HBH1036" s="1610"/>
      <c r="HBI1036" s="1610"/>
      <c r="HBJ1036" s="1610"/>
      <c r="HBK1036" s="1610"/>
      <c r="HBL1036" s="1610"/>
      <c r="HBM1036" s="1610"/>
      <c r="HBN1036" s="1610"/>
      <c r="HBO1036" s="1610"/>
      <c r="HBP1036" s="1610"/>
      <c r="HBQ1036" s="1610"/>
      <c r="HBR1036" s="1610"/>
      <c r="HBS1036" s="1610"/>
      <c r="HBT1036" s="1610"/>
      <c r="HBU1036" s="1610"/>
      <c r="HBV1036" s="1610"/>
      <c r="HBW1036" s="1610"/>
      <c r="HBX1036" s="1610"/>
      <c r="HBY1036" s="1610"/>
      <c r="HBZ1036" s="1610"/>
      <c r="HCA1036" s="1610"/>
      <c r="HCB1036" s="1610"/>
      <c r="HCC1036" s="1610"/>
      <c r="HCD1036" s="1610"/>
      <c r="HCE1036" s="1610"/>
      <c r="HCF1036" s="1610"/>
      <c r="HCG1036" s="1610"/>
      <c r="HCH1036" s="1610"/>
      <c r="HCI1036" s="1610"/>
      <c r="HCJ1036" s="1610"/>
      <c r="HCK1036" s="1610"/>
      <c r="HCL1036" s="1610"/>
      <c r="HCM1036" s="1610"/>
      <c r="HCN1036" s="1610"/>
      <c r="HCO1036" s="1610"/>
      <c r="HCP1036" s="1610"/>
      <c r="HCQ1036" s="1610"/>
      <c r="HCR1036" s="1610"/>
      <c r="HCS1036" s="1610"/>
      <c r="HCT1036" s="1610"/>
      <c r="HCU1036" s="1610"/>
      <c r="HCV1036" s="1610"/>
      <c r="HCW1036" s="1610"/>
      <c r="HCX1036" s="1610"/>
      <c r="HCY1036" s="1610"/>
      <c r="HCZ1036" s="1610"/>
      <c r="HDA1036" s="1610"/>
      <c r="HDB1036" s="1610"/>
      <c r="HDC1036" s="1610"/>
      <c r="HDD1036" s="1610"/>
      <c r="HDE1036" s="1610"/>
      <c r="HDF1036" s="1610"/>
      <c r="HDG1036" s="1610"/>
      <c r="HDH1036" s="1610"/>
      <c r="HDI1036" s="1610"/>
      <c r="HDJ1036" s="1610"/>
      <c r="HDK1036" s="1610"/>
      <c r="HDL1036" s="1610"/>
      <c r="HDM1036" s="1610"/>
      <c r="HDN1036" s="1610"/>
      <c r="HDO1036" s="1610"/>
      <c r="HDP1036" s="1610"/>
      <c r="HDQ1036" s="1610"/>
      <c r="HDR1036" s="1610"/>
      <c r="HDS1036" s="1610"/>
      <c r="HDT1036" s="1610"/>
      <c r="HDU1036" s="1610"/>
      <c r="HDV1036" s="1610"/>
      <c r="HDW1036" s="1610"/>
      <c r="HDX1036" s="1610"/>
      <c r="HDY1036" s="1610"/>
      <c r="HDZ1036" s="1610"/>
      <c r="HEA1036" s="1610"/>
      <c r="HEB1036" s="1610"/>
      <c r="HEC1036" s="1610"/>
      <c r="HED1036" s="1610"/>
      <c r="HEE1036" s="1610"/>
      <c r="HEF1036" s="1610"/>
      <c r="HEG1036" s="1610"/>
      <c r="HEH1036" s="1610"/>
      <c r="HEI1036" s="1610"/>
      <c r="HEJ1036" s="1610"/>
      <c r="HEK1036" s="1610"/>
      <c r="HEL1036" s="1610"/>
      <c r="HEM1036" s="1610"/>
      <c r="HEN1036" s="1610"/>
      <c r="HEO1036" s="1610"/>
      <c r="HEP1036" s="1610"/>
      <c r="HEQ1036" s="1610"/>
      <c r="HER1036" s="1610"/>
      <c r="HES1036" s="1610"/>
      <c r="HET1036" s="1610"/>
      <c r="HEU1036" s="1610"/>
      <c r="HEV1036" s="1610"/>
      <c r="HEW1036" s="1610"/>
      <c r="HEX1036" s="1610"/>
      <c r="HEY1036" s="1610"/>
      <c r="HEZ1036" s="1610"/>
      <c r="HFA1036" s="1610"/>
      <c r="HFB1036" s="1610"/>
      <c r="HFC1036" s="1610"/>
      <c r="HFD1036" s="1610"/>
      <c r="HFE1036" s="1610"/>
      <c r="HFF1036" s="1610"/>
      <c r="HFG1036" s="1610"/>
      <c r="HFH1036" s="1610"/>
      <c r="HFI1036" s="1610"/>
      <c r="HFJ1036" s="1610"/>
      <c r="HFK1036" s="1610"/>
      <c r="HFL1036" s="1610"/>
      <c r="HFM1036" s="1610"/>
      <c r="HFN1036" s="1610"/>
      <c r="HFO1036" s="1610"/>
      <c r="HFP1036" s="1610"/>
      <c r="HFQ1036" s="1610"/>
      <c r="HFR1036" s="1610"/>
      <c r="HFS1036" s="1610"/>
      <c r="HFT1036" s="1610"/>
      <c r="HFU1036" s="1610"/>
      <c r="HFV1036" s="1610"/>
      <c r="HFW1036" s="1610"/>
      <c r="HFX1036" s="1610"/>
      <c r="HFY1036" s="1610"/>
      <c r="HFZ1036" s="1610"/>
      <c r="HGA1036" s="1610"/>
      <c r="HGB1036" s="1610"/>
      <c r="HGC1036" s="1610"/>
      <c r="HGD1036" s="1610"/>
      <c r="HGE1036" s="1610"/>
      <c r="HGF1036" s="1610"/>
      <c r="HGG1036" s="1610"/>
      <c r="HGH1036" s="1610"/>
      <c r="HGI1036" s="1610"/>
      <c r="HGJ1036" s="1610"/>
      <c r="HGK1036" s="1610"/>
      <c r="HGL1036" s="1610"/>
      <c r="HGM1036" s="1610"/>
      <c r="HGN1036" s="1610"/>
      <c r="HGO1036" s="1610"/>
      <c r="HGP1036" s="1610"/>
      <c r="HGQ1036" s="1610"/>
      <c r="HGR1036" s="1610"/>
      <c r="HGS1036" s="1610"/>
      <c r="HGT1036" s="1610"/>
      <c r="HGU1036" s="1610"/>
      <c r="HGV1036" s="1610"/>
      <c r="HGW1036" s="1610"/>
      <c r="HGX1036" s="1610"/>
      <c r="HGY1036" s="1610"/>
      <c r="HGZ1036" s="1610"/>
      <c r="HHA1036" s="1610"/>
      <c r="HHB1036" s="1610"/>
      <c r="HHC1036" s="1610"/>
      <c r="HHD1036" s="1610"/>
      <c r="HHE1036" s="1610"/>
      <c r="HHF1036" s="1610"/>
      <c r="HHG1036" s="1610"/>
      <c r="HHH1036" s="1610"/>
      <c r="HHI1036" s="1610"/>
      <c r="HHJ1036" s="1610"/>
      <c r="HHK1036" s="1610"/>
      <c r="HHL1036" s="1610"/>
      <c r="HHM1036" s="1610"/>
      <c r="HHN1036" s="1610"/>
      <c r="HHO1036" s="1610"/>
      <c r="HHP1036" s="1610"/>
      <c r="HHQ1036" s="1610"/>
      <c r="HHR1036" s="1610"/>
      <c r="HHS1036" s="1610"/>
      <c r="HHT1036" s="1610"/>
      <c r="HHU1036" s="1610"/>
      <c r="HHV1036" s="1610"/>
      <c r="HHW1036" s="1610"/>
      <c r="HHX1036" s="1610"/>
      <c r="HHY1036" s="1610"/>
      <c r="HHZ1036" s="1610"/>
      <c r="HIA1036" s="1610"/>
      <c r="HIB1036" s="1610"/>
      <c r="HIC1036" s="1610"/>
      <c r="HID1036" s="1610"/>
      <c r="HIE1036" s="1610"/>
      <c r="HIF1036" s="1610"/>
      <c r="HIG1036" s="1610"/>
      <c r="HIH1036" s="1610"/>
      <c r="HII1036" s="1610"/>
      <c r="HIJ1036" s="1610"/>
      <c r="HIK1036" s="1610"/>
      <c r="HIL1036" s="1610"/>
      <c r="HIM1036" s="1610"/>
      <c r="HIN1036" s="1610"/>
      <c r="HIO1036" s="1610"/>
      <c r="HIP1036" s="1610"/>
      <c r="HIQ1036" s="1610"/>
      <c r="HIR1036" s="1610"/>
      <c r="HIS1036" s="1610"/>
      <c r="HIT1036" s="1610"/>
      <c r="HIU1036" s="1610"/>
      <c r="HIV1036" s="1610"/>
      <c r="HIW1036" s="1610"/>
      <c r="HIX1036" s="1610"/>
      <c r="HIY1036" s="1610"/>
      <c r="HIZ1036" s="1610"/>
      <c r="HJA1036" s="1610"/>
      <c r="HJB1036" s="1610"/>
      <c r="HJC1036" s="1610"/>
      <c r="HJD1036" s="1610"/>
      <c r="HJE1036" s="1610"/>
      <c r="HJF1036" s="1610"/>
      <c r="HJG1036" s="1610"/>
      <c r="HJH1036" s="1610"/>
      <c r="HJI1036" s="1610"/>
      <c r="HJJ1036" s="1610"/>
      <c r="HJK1036" s="1610"/>
      <c r="HJL1036" s="1610"/>
      <c r="HJM1036" s="1610"/>
      <c r="HJN1036" s="1610"/>
      <c r="HJO1036" s="1610"/>
      <c r="HJP1036" s="1610"/>
      <c r="HJQ1036" s="1610"/>
      <c r="HJR1036" s="1610"/>
      <c r="HJS1036" s="1610"/>
      <c r="HJT1036" s="1610"/>
      <c r="HJU1036" s="1610"/>
      <c r="HJV1036" s="1610"/>
      <c r="HJW1036" s="1610"/>
      <c r="HJX1036" s="1610"/>
      <c r="HJY1036" s="1610"/>
      <c r="HJZ1036" s="1610"/>
      <c r="HKA1036" s="1610"/>
      <c r="HKB1036" s="1610"/>
      <c r="HKC1036" s="1610"/>
      <c r="HKD1036" s="1610"/>
      <c r="HKE1036" s="1610"/>
      <c r="HKF1036" s="1610"/>
      <c r="HKG1036" s="1610"/>
      <c r="HKH1036" s="1610"/>
      <c r="HKI1036" s="1610"/>
      <c r="HKJ1036" s="1610"/>
      <c r="HKK1036" s="1610"/>
      <c r="HKL1036" s="1610"/>
      <c r="HKM1036" s="1610"/>
      <c r="HKN1036" s="1610"/>
      <c r="HKO1036" s="1610"/>
      <c r="HKP1036" s="1610"/>
      <c r="HKQ1036" s="1610"/>
      <c r="HKR1036" s="1610"/>
      <c r="HKS1036" s="1610"/>
      <c r="HKT1036" s="1610"/>
      <c r="HKU1036" s="1610"/>
      <c r="HKV1036" s="1610"/>
      <c r="HKW1036" s="1610"/>
      <c r="HKX1036" s="1610"/>
      <c r="HKY1036" s="1610"/>
      <c r="HKZ1036" s="1610"/>
      <c r="HLA1036" s="1610"/>
      <c r="HLB1036" s="1610"/>
      <c r="HLC1036" s="1610"/>
      <c r="HLD1036" s="1610"/>
      <c r="HLE1036" s="1610"/>
      <c r="HLF1036" s="1610"/>
      <c r="HLG1036" s="1610"/>
      <c r="HLH1036" s="1610"/>
      <c r="HLI1036" s="1610"/>
      <c r="HLJ1036" s="1610"/>
      <c r="HLK1036" s="1610"/>
      <c r="HLL1036" s="1610"/>
      <c r="HLM1036" s="1610"/>
      <c r="HLN1036" s="1610"/>
      <c r="HLO1036" s="1610"/>
      <c r="HLP1036" s="1610"/>
      <c r="HLQ1036" s="1610"/>
      <c r="HLR1036" s="1610"/>
      <c r="HLS1036" s="1610"/>
      <c r="HLT1036" s="1610"/>
      <c r="HLU1036" s="1610"/>
      <c r="HLV1036" s="1610"/>
      <c r="HLW1036" s="1610"/>
      <c r="HLX1036" s="1610"/>
      <c r="HLY1036" s="1610"/>
      <c r="HLZ1036" s="1610"/>
      <c r="HMA1036" s="1610"/>
      <c r="HMB1036" s="1610"/>
      <c r="HMC1036" s="1610"/>
      <c r="HMD1036" s="1610"/>
      <c r="HME1036" s="1610"/>
      <c r="HMF1036" s="1610"/>
      <c r="HMG1036" s="1610"/>
      <c r="HMH1036" s="1610"/>
      <c r="HMI1036" s="1610"/>
      <c r="HMJ1036" s="1610"/>
      <c r="HMK1036" s="1610"/>
      <c r="HML1036" s="1610"/>
      <c r="HMM1036" s="1610"/>
      <c r="HMN1036" s="1610"/>
      <c r="HMO1036" s="1610"/>
      <c r="HMP1036" s="1610"/>
      <c r="HMQ1036" s="1610"/>
      <c r="HMR1036" s="1610"/>
      <c r="HMS1036" s="1610"/>
      <c r="HMT1036" s="1610"/>
      <c r="HMU1036" s="1610"/>
      <c r="HMV1036" s="1610"/>
      <c r="HMW1036" s="1610"/>
      <c r="HMX1036" s="1610"/>
      <c r="HMY1036" s="1610"/>
      <c r="HMZ1036" s="1610"/>
      <c r="HNA1036" s="1610"/>
      <c r="HNB1036" s="1610"/>
      <c r="HNC1036" s="1610"/>
      <c r="HND1036" s="1610"/>
      <c r="HNE1036" s="1610"/>
      <c r="HNF1036" s="1610"/>
      <c r="HNG1036" s="1610"/>
      <c r="HNH1036" s="1610"/>
      <c r="HNI1036" s="1610"/>
      <c r="HNJ1036" s="1610"/>
      <c r="HNK1036" s="1610"/>
      <c r="HNL1036" s="1610"/>
      <c r="HNM1036" s="1610"/>
      <c r="HNN1036" s="1610"/>
      <c r="HNO1036" s="1610"/>
      <c r="HNP1036" s="1610"/>
      <c r="HNQ1036" s="1610"/>
      <c r="HNR1036" s="1610"/>
      <c r="HNS1036" s="1610"/>
      <c r="HNT1036" s="1610"/>
      <c r="HNU1036" s="1610"/>
      <c r="HNV1036" s="1610"/>
      <c r="HNW1036" s="1610"/>
      <c r="HNX1036" s="1610"/>
      <c r="HNY1036" s="1610"/>
      <c r="HNZ1036" s="1610"/>
      <c r="HOA1036" s="1610"/>
      <c r="HOB1036" s="1610"/>
      <c r="HOC1036" s="1610"/>
      <c r="HOD1036" s="1610"/>
      <c r="HOE1036" s="1610"/>
      <c r="HOF1036" s="1610"/>
      <c r="HOG1036" s="1610"/>
      <c r="HOH1036" s="1610"/>
      <c r="HOI1036" s="1610"/>
      <c r="HOJ1036" s="1610"/>
      <c r="HOK1036" s="1610"/>
      <c r="HOL1036" s="1610"/>
      <c r="HOM1036" s="1610"/>
      <c r="HON1036" s="1610"/>
      <c r="HOO1036" s="1610"/>
      <c r="HOP1036" s="1610"/>
      <c r="HOQ1036" s="1610"/>
      <c r="HOR1036" s="1610"/>
      <c r="HOS1036" s="1610"/>
      <c r="HOT1036" s="1610"/>
      <c r="HOU1036" s="1610"/>
      <c r="HOV1036" s="1610"/>
      <c r="HOW1036" s="1610"/>
      <c r="HOX1036" s="1610"/>
      <c r="HOY1036" s="1610"/>
      <c r="HOZ1036" s="1610"/>
      <c r="HPA1036" s="1610"/>
      <c r="HPB1036" s="1610"/>
      <c r="HPC1036" s="1610"/>
      <c r="HPD1036" s="1610"/>
      <c r="HPE1036" s="1610"/>
      <c r="HPF1036" s="1610"/>
      <c r="HPG1036" s="1610"/>
      <c r="HPH1036" s="1610"/>
      <c r="HPI1036" s="1610"/>
      <c r="HPJ1036" s="1610"/>
      <c r="HPK1036" s="1610"/>
      <c r="HPL1036" s="1610"/>
      <c r="HPM1036" s="1610"/>
      <c r="HPN1036" s="1610"/>
      <c r="HPO1036" s="1610"/>
      <c r="HPP1036" s="1610"/>
      <c r="HPQ1036" s="1610"/>
      <c r="HPR1036" s="1610"/>
      <c r="HPS1036" s="1610"/>
      <c r="HPT1036" s="1610"/>
      <c r="HPU1036" s="1610"/>
      <c r="HPV1036" s="1610"/>
      <c r="HPW1036" s="1610"/>
      <c r="HPX1036" s="1610"/>
      <c r="HPY1036" s="1610"/>
      <c r="HPZ1036" s="1610"/>
      <c r="HQA1036" s="1610"/>
      <c r="HQB1036" s="1610"/>
      <c r="HQC1036" s="1610"/>
      <c r="HQD1036" s="1610"/>
      <c r="HQE1036" s="1610"/>
      <c r="HQF1036" s="1610"/>
      <c r="HQG1036" s="1610"/>
      <c r="HQH1036" s="1610"/>
      <c r="HQI1036" s="1610"/>
      <c r="HQJ1036" s="1610"/>
      <c r="HQK1036" s="1610"/>
      <c r="HQL1036" s="1610"/>
      <c r="HQM1036" s="1610"/>
      <c r="HQN1036" s="1610"/>
      <c r="HQO1036" s="1610"/>
      <c r="HQP1036" s="1610"/>
      <c r="HQQ1036" s="1610"/>
      <c r="HQR1036" s="1610"/>
      <c r="HQS1036" s="1610"/>
      <c r="HQT1036" s="1610"/>
      <c r="HQU1036" s="1610"/>
      <c r="HQV1036" s="1610"/>
      <c r="HQW1036" s="1610"/>
      <c r="HQX1036" s="1610"/>
      <c r="HQY1036" s="1610"/>
      <c r="HQZ1036" s="1610"/>
      <c r="HRA1036" s="1610"/>
      <c r="HRB1036" s="1610"/>
      <c r="HRC1036" s="1610"/>
      <c r="HRD1036" s="1610"/>
      <c r="HRE1036" s="1610"/>
      <c r="HRF1036" s="1610"/>
      <c r="HRG1036" s="1610"/>
      <c r="HRH1036" s="1610"/>
      <c r="HRI1036" s="1610"/>
      <c r="HRJ1036" s="1610"/>
      <c r="HRK1036" s="1610"/>
      <c r="HRL1036" s="1610"/>
      <c r="HRM1036" s="1610"/>
      <c r="HRN1036" s="1610"/>
      <c r="HRO1036" s="1610"/>
      <c r="HRP1036" s="1610"/>
      <c r="HRQ1036" s="1610"/>
      <c r="HRR1036" s="1610"/>
      <c r="HRS1036" s="1610"/>
      <c r="HRT1036" s="1610"/>
      <c r="HRU1036" s="1610"/>
      <c r="HRV1036" s="1610"/>
      <c r="HRW1036" s="1610"/>
      <c r="HRX1036" s="1610"/>
      <c r="HRY1036" s="1610"/>
      <c r="HRZ1036" s="1610"/>
      <c r="HSA1036" s="1610"/>
      <c r="HSB1036" s="1610"/>
      <c r="HSC1036" s="1610"/>
      <c r="HSD1036" s="1610"/>
      <c r="HSE1036" s="1610"/>
      <c r="HSF1036" s="1610"/>
      <c r="HSG1036" s="1610"/>
      <c r="HSH1036" s="1610"/>
      <c r="HSI1036" s="1610"/>
      <c r="HSJ1036" s="1610"/>
      <c r="HSK1036" s="1610"/>
      <c r="HSL1036" s="1610"/>
      <c r="HSM1036" s="1610"/>
      <c r="HSN1036" s="1610"/>
      <c r="HSO1036" s="1610"/>
      <c r="HSP1036" s="1610"/>
      <c r="HSQ1036" s="1610"/>
      <c r="HSR1036" s="1610"/>
      <c r="HSS1036" s="1610"/>
      <c r="HST1036" s="1610"/>
      <c r="HSU1036" s="1610"/>
      <c r="HSV1036" s="1610"/>
      <c r="HSW1036" s="1610"/>
      <c r="HSX1036" s="1610"/>
      <c r="HSY1036" s="1610"/>
      <c r="HSZ1036" s="1610"/>
      <c r="HTA1036" s="1610"/>
      <c r="HTB1036" s="1610"/>
      <c r="HTC1036" s="1610"/>
      <c r="HTD1036" s="1610"/>
      <c r="HTE1036" s="1610"/>
      <c r="HTF1036" s="1610"/>
      <c r="HTG1036" s="1610"/>
      <c r="HTH1036" s="1610"/>
      <c r="HTI1036" s="1610"/>
      <c r="HTJ1036" s="1610"/>
      <c r="HTK1036" s="1610"/>
      <c r="HTL1036" s="1610"/>
      <c r="HTM1036" s="1610"/>
      <c r="HTN1036" s="1610"/>
      <c r="HTO1036" s="1610"/>
      <c r="HTP1036" s="1610"/>
      <c r="HTQ1036" s="1610"/>
      <c r="HTR1036" s="1610"/>
      <c r="HTS1036" s="1610"/>
      <c r="HTT1036" s="1610"/>
      <c r="HTU1036" s="1610"/>
      <c r="HTV1036" s="1610"/>
      <c r="HTW1036" s="1610"/>
      <c r="HTX1036" s="1610"/>
      <c r="HTY1036" s="1610"/>
      <c r="HTZ1036" s="1610"/>
      <c r="HUA1036" s="1610"/>
      <c r="HUB1036" s="1610"/>
      <c r="HUC1036" s="1610"/>
      <c r="HUD1036" s="1610"/>
      <c r="HUE1036" s="1610"/>
      <c r="HUF1036" s="1610"/>
      <c r="HUG1036" s="1610"/>
      <c r="HUH1036" s="1610"/>
      <c r="HUI1036" s="1610"/>
      <c r="HUJ1036" s="1610"/>
      <c r="HUK1036" s="1610"/>
      <c r="HUL1036" s="1610"/>
      <c r="HUM1036" s="1610"/>
      <c r="HUN1036" s="1610"/>
      <c r="HUO1036" s="1610"/>
      <c r="HUP1036" s="1610"/>
      <c r="HUQ1036" s="1610"/>
      <c r="HUR1036" s="1610"/>
      <c r="HUS1036" s="1610"/>
      <c r="HUT1036" s="1610"/>
      <c r="HUU1036" s="1610"/>
      <c r="HUV1036" s="1610"/>
      <c r="HUW1036" s="1610"/>
      <c r="HUX1036" s="1610"/>
      <c r="HUY1036" s="1610"/>
      <c r="HUZ1036" s="1610"/>
      <c r="HVA1036" s="1610"/>
      <c r="HVB1036" s="1610"/>
      <c r="HVC1036" s="1610"/>
      <c r="HVD1036" s="1610"/>
      <c r="HVE1036" s="1610"/>
      <c r="HVF1036" s="1610"/>
      <c r="HVG1036" s="1610"/>
      <c r="HVH1036" s="1610"/>
      <c r="HVI1036" s="1610"/>
      <c r="HVJ1036" s="1610"/>
      <c r="HVK1036" s="1610"/>
      <c r="HVL1036" s="1610"/>
      <c r="HVM1036" s="1610"/>
      <c r="HVN1036" s="1610"/>
      <c r="HVO1036" s="1610"/>
      <c r="HVP1036" s="1610"/>
      <c r="HVQ1036" s="1610"/>
      <c r="HVR1036" s="1610"/>
      <c r="HVS1036" s="1610"/>
      <c r="HVT1036" s="1610"/>
      <c r="HVU1036" s="1610"/>
      <c r="HVV1036" s="1610"/>
      <c r="HVW1036" s="1610"/>
      <c r="HVX1036" s="1610"/>
      <c r="HVY1036" s="1610"/>
      <c r="HVZ1036" s="1610"/>
      <c r="HWA1036" s="1610"/>
      <c r="HWB1036" s="1610"/>
      <c r="HWC1036" s="1610"/>
      <c r="HWD1036" s="1610"/>
      <c r="HWE1036" s="1610"/>
      <c r="HWF1036" s="1610"/>
      <c r="HWG1036" s="1610"/>
      <c r="HWH1036" s="1610"/>
      <c r="HWI1036" s="1610"/>
      <c r="HWJ1036" s="1610"/>
      <c r="HWK1036" s="1610"/>
      <c r="HWL1036" s="1610"/>
      <c r="HWM1036" s="1610"/>
      <c r="HWN1036" s="1610"/>
      <c r="HWO1036" s="1610"/>
      <c r="HWP1036" s="1610"/>
      <c r="HWQ1036" s="1610"/>
      <c r="HWR1036" s="1610"/>
      <c r="HWS1036" s="1610"/>
      <c r="HWT1036" s="1610"/>
      <c r="HWU1036" s="1610"/>
      <c r="HWV1036" s="1610"/>
      <c r="HWW1036" s="1610"/>
      <c r="HWX1036" s="1610"/>
      <c r="HWY1036" s="1610"/>
      <c r="HWZ1036" s="1610"/>
      <c r="HXA1036" s="1610"/>
      <c r="HXB1036" s="1610"/>
      <c r="HXC1036" s="1610"/>
      <c r="HXD1036" s="1610"/>
      <c r="HXE1036" s="1610"/>
      <c r="HXF1036" s="1610"/>
      <c r="HXG1036" s="1610"/>
      <c r="HXH1036" s="1610"/>
      <c r="HXI1036" s="1610"/>
      <c r="HXJ1036" s="1610"/>
      <c r="HXK1036" s="1610"/>
      <c r="HXL1036" s="1610"/>
      <c r="HXM1036" s="1610"/>
      <c r="HXN1036" s="1610"/>
      <c r="HXO1036" s="1610"/>
      <c r="HXP1036" s="1610"/>
      <c r="HXQ1036" s="1610"/>
      <c r="HXR1036" s="1610"/>
      <c r="HXS1036" s="1610"/>
      <c r="HXT1036" s="1610"/>
      <c r="HXU1036" s="1610"/>
      <c r="HXV1036" s="1610"/>
      <c r="HXW1036" s="1610"/>
      <c r="HXX1036" s="1610"/>
      <c r="HXY1036" s="1610"/>
      <c r="HXZ1036" s="1610"/>
      <c r="HYA1036" s="1610"/>
      <c r="HYB1036" s="1610"/>
      <c r="HYC1036" s="1610"/>
      <c r="HYD1036" s="1610"/>
      <c r="HYE1036" s="1610"/>
      <c r="HYF1036" s="1610"/>
      <c r="HYG1036" s="1610"/>
      <c r="HYH1036" s="1610"/>
      <c r="HYI1036" s="1610"/>
      <c r="HYJ1036" s="1610"/>
      <c r="HYK1036" s="1610"/>
      <c r="HYL1036" s="1610"/>
      <c r="HYM1036" s="1610"/>
      <c r="HYN1036" s="1610"/>
      <c r="HYO1036" s="1610"/>
      <c r="HYP1036" s="1610"/>
      <c r="HYQ1036" s="1610"/>
      <c r="HYR1036" s="1610"/>
      <c r="HYS1036" s="1610"/>
      <c r="HYT1036" s="1610"/>
      <c r="HYU1036" s="1610"/>
      <c r="HYV1036" s="1610"/>
      <c r="HYW1036" s="1610"/>
      <c r="HYX1036" s="1610"/>
      <c r="HYY1036" s="1610"/>
      <c r="HYZ1036" s="1610"/>
      <c r="HZA1036" s="1610"/>
      <c r="HZB1036" s="1610"/>
      <c r="HZC1036" s="1610"/>
      <c r="HZD1036" s="1610"/>
      <c r="HZE1036" s="1610"/>
      <c r="HZF1036" s="1610"/>
      <c r="HZG1036" s="1610"/>
      <c r="HZH1036" s="1610"/>
      <c r="HZI1036" s="1610"/>
      <c r="HZJ1036" s="1610"/>
      <c r="HZK1036" s="1610"/>
      <c r="HZL1036" s="1610"/>
      <c r="HZM1036" s="1610"/>
      <c r="HZN1036" s="1610"/>
      <c r="HZO1036" s="1610"/>
      <c r="HZP1036" s="1610"/>
      <c r="HZQ1036" s="1610"/>
      <c r="HZR1036" s="1610"/>
      <c r="HZS1036" s="1610"/>
      <c r="HZT1036" s="1610"/>
      <c r="HZU1036" s="1610"/>
      <c r="HZV1036" s="1610"/>
      <c r="HZW1036" s="1610"/>
      <c r="HZX1036" s="1610"/>
      <c r="HZY1036" s="1610"/>
      <c r="HZZ1036" s="1610"/>
      <c r="IAA1036" s="1610"/>
      <c r="IAB1036" s="1610"/>
      <c r="IAC1036" s="1610"/>
      <c r="IAD1036" s="1610"/>
      <c r="IAE1036" s="1610"/>
      <c r="IAF1036" s="1610"/>
      <c r="IAG1036" s="1610"/>
      <c r="IAH1036" s="1610"/>
      <c r="IAI1036" s="1610"/>
      <c r="IAJ1036" s="1610"/>
      <c r="IAK1036" s="1610"/>
      <c r="IAL1036" s="1610"/>
      <c r="IAM1036" s="1610"/>
      <c r="IAN1036" s="1610"/>
      <c r="IAO1036" s="1610"/>
      <c r="IAP1036" s="1610"/>
      <c r="IAQ1036" s="1610"/>
      <c r="IAR1036" s="1610"/>
      <c r="IAS1036" s="1610"/>
      <c r="IAT1036" s="1610"/>
      <c r="IAU1036" s="1610"/>
      <c r="IAV1036" s="1610"/>
      <c r="IAW1036" s="1610"/>
      <c r="IAX1036" s="1610"/>
      <c r="IAY1036" s="1610"/>
      <c r="IAZ1036" s="1610"/>
      <c r="IBA1036" s="1610"/>
      <c r="IBB1036" s="1610"/>
      <c r="IBC1036" s="1610"/>
      <c r="IBD1036" s="1610"/>
      <c r="IBE1036" s="1610"/>
      <c r="IBF1036" s="1610"/>
      <c r="IBG1036" s="1610"/>
      <c r="IBH1036" s="1610"/>
      <c r="IBI1036" s="1610"/>
      <c r="IBJ1036" s="1610"/>
      <c r="IBK1036" s="1610"/>
      <c r="IBL1036" s="1610"/>
      <c r="IBM1036" s="1610"/>
      <c r="IBN1036" s="1610"/>
      <c r="IBO1036" s="1610"/>
      <c r="IBP1036" s="1610"/>
      <c r="IBQ1036" s="1610"/>
      <c r="IBR1036" s="1610"/>
      <c r="IBS1036" s="1610"/>
      <c r="IBT1036" s="1610"/>
      <c r="IBU1036" s="1610"/>
      <c r="IBV1036" s="1610"/>
      <c r="IBW1036" s="1610"/>
      <c r="IBX1036" s="1610"/>
      <c r="IBY1036" s="1610"/>
      <c r="IBZ1036" s="1610"/>
      <c r="ICA1036" s="1610"/>
      <c r="ICB1036" s="1610"/>
      <c r="ICC1036" s="1610"/>
      <c r="ICD1036" s="1610"/>
      <c r="ICE1036" s="1610"/>
      <c r="ICF1036" s="1610"/>
      <c r="ICG1036" s="1610"/>
      <c r="ICH1036" s="1610"/>
      <c r="ICI1036" s="1610"/>
      <c r="ICJ1036" s="1610"/>
      <c r="ICK1036" s="1610"/>
      <c r="ICL1036" s="1610"/>
      <c r="ICM1036" s="1610"/>
      <c r="ICN1036" s="1610"/>
      <c r="ICO1036" s="1610"/>
      <c r="ICP1036" s="1610"/>
      <c r="ICQ1036" s="1610"/>
      <c r="ICR1036" s="1610"/>
      <c r="ICS1036" s="1610"/>
      <c r="ICT1036" s="1610"/>
      <c r="ICU1036" s="1610"/>
      <c r="ICV1036" s="1610"/>
      <c r="ICW1036" s="1610"/>
      <c r="ICX1036" s="1610"/>
      <c r="ICY1036" s="1610"/>
      <c r="ICZ1036" s="1610"/>
      <c r="IDA1036" s="1610"/>
      <c r="IDB1036" s="1610"/>
      <c r="IDC1036" s="1610"/>
      <c r="IDD1036" s="1610"/>
      <c r="IDE1036" s="1610"/>
      <c r="IDF1036" s="1610"/>
      <c r="IDG1036" s="1610"/>
      <c r="IDH1036" s="1610"/>
      <c r="IDI1036" s="1610"/>
      <c r="IDJ1036" s="1610"/>
      <c r="IDK1036" s="1610"/>
      <c r="IDL1036" s="1610"/>
      <c r="IDM1036" s="1610"/>
      <c r="IDN1036" s="1610"/>
      <c r="IDO1036" s="1610"/>
      <c r="IDP1036" s="1610"/>
      <c r="IDQ1036" s="1610"/>
      <c r="IDR1036" s="1610"/>
      <c r="IDS1036" s="1610"/>
      <c r="IDT1036" s="1610"/>
      <c r="IDU1036" s="1610"/>
      <c r="IDV1036" s="1610"/>
      <c r="IDW1036" s="1610"/>
      <c r="IDX1036" s="1610"/>
      <c r="IDY1036" s="1610"/>
      <c r="IDZ1036" s="1610"/>
      <c r="IEA1036" s="1610"/>
      <c r="IEB1036" s="1610"/>
      <c r="IEC1036" s="1610"/>
      <c r="IED1036" s="1610"/>
      <c r="IEE1036" s="1610"/>
      <c r="IEF1036" s="1610"/>
      <c r="IEG1036" s="1610"/>
      <c r="IEH1036" s="1610"/>
      <c r="IEI1036" s="1610"/>
      <c r="IEJ1036" s="1610"/>
      <c r="IEK1036" s="1610"/>
      <c r="IEL1036" s="1610"/>
      <c r="IEM1036" s="1610"/>
      <c r="IEN1036" s="1610"/>
      <c r="IEO1036" s="1610"/>
      <c r="IEP1036" s="1610"/>
      <c r="IEQ1036" s="1610"/>
      <c r="IER1036" s="1610"/>
      <c r="IES1036" s="1610"/>
      <c r="IET1036" s="1610"/>
      <c r="IEU1036" s="1610"/>
      <c r="IEV1036" s="1610"/>
      <c r="IEW1036" s="1610"/>
      <c r="IEX1036" s="1610"/>
      <c r="IEY1036" s="1610"/>
      <c r="IEZ1036" s="1610"/>
      <c r="IFA1036" s="1610"/>
      <c r="IFB1036" s="1610"/>
      <c r="IFC1036" s="1610"/>
      <c r="IFD1036" s="1610"/>
      <c r="IFE1036" s="1610"/>
      <c r="IFF1036" s="1610"/>
      <c r="IFG1036" s="1610"/>
      <c r="IFH1036" s="1610"/>
      <c r="IFI1036" s="1610"/>
      <c r="IFJ1036" s="1610"/>
      <c r="IFK1036" s="1610"/>
      <c r="IFL1036" s="1610"/>
      <c r="IFM1036" s="1610"/>
      <c r="IFN1036" s="1610"/>
      <c r="IFO1036" s="1610"/>
      <c r="IFP1036" s="1610"/>
      <c r="IFQ1036" s="1610"/>
      <c r="IFR1036" s="1610"/>
      <c r="IFS1036" s="1610"/>
      <c r="IFT1036" s="1610"/>
      <c r="IFU1036" s="1610"/>
      <c r="IFV1036" s="1610"/>
      <c r="IFW1036" s="1610"/>
      <c r="IFX1036" s="1610"/>
      <c r="IFY1036" s="1610"/>
      <c r="IFZ1036" s="1610"/>
      <c r="IGA1036" s="1610"/>
      <c r="IGB1036" s="1610"/>
      <c r="IGC1036" s="1610"/>
      <c r="IGD1036" s="1610"/>
      <c r="IGE1036" s="1610"/>
      <c r="IGF1036" s="1610"/>
      <c r="IGG1036" s="1610"/>
      <c r="IGH1036" s="1610"/>
      <c r="IGI1036" s="1610"/>
      <c r="IGJ1036" s="1610"/>
      <c r="IGK1036" s="1610"/>
      <c r="IGL1036" s="1610"/>
      <c r="IGM1036" s="1610"/>
      <c r="IGN1036" s="1610"/>
      <c r="IGO1036" s="1610"/>
      <c r="IGP1036" s="1610"/>
      <c r="IGQ1036" s="1610"/>
      <c r="IGR1036" s="1610"/>
      <c r="IGS1036" s="1610"/>
      <c r="IGT1036" s="1610"/>
      <c r="IGU1036" s="1610"/>
      <c r="IGV1036" s="1610"/>
      <c r="IGW1036" s="1610"/>
      <c r="IGX1036" s="1610"/>
      <c r="IGY1036" s="1610"/>
      <c r="IGZ1036" s="1610"/>
      <c r="IHA1036" s="1610"/>
      <c r="IHB1036" s="1610"/>
      <c r="IHC1036" s="1610"/>
      <c r="IHD1036" s="1610"/>
      <c r="IHE1036" s="1610"/>
      <c r="IHF1036" s="1610"/>
      <c r="IHG1036" s="1610"/>
      <c r="IHH1036" s="1610"/>
      <c r="IHI1036" s="1610"/>
      <c r="IHJ1036" s="1610"/>
      <c r="IHK1036" s="1610"/>
      <c r="IHL1036" s="1610"/>
      <c r="IHM1036" s="1610"/>
      <c r="IHN1036" s="1610"/>
      <c r="IHO1036" s="1610"/>
      <c r="IHP1036" s="1610"/>
      <c r="IHQ1036" s="1610"/>
      <c r="IHR1036" s="1610"/>
      <c r="IHS1036" s="1610"/>
      <c r="IHT1036" s="1610"/>
      <c r="IHU1036" s="1610"/>
      <c r="IHV1036" s="1610"/>
      <c r="IHW1036" s="1610"/>
      <c r="IHX1036" s="1610"/>
      <c r="IHY1036" s="1610"/>
      <c r="IHZ1036" s="1610"/>
      <c r="IIA1036" s="1610"/>
      <c r="IIB1036" s="1610"/>
      <c r="IIC1036" s="1610"/>
      <c r="IID1036" s="1610"/>
      <c r="IIE1036" s="1610"/>
      <c r="IIF1036" s="1610"/>
      <c r="IIG1036" s="1610"/>
      <c r="IIH1036" s="1610"/>
      <c r="III1036" s="1610"/>
      <c r="IIJ1036" s="1610"/>
      <c r="IIK1036" s="1610"/>
      <c r="IIL1036" s="1610"/>
      <c r="IIM1036" s="1610"/>
      <c r="IIN1036" s="1610"/>
      <c r="IIO1036" s="1610"/>
      <c r="IIP1036" s="1610"/>
      <c r="IIQ1036" s="1610"/>
      <c r="IIR1036" s="1610"/>
      <c r="IIS1036" s="1610"/>
      <c r="IIT1036" s="1610"/>
      <c r="IIU1036" s="1610"/>
      <c r="IIV1036" s="1610"/>
      <c r="IIW1036" s="1610"/>
      <c r="IIX1036" s="1610"/>
      <c r="IIY1036" s="1610"/>
      <c r="IIZ1036" s="1610"/>
      <c r="IJA1036" s="1610"/>
      <c r="IJB1036" s="1610"/>
      <c r="IJC1036" s="1610"/>
      <c r="IJD1036" s="1610"/>
      <c r="IJE1036" s="1610"/>
      <c r="IJF1036" s="1610"/>
      <c r="IJG1036" s="1610"/>
      <c r="IJH1036" s="1610"/>
      <c r="IJI1036" s="1610"/>
      <c r="IJJ1036" s="1610"/>
      <c r="IJK1036" s="1610"/>
      <c r="IJL1036" s="1610"/>
      <c r="IJM1036" s="1610"/>
      <c r="IJN1036" s="1610"/>
      <c r="IJO1036" s="1610"/>
      <c r="IJP1036" s="1610"/>
      <c r="IJQ1036" s="1610"/>
      <c r="IJR1036" s="1610"/>
      <c r="IJS1036" s="1610"/>
      <c r="IJT1036" s="1610"/>
      <c r="IJU1036" s="1610"/>
      <c r="IJV1036" s="1610"/>
      <c r="IJW1036" s="1610"/>
      <c r="IJX1036" s="1610"/>
      <c r="IJY1036" s="1610"/>
      <c r="IJZ1036" s="1610"/>
      <c r="IKA1036" s="1610"/>
      <c r="IKB1036" s="1610"/>
      <c r="IKC1036" s="1610"/>
      <c r="IKD1036" s="1610"/>
      <c r="IKE1036" s="1610"/>
      <c r="IKF1036" s="1610"/>
      <c r="IKG1036" s="1610"/>
      <c r="IKH1036" s="1610"/>
      <c r="IKI1036" s="1610"/>
      <c r="IKJ1036" s="1610"/>
      <c r="IKK1036" s="1610"/>
      <c r="IKL1036" s="1610"/>
      <c r="IKM1036" s="1610"/>
      <c r="IKN1036" s="1610"/>
      <c r="IKO1036" s="1610"/>
      <c r="IKP1036" s="1610"/>
      <c r="IKQ1036" s="1610"/>
      <c r="IKR1036" s="1610"/>
      <c r="IKS1036" s="1610"/>
      <c r="IKT1036" s="1610"/>
      <c r="IKU1036" s="1610"/>
      <c r="IKV1036" s="1610"/>
      <c r="IKW1036" s="1610"/>
      <c r="IKX1036" s="1610"/>
      <c r="IKY1036" s="1610"/>
      <c r="IKZ1036" s="1610"/>
      <c r="ILA1036" s="1610"/>
      <c r="ILB1036" s="1610"/>
      <c r="ILC1036" s="1610"/>
      <c r="ILD1036" s="1610"/>
      <c r="ILE1036" s="1610"/>
      <c r="ILF1036" s="1610"/>
      <c r="ILG1036" s="1610"/>
      <c r="ILH1036" s="1610"/>
      <c r="ILI1036" s="1610"/>
      <c r="ILJ1036" s="1610"/>
      <c r="ILK1036" s="1610"/>
      <c r="ILL1036" s="1610"/>
      <c r="ILM1036" s="1610"/>
      <c r="ILN1036" s="1610"/>
      <c r="ILO1036" s="1610"/>
      <c r="ILP1036" s="1610"/>
      <c r="ILQ1036" s="1610"/>
      <c r="ILR1036" s="1610"/>
      <c r="ILS1036" s="1610"/>
      <c r="ILT1036" s="1610"/>
      <c r="ILU1036" s="1610"/>
      <c r="ILV1036" s="1610"/>
      <c r="ILW1036" s="1610"/>
      <c r="ILX1036" s="1610"/>
      <c r="ILY1036" s="1610"/>
      <c r="ILZ1036" s="1610"/>
      <c r="IMA1036" s="1610"/>
      <c r="IMB1036" s="1610"/>
      <c r="IMC1036" s="1610"/>
      <c r="IMD1036" s="1610"/>
      <c r="IME1036" s="1610"/>
      <c r="IMF1036" s="1610"/>
      <c r="IMG1036" s="1610"/>
      <c r="IMH1036" s="1610"/>
      <c r="IMI1036" s="1610"/>
      <c r="IMJ1036" s="1610"/>
      <c r="IMK1036" s="1610"/>
      <c r="IML1036" s="1610"/>
      <c r="IMM1036" s="1610"/>
      <c r="IMN1036" s="1610"/>
      <c r="IMO1036" s="1610"/>
      <c r="IMP1036" s="1610"/>
      <c r="IMQ1036" s="1610"/>
      <c r="IMR1036" s="1610"/>
      <c r="IMS1036" s="1610"/>
      <c r="IMT1036" s="1610"/>
      <c r="IMU1036" s="1610"/>
      <c r="IMV1036" s="1610"/>
      <c r="IMW1036" s="1610"/>
      <c r="IMX1036" s="1610"/>
      <c r="IMY1036" s="1610"/>
      <c r="IMZ1036" s="1610"/>
      <c r="INA1036" s="1610"/>
      <c r="INB1036" s="1610"/>
      <c r="INC1036" s="1610"/>
      <c r="IND1036" s="1610"/>
      <c r="INE1036" s="1610"/>
      <c r="INF1036" s="1610"/>
      <c r="ING1036" s="1610"/>
      <c r="INH1036" s="1610"/>
      <c r="INI1036" s="1610"/>
      <c r="INJ1036" s="1610"/>
      <c r="INK1036" s="1610"/>
      <c r="INL1036" s="1610"/>
      <c r="INM1036" s="1610"/>
      <c r="INN1036" s="1610"/>
      <c r="INO1036" s="1610"/>
      <c r="INP1036" s="1610"/>
      <c r="INQ1036" s="1610"/>
      <c r="INR1036" s="1610"/>
      <c r="INS1036" s="1610"/>
      <c r="INT1036" s="1610"/>
      <c r="INU1036" s="1610"/>
      <c r="INV1036" s="1610"/>
      <c r="INW1036" s="1610"/>
      <c r="INX1036" s="1610"/>
      <c r="INY1036" s="1610"/>
      <c r="INZ1036" s="1610"/>
      <c r="IOA1036" s="1610"/>
      <c r="IOB1036" s="1610"/>
      <c r="IOC1036" s="1610"/>
      <c r="IOD1036" s="1610"/>
      <c r="IOE1036" s="1610"/>
      <c r="IOF1036" s="1610"/>
      <c r="IOG1036" s="1610"/>
      <c r="IOH1036" s="1610"/>
      <c r="IOI1036" s="1610"/>
      <c r="IOJ1036" s="1610"/>
      <c r="IOK1036" s="1610"/>
      <c r="IOL1036" s="1610"/>
      <c r="IOM1036" s="1610"/>
      <c r="ION1036" s="1610"/>
      <c r="IOO1036" s="1610"/>
      <c r="IOP1036" s="1610"/>
      <c r="IOQ1036" s="1610"/>
      <c r="IOR1036" s="1610"/>
      <c r="IOS1036" s="1610"/>
      <c r="IOT1036" s="1610"/>
      <c r="IOU1036" s="1610"/>
      <c r="IOV1036" s="1610"/>
      <c r="IOW1036" s="1610"/>
      <c r="IOX1036" s="1610"/>
      <c r="IOY1036" s="1610"/>
      <c r="IOZ1036" s="1610"/>
      <c r="IPA1036" s="1610"/>
      <c r="IPB1036" s="1610"/>
      <c r="IPC1036" s="1610"/>
      <c r="IPD1036" s="1610"/>
      <c r="IPE1036" s="1610"/>
      <c r="IPF1036" s="1610"/>
      <c r="IPG1036" s="1610"/>
      <c r="IPH1036" s="1610"/>
      <c r="IPI1036" s="1610"/>
      <c r="IPJ1036" s="1610"/>
      <c r="IPK1036" s="1610"/>
      <c r="IPL1036" s="1610"/>
      <c r="IPM1036" s="1610"/>
      <c r="IPN1036" s="1610"/>
      <c r="IPO1036" s="1610"/>
      <c r="IPP1036" s="1610"/>
      <c r="IPQ1036" s="1610"/>
      <c r="IPR1036" s="1610"/>
      <c r="IPS1036" s="1610"/>
      <c r="IPT1036" s="1610"/>
      <c r="IPU1036" s="1610"/>
      <c r="IPV1036" s="1610"/>
      <c r="IPW1036" s="1610"/>
      <c r="IPX1036" s="1610"/>
      <c r="IPY1036" s="1610"/>
      <c r="IPZ1036" s="1610"/>
      <c r="IQA1036" s="1610"/>
      <c r="IQB1036" s="1610"/>
      <c r="IQC1036" s="1610"/>
      <c r="IQD1036" s="1610"/>
      <c r="IQE1036" s="1610"/>
      <c r="IQF1036" s="1610"/>
      <c r="IQG1036" s="1610"/>
      <c r="IQH1036" s="1610"/>
      <c r="IQI1036" s="1610"/>
      <c r="IQJ1036" s="1610"/>
      <c r="IQK1036" s="1610"/>
      <c r="IQL1036" s="1610"/>
      <c r="IQM1036" s="1610"/>
      <c r="IQN1036" s="1610"/>
      <c r="IQO1036" s="1610"/>
      <c r="IQP1036" s="1610"/>
      <c r="IQQ1036" s="1610"/>
      <c r="IQR1036" s="1610"/>
      <c r="IQS1036" s="1610"/>
      <c r="IQT1036" s="1610"/>
      <c r="IQU1036" s="1610"/>
      <c r="IQV1036" s="1610"/>
      <c r="IQW1036" s="1610"/>
      <c r="IQX1036" s="1610"/>
      <c r="IQY1036" s="1610"/>
      <c r="IQZ1036" s="1610"/>
      <c r="IRA1036" s="1610"/>
      <c r="IRB1036" s="1610"/>
      <c r="IRC1036" s="1610"/>
      <c r="IRD1036" s="1610"/>
      <c r="IRE1036" s="1610"/>
      <c r="IRF1036" s="1610"/>
      <c r="IRG1036" s="1610"/>
      <c r="IRH1036" s="1610"/>
      <c r="IRI1036" s="1610"/>
      <c r="IRJ1036" s="1610"/>
      <c r="IRK1036" s="1610"/>
      <c r="IRL1036" s="1610"/>
      <c r="IRM1036" s="1610"/>
      <c r="IRN1036" s="1610"/>
      <c r="IRO1036" s="1610"/>
      <c r="IRP1036" s="1610"/>
      <c r="IRQ1036" s="1610"/>
      <c r="IRR1036" s="1610"/>
      <c r="IRS1036" s="1610"/>
      <c r="IRT1036" s="1610"/>
      <c r="IRU1036" s="1610"/>
      <c r="IRV1036" s="1610"/>
      <c r="IRW1036" s="1610"/>
      <c r="IRX1036" s="1610"/>
      <c r="IRY1036" s="1610"/>
      <c r="IRZ1036" s="1610"/>
      <c r="ISA1036" s="1610"/>
      <c r="ISB1036" s="1610"/>
      <c r="ISC1036" s="1610"/>
      <c r="ISD1036" s="1610"/>
      <c r="ISE1036" s="1610"/>
      <c r="ISF1036" s="1610"/>
      <c r="ISG1036" s="1610"/>
      <c r="ISH1036" s="1610"/>
      <c r="ISI1036" s="1610"/>
      <c r="ISJ1036" s="1610"/>
      <c r="ISK1036" s="1610"/>
      <c r="ISL1036" s="1610"/>
      <c r="ISM1036" s="1610"/>
      <c r="ISN1036" s="1610"/>
      <c r="ISO1036" s="1610"/>
      <c r="ISP1036" s="1610"/>
      <c r="ISQ1036" s="1610"/>
      <c r="ISR1036" s="1610"/>
      <c r="ISS1036" s="1610"/>
      <c r="IST1036" s="1610"/>
      <c r="ISU1036" s="1610"/>
      <c r="ISV1036" s="1610"/>
      <c r="ISW1036" s="1610"/>
      <c r="ISX1036" s="1610"/>
      <c r="ISY1036" s="1610"/>
      <c r="ISZ1036" s="1610"/>
      <c r="ITA1036" s="1610"/>
      <c r="ITB1036" s="1610"/>
      <c r="ITC1036" s="1610"/>
      <c r="ITD1036" s="1610"/>
      <c r="ITE1036" s="1610"/>
      <c r="ITF1036" s="1610"/>
      <c r="ITG1036" s="1610"/>
      <c r="ITH1036" s="1610"/>
      <c r="ITI1036" s="1610"/>
      <c r="ITJ1036" s="1610"/>
      <c r="ITK1036" s="1610"/>
      <c r="ITL1036" s="1610"/>
      <c r="ITM1036" s="1610"/>
      <c r="ITN1036" s="1610"/>
      <c r="ITO1036" s="1610"/>
      <c r="ITP1036" s="1610"/>
      <c r="ITQ1036" s="1610"/>
      <c r="ITR1036" s="1610"/>
      <c r="ITS1036" s="1610"/>
      <c r="ITT1036" s="1610"/>
      <c r="ITU1036" s="1610"/>
      <c r="ITV1036" s="1610"/>
      <c r="ITW1036" s="1610"/>
      <c r="ITX1036" s="1610"/>
      <c r="ITY1036" s="1610"/>
      <c r="ITZ1036" s="1610"/>
      <c r="IUA1036" s="1610"/>
      <c r="IUB1036" s="1610"/>
      <c r="IUC1036" s="1610"/>
      <c r="IUD1036" s="1610"/>
      <c r="IUE1036" s="1610"/>
      <c r="IUF1036" s="1610"/>
      <c r="IUG1036" s="1610"/>
      <c r="IUH1036" s="1610"/>
      <c r="IUI1036" s="1610"/>
      <c r="IUJ1036" s="1610"/>
      <c r="IUK1036" s="1610"/>
      <c r="IUL1036" s="1610"/>
      <c r="IUM1036" s="1610"/>
      <c r="IUN1036" s="1610"/>
      <c r="IUO1036" s="1610"/>
      <c r="IUP1036" s="1610"/>
      <c r="IUQ1036" s="1610"/>
      <c r="IUR1036" s="1610"/>
      <c r="IUS1036" s="1610"/>
      <c r="IUT1036" s="1610"/>
      <c r="IUU1036" s="1610"/>
      <c r="IUV1036" s="1610"/>
      <c r="IUW1036" s="1610"/>
      <c r="IUX1036" s="1610"/>
      <c r="IUY1036" s="1610"/>
      <c r="IUZ1036" s="1610"/>
      <c r="IVA1036" s="1610"/>
      <c r="IVB1036" s="1610"/>
      <c r="IVC1036" s="1610"/>
      <c r="IVD1036" s="1610"/>
      <c r="IVE1036" s="1610"/>
      <c r="IVF1036" s="1610"/>
      <c r="IVG1036" s="1610"/>
      <c r="IVH1036" s="1610"/>
      <c r="IVI1036" s="1610"/>
      <c r="IVJ1036" s="1610"/>
      <c r="IVK1036" s="1610"/>
      <c r="IVL1036" s="1610"/>
      <c r="IVM1036" s="1610"/>
      <c r="IVN1036" s="1610"/>
      <c r="IVO1036" s="1610"/>
      <c r="IVP1036" s="1610"/>
      <c r="IVQ1036" s="1610"/>
      <c r="IVR1036" s="1610"/>
      <c r="IVS1036" s="1610"/>
      <c r="IVT1036" s="1610"/>
      <c r="IVU1036" s="1610"/>
      <c r="IVV1036" s="1610"/>
      <c r="IVW1036" s="1610"/>
      <c r="IVX1036" s="1610"/>
      <c r="IVY1036" s="1610"/>
      <c r="IVZ1036" s="1610"/>
      <c r="IWA1036" s="1610"/>
      <c r="IWB1036" s="1610"/>
      <c r="IWC1036" s="1610"/>
      <c r="IWD1036" s="1610"/>
      <c r="IWE1036" s="1610"/>
      <c r="IWF1036" s="1610"/>
      <c r="IWG1036" s="1610"/>
      <c r="IWH1036" s="1610"/>
      <c r="IWI1036" s="1610"/>
      <c r="IWJ1036" s="1610"/>
      <c r="IWK1036" s="1610"/>
      <c r="IWL1036" s="1610"/>
      <c r="IWM1036" s="1610"/>
      <c r="IWN1036" s="1610"/>
      <c r="IWO1036" s="1610"/>
      <c r="IWP1036" s="1610"/>
      <c r="IWQ1036" s="1610"/>
      <c r="IWR1036" s="1610"/>
      <c r="IWS1036" s="1610"/>
      <c r="IWT1036" s="1610"/>
      <c r="IWU1036" s="1610"/>
      <c r="IWV1036" s="1610"/>
      <c r="IWW1036" s="1610"/>
      <c r="IWX1036" s="1610"/>
      <c r="IWY1036" s="1610"/>
      <c r="IWZ1036" s="1610"/>
      <c r="IXA1036" s="1610"/>
      <c r="IXB1036" s="1610"/>
      <c r="IXC1036" s="1610"/>
      <c r="IXD1036" s="1610"/>
      <c r="IXE1036" s="1610"/>
      <c r="IXF1036" s="1610"/>
      <c r="IXG1036" s="1610"/>
      <c r="IXH1036" s="1610"/>
      <c r="IXI1036" s="1610"/>
      <c r="IXJ1036" s="1610"/>
      <c r="IXK1036" s="1610"/>
      <c r="IXL1036" s="1610"/>
      <c r="IXM1036" s="1610"/>
      <c r="IXN1036" s="1610"/>
      <c r="IXO1036" s="1610"/>
      <c r="IXP1036" s="1610"/>
      <c r="IXQ1036" s="1610"/>
      <c r="IXR1036" s="1610"/>
      <c r="IXS1036" s="1610"/>
      <c r="IXT1036" s="1610"/>
      <c r="IXU1036" s="1610"/>
      <c r="IXV1036" s="1610"/>
      <c r="IXW1036" s="1610"/>
      <c r="IXX1036" s="1610"/>
      <c r="IXY1036" s="1610"/>
      <c r="IXZ1036" s="1610"/>
      <c r="IYA1036" s="1610"/>
      <c r="IYB1036" s="1610"/>
      <c r="IYC1036" s="1610"/>
      <c r="IYD1036" s="1610"/>
      <c r="IYE1036" s="1610"/>
      <c r="IYF1036" s="1610"/>
      <c r="IYG1036" s="1610"/>
      <c r="IYH1036" s="1610"/>
      <c r="IYI1036" s="1610"/>
      <c r="IYJ1036" s="1610"/>
      <c r="IYK1036" s="1610"/>
      <c r="IYL1036" s="1610"/>
      <c r="IYM1036" s="1610"/>
      <c r="IYN1036" s="1610"/>
      <c r="IYO1036" s="1610"/>
      <c r="IYP1036" s="1610"/>
      <c r="IYQ1036" s="1610"/>
      <c r="IYR1036" s="1610"/>
      <c r="IYS1036" s="1610"/>
      <c r="IYT1036" s="1610"/>
      <c r="IYU1036" s="1610"/>
      <c r="IYV1036" s="1610"/>
      <c r="IYW1036" s="1610"/>
      <c r="IYX1036" s="1610"/>
      <c r="IYY1036" s="1610"/>
      <c r="IYZ1036" s="1610"/>
      <c r="IZA1036" s="1610"/>
      <c r="IZB1036" s="1610"/>
      <c r="IZC1036" s="1610"/>
      <c r="IZD1036" s="1610"/>
      <c r="IZE1036" s="1610"/>
      <c r="IZF1036" s="1610"/>
      <c r="IZG1036" s="1610"/>
      <c r="IZH1036" s="1610"/>
      <c r="IZI1036" s="1610"/>
      <c r="IZJ1036" s="1610"/>
      <c r="IZK1036" s="1610"/>
      <c r="IZL1036" s="1610"/>
      <c r="IZM1036" s="1610"/>
      <c r="IZN1036" s="1610"/>
      <c r="IZO1036" s="1610"/>
      <c r="IZP1036" s="1610"/>
      <c r="IZQ1036" s="1610"/>
      <c r="IZR1036" s="1610"/>
      <c r="IZS1036" s="1610"/>
      <c r="IZT1036" s="1610"/>
      <c r="IZU1036" s="1610"/>
      <c r="IZV1036" s="1610"/>
      <c r="IZW1036" s="1610"/>
      <c r="IZX1036" s="1610"/>
      <c r="IZY1036" s="1610"/>
      <c r="IZZ1036" s="1610"/>
      <c r="JAA1036" s="1610"/>
      <c r="JAB1036" s="1610"/>
      <c r="JAC1036" s="1610"/>
      <c r="JAD1036" s="1610"/>
      <c r="JAE1036" s="1610"/>
      <c r="JAF1036" s="1610"/>
      <c r="JAG1036" s="1610"/>
      <c r="JAH1036" s="1610"/>
      <c r="JAI1036" s="1610"/>
      <c r="JAJ1036" s="1610"/>
      <c r="JAK1036" s="1610"/>
      <c r="JAL1036" s="1610"/>
      <c r="JAM1036" s="1610"/>
      <c r="JAN1036" s="1610"/>
      <c r="JAO1036" s="1610"/>
      <c r="JAP1036" s="1610"/>
      <c r="JAQ1036" s="1610"/>
      <c r="JAR1036" s="1610"/>
      <c r="JAS1036" s="1610"/>
      <c r="JAT1036" s="1610"/>
      <c r="JAU1036" s="1610"/>
      <c r="JAV1036" s="1610"/>
      <c r="JAW1036" s="1610"/>
      <c r="JAX1036" s="1610"/>
      <c r="JAY1036" s="1610"/>
      <c r="JAZ1036" s="1610"/>
      <c r="JBA1036" s="1610"/>
      <c r="JBB1036" s="1610"/>
      <c r="JBC1036" s="1610"/>
      <c r="JBD1036" s="1610"/>
      <c r="JBE1036" s="1610"/>
      <c r="JBF1036" s="1610"/>
      <c r="JBG1036" s="1610"/>
      <c r="JBH1036" s="1610"/>
      <c r="JBI1036" s="1610"/>
      <c r="JBJ1036" s="1610"/>
      <c r="JBK1036" s="1610"/>
      <c r="JBL1036" s="1610"/>
      <c r="JBM1036" s="1610"/>
      <c r="JBN1036" s="1610"/>
      <c r="JBO1036" s="1610"/>
      <c r="JBP1036" s="1610"/>
      <c r="JBQ1036" s="1610"/>
      <c r="JBR1036" s="1610"/>
      <c r="JBS1036" s="1610"/>
      <c r="JBT1036" s="1610"/>
      <c r="JBU1036" s="1610"/>
      <c r="JBV1036" s="1610"/>
      <c r="JBW1036" s="1610"/>
      <c r="JBX1036" s="1610"/>
      <c r="JBY1036" s="1610"/>
      <c r="JBZ1036" s="1610"/>
      <c r="JCA1036" s="1610"/>
      <c r="JCB1036" s="1610"/>
      <c r="JCC1036" s="1610"/>
      <c r="JCD1036" s="1610"/>
      <c r="JCE1036" s="1610"/>
      <c r="JCF1036" s="1610"/>
      <c r="JCG1036" s="1610"/>
      <c r="JCH1036" s="1610"/>
      <c r="JCI1036" s="1610"/>
      <c r="JCJ1036" s="1610"/>
      <c r="JCK1036" s="1610"/>
      <c r="JCL1036" s="1610"/>
      <c r="JCM1036" s="1610"/>
      <c r="JCN1036" s="1610"/>
      <c r="JCO1036" s="1610"/>
      <c r="JCP1036" s="1610"/>
      <c r="JCQ1036" s="1610"/>
      <c r="JCR1036" s="1610"/>
      <c r="JCS1036" s="1610"/>
      <c r="JCT1036" s="1610"/>
      <c r="JCU1036" s="1610"/>
      <c r="JCV1036" s="1610"/>
      <c r="JCW1036" s="1610"/>
      <c r="JCX1036" s="1610"/>
      <c r="JCY1036" s="1610"/>
      <c r="JCZ1036" s="1610"/>
      <c r="JDA1036" s="1610"/>
      <c r="JDB1036" s="1610"/>
      <c r="JDC1036" s="1610"/>
      <c r="JDD1036" s="1610"/>
      <c r="JDE1036" s="1610"/>
      <c r="JDF1036" s="1610"/>
      <c r="JDG1036" s="1610"/>
      <c r="JDH1036" s="1610"/>
      <c r="JDI1036" s="1610"/>
      <c r="JDJ1036" s="1610"/>
      <c r="JDK1036" s="1610"/>
      <c r="JDL1036" s="1610"/>
      <c r="JDM1036" s="1610"/>
      <c r="JDN1036" s="1610"/>
      <c r="JDO1036" s="1610"/>
      <c r="JDP1036" s="1610"/>
      <c r="JDQ1036" s="1610"/>
      <c r="JDR1036" s="1610"/>
      <c r="JDS1036" s="1610"/>
      <c r="JDT1036" s="1610"/>
      <c r="JDU1036" s="1610"/>
      <c r="JDV1036" s="1610"/>
      <c r="JDW1036" s="1610"/>
      <c r="JDX1036" s="1610"/>
      <c r="JDY1036" s="1610"/>
      <c r="JDZ1036" s="1610"/>
      <c r="JEA1036" s="1610"/>
      <c r="JEB1036" s="1610"/>
      <c r="JEC1036" s="1610"/>
      <c r="JED1036" s="1610"/>
      <c r="JEE1036" s="1610"/>
      <c r="JEF1036" s="1610"/>
      <c r="JEG1036" s="1610"/>
      <c r="JEH1036" s="1610"/>
      <c r="JEI1036" s="1610"/>
      <c r="JEJ1036" s="1610"/>
      <c r="JEK1036" s="1610"/>
      <c r="JEL1036" s="1610"/>
      <c r="JEM1036" s="1610"/>
      <c r="JEN1036" s="1610"/>
      <c r="JEO1036" s="1610"/>
      <c r="JEP1036" s="1610"/>
      <c r="JEQ1036" s="1610"/>
      <c r="JER1036" s="1610"/>
      <c r="JES1036" s="1610"/>
      <c r="JET1036" s="1610"/>
      <c r="JEU1036" s="1610"/>
      <c r="JEV1036" s="1610"/>
      <c r="JEW1036" s="1610"/>
      <c r="JEX1036" s="1610"/>
      <c r="JEY1036" s="1610"/>
      <c r="JEZ1036" s="1610"/>
      <c r="JFA1036" s="1610"/>
      <c r="JFB1036" s="1610"/>
      <c r="JFC1036" s="1610"/>
      <c r="JFD1036" s="1610"/>
      <c r="JFE1036" s="1610"/>
      <c r="JFF1036" s="1610"/>
      <c r="JFG1036" s="1610"/>
      <c r="JFH1036" s="1610"/>
      <c r="JFI1036" s="1610"/>
      <c r="JFJ1036" s="1610"/>
      <c r="JFK1036" s="1610"/>
      <c r="JFL1036" s="1610"/>
      <c r="JFM1036" s="1610"/>
      <c r="JFN1036" s="1610"/>
      <c r="JFO1036" s="1610"/>
      <c r="JFP1036" s="1610"/>
      <c r="JFQ1036" s="1610"/>
      <c r="JFR1036" s="1610"/>
      <c r="JFS1036" s="1610"/>
      <c r="JFT1036" s="1610"/>
      <c r="JFU1036" s="1610"/>
      <c r="JFV1036" s="1610"/>
      <c r="JFW1036" s="1610"/>
      <c r="JFX1036" s="1610"/>
      <c r="JFY1036" s="1610"/>
      <c r="JFZ1036" s="1610"/>
      <c r="JGA1036" s="1610"/>
      <c r="JGB1036" s="1610"/>
      <c r="JGC1036" s="1610"/>
      <c r="JGD1036" s="1610"/>
      <c r="JGE1036" s="1610"/>
      <c r="JGF1036" s="1610"/>
      <c r="JGG1036" s="1610"/>
      <c r="JGH1036" s="1610"/>
      <c r="JGI1036" s="1610"/>
      <c r="JGJ1036" s="1610"/>
      <c r="JGK1036" s="1610"/>
      <c r="JGL1036" s="1610"/>
      <c r="JGM1036" s="1610"/>
      <c r="JGN1036" s="1610"/>
      <c r="JGO1036" s="1610"/>
      <c r="JGP1036" s="1610"/>
      <c r="JGQ1036" s="1610"/>
      <c r="JGR1036" s="1610"/>
      <c r="JGS1036" s="1610"/>
      <c r="JGT1036" s="1610"/>
      <c r="JGU1036" s="1610"/>
      <c r="JGV1036" s="1610"/>
      <c r="JGW1036" s="1610"/>
      <c r="JGX1036" s="1610"/>
      <c r="JGY1036" s="1610"/>
      <c r="JGZ1036" s="1610"/>
      <c r="JHA1036" s="1610"/>
      <c r="JHB1036" s="1610"/>
      <c r="JHC1036" s="1610"/>
      <c r="JHD1036" s="1610"/>
      <c r="JHE1036" s="1610"/>
      <c r="JHF1036" s="1610"/>
      <c r="JHG1036" s="1610"/>
      <c r="JHH1036" s="1610"/>
      <c r="JHI1036" s="1610"/>
      <c r="JHJ1036" s="1610"/>
      <c r="JHK1036" s="1610"/>
      <c r="JHL1036" s="1610"/>
      <c r="JHM1036" s="1610"/>
      <c r="JHN1036" s="1610"/>
      <c r="JHO1036" s="1610"/>
      <c r="JHP1036" s="1610"/>
      <c r="JHQ1036" s="1610"/>
      <c r="JHR1036" s="1610"/>
      <c r="JHS1036" s="1610"/>
      <c r="JHT1036" s="1610"/>
      <c r="JHU1036" s="1610"/>
      <c r="JHV1036" s="1610"/>
      <c r="JHW1036" s="1610"/>
      <c r="JHX1036" s="1610"/>
      <c r="JHY1036" s="1610"/>
      <c r="JHZ1036" s="1610"/>
      <c r="JIA1036" s="1610"/>
      <c r="JIB1036" s="1610"/>
      <c r="JIC1036" s="1610"/>
      <c r="JID1036" s="1610"/>
      <c r="JIE1036" s="1610"/>
      <c r="JIF1036" s="1610"/>
      <c r="JIG1036" s="1610"/>
      <c r="JIH1036" s="1610"/>
      <c r="JII1036" s="1610"/>
      <c r="JIJ1036" s="1610"/>
      <c r="JIK1036" s="1610"/>
      <c r="JIL1036" s="1610"/>
      <c r="JIM1036" s="1610"/>
      <c r="JIN1036" s="1610"/>
      <c r="JIO1036" s="1610"/>
      <c r="JIP1036" s="1610"/>
      <c r="JIQ1036" s="1610"/>
      <c r="JIR1036" s="1610"/>
      <c r="JIS1036" s="1610"/>
      <c r="JIT1036" s="1610"/>
      <c r="JIU1036" s="1610"/>
      <c r="JIV1036" s="1610"/>
      <c r="JIW1036" s="1610"/>
      <c r="JIX1036" s="1610"/>
      <c r="JIY1036" s="1610"/>
      <c r="JIZ1036" s="1610"/>
      <c r="JJA1036" s="1610"/>
      <c r="JJB1036" s="1610"/>
      <c r="JJC1036" s="1610"/>
      <c r="JJD1036" s="1610"/>
      <c r="JJE1036" s="1610"/>
      <c r="JJF1036" s="1610"/>
      <c r="JJG1036" s="1610"/>
      <c r="JJH1036" s="1610"/>
      <c r="JJI1036" s="1610"/>
      <c r="JJJ1036" s="1610"/>
      <c r="JJK1036" s="1610"/>
      <c r="JJL1036" s="1610"/>
      <c r="JJM1036" s="1610"/>
      <c r="JJN1036" s="1610"/>
      <c r="JJO1036" s="1610"/>
      <c r="JJP1036" s="1610"/>
      <c r="JJQ1036" s="1610"/>
      <c r="JJR1036" s="1610"/>
      <c r="JJS1036" s="1610"/>
      <c r="JJT1036" s="1610"/>
      <c r="JJU1036" s="1610"/>
      <c r="JJV1036" s="1610"/>
      <c r="JJW1036" s="1610"/>
      <c r="JJX1036" s="1610"/>
      <c r="JJY1036" s="1610"/>
      <c r="JJZ1036" s="1610"/>
      <c r="JKA1036" s="1610"/>
      <c r="JKB1036" s="1610"/>
      <c r="JKC1036" s="1610"/>
      <c r="JKD1036" s="1610"/>
      <c r="JKE1036" s="1610"/>
      <c r="JKF1036" s="1610"/>
      <c r="JKG1036" s="1610"/>
      <c r="JKH1036" s="1610"/>
      <c r="JKI1036" s="1610"/>
      <c r="JKJ1036" s="1610"/>
      <c r="JKK1036" s="1610"/>
      <c r="JKL1036" s="1610"/>
      <c r="JKM1036" s="1610"/>
      <c r="JKN1036" s="1610"/>
      <c r="JKO1036" s="1610"/>
      <c r="JKP1036" s="1610"/>
      <c r="JKQ1036" s="1610"/>
      <c r="JKR1036" s="1610"/>
      <c r="JKS1036" s="1610"/>
      <c r="JKT1036" s="1610"/>
      <c r="JKU1036" s="1610"/>
      <c r="JKV1036" s="1610"/>
      <c r="JKW1036" s="1610"/>
      <c r="JKX1036" s="1610"/>
      <c r="JKY1036" s="1610"/>
      <c r="JKZ1036" s="1610"/>
      <c r="JLA1036" s="1610"/>
      <c r="JLB1036" s="1610"/>
      <c r="JLC1036" s="1610"/>
      <c r="JLD1036" s="1610"/>
      <c r="JLE1036" s="1610"/>
      <c r="JLF1036" s="1610"/>
      <c r="JLG1036" s="1610"/>
      <c r="JLH1036" s="1610"/>
      <c r="JLI1036" s="1610"/>
      <c r="JLJ1036" s="1610"/>
      <c r="JLK1036" s="1610"/>
      <c r="JLL1036" s="1610"/>
      <c r="JLM1036" s="1610"/>
      <c r="JLN1036" s="1610"/>
      <c r="JLO1036" s="1610"/>
      <c r="JLP1036" s="1610"/>
      <c r="JLQ1036" s="1610"/>
      <c r="JLR1036" s="1610"/>
      <c r="JLS1036" s="1610"/>
      <c r="JLT1036" s="1610"/>
      <c r="JLU1036" s="1610"/>
      <c r="JLV1036" s="1610"/>
      <c r="JLW1036" s="1610"/>
      <c r="JLX1036" s="1610"/>
      <c r="JLY1036" s="1610"/>
      <c r="JLZ1036" s="1610"/>
      <c r="JMA1036" s="1610"/>
      <c r="JMB1036" s="1610"/>
      <c r="JMC1036" s="1610"/>
      <c r="JMD1036" s="1610"/>
      <c r="JME1036" s="1610"/>
      <c r="JMF1036" s="1610"/>
      <c r="JMG1036" s="1610"/>
      <c r="JMH1036" s="1610"/>
      <c r="JMI1036" s="1610"/>
      <c r="JMJ1036" s="1610"/>
      <c r="JMK1036" s="1610"/>
      <c r="JML1036" s="1610"/>
      <c r="JMM1036" s="1610"/>
      <c r="JMN1036" s="1610"/>
      <c r="JMO1036" s="1610"/>
      <c r="JMP1036" s="1610"/>
      <c r="JMQ1036" s="1610"/>
      <c r="JMR1036" s="1610"/>
      <c r="JMS1036" s="1610"/>
      <c r="JMT1036" s="1610"/>
      <c r="JMU1036" s="1610"/>
      <c r="JMV1036" s="1610"/>
      <c r="JMW1036" s="1610"/>
      <c r="JMX1036" s="1610"/>
      <c r="JMY1036" s="1610"/>
      <c r="JMZ1036" s="1610"/>
      <c r="JNA1036" s="1610"/>
      <c r="JNB1036" s="1610"/>
      <c r="JNC1036" s="1610"/>
      <c r="JND1036" s="1610"/>
      <c r="JNE1036" s="1610"/>
      <c r="JNF1036" s="1610"/>
      <c r="JNG1036" s="1610"/>
      <c r="JNH1036" s="1610"/>
      <c r="JNI1036" s="1610"/>
      <c r="JNJ1036" s="1610"/>
      <c r="JNK1036" s="1610"/>
      <c r="JNL1036" s="1610"/>
      <c r="JNM1036" s="1610"/>
      <c r="JNN1036" s="1610"/>
      <c r="JNO1036" s="1610"/>
      <c r="JNP1036" s="1610"/>
      <c r="JNQ1036" s="1610"/>
      <c r="JNR1036" s="1610"/>
      <c r="JNS1036" s="1610"/>
      <c r="JNT1036" s="1610"/>
      <c r="JNU1036" s="1610"/>
      <c r="JNV1036" s="1610"/>
      <c r="JNW1036" s="1610"/>
      <c r="JNX1036" s="1610"/>
      <c r="JNY1036" s="1610"/>
      <c r="JNZ1036" s="1610"/>
      <c r="JOA1036" s="1610"/>
      <c r="JOB1036" s="1610"/>
      <c r="JOC1036" s="1610"/>
      <c r="JOD1036" s="1610"/>
      <c r="JOE1036" s="1610"/>
      <c r="JOF1036" s="1610"/>
      <c r="JOG1036" s="1610"/>
      <c r="JOH1036" s="1610"/>
      <c r="JOI1036" s="1610"/>
      <c r="JOJ1036" s="1610"/>
      <c r="JOK1036" s="1610"/>
      <c r="JOL1036" s="1610"/>
      <c r="JOM1036" s="1610"/>
      <c r="JON1036" s="1610"/>
      <c r="JOO1036" s="1610"/>
      <c r="JOP1036" s="1610"/>
      <c r="JOQ1036" s="1610"/>
      <c r="JOR1036" s="1610"/>
      <c r="JOS1036" s="1610"/>
      <c r="JOT1036" s="1610"/>
      <c r="JOU1036" s="1610"/>
      <c r="JOV1036" s="1610"/>
      <c r="JOW1036" s="1610"/>
      <c r="JOX1036" s="1610"/>
      <c r="JOY1036" s="1610"/>
      <c r="JOZ1036" s="1610"/>
      <c r="JPA1036" s="1610"/>
      <c r="JPB1036" s="1610"/>
      <c r="JPC1036" s="1610"/>
      <c r="JPD1036" s="1610"/>
      <c r="JPE1036" s="1610"/>
      <c r="JPF1036" s="1610"/>
      <c r="JPG1036" s="1610"/>
      <c r="JPH1036" s="1610"/>
      <c r="JPI1036" s="1610"/>
      <c r="JPJ1036" s="1610"/>
      <c r="JPK1036" s="1610"/>
      <c r="JPL1036" s="1610"/>
      <c r="JPM1036" s="1610"/>
      <c r="JPN1036" s="1610"/>
      <c r="JPO1036" s="1610"/>
      <c r="JPP1036" s="1610"/>
      <c r="JPQ1036" s="1610"/>
      <c r="JPR1036" s="1610"/>
      <c r="JPS1036" s="1610"/>
      <c r="JPT1036" s="1610"/>
      <c r="JPU1036" s="1610"/>
      <c r="JPV1036" s="1610"/>
      <c r="JPW1036" s="1610"/>
      <c r="JPX1036" s="1610"/>
      <c r="JPY1036" s="1610"/>
      <c r="JPZ1036" s="1610"/>
      <c r="JQA1036" s="1610"/>
      <c r="JQB1036" s="1610"/>
      <c r="JQC1036" s="1610"/>
      <c r="JQD1036" s="1610"/>
      <c r="JQE1036" s="1610"/>
      <c r="JQF1036" s="1610"/>
      <c r="JQG1036" s="1610"/>
      <c r="JQH1036" s="1610"/>
      <c r="JQI1036" s="1610"/>
      <c r="JQJ1036" s="1610"/>
      <c r="JQK1036" s="1610"/>
      <c r="JQL1036" s="1610"/>
      <c r="JQM1036" s="1610"/>
      <c r="JQN1036" s="1610"/>
      <c r="JQO1036" s="1610"/>
      <c r="JQP1036" s="1610"/>
      <c r="JQQ1036" s="1610"/>
      <c r="JQR1036" s="1610"/>
      <c r="JQS1036" s="1610"/>
      <c r="JQT1036" s="1610"/>
      <c r="JQU1036" s="1610"/>
      <c r="JQV1036" s="1610"/>
      <c r="JQW1036" s="1610"/>
      <c r="JQX1036" s="1610"/>
      <c r="JQY1036" s="1610"/>
      <c r="JQZ1036" s="1610"/>
      <c r="JRA1036" s="1610"/>
      <c r="JRB1036" s="1610"/>
      <c r="JRC1036" s="1610"/>
      <c r="JRD1036" s="1610"/>
      <c r="JRE1036" s="1610"/>
      <c r="JRF1036" s="1610"/>
      <c r="JRG1036" s="1610"/>
      <c r="JRH1036" s="1610"/>
      <c r="JRI1036" s="1610"/>
      <c r="JRJ1036" s="1610"/>
      <c r="JRK1036" s="1610"/>
      <c r="JRL1036" s="1610"/>
      <c r="JRM1036" s="1610"/>
      <c r="JRN1036" s="1610"/>
      <c r="JRO1036" s="1610"/>
      <c r="JRP1036" s="1610"/>
      <c r="JRQ1036" s="1610"/>
      <c r="JRR1036" s="1610"/>
      <c r="JRS1036" s="1610"/>
      <c r="JRT1036" s="1610"/>
      <c r="JRU1036" s="1610"/>
      <c r="JRV1036" s="1610"/>
      <c r="JRW1036" s="1610"/>
      <c r="JRX1036" s="1610"/>
      <c r="JRY1036" s="1610"/>
      <c r="JRZ1036" s="1610"/>
      <c r="JSA1036" s="1610"/>
      <c r="JSB1036" s="1610"/>
      <c r="JSC1036" s="1610"/>
      <c r="JSD1036" s="1610"/>
      <c r="JSE1036" s="1610"/>
      <c r="JSF1036" s="1610"/>
      <c r="JSG1036" s="1610"/>
      <c r="JSH1036" s="1610"/>
      <c r="JSI1036" s="1610"/>
      <c r="JSJ1036" s="1610"/>
      <c r="JSK1036" s="1610"/>
      <c r="JSL1036" s="1610"/>
      <c r="JSM1036" s="1610"/>
      <c r="JSN1036" s="1610"/>
      <c r="JSO1036" s="1610"/>
      <c r="JSP1036" s="1610"/>
      <c r="JSQ1036" s="1610"/>
      <c r="JSR1036" s="1610"/>
      <c r="JSS1036" s="1610"/>
      <c r="JST1036" s="1610"/>
      <c r="JSU1036" s="1610"/>
      <c r="JSV1036" s="1610"/>
      <c r="JSW1036" s="1610"/>
      <c r="JSX1036" s="1610"/>
      <c r="JSY1036" s="1610"/>
      <c r="JSZ1036" s="1610"/>
      <c r="JTA1036" s="1610"/>
      <c r="JTB1036" s="1610"/>
      <c r="JTC1036" s="1610"/>
      <c r="JTD1036" s="1610"/>
      <c r="JTE1036" s="1610"/>
      <c r="JTF1036" s="1610"/>
      <c r="JTG1036" s="1610"/>
      <c r="JTH1036" s="1610"/>
      <c r="JTI1036" s="1610"/>
      <c r="JTJ1036" s="1610"/>
      <c r="JTK1036" s="1610"/>
      <c r="JTL1036" s="1610"/>
      <c r="JTM1036" s="1610"/>
      <c r="JTN1036" s="1610"/>
      <c r="JTO1036" s="1610"/>
      <c r="JTP1036" s="1610"/>
      <c r="JTQ1036" s="1610"/>
      <c r="JTR1036" s="1610"/>
      <c r="JTS1036" s="1610"/>
      <c r="JTT1036" s="1610"/>
      <c r="JTU1036" s="1610"/>
      <c r="JTV1036" s="1610"/>
      <c r="JTW1036" s="1610"/>
      <c r="JTX1036" s="1610"/>
      <c r="JTY1036" s="1610"/>
      <c r="JTZ1036" s="1610"/>
      <c r="JUA1036" s="1610"/>
      <c r="JUB1036" s="1610"/>
      <c r="JUC1036" s="1610"/>
      <c r="JUD1036" s="1610"/>
      <c r="JUE1036" s="1610"/>
      <c r="JUF1036" s="1610"/>
      <c r="JUG1036" s="1610"/>
      <c r="JUH1036" s="1610"/>
      <c r="JUI1036" s="1610"/>
      <c r="JUJ1036" s="1610"/>
      <c r="JUK1036" s="1610"/>
      <c r="JUL1036" s="1610"/>
      <c r="JUM1036" s="1610"/>
      <c r="JUN1036" s="1610"/>
      <c r="JUO1036" s="1610"/>
      <c r="JUP1036" s="1610"/>
      <c r="JUQ1036" s="1610"/>
      <c r="JUR1036" s="1610"/>
      <c r="JUS1036" s="1610"/>
      <c r="JUT1036" s="1610"/>
      <c r="JUU1036" s="1610"/>
      <c r="JUV1036" s="1610"/>
      <c r="JUW1036" s="1610"/>
      <c r="JUX1036" s="1610"/>
      <c r="JUY1036" s="1610"/>
      <c r="JUZ1036" s="1610"/>
      <c r="JVA1036" s="1610"/>
      <c r="JVB1036" s="1610"/>
      <c r="JVC1036" s="1610"/>
      <c r="JVD1036" s="1610"/>
      <c r="JVE1036" s="1610"/>
      <c r="JVF1036" s="1610"/>
      <c r="JVG1036" s="1610"/>
      <c r="JVH1036" s="1610"/>
      <c r="JVI1036" s="1610"/>
      <c r="JVJ1036" s="1610"/>
      <c r="JVK1036" s="1610"/>
      <c r="JVL1036" s="1610"/>
      <c r="JVM1036" s="1610"/>
      <c r="JVN1036" s="1610"/>
      <c r="JVO1036" s="1610"/>
      <c r="JVP1036" s="1610"/>
      <c r="JVQ1036" s="1610"/>
      <c r="JVR1036" s="1610"/>
      <c r="JVS1036" s="1610"/>
      <c r="JVT1036" s="1610"/>
      <c r="JVU1036" s="1610"/>
      <c r="JVV1036" s="1610"/>
      <c r="JVW1036" s="1610"/>
      <c r="JVX1036" s="1610"/>
      <c r="JVY1036" s="1610"/>
      <c r="JVZ1036" s="1610"/>
      <c r="JWA1036" s="1610"/>
      <c r="JWB1036" s="1610"/>
      <c r="JWC1036" s="1610"/>
      <c r="JWD1036" s="1610"/>
      <c r="JWE1036" s="1610"/>
      <c r="JWF1036" s="1610"/>
      <c r="JWG1036" s="1610"/>
      <c r="JWH1036" s="1610"/>
      <c r="JWI1036" s="1610"/>
      <c r="JWJ1036" s="1610"/>
      <c r="JWK1036" s="1610"/>
      <c r="JWL1036" s="1610"/>
      <c r="JWM1036" s="1610"/>
      <c r="JWN1036" s="1610"/>
      <c r="JWO1036" s="1610"/>
      <c r="JWP1036" s="1610"/>
      <c r="JWQ1036" s="1610"/>
      <c r="JWR1036" s="1610"/>
      <c r="JWS1036" s="1610"/>
      <c r="JWT1036" s="1610"/>
      <c r="JWU1036" s="1610"/>
      <c r="JWV1036" s="1610"/>
      <c r="JWW1036" s="1610"/>
      <c r="JWX1036" s="1610"/>
      <c r="JWY1036" s="1610"/>
      <c r="JWZ1036" s="1610"/>
      <c r="JXA1036" s="1610"/>
      <c r="JXB1036" s="1610"/>
      <c r="JXC1036" s="1610"/>
      <c r="JXD1036" s="1610"/>
      <c r="JXE1036" s="1610"/>
      <c r="JXF1036" s="1610"/>
      <c r="JXG1036" s="1610"/>
      <c r="JXH1036" s="1610"/>
      <c r="JXI1036" s="1610"/>
      <c r="JXJ1036" s="1610"/>
      <c r="JXK1036" s="1610"/>
      <c r="JXL1036" s="1610"/>
      <c r="JXM1036" s="1610"/>
      <c r="JXN1036" s="1610"/>
      <c r="JXO1036" s="1610"/>
      <c r="JXP1036" s="1610"/>
      <c r="JXQ1036" s="1610"/>
      <c r="JXR1036" s="1610"/>
      <c r="JXS1036" s="1610"/>
      <c r="JXT1036" s="1610"/>
      <c r="JXU1036" s="1610"/>
      <c r="JXV1036" s="1610"/>
      <c r="JXW1036" s="1610"/>
      <c r="JXX1036" s="1610"/>
      <c r="JXY1036" s="1610"/>
      <c r="JXZ1036" s="1610"/>
      <c r="JYA1036" s="1610"/>
      <c r="JYB1036" s="1610"/>
      <c r="JYC1036" s="1610"/>
      <c r="JYD1036" s="1610"/>
      <c r="JYE1036" s="1610"/>
      <c r="JYF1036" s="1610"/>
      <c r="JYG1036" s="1610"/>
      <c r="JYH1036" s="1610"/>
      <c r="JYI1036" s="1610"/>
      <c r="JYJ1036" s="1610"/>
      <c r="JYK1036" s="1610"/>
      <c r="JYL1036" s="1610"/>
      <c r="JYM1036" s="1610"/>
      <c r="JYN1036" s="1610"/>
      <c r="JYO1036" s="1610"/>
      <c r="JYP1036" s="1610"/>
      <c r="JYQ1036" s="1610"/>
      <c r="JYR1036" s="1610"/>
      <c r="JYS1036" s="1610"/>
      <c r="JYT1036" s="1610"/>
      <c r="JYU1036" s="1610"/>
      <c r="JYV1036" s="1610"/>
      <c r="JYW1036" s="1610"/>
      <c r="JYX1036" s="1610"/>
      <c r="JYY1036" s="1610"/>
      <c r="JYZ1036" s="1610"/>
      <c r="JZA1036" s="1610"/>
      <c r="JZB1036" s="1610"/>
      <c r="JZC1036" s="1610"/>
      <c r="JZD1036" s="1610"/>
      <c r="JZE1036" s="1610"/>
      <c r="JZF1036" s="1610"/>
      <c r="JZG1036" s="1610"/>
      <c r="JZH1036" s="1610"/>
      <c r="JZI1036" s="1610"/>
      <c r="JZJ1036" s="1610"/>
      <c r="JZK1036" s="1610"/>
      <c r="JZL1036" s="1610"/>
      <c r="JZM1036" s="1610"/>
      <c r="JZN1036" s="1610"/>
      <c r="JZO1036" s="1610"/>
      <c r="JZP1036" s="1610"/>
      <c r="JZQ1036" s="1610"/>
      <c r="JZR1036" s="1610"/>
      <c r="JZS1036" s="1610"/>
      <c r="JZT1036" s="1610"/>
      <c r="JZU1036" s="1610"/>
      <c r="JZV1036" s="1610"/>
      <c r="JZW1036" s="1610"/>
      <c r="JZX1036" s="1610"/>
      <c r="JZY1036" s="1610"/>
      <c r="JZZ1036" s="1610"/>
      <c r="KAA1036" s="1610"/>
      <c r="KAB1036" s="1610"/>
      <c r="KAC1036" s="1610"/>
      <c r="KAD1036" s="1610"/>
      <c r="KAE1036" s="1610"/>
      <c r="KAF1036" s="1610"/>
      <c r="KAG1036" s="1610"/>
      <c r="KAH1036" s="1610"/>
      <c r="KAI1036" s="1610"/>
      <c r="KAJ1036" s="1610"/>
      <c r="KAK1036" s="1610"/>
      <c r="KAL1036" s="1610"/>
      <c r="KAM1036" s="1610"/>
      <c r="KAN1036" s="1610"/>
      <c r="KAO1036" s="1610"/>
      <c r="KAP1036" s="1610"/>
      <c r="KAQ1036" s="1610"/>
      <c r="KAR1036" s="1610"/>
      <c r="KAS1036" s="1610"/>
      <c r="KAT1036" s="1610"/>
      <c r="KAU1036" s="1610"/>
      <c r="KAV1036" s="1610"/>
      <c r="KAW1036" s="1610"/>
      <c r="KAX1036" s="1610"/>
      <c r="KAY1036" s="1610"/>
      <c r="KAZ1036" s="1610"/>
      <c r="KBA1036" s="1610"/>
      <c r="KBB1036" s="1610"/>
      <c r="KBC1036" s="1610"/>
      <c r="KBD1036" s="1610"/>
      <c r="KBE1036" s="1610"/>
      <c r="KBF1036" s="1610"/>
      <c r="KBG1036" s="1610"/>
      <c r="KBH1036" s="1610"/>
      <c r="KBI1036" s="1610"/>
      <c r="KBJ1036" s="1610"/>
      <c r="KBK1036" s="1610"/>
      <c r="KBL1036" s="1610"/>
      <c r="KBM1036" s="1610"/>
      <c r="KBN1036" s="1610"/>
      <c r="KBO1036" s="1610"/>
      <c r="KBP1036" s="1610"/>
      <c r="KBQ1036" s="1610"/>
      <c r="KBR1036" s="1610"/>
      <c r="KBS1036" s="1610"/>
      <c r="KBT1036" s="1610"/>
      <c r="KBU1036" s="1610"/>
      <c r="KBV1036" s="1610"/>
      <c r="KBW1036" s="1610"/>
      <c r="KBX1036" s="1610"/>
      <c r="KBY1036" s="1610"/>
      <c r="KBZ1036" s="1610"/>
      <c r="KCA1036" s="1610"/>
      <c r="KCB1036" s="1610"/>
      <c r="KCC1036" s="1610"/>
      <c r="KCD1036" s="1610"/>
      <c r="KCE1036" s="1610"/>
      <c r="KCF1036" s="1610"/>
      <c r="KCG1036" s="1610"/>
      <c r="KCH1036" s="1610"/>
      <c r="KCI1036" s="1610"/>
      <c r="KCJ1036" s="1610"/>
      <c r="KCK1036" s="1610"/>
      <c r="KCL1036" s="1610"/>
      <c r="KCM1036" s="1610"/>
      <c r="KCN1036" s="1610"/>
      <c r="KCO1036" s="1610"/>
      <c r="KCP1036" s="1610"/>
      <c r="KCQ1036" s="1610"/>
      <c r="KCR1036" s="1610"/>
      <c r="KCS1036" s="1610"/>
      <c r="KCT1036" s="1610"/>
      <c r="KCU1036" s="1610"/>
      <c r="KCV1036" s="1610"/>
      <c r="KCW1036" s="1610"/>
      <c r="KCX1036" s="1610"/>
      <c r="KCY1036" s="1610"/>
      <c r="KCZ1036" s="1610"/>
      <c r="KDA1036" s="1610"/>
      <c r="KDB1036" s="1610"/>
      <c r="KDC1036" s="1610"/>
      <c r="KDD1036" s="1610"/>
      <c r="KDE1036" s="1610"/>
      <c r="KDF1036" s="1610"/>
      <c r="KDG1036" s="1610"/>
      <c r="KDH1036" s="1610"/>
      <c r="KDI1036" s="1610"/>
      <c r="KDJ1036" s="1610"/>
      <c r="KDK1036" s="1610"/>
      <c r="KDL1036" s="1610"/>
      <c r="KDM1036" s="1610"/>
      <c r="KDN1036" s="1610"/>
      <c r="KDO1036" s="1610"/>
      <c r="KDP1036" s="1610"/>
      <c r="KDQ1036" s="1610"/>
      <c r="KDR1036" s="1610"/>
      <c r="KDS1036" s="1610"/>
      <c r="KDT1036" s="1610"/>
      <c r="KDU1036" s="1610"/>
      <c r="KDV1036" s="1610"/>
      <c r="KDW1036" s="1610"/>
      <c r="KDX1036" s="1610"/>
      <c r="KDY1036" s="1610"/>
      <c r="KDZ1036" s="1610"/>
      <c r="KEA1036" s="1610"/>
      <c r="KEB1036" s="1610"/>
      <c r="KEC1036" s="1610"/>
      <c r="KED1036" s="1610"/>
      <c r="KEE1036" s="1610"/>
      <c r="KEF1036" s="1610"/>
      <c r="KEG1036" s="1610"/>
      <c r="KEH1036" s="1610"/>
      <c r="KEI1036" s="1610"/>
      <c r="KEJ1036" s="1610"/>
      <c r="KEK1036" s="1610"/>
      <c r="KEL1036" s="1610"/>
      <c r="KEM1036" s="1610"/>
      <c r="KEN1036" s="1610"/>
      <c r="KEO1036" s="1610"/>
      <c r="KEP1036" s="1610"/>
      <c r="KEQ1036" s="1610"/>
      <c r="KER1036" s="1610"/>
      <c r="KES1036" s="1610"/>
      <c r="KET1036" s="1610"/>
      <c r="KEU1036" s="1610"/>
      <c r="KEV1036" s="1610"/>
      <c r="KEW1036" s="1610"/>
      <c r="KEX1036" s="1610"/>
      <c r="KEY1036" s="1610"/>
      <c r="KEZ1036" s="1610"/>
      <c r="KFA1036" s="1610"/>
      <c r="KFB1036" s="1610"/>
      <c r="KFC1036" s="1610"/>
      <c r="KFD1036" s="1610"/>
      <c r="KFE1036" s="1610"/>
      <c r="KFF1036" s="1610"/>
      <c r="KFG1036" s="1610"/>
      <c r="KFH1036" s="1610"/>
      <c r="KFI1036" s="1610"/>
      <c r="KFJ1036" s="1610"/>
      <c r="KFK1036" s="1610"/>
      <c r="KFL1036" s="1610"/>
      <c r="KFM1036" s="1610"/>
      <c r="KFN1036" s="1610"/>
      <c r="KFO1036" s="1610"/>
      <c r="KFP1036" s="1610"/>
      <c r="KFQ1036" s="1610"/>
      <c r="KFR1036" s="1610"/>
      <c r="KFS1036" s="1610"/>
      <c r="KFT1036" s="1610"/>
      <c r="KFU1036" s="1610"/>
      <c r="KFV1036" s="1610"/>
      <c r="KFW1036" s="1610"/>
      <c r="KFX1036" s="1610"/>
      <c r="KFY1036" s="1610"/>
      <c r="KFZ1036" s="1610"/>
      <c r="KGA1036" s="1610"/>
      <c r="KGB1036" s="1610"/>
      <c r="KGC1036" s="1610"/>
      <c r="KGD1036" s="1610"/>
      <c r="KGE1036" s="1610"/>
      <c r="KGF1036" s="1610"/>
      <c r="KGG1036" s="1610"/>
      <c r="KGH1036" s="1610"/>
      <c r="KGI1036" s="1610"/>
      <c r="KGJ1036" s="1610"/>
      <c r="KGK1036" s="1610"/>
      <c r="KGL1036" s="1610"/>
      <c r="KGM1036" s="1610"/>
      <c r="KGN1036" s="1610"/>
      <c r="KGO1036" s="1610"/>
      <c r="KGP1036" s="1610"/>
      <c r="KGQ1036" s="1610"/>
      <c r="KGR1036" s="1610"/>
      <c r="KGS1036" s="1610"/>
      <c r="KGT1036" s="1610"/>
      <c r="KGU1036" s="1610"/>
      <c r="KGV1036" s="1610"/>
      <c r="KGW1036" s="1610"/>
      <c r="KGX1036" s="1610"/>
      <c r="KGY1036" s="1610"/>
      <c r="KGZ1036" s="1610"/>
      <c r="KHA1036" s="1610"/>
      <c r="KHB1036" s="1610"/>
      <c r="KHC1036" s="1610"/>
      <c r="KHD1036" s="1610"/>
      <c r="KHE1036" s="1610"/>
      <c r="KHF1036" s="1610"/>
      <c r="KHG1036" s="1610"/>
      <c r="KHH1036" s="1610"/>
      <c r="KHI1036" s="1610"/>
      <c r="KHJ1036" s="1610"/>
      <c r="KHK1036" s="1610"/>
      <c r="KHL1036" s="1610"/>
      <c r="KHM1036" s="1610"/>
      <c r="KHN1036" s="1610"/>
      <c r="KHO1036" s="1610"/>
      <c r="KHP1036" s="1610"/>
      <c r="KHQ1036" s="1610"/>
      <c r="KHR1036" s="1610"/>
      <c r="KHS1036" s="1610"/>
      <c r="KHT1036" s="1610"/>
      <c r="KHU1036" s="1610"/>
      <c r="KHV1036" s="1610"/>
      <c r="KHW1036" s="1610"/>
      <c r="KHX1036" s="1610"/>
      <c r="KHY1036" s="1610"/>
      <c r="KHZ1036" s="1610"/>
      <c r="KIA1036" s="1610"/>
      <c r="KIB1036" s="1610"/>
      <c r="KIC1036" s="1610"/>
      <c r="KID1036" s="1610"/>
      <c r="KIE1036" s="1610"/>
      <c r="KIF1036" s="1610"/>
      <c r="KIG1036" s="1610"/>
      <c r="KIH1036" s="1610"/>
      <c r="KII1036" s="1610"/>
      <c r="KIJ1036" s="1610"/>
      <c r="KIK1036" s="1610"/>
      <c r="KIL1036" s="1610"/>
      <c r="KIM1036" s="1610"/>
      <c r="KIN1036" s="1610"/>
      <c r="KIO1036" s="1610"/>
      <c r="KIP1036" s="1610"/>
      <c r="KIQ1036" s="1610"/>
      <c r="KIR1036" s="1610"/>
      <c r="KIS1036" s="1610"/>
      <c r="KIT1036" s="1610"/>
      <c r="KIU1036" s="1610"/>
      <c r="KIV1036" s="1610"/>
      <c r="KIW1036" s="1610"/>
      <c r="KIX1036" s="1610"/>
      <c r="KIY1036" s="1610"/>
      <c r="KIZ1036" s="1610"/>
      <c r="KJA1036" s="1610"/>
      <c r="KJB1036" s="1610"/>
      <c r="KJC1036" s="1610"/>
      <c r="KJD1036" s="1610"/>
      <c r="KJE1036" s="1610"/>
      <c r="KJF1036" s="1610"/>
      <c r="KJG1036" s="1610"/>
      <c r="KJH1036" s="1610"/>
      <c r="KJI1036" s="1610"/>
      <c r="KJJ1036" s="1610"/>
      <c r="KJK1036" s="1610"/>
      <c r="KJL1036" s="1610"/>
      <c r="KJM1036" s="1610"/>
      <c r="KJN1036" s="1610"/>
      <c r="KJO1036" s="1610"/>
      <c r="KJP1036" s="1610"/>
      <c r="KJQ1036" s="1610"/>
      <c r="KJR1036" s="1610"/>
      <c r="KJS1036" s="1610"/>
      <c r="KJT1036" s="1610"/>
      <c r="KJU1036" s="1610"/>
      <c r="KJV1036" s="1610"/>
      <c r="KJW1036" s="1610"/>
      <c r="KJX1036" s="1610"/>
      <c r="KJY1036" s="1610"/>
      <c r="KJZ1036" s="1610"/>
      <c r="KKA1036" s="1610"/>
      <c r="KKB1036" s="1610"/>
      <c r="KKC1036" s="1610"/>
      <c r="KKD1036" s="1610"/>
      <c r="KKE1036" s="1610"/>
      <c r="KKF1036" s="1610"/>
      <c r="KKG1036" s="1610"/>
      <c r="KKH1036" s="1610"/>
      <c r="KKI1036" s="1610"/>
      <c r="KKJ1036" s="1610"/>
      <c r="KKK1036" s="1610"/>
      <c r="KKL1036" s="1610"/>
      <c r="KKM1036" s="1610"/>
      <c r="KKN1036" s="1610"/>
      <c r="KKO1036" s="1610"/>
      <c r="KKP1036" s="1610"/>
      <c r="KKQ1036" s="1610"/>
      <c r="KKR1036" s="1610"/>
      <c r="KKS1036" s="1610"/>
      <c r="KKT1036" s="1610"/>
      <c r="KKU1036" s="1610"/>
      <c r="KKV1036" s="1610"/>
      <c r="KKW1036" s="1610"/>
      <c r="KKX1036" s="1610"/>
      <c r="KKY1036" s="1610"/>
      <c r="KKZ1036" s="1610"/>
      <c r="KLA1036" s="1610"/>
      <c r="KLB1036" s="1610"/>
      <c r="KLC1036" s="1610"/>
      <c r="KLD1036" s="1610"/>
      <c r="KLE1036" s="1610"/>
      <c r="KLF1036" s="1610"/>
      <c r="KLG1036" s="1610"/>
      <c r="KLH1036" s="1610"/>
      <c r="KLI1036" s="1610"/>
      <c r="KLJ1036" s="1610"/>
      <c r="KLK1036" s="1610"/>
      <c r="KLL1036" s="1610"/>
      <c r="KLM1036" s="1610"/>
      <c r="KLN1036" s="1610"/>
      <c r="KLO1036" s="1610"/>
      <c r="KLP1036" s="1610"/>
      <c r="KLQ1036" s="1610"/>
      <c r="KLR1036" s="1610"/>
      <c r="KLS1036" s="1610"/>
      <c r="KLT1036" s="1610"/>
      <c r="KLU1036" s="1610"/>
      <c r="KLV1036" s="1610"/>
      <c r="KLW1036" s="1610"/>
      <c r="KLX1036" s="1610"/>
      <c r="KLY1036" s="1610"/>
      <c r="KLZ1036" s="1610"/>
      <c r="KMA1036" s="1610"/>
      <c r="KMB1036" s="1610"/>
      <c r="KMC1036" s="1610"/>
      <c r="KMD1036" s="1610"/>
      <c r="KME1036" s="1610"/>
      <c r="KMF1036" s="1610"/>
      <c r="KMG1036" s="1610"/>
      <c r="KMH1036" s="1610"/>
      <c r="KMI1036" s="1610"/>
      <c r="KMJ1036" s="1610"/>
      <c r="KMK1036" s="1610"/>
      <c r="KML1036" s="1610"/>
      <c r="KMM1036" s="1610"/>
      <c r="KMN1036" s="1610"/>
      <c r="KMO1036" s="1610"/>
      <c r="KMP1036" s="1610"/>
      <c r="KMQ1036" s="1610"/>
      <c r="KMR1036" s="1610"/>
      <c r="KMS1036" s="1610"/>
      <c r="KMT1036" s="1610"/>
      <c r="KMU1036" s="1610"/>
      <c r="KMV1036" s="1610"/>
      <c r="KMW1036" s="1610"/>
      <c r="KMX1036" s="1610"/>
      <c r="KMY1036" s="1610"/>
      <c r="KMZ1036" s="1610"/>
      <c r="KNA1036" s="1610"/>
      <c r="KNB1036" s="1610"/>
      <c r="KNC1036" s="1610"/>
      <c r="KND1036" s="1610"/>
      <c r="KNE1036" s="1610"/>
      <c r="KNF1036" s="1610"/>
      <c r="KNG1036" s="1610"/>
      <c r="KNH1036" s="1610"/>
      <c r="KNI1036" s="1610"/>
      <c r="KNJ1036" s="1610"/>
      <c r="KNK1036" s="1610"/>
      <c r="KNL1036" s="1610"/>
      <c r="KNM1036" s="1610"/>
      <c r="KNN1036" s="1610"/>
      <c r="KNO1036" s="1610"/>
      <c r="KNP1036" s="1610"/>
      <c r="KNQ1036" s="1610"/>
      <c r="KNR1036" s="1610"/>
      <c r="KNS1036" s="1610"/>
      <c r="KNT1036" s="1610"/>
      <c r="KNU1036" s="1610"/>
      <c r="KNV1036" s="1610"/>
      <c r="KNW1036" s="1610"/>
      <c r="KNX1036" s="1610"/>
      <c r="KNY1036" s="1610"/>
      <c r="KNZ1036" s="1610"/>
      <c r="KOA1036" s="1610"/>
      <c r="KOB1036" s="1610"/>
      <c r="KOC1036" s="1610"/>
      <c r="KOD1036" s="1610"/>
      <c r="KOE1036" s="1610"/>
      <c r="KOF1036" s="1610"/>
      <c r="KOG1036" s="1610"/>
      <c r="KOH1036" s="1610"/>
      <c r="KOI1036" s="1610"/>
      <c r="KOJ1036" s="1610"/>
      <c r="KOK1036" s="1610"/>
      <c r="KOL1036" s="1610"/>
      <c r="KOM1036" s="1610"/>
      <c r="KON1036" s="1610"/>
      <c r="KOO1036" s="1610"/>
      <c r="KOP1036" s="1610"/>
      <c r="KOQ1036" s="1610"/>
      <c r="KOR1036" s="1610"/>
      <c r="KOS1036" s="1610"/>
      <c r="KOT1036" s="1610"/>
      <c r="KOU1036" s="1610"/>
      <c r="KOV1036" s="1610"/>
      <c r="KOW1036" s="1610"/>
      <c r="KOX1036" s="1610"/>
      <c r="KOY1036" s="1610"/>
      <c r="KOZ1036" s="1610"/>
      <c r="KPA1036" s="1610"/>
      <c r="KPB1036" s="1610"/>
      <c r="KPC1036" s="1610"/>
      <c r="KPD1036" s="1610"/>
      <c r="KPE1036" s="1610"/>
      <c r="KPF1036" s="1610"/>
      <c r="KPG1036" s="1610"/>
      <c r="KPH1036" s="1610"/>
      <c r="KPI1036" s="1610"/>
      <c r="KPJ1036" s="1610"/>
      <c r="KPK1036" s="1610"/>
      <c r="KPL1036" s="1610"/>
      <c r="KPM1036" s="1610"/>
      <c r="KPN1036" s="1610"/>
      <c r="KPO1036" s="1610"/>
      <c r="KPP1036" s="1610"/>
      <c r="KPQ1036" s="1610"/>
      <c r="KPR1036" s="1610"/>
      <c r="KPS1036" s="1610"/>
      <c r="KPT1036" s="1610"/>
      <c r="KPU1036" s="1610"/>
      <c r="KPV1036" s="1610"/>
      <c r="KPW1036" s="1610"/>
      <c r="KPX1036" s="1610"/>
      <c r="KPY1036" s="1610"/>
      <c r="KPZ1036" s="1610"/>
      <c r="KQA1036" s="1610"/>
      <c r="KQB1036" s="1610"/>
      <c r="KQC1036" s="1610"/>
      <c r="KQD1036" s="1610"/>
      <c r="KQE1036" s="1610"/>
      <c r="KQF1036" s="1610"/>
      <c r="KQG1036" s="1610"/>
      <c r="KQH1036" s="1610"/>
      <c r="KQI1036" s="1610"/>
      <c r="KQJ1036" s="1610"/>
      <c r="KQK1036" s="1610"/>
      <c r="KQL1036" s="1610"/>
      <c r="KQM1036" s="1610"/>
      <c r="KQN1036" s="1610"/>
      <c r="KQO1036" s="1610"/>
      <c r="KQP1036" s="1610"/>
      <c r="KQQ1036" s="1610"/>
      <c r="KQR1036" s="1610"/>
      <c r="KQS1036" s="1610"/>
      <c r="KQT1036" s="1610"/>
      <c r="KQU1036" s="1610"/>
      <c r="KQV1036" s="1610"/>
      <c r="KQW1036" s="1610"/>
      <c r="KQX1036" s="1610"/>
      <c r="KQY1036" s="1610"/>
      <c r="KQZ1036" s="1610"/>
      <c r="KRA1036" s="1610"/>
      <c r="KRB1036" s="1610"/>
      <c r="KRC1036" s="1610"/>
      <c r="KRD1036" s="1610"/>
      <c r="KRE1036" s="1610"/>
      <c r="KRF1036" s="1610"/>
      <c r="KRG1036" s="1610"/>
      <c r="KRH1036" s="1610"/>
      <c r="KRI1036" s="1610"/>
      <c r="KRJ1036" s="1610"/>
      <c r="KRK1036" s="1610"/>
      <c r="KRL1036" s="1610"/>
      <c r="KRM1036" s="1610"/>
      <c r="KRN1036" s="1610"/>
      <c r="KRO1036" s="1610"/>
      <c r="KRP1036" s="1610"/>
      <c r="KRQ1036" s="1610"/>
      <c r="KRR1036" s="1610"/>
      <c r="KRS1036" s="1610"/>
      <c r="KRT1036" s="1610"/>
      <c r="KRU1036" s="1610"/>
      <c r="KRV1036" s="1610"/>
      <c r="KRW1036" s="1610"/>
      <c r="KRX1036" s="1610"/>
      <c r="KRY1036" s="1610"/>
      <c r="KRZ1036" s="1610"/>
      <c r="KSA1036" s="1610"/>
      <c r="KSB1036" s="1610"/>
      <c r="KSC1036" s="1610"/>
      <c r="KSD1036" s="1610"/>
      <c r="KSE1036" s="1610"/>
      <c r="KSF1036" s="1610"/>
      <c r="KSG1036" s="1610"/>
      <c r="KSH1036" s="1610"/>
      <c r="KSI1036" s="1610"/>
      <c r="KSJ1036" s="1610"/>
      <c r="KSK1036" s="1610"/>
      <c r="KSL1036" s="1610"/>
      <c r="KSM1036" s="1610"/>
      <c r="KSN1036" s="1610"/>
      <c r="KSO1036" s="1610"/>
      <c r="KSP1036" s="1610"/>
      <c r="KSQ1036" s="1610"/>
      <c r="KSR1036" s="1610"/>
      <c r="KSS1036" s="1610"/>
      <c r="KST1036" s="1610"/>
      <c r="KSU1036" s="1610"/>
      <c r="KSV1036" s="1610"/>
      <c r="KSW1036" s="1610"/>
      <c r="KSX1036" s="1610"/>
      <c r="KSY1036" s="1610"/>
      <c r="KSZ1036" s="1610"/>
      <c r="KTA1036" s="1610"/>
      <c r="KTB1036" s="1610"/>
      <c r="KTC1036" s="1610"/>
      <c r="KTD1036" s="1610"/>
      <c r="KTE1036" s="1610"/>
      <c r="KTF1036" s="1610"/>
      <c r="KTG1036" s="1610"/>
      <c r="KTH1036" s="1610"/>
      <c r="KTI1036" s="1610"/>
      <c r="KTJ1036" s="1610"/>
      <c r="KTK1036" s="1610"/>
      <c r="KTL1036" s="1610"/>
      <c r="KTM1036" s="1610"/>
      <c r="KTN1036" s="1610"/>
      <c r="KTO1036" s="1610"/>
      <c r="KTP1036" s="1610"/>
      <c r="KTQ1036" s="1610"/>
      <c r="KTR1036" s="1610"/>
      <c r="KTS1036" s="1610"/>
      <c r="KTT1036" s="1610"/>
      <c r="KTU1036" s="1610"/>
      <c r="KTV1036" s="1610"/>
      <c r="KTW1036" s="1610"/>
      <c r="KTX1036" s="1610"/>
      <c r="KTY1036" s="1610"/>
      <c r="KTZ1036" s="1610"/>
      <c r="KUA1036" s="1610"/>
      <c r="KUB1036" s="1610"/>
      <c r="KUC1036" s="1610"/>
      <c r="KUD1036" s="1610"/>
      <c r="KUE1036" s="1610"/>
      <c r="KUF1036" s="1610"/>
      <c r="KUG1036" s="1610"/>
      <c r="KUH1036" s="1610"/>
      <c r="KUI1036" s="1610"/>
      <c r="KUJ1036" s="1610"/>
      <c r="KUK1036" s="1610"/>
      <c r="KUL1036" s="1610"/>
      <c r="KUM1036" s="1610"/>
      <c r="KUN1036" s="1610"/>
      <c r="KUO1036" s="1610"/>
      <c r="KUP1036" s="1610"/>
      <c r="KUQ1036" s="1610"/>
      <c r="KUR1036" s="1610"/>
      <c r="KUS1036" s="1610"/>
      <c r="KUT1036" s="1610"/>
      <c r="KUU1036" s="1610"/>
      <c r="KUV1036" s="1610"/>
      <c r="KUW1036" s="1610"/>
      <c r="KUX1036" s="1610"/>
      <c r="KUY1036" s="1610"/>
      <c r="KUZ1036" s="1610"/>
      <c r="KVA1036" s="1610"/>
      <c r="KVB1036" s="1610"/>
      <c r="KVC1036" s="1610"/>
      <c r="KVD1036" s="1610"/>
      <c r="KVE1036" s="1610"/>
      <c r="KVF1036" s="1610"/>
      <c r="KVG1036" s="1610"/>
      <c r="KVH1036" s="1610"/>
      <c r="KVI1036" s="1610"/>
      <c r="KVJ1036" s="1610"/>
      <c r="KVK1036" s="1610"/>
      <c r="KVL1036" s="1610"/>
      <c r="KVM1036" s="1610"/>
      <c r="KVN1036" s="1610"/>
      <c r="KVO1036" s="1610"/>
      <c r="KVP1036" s="1610"/>
      <c r="KVQ1036" s="1610"/>
      <c r="KVR1036" s="1610"/>
      <c r="KVS1036" s="1610"/>
      <c r="KVT1036" s="1610"/>
      <c r="KVU1036" s="1610"/>
      <c r="KVV1036" s="1610"/>
      <c r="KVW1036" s="1610"/>
      <c r="KVX1036" s="1610"/>
      <c r="KVY1036" s="1610"/>
      <c r="KVZ1036" s="1610"/>
      <c r="KWA1036" s="1610"/>
      <c r="KWB1036" s="1610"/>
      <c r="KWC1036" s="1610"/>
      <c r="KWD1036" s="1610"/>
      <c r="KWE1036" s="1610"/>
      <c r="KWF1036" s="1610"/>
      <c r="KWG1036" s="1610"/>
      <c r="KWH1036" s="1610"/>
      <c r="KWI1036" s="1610"/>
      <c r="KWJ1036" s="1610"/>
      <c r="KWK1036" s="1610"/>
      <c r="KWL1036" s="1610"/>
      <c r="KWM1036" s="1610"/>
      <c r="KWN1036" s="1610"/>
      <c r="KWO1036" s="1610"/>
      <c r="KWP1036" s="1610"/>
      <c r="KWQ1036" s="1610"/>
      <c r="KWR1036" s="1610"/>
      <c r="KWS1036" s="1610"/>
      <c r="KWT1036" s="1610"/>
      <c r="KWU1036" s="1610"/>
      <c r="KWV1036" s="1610"/>
      <c r="KWW1036" s="1610"/>
      <c r="KWX1036" s="1610"/>
      <c r="KWY1036" s="1610"/>
      <c r="KWZ1036" s="1610"/>
      <c r="KXA1036" s="1610"/>
      <c r="KXB1036" s="1610"/>
      <c r="KXC1036" s="1610"/>
      <c r="KXD1036" s="1610"/>
      <c r="KXE1036" s="1610"/>
      <c r="KXF1036" s="1610"/>
      <c r="KXG1036" s="1610"/>
      <c r="KXH1036" s="1610"/>
      <c r="KXI1036" s="1610"/>
      <c r="KXJ1036" s="1610"/>
      <c r="KXK1036" s="1610"/>
      <c r="KXL1036" s="1610"/>
      <c r="KXM1036" s="1610"/>
      <c r="KXN1036" s="1610"/>
      <c r="KXO1036" s="1610"/>
      <c r="KXP1036" s="1610"/>
      <c r="KXQ1036" s="1610"/>
      <c r="KXR1036" s="1610"/>
      <c r="KXS1036" s="1610"/>
      <c r="KXT1036" s="1610"/>
      <c r="KXU1036" s="1610"/>
      <c r="KXV1036" s="1610"/>
      <c r="KXW1036" s="1610"/>
      <c r="KXX1036" s="1610"/>
      <c r="KXY1036" s="1610"/>
      <c r="KXZ1036" s="1610"/>
      <c r="KYA1036" s="1610"/>
      <c r="KYB1036" s="1610"/>
      <c r="KYC1036" s="1610"/>
      <c r="KYD1036" s="1610"/>
      <c r="KYE1036" s="1610"/>
      <c r="KYF1036" s="1610"/>
      <c r="KYG1036" s="1610"/>
      <c r="KYH1036" s="1610"/>
      <c r="KYI1036" s="1610"/>
      <c r="KYJ1036" s="1610"/>
      <c r="KYK1036" s="1610"/>
      <c r="KYL1036" s="1610"/>
      <c r="KYM1036" s="1610"/>
      <c r="KYN1036" s="1610"/>
      <c r="KYO1036" s="1610"/>
      <c r="KYP1036" s="1610"/>
      <c r="KYQ1036" s="1610"/>
      <c r="KYR1036" s="1610"/>
      <c r="KYS1036" s="1610"/>
      <c r="KYT1036" s="1610"/>
      <c r="KYU1036" s="1610"/>
      <c r="KYV1036" s="1610"/>
      <c r="KYW1036" s="1610"/>
      <c r="KYX1036" s="1610"/>
      <c r="KYY1036" s="1610"/>
      <c r="KYZ1036" s="1610"/>
      <c r="KZA1036" s="1610"/>
      <c r="KZB1036" s="1610"/>
      <c r="KZC1036" s="1610"/>
      <c r="KZD1036" s="1610"/>
      <c r="KZE1036" s="1610"/>
      <c r="KZF1036" s="1610"/>
      <c r="KZG1036" s="1610"/>
      <c r="KZH1036" s="1610"/>
      <c r="KZI1036" s="1610"/>
      <c r="KZJ1036" s="1610"/>
      <c r="KZK1036" s="1610"/>
      <c r="KZL1036" s="1610"/>
      <c r="KZM1036" s="1610"/>
      <c r="KZN1036" s="1610"/>
      <c r="KZO1036" s="1610"/>
      <c r="KZP1036" s="1610"/>
      <c r="KZQ1036" s="1610"/>
      <c r="KZR1036" s="1610"/>
      <c r="KZS1036" s="1610"/>
      <c r="KZT1036" s="1610"/>
      <c r="KZU1036" s="1610"/>
      <c r="KZV1036" s="1610"/>
      <c r="KZW1036" s="1610"/>
      <c r="KZX1036" s="1610"/>
      <c r="KZY1036" s="1610"/>
      <c r="KZZ1036" s="1610"/>
      <c r="LAA1036" s="1610"/>
      <c r="LAB1036" s="1610"/>
      <c r="LAC1036" s="1610"/>
      <c r="LAD1036" s="1610"/>
      <c r="LAE1036" s="1610"/>
      <c r="LAF1036" s="1610"/>
      <c r="LAG1036" s="1610"/>
      <c r="LAH1036" s="1610"/>
      <c r="LAI1036" s="1610"/>
      <c r="LAJ1036" s="1610"/>
      <c r="LAK1036" s="1610"/>
      <c r="LAL1036" s="1610"/>
      <c r="LAM1036" s="1610"/>
      <c r="LAN1036" s="1610"/>
      <c r="LAO1036" s="1610"/>
      <c r="LAP1036" s="1610"/>
      <c r="LAQ1036" s="1610"/>
      <c r="LAR1036" s="1610"/>
      <c r="LAS1036" s="1610"/>
      <c r="LAT1036" s="1610"/>
      <c r="LAU1036" s="1610"/>
      <c r="LAV1036" s="1610"/>
      <c r="LAW1036" s="1610"/>
      <c r="LAX1036" s="1610"/>
      <c r="LAY1036" s="1610"/>
      <c r="LAZ1036" s="1610"/>
      <c r="LBA1036" s="1610"/>
      <c r="LBB1036" s="1610"/>
      <c r="LBC1036" s="1610"/>
      <c r="LBD1036" s="1610"/>
      <c r="LBE1036" s="1610"/>
      <c r="LBF1036" s="1610"/>
      <c r="LBG1036" s="1610"/>
      <c r="LBH1036" s="1610"/>
      <c r="LBI1036" s="1610"/>
      <c r="LBJ1036" s="1610"/>
      <c r="LBK1036" s="1610"/>
      <c r="LBL1036" s="1610"/>
      <c r="LBM1036" s="1610"/>
      <c r="LBN1036" s="1610"/>
      <c r="LBO1036" s="1610"/>
      <c r="LBP1036" s="1610"/>
      <c r="LBQ1036" s="1610"/>
      <c r="LBR1036" s="1610"/>
      <c r="LBS1036" s="1610"/>
      <c r="LBT1036" s="1610"/>
      <c r="LBU1036" s="1610"/>
      <c r="LBV1036" s="1610"/>
      <c r="LBW1036" s="1610"/>
      <c r="LBX1036" s="1610"/>
      <c r="LBY1036" s="1610"/>
      <c r="LBZ1036" s="1610"/>
      <c r="LCA1036" s="1610"/>
      <c r="LCB1036" s="1610"/>
      <c r="LCC1036" s="1610"/>
      <c r="LCD1036" s="1610"/>
      <c r="LCE1036" s="1610"/>
      <c r="LCF1036" s="1610"/>
      <c r="LCG1036" s="1610"/>
      <c r="LCH1036" s="1610"/>
      <c r="LCI1036" s="1610"/>
      <c r="LCJ1036" s="1610"/>
      <c r="LCK1036" s="1610"/>
      <c r="LCL1036" s="1610"/>
      <c r="LCM1036" s="1610"/>
      <c r="LCN1036" s="1610"/>
      <c r="LCO1036" s="1610"/>
      <c r="LCP1036" s="1610"/>
      <c r="LCQ1036" s="1610"/>
      <c r="LCR1036" s="1610"/>
      <c r="LCS1036" s="1610"/>
      <c r="LCT1036" s="1610"/>
      <c r="LCU1036" s="1610"/>
      <c r="LCV1036" s="1610"/>
      <c r="LCW1036" s="1610"/>
      <c r="LCX1036" s="1610"/>
      <c r="LCY1036" s="1610"/>
      <c r="LCZ1036" s="1610"/>
      <c r="LDA1036" s="1610"/>
      <c r="LDB1036" s="1610"/>
      <c r="LDC1036" s="1610"/>
      <c r="LDD1036" s="1610"/>
      <c r="LDE1036" s="1610"/>
      <c r="LDF1036" s="1610"/>
      <c r="LDG1036" s="1610"/>
      <c r="LDH1036" s="1610"/>
      <c r="LDI1036" s="1610"/>
      <c r="LDJ1036" s="1610"/>
      <c r="LDK1036" s="1610"/>
      <c r="LDL1036" s="1610"/>
      <c r="LDM1036" s="1610"/>
      <c r="LDN1036" s="1610"/>
      <c r="LDO1036" s="1610"/>
      <c r="LDP1036" s="1610"/>
      <c r="LDQ1036" s="1610"/>
      <c r="LDR1036" s="1610"/>
      <c r="LDS1036" s="1610"/>
      <c r="LDT1036" s="1610"/>
      <c r="LDU1036" s="1610"/>
      <c r="LDV1036" s="1610"/>
      <c r="LDW1036" s="1610"/>
      <c r="LDX1036" s="1610"/>
      <c r="LDY1036" s="1610"/>
      <c r="LDZ1036" s="1610"/>
      <c r="LEA1036" s="1610"/>
      <c r="LEB1036" s="1610"/>
      <c r="LEC1036" s="1610"/>
      <c r="LED1036" s="1610"/>
      <c r="LEE1036" s="1610"/>
      <c r="LEF1036" s="1610"/>
      <c r="LEG1036" s="1610"/>
      <c r="LEH1036" s="1610"/>
      <c r="LEI1036" s="1610"/>
      <c r="LEJ1036" s="1610"/>
      <c r="LEK1036" s="1610"/>
      <c r="LEL1036" s="1610"/>
      <c r="LEM1036" s="1610"/>
      <c r="LEN1036" s="1610"/>
      <c r="LEO1036" s="1610"/>
      <c r="LEP1036" s="1610"/>
      <c r="LEQ1036" s="1610"/>
      <c r="LER1036" s="1610"/>
      <c r="LES1036" s="1610"/>
      <c r="LET1036" s="1610"/>
      <c r="LEU1036" s="1610"/>
      <c r="LEV1036" s="1610"/>
      <c r="LEW1036" s="1610"/>
      <c r="LEX1036" s="1610"/>
      <c r="LEY1036" s="1610"/>
      <c r="LEZ1036" s="1610"/>
      <c r="LFA1036" s="1610"/>
      <c r="LFB1036" s="1610"/>
      <c r="LFC1036" s="1610"/>
      <c r="LFD1036" s="1610"/>
      <c r="LFE1036" s="1610"/>
      <c r="LFF1036" s="1610"/>
      <c r="LFG1036" s="1610"/>
      <c r="LFH1036" s="1610"/>
      <c r="LFI1036" s="1610"/>
      <c r="LFJ1036" s="1610"/>
      <c r="LFK1036" s="1610"/>
      <c r="LFL1036" s="1610"/>
      <c r="LFM1036" s="1610"/>
      <c r="LFN1036" s="1610"/>
      <c r="LFO1036" s="1610"/>
      <c r="LFP1036" s="1610"/>
      <c r="LFQ1036" s="1610"/>
      <c r="LFR1036" s="1610"/>
      <c r="LFS1036" s="1610"/>
      <c r="LFT1036" s="1610"/>
      <c r="LFU1036" s="1610"/>
      <c r="LFV1036" s="1610"/>
      <c r="LFW1036" s="1610"/>
      <c r="LFX1036" s="1610"/>
      <c r="LFY1036" s="1610"/>
      <c r="LFZ1036" s="1610"/>
      <c r="LGA1036" s="1610"/>
      <c r="LGB1036" s="1610"/>
      <c r="LGC1036" s="1610"/>
      <c r="LGD1036" s="1610"/>
      <c r="LGE1036" s="1610"/>
      <c r="LGF1036" s="1610"/>
      <c r="LGG1036" s="1610"/>
      <c r="LGH1036" s="1610"/>
      <c r="LGI1036" s="1610"/>
      <c r="LGJ1036" s="1610"/>
      <c r="LGK1036" s="1610"/>
      <c r="LGL1036" s="1610"/>
      <c r="LGM1036" s="1610"/>
      <c r="LGN1036" s="1610"/>
      <c r="LGO1036" s="1610"/>
      <c r="LGP1036" s="1610"/>
      <c r="LGQ1036" s="1610"/>
      <c r="LGR1036" s="1610"/>
      <c r="LGS1036" s="1610"/>
      <c r="LGT1036" s="1610"/>
      <c r="LGU1036" s="1610"/>
      <c r="LGV1036" s="1610"/>
      <c r="LGW1036" s="1610"/>
      <c r="LGX1036" s="1610"/>
      <c r="LGY1036" s="1610"/>
      <c r="LGZ1036" s="1610"/>
      <c r="LHA1036" s="1610"/>
      <c r="LHB1036" s="1610"/>
      <c r="LHC1036" s="1610"/>
      <c r="LHD1036" s="1610"/>
      <c r="LHE1036" s="1610"/>
      <c r="LHF1036" s="1610"/>
      <c r="LHG1036" s="1610"/>
      <c r="LHH1036" s="1610"/>
      <c r="LHI1036" s="1610"/>
      <c r="LHJ1036" s="1610"/>
      <c r="LHK1036" s="1610"/>
      <c r="LHL1036" s="1610"/>
      <c r="LHM1036" s="1610"/>
      <c r="LHN1036" s="1610"/>
      <c r="LHO1036" s="1610"/>
      <c r="LHP1036" s="1610"/>
      <c r="LHQ1036" s="1610"/>
      <c r="LHR1036" s="1610"/>
      <c r="LHS1036" s="1610"/>
      <c r="LHT1036" s="1610"/>
      <c r="LHU1036" s="1610"/>
      <c r="LHV1036" s="1610"/>
      <c r="LHW1036" s="1610"/>
      <c r="LHX1036" s="1610"/>
      <c r="LHY1036" s="1610"/>
      <c r="LHZ1036" s="1610"/>
      <c r="LIA1036" s="1610"/>
      <c r="LIB1036" s="1610"/>
      <c r="LIC1036" s="1610"/>
      <c r="LID1036" s="1610"/>
      <c r="LIE1036" s="1610"/>
      <c r="LIF1036" s="1610"/>
      <c r="LIG1036" s="1610"/>
      <c r="LIH1036" s="1610"/>
      <c r="LII1036" s="1610"/>
      <c r="LIJ1036" s="1610"/>
      <c r="LIK1036" s="1610"/>
      <c r="LIL1036" s="1610"/>
      <c r="LIM1036" s="1610"/>
      <c r="LIN1036" s="1610"/>
      <c r="LIO1036" s="1610"/>
      <c r="LIP1036" s="1610"/>
      <c r="LIQ1036" s="1610"/>
      <c r="LIR1036" s="1610"/>
      <c r="LIS1036" s="1610"/>
      <c r="LIT1036" s="1610"/>
      <c r="LIU1036" s="1610"/>
      <c r="LIV1036" s="1610"/>
      <c r="LIW1036" s="1610"/>
      <c r="LIX1036" s="1610"/>
      <c r="LIY1036" s="1610"/>
      <c r="LIZ1036" s="1610"/>
      <c r="LJA1036" s="1610"/>
      <c r="LJB1036" s="1610"/>
      <c r="LJC1036" s="1610"/>
      <c r="LJD1036" s="1610"/>
      <c r="LJE1036" s="1610"/>
      <c r="LJF1036" s="1610"/>
      <c r="LJG1036" s="1610"/>
      <c r="LJH1036" s="1610"/>
      <c r="LJI1036" s="1610"/>
      <c r="LJJ1036" s="1610"/>
      <c r="LJK1036" s="1610"/>
      <c r="LJL1036" s="1610"/>
      <c r="LJM1036" s="1610"/>
      <c r="LJN1036" s="1610"/>
      <c r="LJO1036" s="1610"/>
      <c r="LJP1036" s="1610"/>
      <c r="LJQ1036" s="1610"/>
      <c r="LJR1036" s="1610"/>
      <c r="LJS1036" s="1610"/>
      <c r="LJT1036" s="1610"/>
      <c r="LJU1036" s="1610"/>
      <c r="LJV1036" s="1610"/>
      <c r="LJW1036" s="1610"/>
      <c r="LJX1036" s="1610"/>
      <c r="LJY1036" s="1610"/>
      <c r="LJZ1036" s="1610"/>
      <c r="LKA1036" s="1610"/>
      <c r="LKB1036" s="1610"/>
      <c r="LKC1036" s="1610"/>
      <c r="LKD1036" s="1610"/>
      <c r="LKE1036" s="1610"/>
      <c r="LKF1036" s="1610"/>
      <c r="LKG1036" s="1610"/>
      <c r="LKH1036" s="1610"/>
      <c r="LKI1036" s="1610"/>
      <c r="LKJ1036" s="1610"/>
      <c r="LKK1036" s="1610"/>
      <c r="LKL1036" s="1610"/>
      <c r="LKM1036" s="1610"/>
      <c r="LKN1036" s="1610"/>
      <c r="LKO1036" s="1610"/>
      <c r="LKP1036" s="1610"/>
      <c r="LKQ1036" s="1610"/>
      <c r="LKR1036" s="1610"/>
      <c r="LKS1036" s="1610"/>
      <c r="LKT1036" s="1610"/>
      <c r="LKU1036" s="1610"/>
      <c r="LKV1036" s="1610"/>
      <c r="LKW1036" s="1610"/>
      <c r="LKX1036" s="1610"/>
      <c r="LKY1036" s="1610"/>
      <c r="LKZ1036" s="1610"/>
      <c r="LLA1036" s="1610"/>
      <c r="LLB1036" s="1610"/>
      <c r="LLC1036" s="1610"/>
      <c r="LLD1036" s="1610"/>
      <c r="LLE1036" s="1610"/>
      <c r="LLF1036" s="1610"/>
      <c r="LLG1036" s="1610"/>
      <c r="LLH1036" s="1610"/>
      <c r="LLI1036" s="1610"/>
      <c r="LLJ1036" s="1610"/>
      <c r="LLK1036" s="1610"/>
      <c r="LLL1036" s="1610"/>
      <c r="LLM1036" s="1610"/>
      <c r="LLN1036" s="1610"/>
      <c r="LLO1036" s="1610"/>
      <c r="LLP1036" s="1610"/>
      <c r="LLQ1036" s="1610"/>
      <c r="LLR1036" s="1610"/>
      <c r="LLS1036" s="1610"/>
      <c r="LLT1036" s="1610"/>
      <c r="LLU1036" s="1610"/>
      <c r="LLV1036" s="1610"/>
      <c r="LLW1036" s="1610"/>
      <c r="LLX1036" s="1610"/>
      <c r="LLY1036" s="1610"/>
      <c r="LLZ1036" s="1610"/>
      <c r="LMA1036" s="1610"/>
      <c r="LMB1036" s="1610"/>
      <c r="LMC1036" s="1610"/>
      <c r="LMD1036" s="1610"/>
      <c r="LME1036" s="1610"/>
      <c r="LMF1036" s="1610"/>
      <c r="LMG1036" s="1610"/>
      <c r="LMH1036" s="1610"/>
      <c r="LMI1036" s="1610"/>
      <c r="LMJ1036" s="1610"/>
      <c r="LMK1036" s="1610"/>
      <c r="LML1036" s="1610"/>
      <c r="LMM1036" s="1610"/>
      <c r="LMN1036" s="1610"/>
      <c r="LMO1036" s="1610"/>
      <c r="LMP1036" s="1610"/>
      <c r="LMQ1036" s="1610"/>
      <c r="LMR1036" s="1610"/>
      <c r="LMS1036" s="1610"/>
      <c r="LMT1036" s="1610"/>
      <c r="LMU1036" s="1610"/>
      <c r="LMV1036" s="1610"/>
      <c r="LMW1036" s="1610"/>
      <c r="LMX1036" s="1610"/>
      <c r="LMY1036" s="1610"/>
      <c r="LMZ1036" s="1610"/>
      <c r="LNA1036" s="1610"/>
      <c r="LNB1036" s="1610"/>
      <c r="LNC1036" s="1610"/>
      <c r="LND1036" s="1610"/>
      <c r="LNE1036" s="1610"/>
      <c r="LNF1036" s="1610"/>
      <c r="LNG1036" s="1610"/>
      <c r="LNH1036" s="1610"/>
      <c r="LNI1036" s="1610"/>
      <c r="LNJ1036" s="1610"/>
      <c r="LNK1036" s="1610"/>
      <c r="LNL1036" s="1610"/>
      <c r="LNM1036" s="1610"/>
      <c r="LNN1036" s="1610"/>
      <c r="LNO1036" s="1610"/>
      <c r="LNP1036" s="1610"/>
      <c r="LNQ1036" s="1610"/>
      <c r="LNR1036" s="1610"/>
      <c r="LNS1036" s="1610"/>
      <c r="LNT1036" s="1610"/>
      <c r="LNU1036" s="1610"/>
      <c r="LNV1036" s="1610"/>
      <c r="LNW1036" s="1610"/>
      <c r="LNX1036" s="1610"/>
      <c r="LNY1036" s="1610"/>
      <c r="LNZ1036" s="1610"/>
      <c r="LOA1036" s="1610"/>
      <c r="LOB1036" s="1610"/>
      <c r="LOC1036" s="1610"/>
      <c r="LOD1036" s="1610"/>
      <c r="LOE1036" s="1610"/>
      <c r="LOF1036" s="1610"/>
      <c r="LOG1036" s="1610"/>
      <c r="LOH1036" s="1610"/>
      <c r="LOI1036" s="1610"/>
      <c r="LOJ1036" s="1610"/>
      <c r="LOK1036" s="1610"/>
      <c r="LOL1036" s="1610"/>
      <c r="LOM1036" s="1610"/>
      <c r="LON1036" s="1610"/>
      <c r="LOO1036" s="1610"/>
      <c r="LOP1036" s="1610"/>
      <c r="LOQ1036" s="1610"/>
      <c r="LOR1036" s="1610"/>
      <c r="LOS1036" s="1610"/>
      <c r="LOT1036" s="1610"/>
      <c r="LOU1036" s="1610"/>
      <c r="LOV1036" s="1610"/>
      <c r="LOW1036" s="1610"/>
      <c r="LOX1036" s="1610"/>
      <c r="LOY1036" s="1610"/>
      <c r="LOZ1036" s="1610"/>
      <c r="LPA1036" s="1610"/>
      <c r="LPB1036" s="1610"/>
      <c r="LPC1036" s="1610"/>
      <c r="LPD1036" s="1610"/>
      <c r="LPE1036" s="1610"/>
      <c r="LPF1036" s="1610"/>
      <c r="LPG1036" s="1610"/>
      <c r="LPH1036" s="1610"/>
      <c r="LPI1036" s="1610"/>
      <c r="LPJ1036" s="1610"/>
      <c r="LPK1036" s="1610"/>
      <c r="LPL1036" s="1610"/>
      <c r="LPM1036" s="1610"/>
      <c r="LPN1036" s="1610"/>
      <c r="LPO1036" s="1610"/>
      <c r="LPP1036" s="1610"/>
      <c r="LPQ1036" s="1610"/>
      <c r="LPR1036" s="1610"/>
      <c r="LPS1036" s="1610"/>
      <c r="LPT1036" s="1610"/>
      <c r="LPU1036" s="1610"/>
      <c r="LPV1036" s="1610"/>
      <c r="LPW1036" s="1610"/>
      <c r="LPX1036" s="1610"/>
      <c r="LPY1036" s="1610"/>
      <c r="LPZ1036" s="1610"/>
      <c r="LQA1036" s="1610"/>
      <c r="LQB1036" s="1610"/>
      <c r="LQC1036" s="1610"/>
      <c r="LQD1036" s="1610"/>
      <c r="LQE1036" s="1610"/>
      <c r="LQF1036" s="1610"/>
      <c r="LQG1036" s="1610"/>
      <c r="LQH1036" s="1610"/>
      <c r="LQI1036" s="1610"/>
      <c r="LQJ1036" s="1610"/>
      <c r="LQK1036" s="1610"/>
      <c r="LQL1036" s="1610"/>
      <c r="LQM1036" s="1610"/>
      <c r="LQN1036" s="1610"/>
      <c r="LQO1036" s="1610"/>
      <c r="LQP1036" s="1610"/>
      <c r="LQQ1036" s="1610"/>
      <c r="LQR1036" s="1610"/>
      <c r="LQS1036" s="1610"/>
      <c r="LQT1036" s="1610"/>
      <c r="LQU1036" s="1610"/>
      <c r="LQV1036" s="1610"/>
      <c r="LQW1036" s="1610"/>
      <c r="LQX1036" s="1610"/>
      <c r="LQY1036" s="1610"/>
      <c r="LQZ1036" s="1610"/>
      <c r="LRA1036" s="1610"/>
      <c r="LRB1036" s="1610"/>
      <c r="LRC1036" s="1610"/>
      <c r="LRD1036" s="1610"/>
      <c r="LRE1036" s="1610"/>
      <c r="LRF1036" s="1610"/>
      <c r="LRG1036" s="1610"/>
      <c r="LRH1036" s="1610"/>
      <c r="LRI1036" s="1610"/>
      <c r="LRJ1036" s="1610"/>
      <c r="LRK1036" s="1610"/>
      <c r="LRL1036" s="1610"/>
      <c r="LRM1036" s="1610"/>
      <c r="LRN1036" s="1610"/>
      <c r="LRO1036" s="1610"/>
      <c r="LRP1036" s="1610"/>
      <c r="LRQ1036" s="1610"/>
      <c r="LRR1036" s="1610"/>
      <c r="LRS1036" s="1610"/>
      <c r="LRT1036" s="1610"/>
      <c r="LRU1036" s="1610"/>
      <c r="LRV1036" s="1610"/>
      <c r="LRW1036" s="1610"/>
      <c r="LRX1036" s="1610"/>
      <c r="LRY1036" s="1610"/>
      <c r="LRZ1036" s="1610"/>
      <c r="LSA1036" s="1610"/>
      <c r="LSB1036" s="1610"/>
      <c r="LSC1036" s="1610"/>
      <c r="LSD1036" s="1610"/>
      <c r="LSE1036" s="1610"/>
      <c r="LSF1036" s="1610"/>
      <c r="LSG1036" s="1610"/>
      <c r="LSH1036" s="1610"/>
      <c r="LSI1036" s="1610"/>
      <c r="LSJ1036" s="1610"/>
      <c r="LSK1036" s="1610"/>
      <c r="LSL1036" s="1610"/>
      <c r="LSM1036" s="1610"/>
      <c r="LSN1036" s="1610"/>
      <c r="LSO1036" s="1610"/>
      <c r="LSP1036" s="1610"/>
      <c r="LSQ1036" s="1610"/>
      <c r="LSR1036" s="1610"/>
      <c r="LSS1036" s="1610"/>
      <c r="LST1036" s="1610"/>
      <c r="LSU1036" s="1610"/>
      <c r="LSV1036" s="1610"/>
      <c r="LSW1036" s="1610"/>
      <c r="LSX1036" s="1610"/>
      <c r="LSY1036" s="1610"/>
      <c r="LSZ1036" s="1610"/>
      <c r="LTA1036" s="1610"/>
      <c r="LTB1036" s="1610"/>
      <c r="LTC1036" s="1610"/>
      <c r="LTD1036" s="1610"/>
      <c r="LTE1036" s="1610"/>
      <c r="LTF1036" s="1610"/>
      <c r="LTG1036" s="1610"/>
      <c r="LTH1036" s="1610"/>
      <c r="LTI1036" s="1610"/>
      <c r="LTJ1036" s="1610"/>
      <c r="LTK1036" s="1610"/>
      <c r="LTL1036" s="1610"/>
      <c r="LTM1036" s="1610"/>
      <c r="LTN1036" s="1610"/>
      <c r="LTO1036" s="1610"/>
      <c r="LTP1036" s="1610"/>
      <c r="LTQ1036" s="1610"/>
      <c r="LTR1036" s="1610"/>
      <c r="LTS1036" s="1610"/>
      <c r="LTT1036" s="1610"/>
      <c r="LTU1036" s="1610"/>
      <c r="LTV1036" s="1610"/>
      <c r="LTW1036" s="1610"/>
      <c r="LTX1036" s="1610"/>
      <c r="LTY1036" s="1610"/>
      <c r="LTZ1036" s="1610"/>
      <c r="LUA1036" s="1610"/>
      <c r="LUB1036" s="1610"/>
      <c r="LUC1036" s="1610"/>
      <c r="LUD1036" s="1610"/>
      <c r="LUE1036" s="1610"/>
      <c r="LUF1036" s="1610"/>
      <c r="LUG1036" s="1610"/>
      <c r="LUH1036" s="1610"/>
      <c r="LUI1036" s="1610"/>
      <c r="LUJ1036" s="1610"/>
      <c r="LUK1036" s="1610"/>
      <c r="LUL1036" s="1610"/>
      <c r="LUM1036" s="1610"/>
      <c r="LUN1036" s="1610"/>
      <c r="LUO1036" s="1610"/>
      <c r="LUP1036" s="1610"/>
      <c r="LUQ1036" s="1610"/>
      <c r="LUR1036" s="1610"/>
      <c r="LUS1036" s="1610"/>
      <c r="LUT1036" s="1610"/>
      <c r="LUU1036" s="1610"/>
      <c r="LUV1036" s="1610"/>
      <c r="LUW1036" s="1610"/>
      <c r="LUX1036" s="1610"/>
      <c r="LUY1036" s="1610"/>
      <c r="LUZ1036" s="1610"/>
      <c r="LVA1036" s="1610"/>
      <c r="LVB1036" s="1610"/>
      <c r="LVC1036" s="1610"/>
      <c r="LVD1036" s="1610"/>
      <c r="LVE1036" s="1610"/>
      <c r="LVF1036" s="1610"/>
      <c r="LVG1036" s="1610"/>
      <c r="LVH1036" s="1610"/>
      <c r="LVI1036" s="1610"/>
      <c r="LVJ1036" s="1610"/>
      <c r="LVK1036" s="1610"/>
      <c r="LVL1036" s="1610"/>
      <c r="LVM1036" s="1610"/>
      <c r="LVN1036" s="1610"/>
      <c r="LVO1036" s="1610"/>
      <c r="LVP1036" s="1610"/>
      <c r="LVQ1036" s="1610"/>
      <c r="LVR1036" s="1610"/>
      <c r="LVS1036" s="1610"/>
      <c r="LVT1036" s="1610"/>
      <c r="LVU1036" s="1610"/>
      <c r="LVV1036" s="1610"/>
      <c r="LVW1036" s="1610"/>
      <c r="LVX1036" s="1610"/>
      <c r="LVY1036" s="1610"/>
      <c r="LVZ1036" s="1610"/>
      <c r="LWA1036" s="1610"/>
      <c r="LWB1036" s="1610"/>
      <c r="LWC1036" s="1610"/>
      <c r="LWD1036" s="1610"/>
      <c r="LWE1036" s="1610"/>
      <c r="LWF1036" s="1610"/>
      <c r="LWG1036" s="1610"/>
      <c r="LWH1036" s="1610"/>
      <c r="LWI1036" s="1610"/>
      <c r="LWJ1036" s="1610"/>
      <c r="LWK1036" s="1610"/>
      <c r="LWL1036" s="1610"/>
      <c r="LWM1036" s="1610"/>
      <c r="LWN1036" s="1610"/>
      <c r="LWO1036" s="1610"/>
      <c r="LWP1036" s="1610"/>
      <c r="LWQ1036" s="1610"/>
      <c r="LWR1036" s="1610"/>
      <c r="LWS1036" s="1610"/>
      <c r="LWT1036" s="1610"/>
      <c r="LWU1036" s="1610"/>
      <c r="LWV1036" s="1610"/>
      <c r="LWW1036" s="1610"/>
      <c r="LWX1036" s="1610"/>
      <c r="LWY1036" s="1610"/>
      <c r="LWZ1036" s="1610"/>
      <c r="LXA1036" s="1610"/>
      <c r="LXB1036" s="1610"/>
      <c r="LXC1036" s="1610"/>
      <c r="LXD1036" s="1610"/>
      <c r="LXE1036" s="1610"/>
      <c r="LXF1036" s="1610"/>
      <c r="LXG1036" s="1610"/>
      <c r="LXH1036" s="1610"/>
      <c r="LXI1036" s="1610"/>
      <c r="LXJ1036" s="1610"/>
      <c r="LXK1036" s="1610"/>
      <c r="LXL1036" s="1610"/>
      <c r="LXM1036" s="1610"/>
      <c r="LXN1036" s="1610"/>
      <c r="LXO1036" s="1610"/>
      <c r="LXP1036" s="1610"/>
      <c r="LXQ1036" s="1610"/>
      <c r="LXR1036" s="1610"/>
      <c r="LXS1036" s="1610"/>
      <c r="LXT1036" s="1610"/>
      <c r="LXU1036" s="1610"/>
      <c r="LXV1036" s="1610"/>
      <c r="LXW1036" s="1610"/>
      <c r="LXX1036" s="1610"/>
      <c r="LXY1036" s="1610"/>
      <c r="LXZ1036" s="1610"/>
      <c r="LYA1036" s="1610"/>
      <c r="LYB1036" s="1610"/>
      <c r="LYC1036" s="1610"/>
      <c r="LYD1036" s="1610"/>
      <c r="LYE1036" s="1610"/>
      <c r="LYF1036" s="1610"/>
      <c r="LYG1036" s="1610"/>
      <c r="LYH1036" s="1610"/>
      <c r="LYI1036" s="1610"/>
      <c r="LYJ1036" s="1610"/>
      <c r="LYK1036" s="1610"/>
      <c r="LYL1036" s="1610"/>
      <c r="LYM1036" s="1610"/>
      <c r="LYN1036" s="1610"/>
      <c r="LYO1036" s="1610"/>
      <c r="LYP1036" s="1610"/>
      <c r="LYQ1036" s="1610"/>
      <c r="LYR1036" s="1610"/>
      <c r="LYS1036" s="1610"/>
      <c r="LYT1036" s="1610"/>
      <c r="LYU1036" s="1610"/>
      <c r="LYV1036" s="1610"/>
      <c r="LYW1036" s="1610"/>
      <c r="LYX1036" s="1610"/>
      <c r="LYY1036" s="1610"/>
      <c r="LYZ1036" s="1610"/>
      <c r="LZA1036" s="1610"/>
      <c r="LZB1036" s="1610"/>
      <c r="LZC1036" s="1610"/>
      <c r="LZD1036" s="1610"/>
      <c r="LZE1036" s="1610"/>
      <c r="LZF1036" s="1610"/>
      <c r="LZG1036" s="1610"/>
      <c r="LZH1036" s="1610"/>
      <c r="LZI1036" s="1610"/>
      <c r="LZJ1036" s="1610"/>
      <c r="LZK1036" s="1610"/>
      <c r="LZL1036" s="1610"/>
      <c r="LZM1036" s="1610"/>
      <c r="LZN1036" s="1610"/>
      <c r="LZO1036" s="1610"/>
      <c r="LZP1036" s="1610"/>
      <c r="LZQ1036" s="1610"/>
      <c r="LZR1036" s="1610"/>
      <c r="LZS1036" s="1610"/>
      <c r="LZT1036" s="1610"/>
      <c r="LZU1036" s="1610"/>
      <c r="LZV1036" s="1610"/>
      <c r="LZW1036" s="1610"/>
      <c r="LZX1036" s="1610"/>
      <c r="LZY1036" s="1610"/>
      <c r="LZZ1036" s="1610"/>
      <c r="MAA1036" s="1610"/>
      <c r="MAB1036" s="1610"/>
      <c r="MAC1036" s="1610"/>
      <c r="MAD1036" s="1610"/>
      <c r="MAE1036" s="1610"/>
      <c r="MAF1036" s="1610"/>
      <c r="MAG1036" s="1610"/>
      <c r="MAH1036" s="1610"/>
      <c r="MAI1036" s="1610"/>
      <c r="MAJ1036" s="1610"/>
      <c r="MAK1036" s="1610"/>
      <c r="MAL1036" s="1610"/>
      <c r="MAM1036" s="1610"/>
      <c r="MAN1036" s="1610"/>
      <c r="MAO1036" s="1610"/>
      <c r="MAP1036" s="1610"/>
      <c r="MAQ1036" s="1610"/>
      <c r="MAR1036" s="1610"/>
      <c r="MAS1036" s="1610"/>
      <c r="MAT1036" s="1610"/>
      <c r="MAU1036" s="1610"/>
      <c r="MAV1036" s="1610"/>
      <c r="MAW1036" s="1610"/>
      <c r="MAX1036" s="1610"/>
      <c r="MAY1036" s="1610"/>
      <c r="MAZ1036" s="1610"/>
      <c r="MBA1036" s="1610"/>
      <c r="MBB1036" s="1610"/>
      <c r="MBC1036" s="1610"/>
      <c r="MBD1036" s="1610"/>
      <c r="MBE1036" s="1610"/>
      <c r="MBF1036" s="1610"/>
      <c r="MBG1036" s="1610"/>
      <c r="MBH1036" s="1610"/>
      <c r="MBI1036" s="1610"/>
      <c r="MBJ1036" s="1610"/>
      <c r="MBK1036" s="1610"/>
      <c r="MBL1036" s="1610"/>
      <c r="MBM1036" s="1610"/>
      <c r="MBN1036" s="1610"/>
      <c r="MBO1036" s="1610"/>
      <c r="MBP1036" s="1610"/>
      <c r="MBQ1036" s="1610"/>
      <c r="MBR1036" s="1610"/>
      <c r="MBS1036" s="1610"/>
      <c r="MBT1036" s="1610"/>
      <c r="MBU1036" s="1610"/>
      <c r="MBV1036" s="1610"/>
      <c r="MBW1036" s="1610"/>
      <c r="MBX1036" s="1610"/>
      <c r="MBY1036" s="1610"/>
      <c r="MBZ1036" s="1610"/>
      <c r="MCA1036" s="1610"/>
      <c r="MCB1036" s="1610"/>
      <c r="MCC1036" s="1610"/>
      <c r="MCD1036" s="1610"/>
      <c r="MCE1036" s="1610"/>
      <c r="MCF1036" s="1610"/>
      <c r="MCG1036" s="1610"/>
      <c r="MCH1036" s="1610"/>
      <c r="MCI1036" s="1610"/>
      <c r="MCJ1036" s="1610"/>
      <c r="MCK1036" s="1610"/>
      <c r="MCL1036" s="1610"/>
      <c r="MCM1036" s="1610"/>
      <c r="MCN1036" s="1610"/>
      <c r="MCO1036" s="1610"/>
      <c r="MCP1036" s="1610"/>
      <c r="MCQ1036" s="1610"/>
      <c r="MCR1036" s="1610"/>
      <c r="MCS1036" s="1610"/>
      <c r="MCT1036" s="1610"/>
      <c r="MCU1036" s="1610"/>
      <c r="MCV1036" s="1610"/>
      <c r="MCW1036" s="1610"/>
      <c r="MCX1036" s="1610"/>
      <c r="MCY1036" s="1610"/>
      <c r="MCZ1036" s="1610"/>
      <c r="MDA1036" s="1610"/>
      <c r="MDB1036" s="1610"/>
      <c r="MDC1036" s="1610"/>
      <c r="MDD1036" s="1610"/>
      <c r="MDE1036" s="1610"/>
      <c r="MDF1036" s="1610"/>
      <c r="MDG1036" s="1610"/>
      <c r="MDH1036" s="1610"/>
      <c r="MDI1036" s="1610"/>
      <c r="MDJ1036" s="1610"/>
      <c r="MDK1036" s="1610"/>
      <c r="MDL1036" s="1610"/>
      <c r="MDM1036" s="1610"/>
      <c r="MDN1036" s="1610"/>
      <c r="MDO1036" s="1610"/>
      <c r="MDP1036" s="1610"/>
      <c r="MDQ1036" s="1610"/>
      <c r="MDR1036" s="1610"/>
      <c r="MDS1036" s="1610"/>
      <c r="MDT1036" s="1610"/>
      <c r="MDU1036" s="1610"/>
      <c r="MDV1036" s="1610"/>
      <c r="MDW1036" s="1610"/>
      <c r="MDX1036" s="1610"/>
      <c r="MDY1036" s="1610"/>
      <c r="MDZ1036" s="1610"/>
      <c r="MEA1036" s="1610"/>
      <c r="MEB1036" s="1610"/>
      <c r="MEC1036" s="1610"/>
      <c r="MED1036" s="1610"/>
      <c r="MEE1036" s="1610"/>
      <c r="MEF1036" s="1610"/>
      <c r="MEG1036" s="1610"/>
      <c r="MEH1036" s="1610"/>
      <c r="MEI1036" s="1610"/>
      <c r="MEJ1036" s="1610"/>
      <c r="MEK1036" s="1610"/>
      <c r="MEL1036" s="1610"/>
      <c r="MEM1036" s="1610"/>
      <c r="MEN1036" s="1610"/>
      <c r="MEO1036" s="1610"/>
      <c r="MEP1036" s="1610"/>
      <c r="MEQ1036" s="1610"/>
      <c r="MER1036" s="1610"/>
      <c r="MES1036" s="1610"/>
      <c r="MET1036" s="1610"/>
      <c r="MEU1036" s="1610"/>
      <c r="MEV1036" s="1610"/>
      <c r="MEW1036" s="1610"/>
      <c r="MEX1036" s="1610"/>
      <c r="MEY1036" s="1610"/>
      <c r="MEZ1036" s="1610"/>
      <c r="MFA1036" s="1610"/>
      <c r="MFB1036" s="1610"/>
      <c r="MFC1036" s="1610"/>
      <c r="MFD1036" s="1610"/>
      <c r="MFE1036" s="1610"/>
      <c r="MFF1036" s="1610"/>
      <c r="MFG1036" s="1610"/>
      <c r="MFH1036" s="1610"/>
      <c r="MFI1036" s="1610"/>
      <c r="MFJ1036" s="1610"/>
      <c r="MFK1036" s="1610"/>
      <c r="MFL1036" s="1610"/>
      <c r="MFM1036" s="1610"/>
      <c r="MFN1036" s="1610"/>
      <c r="MFO1036" s="1610"/>
      <c r="MFP1036" s="1610"/>
      <c r="MFQ1036" s="1610"/>
      <c r="MFR1036" s="1610"/>
      <c r="MFS1036" s="1610"/>
      <c r="MFT1036" s="1610"/>
      <c r="MFU1036" s="1610"/>
      <c r="MFV1036" s="1610"/>
      <c r="MFW1036" s="1610"/>
      <c r="MFX1036" s="1610"/>
      <c r="MFY1036" s="1610"/>
      <c r="MFZ1036" s="1610"/>
      <c r="MGA1036" s="1610"/>
      <c r="MGB1036" s="1610"/>
      <c r="MGC1036" s="1610"/>
      <c r="MGD1036" s="1610"/>
      <c r="MGE1036" s="1610"/>
      <c r="MGF1036" s="1610"/>
      <c r="MGG1036" s="1610"/>
      <c r="MGH1036" s="1610"/>
      <c r="MGI1036" s="1610"/>
      <c r="MGJ1036" s="1610"/>
      <c r="MGK1036" s="1610"/>
      <c r="MGL1036" s="1610"/>
      <c r="MGM1036" s="1610"/>
      <c r="MGN1036" s="1610"/>
      <c r="MGO1036" s="1610"/>
      <c r="MGP1036" s="1610"/>
      <c r="MGQ1036" s="1610"/>
      <c r="MGR1036" s="1610"/>
      <c r="MGS1036" s="1610"/>
      <c r="MGT1036" s="1610"/>
      <c r="MGU1036" s="1610"/>
      <c r="MGV1036" s="1610"/>
      <c r="MGW1036" s="1610"/>
      <c r="MGX1036" s="1610"/>
      <c r="MGY1036" s="1610"/>
      <c r="MGZ1036" s="1610"/>
      <c r="MHA1036" s="1610"/>
      <c r="MHB1036" s="1610"/>
      <c r="MHC1036" s="1610"/>
      <c r="MHD1036" s="1610"/>
      <c r="MHE1036" s="1610"/>
      <c r="MHF1036" s="1610"/>
      <c r="MHG1036" s="1610"/>
      <c r="MHH1036" s="1610"/>
      <c r="MHI1036" s="1610"/>
      <c r="MHJ1036" s="1610"/>
      <c r="MHK1036" s="1610"/>
      <c r="MHL1036" s="1610"/>
      <c r="MHM1036" s="1610"/>
      <c r="MHN1036" s="1610"/>
      <c r="MHO1036" s="1610"/>
      <c r="MHP1036" s="1610"/>
      <c r="MHQ1036" s="1610"/>
      <c r="MHR1036" s="1610"/>
      <c r="MHS1036" s="1610"/>
      <c r="MHT1036" s="1610"/>
      <c r="MHU1036" s="1610"/>
      <c r="MHV1036" s="1610"/>
      <c r="MHW1036" s="1610"/>
      <c r="MHX1036" s="1610"/>
      <c r="MHY1036" s="1610"/>
      <c r="MHZ1036" s="1610"/>
      <c r="MIA1036" s="1610"/>
      <c r="MIB1036" s="1610"/>
      <c r="MIC1036" s="1610"/>
      <c r="MID1036" s="1610"/>
      <c r="MIE1036" s="1610"/>
      <c r="MIF1036" s="1610"/>
      <c r="MIG1036" s="1610"/>
      <c r="MIH1036" s="1610"/>
      <c r="MII1036" s="1610"/>
      <c r="MIJ1036" s="1610"/>
      <c r="MIK1036" s="1610"/>
      <c r="MIL1036" s="1610"/>
      <c r="MIM1036" s="1610"/>
      <c r="MIN1036" s="1610"/>
      <c r="MIO1036" s="1610"/>
      <c r="MIP1036" s="1610"/>
      <c r="MIQ1036" s="1610"/>
      <c r="MIR1036" s="1610"/>
      <c r="MIS1036" s="1610"/>
      <c r="MIT1036" s="1610"/>
      <c r="MIU1036" s="1610"/>
      <c r="MIV1036" s="1610"/>
      <c r="MIW1036" s="1610"/>
      <c r="MIX1036" s="1610"/>
      <c r="MIY1036" s="1610"/>
      <c r="MIZ1036" s="1610"/>
      <c r="MJA1036" s="1610"/>
      <c r="MJB1036" s="1610"/>
      <c r="MJC1036" s="1610"/>
      <c r="MJD1036" s="1610"/>
      <c r="MJE1036" s="1610"/>
      <c r="MJF1036" s="1610"/>
      <c r="MJG1036" s="1610"/>
      <c r="MJH1036" s="1610"/>
      <c r="MJI1036" s="1610"/>
      <c r="MJJ1036" s="1610"/>
      <c r="MJK1036" s="1610"/>
      <c r="MJL1036" s="1610"/>
      <c r="MJM1036" s="1610"/>
      <c r="MJN1036" s="1610"/>
      <c r="MJO1036" s="1610"/>
      <c r="MJP1036" s="1610"/>
      <c r="MJQ1036" s="1610"/>
      <c r="MJR1036" s="1610"/>
      <c r="MJS1036" s="1610"/>
      <c r="MJT1036" s="1610"/>
      <c r="MJU1036" s="1610"/>
      <c r="MJV1036" s="1610"/>
      <c r="MJW1036" s="1610"/>
      <c r="MJX1036" s="1610"/>
      <c r="MJY1036" s="1610"/>
      <c r="MJZ1036" s="1610"/>
      <c r="MKA1036" s="1610"/>
      <c r="MKB1036" s="1610"/>
      <c r="MKC1036" s="1610"/>
      <c r="MKD1036" s="1610"/>
      <c r="MKE1036" s="1610"/>
      <c r="MKF1036" s="1610"/>
      <c r="MKG1036" s="1610"/>
      <c r="MKH1036" s="1610"/>
      <c r="MKI1036" s="1610"/>
      <c r="MKJ1036" s="1610"/>
      <c r="MKK1036" s="1610"/>
      <c r="MKL1036" s="1610"/>
      <c r="MKM1036" s="1610"/>
      <c r="MKN1036" s="1610"/>
      <c r="MKO1036" s="1610"/>
      <c r="MKP1036" s="1610"/>
      <c r="MKQ1036" s="1610"/>
      <c r="MKR1036" s="1610"/>
      <c r="MKS1036" s="1610"/>
      <c r="MKT1036" s="1610"/>
      <c r="MKU1036" s="1610"/>
      <c r="MKV1036" s="1610"/>
      <c r="MKW1036" s="1610"/>
      <c r="MKX1036" s="1610"/>
      <c r="MKY1036" s="1610"/>
      <c r="MKZ1036" s="1610"/>
      <c r="MLA1036" s="1610"/>
      <c r="MLB1036" s="1610"/>
      <c r="MLC1036" s="1610"/>
      <c r="MLD1036" s="1610"/>
      <c r="MLE1036" s="1610"/>
      <c r="MLF1036" s="1610"/>
      <c r="MLG1036" s="1610"/>
      <c r="MLH1036" s="1610"/>
      <c r="MLI1036" s="1610"/>
      <c r="MLJ1036" s="1610"/>
      <c r="MLK1036" s="1610"/>
      <c r="MLL1036" s="1610"/>
      <c r="MLM1036" s="1610"/>
      <c r="MLN1036" s="1610"/>
      <c r="MLO1036" s="1610"/>
      <c r="MLP1036" s="1610"/>
      <c r="MLQ1036" s="1610"/>
      <c r="MLR1036" s="1610"/>
      <c r="MLS1036" s="1610"/>
      <c r="MLT1036" s="1610"/>
      <c r="MLU1036" s="1610"/>
      <c r="MLV1036" s="1610"/>
      <c r="MLW1036" s="1610"/>
      <c r="MLX1036" s="1610"/>
      <c r="MLY1036" s="1610"/>
      <c r="MLZ1036" s="1610"/>
      <c r="MMA1036" s="1610"/>
      <c r="MMB1036" s="1610"/>
      <c r="MMC1036" s="1610"/>
      <c r="MMD1036" s="1610"/>
      <c r="MME1036" s="1610"/>
      <c r="MMF1036" s="1610"/>
      <c r="MMG1036" s="1610"/>
      <c r="MMH1036" s="1610"/>
      <c r="MMI1036" s="1610"/>
      <c r="MMJ1036" s="1610"/>
      <c r="MMK1036" s="1610"/>
      <c r="MML1036" s="1610"/>
      <c r="MMM1036" s="1610"/>
      <c r="MMN1036" s="1610"/>
      <c r="MMO1036" s="1610"/>
      <c r="MMP1036" s="1610"/>
      <c r="MMQ1036" s="1610"/>
      <c r="MMR1036" s="1610"/>
      <c r="MMS1036" s="1610"/>
      <c r="MMT1036" s="1610"/>
      <c r="MMU1036" s="1610"/>
      <c r="MMV1036" s="1610"/>
      <c r="MMW1036" s="1610"/>
      <c r="MMX1036" s="1610"/>
      <c r="MMY1036" s="1610"/>
      <c r="MMZ1036" s="1610"/>
      <c r="MNA1036" s="1610"/>
      <c r="MNB1036" s="1610"/>
      <c r="MNC1036" s="1610"/>
      <c r="MND1036" s="1610"/>
      <c r="MNE1036" s="1610"/>
      <c r="MNF1036" s="1610"/>
      <c r="MNG1036" s="1610"/>
      <c r="MNH1036" s="1610"/>
      <c r="MNI1036" s="1610"/>
      <c r="MNJ1036" s="1610"/>
      <c r="MNK1036" s="1610"/>
      <c r="MNL1036" s="1610"/>
      <c r="MNM1036" s="1610"/>
      <c r="MNN1036" s="1610"/>
      <c r="MNO1036" s="1610"/>
      <c r="MNP1036" s="1610"/>
      <c r="MNQ1036" s="1610"/>
      <c r="MNR1036" s="1610"/>
      <c r="MNS1036" s="1610"/>
      <c r="MNT1036" s="1610"/>
      <c r="MNU1036" s="1610"/>
      <c r="MNV1036" s="1610"/>
      <c r="MNW1036" s="1610"/>
      <c r="MNX1036" s="1610"/>
      <c r="MNY1036" s="1610"/>
      <c r="MNZ1036" s="1610"/>
      <c r="MOA1036" s="1610"/>
      <c r="MOB1036" s="1610"/>
      <c r="MOC1036" s="1610"/>
      <c r="MOD1036" s="1610"/>
      <c r="MOE1036" s="1610"/>
      <c r="MOF1036" s="1610"/>
      <c r="MOG1036" s="1610"/>
      <c r="MOH1036" s="1610"/>
      <c r="MOI1036" s="1610"/>
      <c r="MOJ1036" s="1610"/>
      <c r="MOK1036" s="1610"/>
      <c r="MOL1036" s="1610"/>
      <c r="MOM1036" s="1610"/>
      <c r="MON1036" s="1610"/>
      <c r="MOO1036" s="1610"/>
      <c r="MOP1036" s="1610"/>
      <c r="MOQ1036" s="1610"/>
      <c r="MOR1036" s="1610"/>
      <c r="MOS1036" s="1610"/>
      <c r="MOT1036" s="1610"/>
      <c r="MOU1036" s="1610"/>
      <c r="MOV1036" s="1610"/>
      <c r="MOW1036" s="1610"/>
      <c r="MOX1036" s="1610"/>
      <c r="MOY1036" s="1610"/>
      <c r="MOZ1036" s="1610"/>
      <c r="MPA1036" s="1610"/>
      <c r="MPB1036" s="1610"/>
      <c r="MPC1036" s="1610"/>
      <c r="MPD1036" s="1610"/>
      <c r="MPE1036" s="1610"/>
      <c r="MPF1036" s="1610"/>
      <c r="MPG1036" s="1610"/>
      <c r="MPH1036" s="1610"/>
      <c r="MPI1036" s="1610"/>
      <c r="MPJ1036" s="1610"/>
      <c r="MPK1036" s="1610"/>
      <c r="MPL1036" s="1610"/>
      <c r="MPM1036" s="1610"/>
      <c r="MPN1036" s="1610"/>
      <c r="MPO1036" s="1610"/>
      <c r="MPP1036" s="1610"/>
      <c r="MPQ1036" s="1610"/>
      <c r="MPR1036" s="1610"/>
      <c r="MPS1036" s="1610"/>
      <c r="MPT1036" s="1610"/>
      <c r="MPU1036" s="1610"/>
      <c r="MPV1036" s="1610"/>
      <c r="MPW1036" s="1610"/>
      <c r="MPX1036" s="1610"/>
      <c r="MPY1036" s="1610"/>
      <c r="MPZ1036" s="1610"/>
      <c r="MQA1036" s="1610"/>
      <c r="MQB1036" s="1610"/>
      <c r="MQC1036" s="1610"/>
      <c r="MQD1036" s="1610"/>
      <c r="MQE1036" s="1610"/>
      <c r="MQF1036" s="1610"/>
      <c r="MQG1036" s="1610"/>
      <c r="MQH1036" s="1610"/>
      <c r="MQI1036" s="1610"/>
      <c r="MQJ1036" s="1610"/>
      <c r="MQK1036" s="1610"/>
      <c r="MQL1036" s="1610"/>
      <c r="MQM1036" s="1610"/>
      <c r="MQN1036" s="1610"/>
      <c r="MQO1036" s="1610"/>
      <c r="MQP1036" s="1610"/>
      <c r="MQQ1036" s="1610"/>
      <c r="MQR1036" s="1610"/>
      <c r="MQS1036" s="1610"/>
      <c r="MQT1036" s="1610"/>
      <c r="MQU1036" s="1610"/>
      <c r="MQV1036" s="1610"/>
      <c r="MQW1036" s="1610"/>
      <c r="MQX1036" s="1610"/>
      <c r="MQY1036" s="1610"/>
      <c r="MQZ1036" s="1610"/>
      <c r="MRA1036" s="1610"/>
      <c r="MRB1036" s="1610"/>
      <c r="MRC1036" s="1610"/>
      <c r="MRD1036" s="1610"/>
      <c r="MRE1036" s="1610"/>
      <c r="MRF1036" s="1610"/>
      <c r="MRG1036" s="1610"/>
      <c r="MRH1036" s="1610"/>
      <c r="MRI1036" s="1610"/>
      <c r="MRJ1036" s="1610"/>
      <c r="MRK1036" s="1610"/>
      <c r="MRL1036" s="1610"/>
      <c r="MRM1036" s="1610"/>
      <c r="MRN1036" s="1610"/>
      <c r="MRO1036" s="1610"/>
      <c r="MRP1036" s="1610"/>
      <c r="MRQ1036" s="1610"/>
      <c r="MRR1036" s="1610"/>
      <c r="MRS1036" s="1610"/>
      <c r="MRT1036" s="1610"/>
      <c r="MRU1036" s="1610"/>
      <c r="MRV1036" s="1610"/>
      <c r="MRW1036" s="1610"/>
      <c r="MRX1036" s="1610"/>
      <c r="MRY1036" s="1610"/>
      <c r="MRZ1036" s="1610"/>
      <c r="MSA1036" s="1610"/>
      <c r="MSB1036" s="1610"/>
      <c r="MSC1036" s="1610"/>
      <c r="MSD1036" s="1610"/>
      <c r="MSE1036" s="1610"/>
      <c r="MSF1036" s="1610"/>
      <c r="MSG1036" s="1610"/>
      <c r="MSH1036" s="1610"/>
      <c r="MSI1036" s="1610"/>
      <c r="MSJ1036" s="1610"/>
      <c r="MSK1036" s="1610"/>
      <c r="MSL1036" s="1610"/>
      <c r="MSM1036" s="1610"/>
      <c r="MSN1036" s="1610"/>
      <c r="MSO1036" s="1610"/>
      <c r="MSP1036" s="1610"/>
      <c r="MSQ1036" s="1610"/>
      <c r="MSR1036" s="1610"/>
      <c r="MSS1036" s="1610"/>
      <c r="MST1036" s="1610"/>
      <c r="MSU1036" s="1610"/>
      <c r="MSV1036" s="1610"/>
      <c r="MSW1036" s="1610"/>
      <c r="MSX1036" s="1610"/>
      <c r="MSY1036" s="1610"/>
      <c r="MSZ1036" s="1610"/>
      <c r="MTA1036" s="1610"/>
      <c r="MTB1036" s="1610"/>
      <c r="MTC1036" s="1610"/>
      <c r="MTD1036" s="1610"/>
      <c r="MTE1036" s="1610"/>
      <c r="MTF1036" s="1610"/>
      <c r="MTG1036" s="1610"/>
      <c r="MTH1036" s="1610"/>
      <c r="MTI1036" s="1610"/>
      <c r="MTJ1036" s="1610"/>
      <c r="MTK1036" s="1610"/>
      <c r="MTL1036" s="1610"/>
      <c r="MTM1036" s="1610"/>
      <c r="MTN1036" s="1610"/>
      <c r="MTO1036" s="1610"/>
      <c r="MTP1036" s="1610"/>
      <c r="MTQ1036" s="1610"/>
      <c r="MTR1036" s="1610"/>
      <c r="MTS1036" s="1610"/>
      <c r="MTT1036" s="1610"/>
      <c r="MTU1036" s="1610"/>
      <c r="MTV1036" s="1610"/>
      <c r="MTW1036" s="1610"/>
      <c r="MTX1036" s="1610"/>
      <c r="MTY1036" s="1610"/>
      <c r="MTZ1036" s="1610"/>
      <c r="MUA1036" s="1610"/>
      <c r="MUB1036" s="1610"/>
      <c r="MUC1036" s="1610"/>
      <c r="MUD1036" s="1610"/>
      <c r="MUE1036" s="1610"/>
      <c r="MUF1036" s="1610"/>
      <c r="MUG1036" s="1610"/>
      <c r="MUH1036" s="1610"/>
      <c r="MUI1036" s="1610"/>
      <c r="MUJ1036" s="1610"/>
      <c r="MUK1036" s="1610"/>
      <c r="MUL1036" s="1610"/>
      <c r="MUM1036" s="1610"/>
      <c r="MUN1036" s="1610"/>
      <c r="MUO1036" s="1610"/>
      <c r="MUP1036" s="1610"/>
      <c r="MUQ1036" s="1610"/>
      <c r="MUR1036" s="1610"/>
      <c r="MUS1036" s="1610"/>
      <c r="MUT1036" s="1610"/>
      <c r="MUU1036" s="1610"/>
      <c r="MUV1036" s="1610"/>
      <c r="MUW1036" s="1610"/>
      <c r="MUX1036" s="1610"/>
      <c r="MUY1036" s="1610"/>
      <c r="MUZ1036" s="1610"/>
      <c r="MVA1036" s="1610"/>
      <c r="MVB1036" s="1610"/>
      <c r="MVC1036" s="1610"/>
      <c r="MVD1036" s="1610"/>
      <c r="MVE1036" s="1610"/>
      <c r="MVF1036" s="1610"/>
      <c r="MVG1036" s="1610"/>
      <c r="MVH1036" s="1610"/>
      <c r="MVI1036" s="1610"/>
      <c r="MVJ1036" s="1610"/>
      <c r="MVK1036" s="1610"/>
      <c r="MVL1036" s="1610"/>
      <c r="MVM1036" s="1610"/>
      <c r="MVN1036" s="1610"/>
      <c r="MVO1036" s="1610"/>
      <c r="MVP1036" s="1610"/>
      <c r="MVQ1036" s="1610"/>
      <c r="MVR1036" s="1610"/>
      <c r="MVS1036" s="1610"/>
      <c r="MVT1036" s="1610"/>
      <c r="MVU1036" s="1610"/>
      <c r="MVV1036" s="1610"/>
      <c r="MVW1036" s="1610"/>
      <c r="MVX1036" s="1610"/>
      <c r="MVY1036" s="1610"/>
      <c r="MVZ1036" s="1610"/>
      <c r="MWA1036" s="1610"/>
      <c r="MWB1036" s="1610"/>
      <c r="MWC1036" s="1610"/>
      <c r="MWD1036" s="1610"/>
      <c r="MWE1036" s="1610"/>
      <c r="MWF1036" s="1610"/>
      <c r="MWG1036" s="1610"/>
      <c r="MWH1036" s="1610"/>
      <c r="MWI1036" s="1610"/>
      <c r="MWJ1036" s="1610"/>
      <c r="MWK1036" s="1610"/>
      <c r="MWL1036" s="1610"/>
      <c r="MWM1036" s="1610"/>
      <c r="MWN1036" s="1610"/>
      <c r="MWO1036" s="1610"/>
      <c r="MWP1036" s="1610"/>
      <c r="MWQ1036" s="1610"/>
      <c r="MWR1036" s="1610"/>
      <c r="MWS1036" s="1610"/>
      <c r="MWT1036" s="1610"/>
      <c r="MWU1036" s="1610"/>
      <c r="MWV1036" s="1610"/>
      <c r="MWW1036" s="1610"/>
      <c r="MWX1036" s="1610"/>
      <c r="MWY1036" s="1610"/>
      <c r="MWZ1036" s="1610"/>
      <c r="MXA1036" s="1610"/>
      <c r="MXB1036" s="1610"/>
      <c r="MXC1036" s="1610"/>
      <c r="MXD1036" s="1610"/>
      <c r="MXE1036" s="1610"/>
      <c r="MXF1036" s="1610"/>
      <c r="MXG1036" s="1610"/>
      <c r="MXH1036" s="1610"/>
      <c r="MXI1036" s="1610"/>
      <c r="MXJ1036" s="1610"/>
      <c r="MXK1036" s="1610"/>
      <c r="MXL1036" s="1610"/>
      <c r="MXM1036" s="1610"/>
      <c r="MXN1036" s="1610"/>
      <c r="MXO1036" s="1610"/>
      <c r="MXP1036" s="1610"/>
      <c r="MXQ1036" s="1610"/>
      <c r="MXR1036" s="1610"/>
      <c r="MXS1036" s="1610"/>
      <c r="MXT1036" s="1610"/>
      <c r="MXU1036" s="1610"/>
      <c r="MXV1036" s="1610"/>
      <c r="MXW1036" s="1610"/>
      <c r="MXX1036" s="1610"/>
      <c r="MXY1036" s="1610"/>
      <c r="MXZ1036" s="1610"/>
      <c r="MYA1036" s="1610"/>
      <c r="MYB1036" s="1610"/>
      <c r="MYC1036" s="1610"/>
      <c r="MYD1036" s="1610"/>
      <c r="MYE1036" s="1610"/>
      <c r="MYF1036" s="1610"/>
      <c r="MYG1036" s="1610"/>
      <c r="MYH1036" s="1610"/>
      <c r="MYI1036" s="1610"/>
      <c r="MYJ1036" s="1610"/>
      <c r="MYK1036" s="1610"/>
      <c r="MYL1036" s="1610"/>
      <c r="MYM1036" s="1610"/>
      <c r="MYN1036" s="1610"/>
      <c r="MYO1036" s="1610"/>
      <c r="MYP1036" s="1610"/>
      <c r="MYQ1036" s="1610"/>
      <c r="MYR1036" s="1610"/>
      <c r="MYS1036" s="1610"/>
      <c r="MYT1036" s="1610"/>
      <c r="MYU1036" s="1610"/>
      <c r="MYV1036" s="1610"/>
      <c r="MYW1036" s="1610"/>
      <c r="MYX1036" s="1610"/>
      <c r="MYY1036" s="1610"/>
      <c r="MYZ1036" s="1610"/>
      <c r="MZA1036" s="1610"/>
      <c r="MZB1036" s="1610"/>
      <c r="MZC1036" s="1610"/>
      <c r="MZD1036" s="1610"/>
      <c r="MZE1036" s="1610"/>
      <c r="MZF1036" s="1610"/>
      <c r="MZG1036" s="1610"/>
      <c r="MZH1036" s="1610"/>
      <c r="MZI1036" s="1610"/>
      <c r="MZJ1036" s="1610"/>
      <c r="MZK1036" s="1610"/>
      <c r="MZL1036" s="1610"/>
      <c r="MZM1036" s="1610"/>
      <c r="MZN1036" s="1610"/>
      <c r="MZO1036" s="1610"/>
      <c r="MZP1036" s="1610"/>
      <c r="MZQ1036" s="1610"/>
      <c r="MZR1036" s="1610"/>
      <c r="MZS1036" s="1610"/>
      <c r="MZT1036" s="1610"/>
      <c r="MZU1036" s="1610"/>
      <c r="MZV1036" s="1610"/>
      <c r="MZW1036" s="1610"/>
      <c r="MZX1036" s="1610"/>
      <c r="MZY1036" s="1610"/>
      <c r="MZZ1036" s="1610"/>
      <c r="NAA1036" s="1610"/>
      <c r="NAB1036" s="1610"/>
      <c r="NAC1036" s="1610"/>
      <c r="NAD1036" s="1610"/>
      <c r="NAE1036" s="1610"/>
      <c r="NAF1036" s="1610"/>
      <c r="NAG1036" s="1610"/>
      <c r="NAH1036" s="1610"/>
      <c r="NAI1036" s="1610"/>
      <c r="NAJ1036" s="1610"/>
      <c r="NAK1036" s="1610"/>
      <c r="NAL1036" s="1610"/>
      <c r="NAM1036" s="1610"/>
      <c r="NAN1036" s="1610"/>
      <c r="NAO1036" s="1610"/>
      <c r="NAP1036" s="1610"/>
      <c r="NAQ1036" s="1610"/>
      <c r="NAR1036" s="1610"/>
      <c r="NAS1036" s="1610"/>
      <c r="NAT1036" s="1610"/>
      <c r="NAU1036" s="1610"/>
      <c r="NAV1036" s="1610"/>
      <c r="NAW1036" s="1610"/>
      <c r="NAX1036" s="1610"/>
      <c r="NAY1036" s="1610"/>
      <c r="NAZ1036" s="1610"/>
      <c r="NBA1036" s="1610"/>
      <c r="NBB1036" s="1610"/>
      <c r="NBC1036" s="1610"/>
      <c r="NBD1036" s="1610"/>
      <c r="NBE1036" s="1610"/>
      <c r="NBF1036" s="1610"/>
      <c r="NBG1036" s="1610"/>
      <c r="NBH1036" s="1610"/>
      <c r="NBI1036" s="1610"/>
      <c r="NBJ1036" s="1610"/>
      <c r="NBK1036" s="1610"/>
      <c r="NBL1036" s="1610"/>
      <c r="NBM1036" s="1610"/>
      <c r="NBN1036" s="1610"/>
      <c r="NBO1036" s="1610"/>
      <c r="NBP1036" s="1610"/>
      <c r="NBQ1036" s="1610"/>
      <c r="NBR1036" s="1610"/>
      <c r="NBS1036" s="1610"/>
      <c r="NBT1036" s="1610"/>
      <c r="NBU1036" s="1610"/>
      <c r="NBV1036" s="1610"/>
      <c r="NBW1036" s="1610"/>
      <c r="NBX1036" s="1610"/>
      <c r="NBY1036" s="1610"/>
      <c r="NBZ1036" s="1610"/>
      <c r="NCA1036" s="1610"/>
      <c r="NCB1036" s="1610"/>
      <c r="NCC1036" s="1610"/>
      <c r="NCD1036" s="1610"/>
      <c r="NCE1036" s="1610"/>
      <c r="NCF1036" s="1610"/>
      <c r="NCG1036" s="1610"/>
      <c r="NCH1036" s="1610"/>
      <c r="NCI1036" s="1610"/>
      <c r="NCJ1036" s="1610"/>
      <c r="NCK1036" s="1610"/>
      <c r="NCL1036" s="1610"/>
      <c r="NCM1036" s="1610"/>
      <c r="NCN1036" s="1610"/>
      <c r="NCO1036" s="1610"/>
      <c r="NCP1036" s="1610"/>
      <c r="NCQ1036" s="1610"/>
      <c r="NCR1036" s="1610"/>
      <c r="NCS1036" s="1610"/>
      <c r="NCT1036" s="1610"/>
      <c r="NCU1036" s="1610"/>
      <c r="NCV1036" s="1610"/>
      <c r="NCW1036" s="1610"/>
      <c r="NCX1036" s="1610"/>
      <c r="NCY1036" s="1610"/>
      <c r="NCZ1036" s="1610"/>
      <c r="NDA1036" s="1610"/>
      <c r="NDB1036" s="1610"/>
      <c r="NDC1036" s="1610"/>
      <c r="NDD1036" s="1610"/>
      <c r="NDE1036" s="1610"/>
      <c r="NDF1036" s="1610"/>
      <c r="NDG1036" s="1610"/>
      <c r="NDH1036" s="1610"/>
      <c r="NDI1036" s="1610"/>
      <c r="NDJ1036" s="1610"/>
      <c r="NDK1036" s="1610"/>
      <c r="NDL1036" s="1610"/>
      <c r="NDM1036" s="1610"/>
      <c r="NDN1036" s="1610"/>
      <c r="NDO1036" s="1610"/>
      <c r="NDP1036" s="1610"/>
      <c r="NDQ1036" s="1610"/>
      <c r="NDR1036" s="1610"/>
      <c r="NDS1036" s="1610"/>
      <c r="NDT1036" s="1610"/>
      <c r="NDU1036" s="1610"/>
      <c r="NDV1036" s="1610"/>
      <c r="NDW1036" s="1610"/>
      <c r="NDX1036" s="1610"/>
      <c r="NDY1036" s="1610"/>
      <c r="NDZ1036" s="1610"/>
      <c r="NEA1036" s="1610"/>
      <c r="NEB1036" s="1610"/>
      <c r="NEC1036" s="1610"/>
      <c r="NED1036" s="1610"/>
      <c r="NEE1036" s="1610"/>
      <c r="NEF1036" s="1610"/>
      <c r="NEG1036" s="1610"/>
      <c r="NEH1036" s="1610"/>
      <c r="NEI1036" s="1610"/>
      <c r="NEJ1036" s="1610"/>
      <c r="NEK1036" s="1610"/>
      <c r="NEL1036" s="1610"/>
      <c r="NEM1036" s="1610"/>
      <c r="NEN1036" s="1610"/>
      <c r="NEO1036" s="1610"/>
      <c r="NEP1036" s="1610"/>
      <c r="NEQ1036" s="1610"/>
      <c r="NER1036" s="1610"/>
      <c r="NES1036" s="1610"/>
      <c r="NET1036" s="1610"/>
      <c r="NEU1036" s="1610"/>
      <c r="NEV1036" s="1610"/>
      <c r="NEW1036" s="1610"/>
      <c r="NEX1036" s="1610"/>
      <c r="NEY1036" s="1610"/>
      <c r="NEZ1036" s="1610"/>
      <c r="NFA1036" s="1610"/>
      <c r="NFB1036" s="1610"/>
      <c r="NFC1036" s="1610"/>
      <c r="NFD1036" s="1610"/>
      <c r="NFE1036" s="1610"/>
      <c r="NFF1036" s="1610"/>
      <c r="NFG1036" s="1610"/>
      <c r="NFH1036" s="1610"/>
      <c r="NFI1036" s="1610"/>
      <c r="NFJ1036" s="1610"/>
      <c r="NFK1036" s="1610"/>
      <c r="NFL1036" s="1610"/>
      <c r="NFM1036" s="1610"/>
      <c r="NFN1036" s="1610"/>
      <c r="NFO1036" s="1610"/>
      <c r="NFP1036" s="1610"/>
      <c r="NFQ1036" s="1610"/>
      <c r="NFR1036" s="1610"/>
      <c r="NFS1036" s="1610"/>
      <c r="NFT1036" s="1610"/>
      <c r="NFU1036" s="1610"/>
      <c r="NFV1036" s="1610"/>
      <c r="NFW1036" s="1610"/>
      <c r="NFX1036" s="1610"/>
      <c r="NFY1036" s="1610"/>
      <c r="NFZ1036" s="1610"/>
      <c r="NGA1036" s="1610"/>
      <c r="NGB1036" s="1610"/>
      <c r="NGC1036" s="1610"/>
      <c r="NGD1036" s="1610"/>
      <c r="NGE1036" s="1610"/>
      <c r="NGF1036" s="1610"/>
      <c r="NGG1036" s="1610"/>
      <c r="NGH1036" s="1610"/>
      <c r="NGI1036" s="1610"/>
      <c r="NGJ1036" s="1610"/>
      <c r="NGK1036" s="1610"/>
      <c r="NGL1036" s="1610"/>
      <c r="NGM1036" s="1610"/>
      <c r="NGN1036" s="1610"/>
      <c r="NGO1036" s="1610"/>
      <c r="NGP1036" s="1610"/>
      <c r="NGQ1036" s="1610"/>
      <c r="NGR1036" s="1610"/>
      <c r="NGS1036" s="1610"/>
      <c r="NGT1036" s="1610"/>
      <c r="NGU1036" s="1610"/>
      <c r="NGV1036" s="1610"/>
      <c r="NGW1036" s="1610"/>
      <c r="NGX1036" s="1610"/>
      <c r="NGY1036" s="1610"/>
      <c r="NGZ1036" s="1610"/>
      <c r="NHA1036" s="1610"/>
      <c r="NHB1036" s="1610"/>
      <c r="NHC1036" s="1610"/>
      <c r="NHD1036" s="1610"/>
      <c r="NHE1036" s="1610"/>
      <c r="NHF1036" s="1610"/>
      <c r="NHG1036" s="1610"/>
      <c r="NHH1036" s="1610"/>
      <c r="NHI1036" s="1610"/>
      <c r="NHJ1036" s="1610"/>
      <c r="NHK1036" s="1610"/>
      <c r="NHL1036" s="1610"/>
      <c r="NHM1036" s="1610"/>
      <c r="NHN1036" s="1610"/>
      <c r="NHO1036" s="1610"/>
      <c r="NHP1036" s="1610"/>
      <c r="NHQ1036" s="1610"/>
      <c r="NHR1036" s="1610"/>
      <c r="NHS1036" s="1610"/>
      <c r="NHT1036" s="1610"/>
      <c r="NHU1036" s="1610"/>
      <c r="NHV1036" s="1610"/>
      <c r="NHW1036" s="1610"/>
      <c r="NHX1036" s="1610"/>
      <c r="NHY1036" s="1610"/>
      <c r="NHZ1036" s="1610"/>
      <c r="NIA1036" s="1610"/>
      <c r="NIB1036" s="1610"/>
      <c r="NIC1036" s="1610"/>
      <c r="NID1036" s="1610"/>
      <c r="NIE1036" s="1610"/>
      <c r="NIF1036" s="1610"/>
      <c r="NIG1036" s="1610"/>
      <c r="NIH1036" s="1610"/>
      <c r="NII1036" s="1610"/>
      <c r="NIJ1036" s="1610"/>
      <c r="NIK1036" s="1610"/>
      <c r="NIL1036" s="1610"/>
      <c r="NIM1036" s="1610"/>
      <c r="NIN1036" s="1610"/>
      <c r="NIO1036" s="1610"/>
      <c r="NIP1036" s="1610"/>
      <c r="NIQ1036" s="1610"/>
      <c r="NIR1036" s="1610"/>
      <c r="NIS1036" s="1610"/>
      <c r="NIT1036" s="1610"/>
      <c r="NIU1036" s="1610"/>
      <c r="NIV1036" s="1610"/>
      <c r="NIW1036" s="1610"/>
      <c r="NIX1036" s="1610"/>
      <c r="NIY1036" s="1610"/>
      <c r="NIZ1036" s="1610"/>
      <c r="NJA1036" s="1610"/>
      <c r="NJB1036" s="1610"/>
      <c r="NJC1036" s="1610"/>
      <c r="NJD1036" s="1610"/>
      <c r="NJE1036" s="1610"/>
      <c r="NJF1036" s="1610"/>
      <c r="NJG1036" s="1610"/>
      <c r="NJH1036" s="1610"/>
      <c r="NJI1036" s="1610"/>
      <c r="NJJ1036" s="1610"/>
      <c r="NJK1036" s="1610"/>
      <c r="NJL1036" s="1610"/>
      <c r="NJM1036" s="1610"/>
      <c r="NJN1036" s="1610"/>
      <c r="NJO1036" s="1610"/>
      <c r="NJP1036" s="1610"/>
      <c r="NJQ1036" s="1610"/>
      <c r="NJR1036" s="1610"/>
      <c r="NJS1036" s="1610"/>
      <c r="NJT1036" s="1610"/>
      <c r="NJU1036" s="1610"/>
      <c r="NJV1036" s="1610"/>
      <c r="NJW1036" s="1610"/>
      <c r="NJX1036" s="1610"/>
      <c r="NJY1036" s="1610"/>
      <c r="NJZ1036" s="1610"/>
      <c r="NKA1036" s="1610"/>
      <c r="NKB1036" s="1610"/>
      <c r="NKC1036" s="1610"/>
      <c r="NKD1036" s="1610"/>
      <c r="NKE1036" s="1610"/>
      <c r="NKF1036" s="1610"/>
      <c r="NKG1036" s="1610"/>
      <c r="NKH1036" s="1610"/>
      <c r="NKI1036" s="1610"/>
      <c r="NKJ1036" s="1610"/>
      <c r="NKK1036" s="1610"/>
      <c r="NKL1036" s="1610"/>
      <c r="NKM1036" s="1610"/>
      <c r="NKN1036" s="1610"/>
      <c r="NKO1036" s="1610"/>
      <c r="NKP1036" s="1610"/>
      <c r="NKQ1036" s="1610"/>
      <c r="NKR1036" s="1610"/>
      <c r="NKS1036" s="1610"/>
      <c r="NKT1036" s="1610"/>
      <c r="NKU1036" s="1610"/>
      <c r="NKV1036" s="1610"/>
      <c r="NKW1036" s="1610"/>
      <c r="NKX1036" s="1610"/>
      <c r="NKY1036" s="1610"/>
      <c r="NKZ1036" s="1610"/>
      <c r="NLA1036" s="1610"/>
      <c r="NLB1036" s="1610"/>
      <c r="NLC1036" s="1610"/>
      <c r="NLD1036" s="1610"/>
      <c r="NLE1036" s="1610"/>
      <c r="NLF1036" s="1610"/>
      <c r="NLG1036" s="1610"/>
      <c r="NLH1036" s="1610"/>
      <c r="NLI1036" s="1610"/>
      <c r="NLJ1036" s="1610"/>
      <c r="NLK1036" s="1610"/>
      <c r="NLL1036" s="1610"/>
      <c r="NLM1036" s="1610"/>
      <c r="NLN1036" s="1610"/>
      <c r="NLO1036" s="1610"/>
      <c r="NLP1036" s="1610"/>
      <c r="NLQ1036" s="1610"/>
      <c r="NLR1036" s="1610"/>
      <c r="NLS1036" s="1610"/>
      <c r="NLT1036" s="1610"/>
      <c r="NLU1036" s="1610"/>
      <c r="NLV1036" s="1610"/>
      <c r="NLW1036" s="1610"/>
      <c r="NLX1036" s="1610"/>
      <c r="NLY1036" s="1610"/>
      <c r="NLZ1036" s="1610"/>
      <c r="NMA1036" s="1610"/>
      <c r="NMB1036" s="1610"/>
      <c r="NMC1036" s="1610"/>
      <c r="NMD1036" s="1610"/>
      <c r="NME1036" s="1610"/>
      <c r="NMF1036" s="1610"/>
      <c r="NMG1036" s="1610"/>
      <c r="NMH1036" s="1610"/>
      <c r="NMI1036" s="1610"/>
      <c r="NMJ1036" s="1610"/>
      <c r="NMK1036" s="1610"/>
      <c r="NML1036" s="1610"/>
      <c r="NMM1036" s="1610"/>
      <c r="NMN1036" s="1610"/>
      <c r="NMO1036" s="1610"/>
      <c r="NMP1036" s="1610"/>
      <c r="NMQ1036" s="1610"/>
      <c r="NMR1036" s="1610"/>
      <c r="NMS1036" s="1610"/>
      <c r="NMT1036" s="1610"/>
      <c r="NMU1036" s="1610"/>
      <c r="NMV1036" s="1610"/>
      <c r="NMW1036" s="1610"/>
      <c r="NMX1036" s="1610"/>
      <c r="NMY1036" s="1610"/>
      <c r="NMZ1036" s="1610"/>
      <c r="NNA1036" s="1610"/>
      <c r="NNB1036" s="1610"/>
      <c r="NNC1036" s="1610"/>
      <c r="NND1036" s="1610"/>
      <c r="NNE1036" s="1610"/>
      <c r="NNF1036" s="1610"/>
      <c r="NNG1036" s="1610"/>
      <c r="NNH1036" s="1610"/>
      <c r="NNI1036" s="1610"/>
      <c r="NNJ1036" s="1610"/>
      <c r="NNK1036" s="1610"/>
      <c r="NNL1036" s="1610"/>
      <c r="NNM1036" s="1610"/>
      <c r="NNN1036" s="1610"/>
      <c r="NNO1036" s="1610"/>
      <c r="NNP1036" s="1610"/>
      <c r="NNQ1036" s="1610"/>
      <c r="NNR1036" s="1610"/>
      <c r="NNS1036" s="1610"/>
      <c r="NNT1036" s="1610"/>
      <c r="NNU1036" s="1610"/>
      <c r="NNV1036" s="1610"/>
      <c r="NNW1036" s="1610"/>
      <c r="NNX1036" s="1610"/>
      <c r="NNY1036" s="1610"/>
      <c r="NNZ1036" s="1610"/>
      <c r="NOA1036" s="1610"/>
      <c r="NOB1036" s="1610"/>
      <c r="NOC1036" s="1610"/>
      <c r="NOD1036" s="1610"/>
      <c r="NOE1036" s="1610"/>
      <c r="NOF1036" s="1610"/>
      <c r="NOG1036" s="1610"/>
      <c r="NOH1036" s="1610"/>
      <c r="NOI1036" s="1610"/>
      <c r="NOJ1036" s="1610"/>
      <c r="NOK1036" s="1610"/>
      <c r="NOL1036" s="1610"/>
      <c r="NOM1036" s="1610"/>
      <c r="NON1036" s="1610"/>
      <c r="NOO1036" s="1610"/>
      <c r="NOP1036" s="1610"/>
      <c r="NOQ1036" s="1610"/>
      <c r="NOR1036" s="1610"/>
      <c r="NOS1036" s="1610"/>
      <c r="NOT1036" s="1610"/>
      <c r="NOU1036" s="1610"/>
      <c r="NOV1036" s="1610"/>
      <c r="NOW1036" s="1610"/>
      <c r="NOX1036" s="1610"/>
      <c r="NOY1036" s="1610"/>
      <c r="NOZ1036" s="1610"/>
      <c r="NPA1036" s="1610"/>
      <c r="NPB1036" s="1610"/>
      <c r="NPC1036" s="1610"/>
      <c r="NPD1036" s="1610"/>
      <c r="NPE1036" s="1610"/>
      <c r="NPF1036" s="1610"/>
      <c r="NPG1036" s="1610"/>
      <c r="NPH1036" s="1610"/>
      <c r="NPI1036" s="1610"/>
      <c r="NPJ1036" s="1610"/>
      <c r="NPK1036" s="1610"/>
      <c r="NPL1036" s="1610"/>
      <c r="NPM1036" s="1610"/>
      <c r="NPN1036" s="1610"/>
      <c r="NPO1036" s="1610"/>
      <c r="NPP1036" s="1610"/>
      <c r="NPQ1036" s="1610"/>
      <c r="NPR1036" s="1610"/>
      <c r="NPS1036" s="1610"/>
      <c r="NPT1036" s="1610"/>
      <c r="NPU1036" s="1610"/>
      <c r="NPV1036" s="1610"/>
      <c r="NPW1036" s="1610"/>
      <c r="NPX1036" s="1610"/>
      <c r="NPY1036" s="1610"/>
      <c r="NPZ1036" s="1610"/>
      <c r="NQA1036" s="1610"/>
      <c r="NQB1036" s="1610"/>
      <c r="NQC1036" s="1610"/>
      <c r="NQD1036" s="1610"/>
      <c r="NQE1036" s="1610"/>
      <c r="NQF1036" s="1610"/>
      <c r="NQG1036" s="1610"/>
      <c r="NQH1036" s="1610"/>
      <c r="NQI1036" s="1610"/>
      <c r="NQJ1036" s="1610"/>
      <c r="NQK1036" s="1610"/>
      <c r="NQL1036" s="1610"/>
      <c r="NQM1036" s="1610"/>
      <c r="NQN1036" s="1610"/>
      <c r="NQO1036" s="1610"/>
      <c r="NQP1036" s="1610"/>
      <c r="NQQ1036" s="1610"/>
      <c r="NQR1036" s="1610"/>
      <c r="NQS1036" s="1610"/>
      <c r="NQT1036" s="1610"/>
      <c r="NQU1036" s="1610"/>
      <c r="NQV1036" s="1610"/>
      <c r="NQW1036" s="1610"/>
      <c r="NQX1036" s="1610"/>
      <c r="NQY1036" s="1610"/>
      <c r="NQZ1036" s="1610"/>
      <c r="NRA1036" s="1610"/>
      <c r="NRB1036" s="1610"/>
      <c r="NRC1036" s="1610"/>
      <c r="NRD1036" s="1610"/>
      <c r="NRE1036" s="1610"/>
      <c r="NRF1036" s="1610"/>
      <c r="NRG1036" s="1610"/>
      <c r="NRH1036" s="1610"/>
      <c r="NRI1036" s="1610"/>
      <c r="NRJ1036" s="1610"/>
      <c r="NRK1036" s="1610"/>
      <c r="NRL1036" s="1610"/>
      <c r="NRM1036" s="1610"/>
      <c r="NRN1036" s="1610"/>
      <c r="NRO1036" s="1610"/>
      <c r="NRP1036" s="1610"/>
      <c r="NRQ1036" s="1610"/>
      <c r="NRR1036" s="1610"/>
      <c r="NRS1036" s="1610"/>
      <c r="NRT1036" s="1610"/>
      <c r="NRU1036" s="1610"/>
      <c r="NRV1036" s="1610"/>
      <c r="NRW1036" s="1610"/>
      <c r="NRX1036" s="1610"/>
      <c r="NRY1036" s="1610"/>
      <c r="NRZ1036" s="1610"/>
      <c r="NSA1036" s="1610"/>
      <c r="NSB1036" s="1610"/>
      <c r="NSC1036" s="1610"/>
      <c r="NSD1036" s="1610"/>
      <c r="NSE1036" s="1610"/>
      <c r="NSF1036" s="1610"/>
      <c r="NSG1036" s="1610"/>
      <c r="NSH1036" s="1610"/>
      <c r="NSI1036" s="1610"/>
      <c r="NSJ1036" s="1610"/>
      <c r="NSK1036" s="1610"/>
      <c r="NSL1036" s="1610"/>
      <c r="NSM1036" s="1610"/>
      <c r="NSN1036" s="1610"/>
      <c r="NSO1036" s="1610"/>
      <c r="NSP1036" s="1610"/>
      <c r="NSQ1036" s="1610"/>
      <c r="NSR1036" s="1610"/>
      <c r="NSS1036" s="1610"/>
      <c r="NST1036" s="1610"/>
      <c r="NSU1036" s="1610"/>
      <c r="NSV1036" s="1610"/>
      <c r="NSW1036" s="1610"/>
      <c r="NSX1036" s="1610"/>
      <c r="NSY1036" s="1610"/>
      <c r="NSZ1036" s="1610"/>
      <c r="NTA1036" s="1610"/>
      <c r="NTB1036" s="1610"/>
      <c r="NTC1036" s="1610"/>
      <c r="NTD1036" s="1610"/>
      <c r="NTE1036" s="1610"/>
      <c r="NTF1036" s="1610"/>
      <c r="NTG1036" s="1610"/>
      <c r="NTH1036" s="1610"/>
      <c r="NTI1036" s="1610"/>
      <c r="NTJ1036" s="1610"/>
      <c r="NTK1036" s="1610"/>
      <c r="NTL1036" s="1610"/>
      <c r="NTM1036" s="1610"/>
      <c r="NTN1036" s="1610"/>
      <c r="NTO1036" s="1610"/>
      <c r="NTP1036" s="1610"/>
      <c r="NTQ1036" s="1610"/>
      <c r="NTR1036" s="1610"/>
      <c r="NTS1036" s="1610"/>
      <c r="NTT1036" s="1610"/>
      <c r="NTU1036" s="1610"/>
      <c r="NTV1036" s="1610"/>
      <c r="NTW1036" s="1610"/>
      <c r="NTX1036" s="1610"/>
      <c r="NTY1036" s="1610"/>
      <c r="NTZ1036" s="1610"/>
      <c r="NUA1036" s="1610"/>
      <c r="NUB1036" s="1610"/>
      <c r="NUC1036" s="1610"/>
      <c r="NUD1036" s="1610"/>
      <c r="NUE1036" s="1610"/>
      <c r="NUF1036" s="1610"/>
      <c r="NUG1036" s="1610"/>
      <c r="NUH1036" s="1610"/>
      <c r="NUI1036" s="1610"/>
      <c r="NUJ1036" s="1610"/>
      <c r="NUK1036" s="1610"/>
      <c r="NUL1036" s="1610"/>
      <c r="NUM1036" s="1610"/>
      <c r="NUN1036" s="1610"/>
      <c r="NUO1036" s="1610"/>
      <c r="NUP1036" s="1610"/>
      <c r="NUQ1036" s="1610"/>
      <c r="NUR1036" s="1610"/>
      <c r="NUS1036" s="1610"/>
      <c r="NUT1036" s="1610"/>
      <c r="NUU1036" s="1610"/>
      <c r="NUV1036" s="1610"/>
      <c r="NUW1036" s="1610"/>
      <c r="NUX1036" s="1610"/>
      <c r="NUY1036" s="1610"/>
      <c r="NUZ1036" s="1610"/>
      <c r="NVA1036" s="1610"/>
      <c r="NVB1036" s="1610"/>
      <c r="NVC1036" s="1610"/>
      <c r="NVD1036" s="1610"/>
      <c r="NVE1036" s="1610"/>
      <c r="NVF1036" s="1610"/>
      <c r="NVG1036" s="1610"/>
      <c r="NVH1036" s="1610"/>
      <c r="NVI1036" s="1610"/>
      <c r="NVJ1036" s="1610"/>
      <c r="NVK1036" s="1610"/>
      <c r="NVL1036" s="1610"/>
      <c r="NVM1036" s="1610"/>
      <c r="NVN1036" s="1610"/>
      <c r="NVO1036" s="1610"/>
      <c r="NVP1036" s="1610"/>
      <c r="NVQ1036" s="1610"/>
      <c r="NVR1036" s="1610"/>
      <c r="NVS1036" s="1610"/>
      <c r="NVT1036" s="1610"/>
      <c r="NVU1036" s="1610"/>
      <c r="NVV1036" s="1610"/>
      <c r="NVW1036" s="1610"/>
      <c r="NVX1036" s="1610"/>
      <c r="NVY1036" s="1610"/>
      <c r="NVZ1036" s="1610"/>
      <c r="NWA1036" s="1610"/>
      <c r="NWB1036" s="1610"/>
      <c r="NWC1036" s="1610"/>
      <c r="NWD1036" s="1610"/>
      <c r="NWE1036" s="1610"/>
      <c r="NWF1036" s="1610"/>
      <c r="NWG1036" s="1610"/>
      <c r="NWH1036" s="1610"/>
      <c r="NWI1036" s="1610"/>
      <c r="NWJ1036" s="1610"/>
      <c r="NWK1036" s="1610"/>
      <c r="NWL1036" s="1610"/>
      <c r="NWM1036" s="1610"/>
      <c r="NWN1036" s="1610"/>
      <c r="NWO1036" s="1610"/>
      <c r="NWP1036" s="1610"/>
      <c r="NWQ1036" s="1610"/>
      <c r="NWR1036" s="1610"/>
      <c r="NWS1036" s="1610"/>
      <c r="NWT1036" s="1610"/>
      <c r="NWU1036" s="1610"/>
      <c r="NWV1036" s="1610"/>
      <c r="NWW1036" s="1610"/>
      <c r="NWX1036" s="1610"/>
      <c r="NWY1036" s="1610"/>
      <c r="NWZ1036" s="1610"/>
      <c r="NXA1036" s="1610"/>
      <c r="NXB1036" s="1610"/>
      <c r="NXC1036" s="1610"/>
      <c r="NXD1036" s="1610"/>
      <c r="NXE1036" s="1610"/>
      <c r="NXF1036" s="1610"/>
      <c r="NXG1036" s="1610"/>
      <c r="NXH1036" s="1610"/>
      <c r="NXI1036" s="1610"/>
      <c r="NXJ1036" s="1610"/>
      <c r="NXK1036" s="1610"/>
      <c r="NXL1036" s="1610"/>
      <c r="NXM1036" s="1610"/>
      <c r="NXN1036" s="1610"/>
      <c r="NXO1036" s="1610"/>
      <c r="NXP1036" s="1610"/>
      <c r="NXQ1036" s="1610"/>
      <c r="NXR1036" s="1610"/>
      <c r="NXS1036" s="1610"/>
      <c r="NXT1036" s="1610"/>
      <c r="NXU1036" s="1610"/>
      <c r="NXV1036" s="1610"/>
      <c r="NXW1036" s="1610"/>
      <c r="NXX1036" s="1610"/>
      <c r="NXY1036" s="1610"/>
      <c r="NXZ1036" s="1610"/>
      <c r="NYA1036" s="1610"/>
      <c r="NYB1036" s="1610"/>
      <c r="NYC1036" s="1610"/>
      <c r="NYD1036" s="1610"/>
      <c r="NYE1036" s="1610"/>
      <c r="NYF1036" s="1610"/>
      <c r="NYG1036" s="1610"/>
      <c r="NYH1036" s="1610"/>
      <c r="NYI1036" s="1610"/>
      <c r="NYJ1036" s="1610"/>
      <c r="NYK1036" s="1610"/>
      <c r="NYL1036" s="1610"/>
      <c r="NYM1036" s="1610"/>
      <c r="NYN1036" s="1610"/>
      <c r="NYO1036" s="1610"/>
      <c r="NYP1036" s="1610"/>
      <c r="NYQ1036" s="1610"/>
      <c r="NYR1036" s="1610"/>
      <c r="NYS1036" s="1610"/>
      <c r="NYT1036" s="1610"/>
      <c r="NYU1036" s="1610"/>
      <c r="NYV1036" s="1610"/>
      <c r="NYW1036" s="1610"/>
      <c r="NYX1036" s="1610"/>
      <c r="NYY1036" s="1610"/>
      <c r="NYZ1036" s="1610"/>
      <c r="NZA1036" s="1610"/>
      <c r="NZB1036" s="1610"/>
      <c r="NZC1036" s="1610"/>
      <c r="NZD1036" s="1610"/>
      <c r="NZE1036" s="1610"/>
      <c r="NZF1036" s="1610"/>
      <c r="NZG1036" s="1610"/>
      <c r="NZH1036" s="1610"/>
      <c r="NZI1036" s="1610"/>
      <c r="NZJ1036" s="1610"/>
      <c r="NZK1036" s="1610"/>
      <c r="NZL1036" s="1610"/>
      <c r="NZM1036" s="1610"/>
      <c r="NZN1036" s="1610"/>
      <c r="NZO1036" s="1610"/>
      <c r="NZP1036" s="1610"/>
      <c r="NZQ1036" s="1610"/>
      <c r="NZR1036" s="1610"/>
      <c r="NZS1036" s="1610"/>
      <c r="NZT1036" s="1610"/>
      <c r="NZU1036" s="1610"/>
      <c r="NZV1036" s="1610"/>
      <c r="NZW1036" s="1610"/>
      <c r="NZX1036" s="1610"/>
      <c r="NZY1036" s="1610"/>
      <c r="NZZ1036" s="1610"/>
      <c r="OAA1036" s="1610"/>
      <c r="OAB1036" s="1610"/>
      <c r="OAC1036" s="1610"/>
      <c r="OAD1036" s="1610"/>
      <c r="OAE1036" s="1610"/>
      <c r="OAF1036" s="1610"/>
      <c r="OAG1036" s="1610"/>
      <c r="OAH1036" s="1610"/>
      <c r="OAI1036" s="1610"/>
      <c r="OAJ1036" s="1610"/>
      <c r="OAK1036" s="1610"/>
      <c r="OAL1036" s="1610"/>
      <c r="OAM1036" s="1610"/>
      <c r="OAN1036" s="1610"/>
      <c r="OAO1036" s="1610"/>
      <c r="OAP1036" s="1610"/>
      <c r="OAQ1036" s="1610"/>
      <c r="OAR1036" s="1610"/>
      <c r="OAS1036" s="1610"/>
      <c r="OAT1036" s="1610"/>
      <c r="OAU1036" s="1610"/>
      <c r="OAV1036" s="1610"/>
      <c r="OAW1036" s="1610"/>
      <c r="OAX1036" s="1610"/>
      <c r="OAY1036" s="1610"/>
      <c r="OAZ1036" s="1610"/>
      <c r="OBA1036" s="1610"/>
      <c r="OBB1036" s="1610"/>
      <c r="OBC1036" s="1610"/>
      <c r="OBD1036" s="1610"/>
      <c r="OBE1036" s="1610"/>
      <c r="OBF1036" s="1610"/>
      <c r="OBG1036" s="1610"/>
      <c r="OBH1036" s="1610"/>
      <c r="OBI1036" s="1610"/>
      <c r="OBJ1036" s="1610"/>
      <c r="OBK1036" s="1610"/>
      <c r="OBL1036" s="1610"/>
      <c r="OBM1036" s="1610"/>
      <c r="OBN1036" s="1610"/>
      <c r="OBO1036" s="1610"/>
      <c r="OBP1036" s="1610"/>
      <c r="OBQ1036" s="1610"/>
      <c r="OBR1036" s="1610"/>
      <c r="OBS1036" s="1610"/>
      <c r="OBT1036" s="1610"/>
      <c r="OBU1036" s="1610"/>
      <c r="OBV1036" s="1610"/>
      <c r="OBW1036" s="1610"/>
      <c r="OBX1036" s="1610"/>
      <c r="OBY1036" s="1610"/>
      <c r="OBZ1036" s="1610"/>
      <c r="OCA1036" s="1610"/>
      <c r="OCB1036" s="1610"/>
      <c r="OCC1036" s="1610"/>
      <c r="OCD1036" s="1610"/>
      <c r="OCE1036" s="1610"/>
      <c r="OCF1036" s="1610"/>
      <c r="OCG1036" s="1610"/>
      <c r="OCH1036" s="1610"/>
      <c r="OCI1036" s="1610"/>
      <c r="OCJ1036" s="1610"/>
      <c r="OCK1036" s="1610"/>
      <c r="OCL1036" s="1610"/>
      <c r="OCM1036" s="1610"/>
      <c r="OCN1036" s="1610"/>
      <c r="OCO1036" s="1610"/>
      <c r="OCP1036" s="1610"/>
      <c r="OCQ1036" s="1610"/>
      <c r="OCR1036" s="1610"/>
      <c r="OCS1036" s="1610"/>
      <c r="OCT1036" s="1610"/>
      <c r="OCU1036" s="1610"/>
      <c r="OCV1036" s="1610"/>
      <c r="OCW1036" s="1610"/>
      <c r="OCX1036" s="1610"/>
      <c r="OCY1036" s="1610"/>
      <c r="OCZ1036" s="1610"/>
      <c r="ODA1036" s="1610"/>
      <c r="ODB1036" s="1610"/>
      <c r="ODC1036" s="1610"/>
      <c r="ODD1036" s="1610"/>
      <c r="ODE1036" s="1610"/>
      <c r="ODF1036" s="1610"/>
      <c r="ODG1036" s="1610"/>
      <c r="ODH1036" s="1610"/>
      <c r="ODI1036" s="1610"/>
      <c r="ODJ1036" s="1610"/>
      <c r="ODK1036" s="1610"/>
      <c r="ODL1036" s="1610"/>
      <c r="ODM1036" s="1610"/>
      <c r="ODN1036" s="1610"/>
      <c r="ODO1036" s="1610"/>
      <c r="ODP1036" s="1610"/>
      <c r="ODQ1036" s="1610"/>
      <c r="ODR1036" s="1610"/>
      <c r="ODS1036" s="1610"/>
      <c r="ODT1036" s="1610"/>
      <c r="ODU1036" s="1610"/>
      <c r="ODV1036" s="1610"/>
      <c r="ODW1036" s="1610"/>
      <c r="ODX1036" s="1610"/>
      <c r="ODY1036" s="1610"/>
      <c r="ODZ1036" s="1610"/>
      <c r="OEA1036" s="1610"/>
      <c r="OEB1036" s="1610"/>
      <c r="OEC1036" s="1610"/>
      <c r="OED1036" s="1610"/>
      <c r="OEE1036" s="1610"/>
      <c r="OEF1036" s="1610"/>
      <c r="OEG1036" s="1610"/>
      <c r="OEH1036" s="1610"/>
      <c r="OEI1036" s="1610"/>
      <c r="OEJ1036" s="1610"/>
      <c r="OEK1036" s="1610"/>
      <c r="OEL1036" s="1610"/>
      <c r="OEM1036" s="1610"/>
      <c r="OEN1036" s="1610"/>
      <c r="OEO1036" s="1610"/>
      <c r="OEP1036" s="1610"/>
      <c r="OEQ1036" s="1610"/>
      <c r="OER1036" s="1610"/>
      <c r="OES1036" s="1610"/>
      <c r="OET1036" s="1610"/>
      <c r="OEU1036" s="1610"/>
      <c r="OEV1036" s="1610"/>
      <c r="OEW1036" s="1610"/>
      <c r="OEX1036" s="1610"/>
      <c r="OEY1036" s="1610"/>
      <c r="OEZ1036" s="1610"/>
      <c r="OFA1036" s="1610"/>
      <c r="OFB1036" s="1610"/>
      <c r="OFC1036" s="1610"/>
      <c r="OFD1036" s="1610"/>
      <c r="OFE1036" s="1610"/>
      <c r="OFF1036" s="1610"/>
      <c r="OFG1036" s="1610"/>
      <c r="OFH1036" s="1610"/>
      <c r="OFI1036" s="1610"/>
      <c r="OFJ1036" s="1610"/>
      <c r="OFK1036" s="1610"/>
      <c r="OFL1036" s="1610"/>
      <c r="OFM1036" s="1610"/>
      <c r="OFN1036" s="1610"/>
      <c r="OFO1036" s="1610"/>
      <c r="OFP1036" s="1610"/>
      <c r="OFQ1036" s="1610"/>
      <c r="OFR1036" s="1610"/>
      <c r="OFS1036" s="1610"/>
      <c r="OFT1036" s="1610"/>
      <c r="OFU1036" s="1610"/>
      <c r="OFV1036" s="1610"/>
      <c r="OFW1036" s="1610"/>
      <c r="OFX1036" s="1610"/>
      <c r="OFY1036" s="1610"/>
      <c r="OFZ1036" s="1610"/>
      <c r="OGA1036" s="1610"/>
      <c r="OGB1036" s="1610"/>
      <c r="OGC1036" s="1610"/>
      <c r="OGD1036" s="1610"/>
      <c r="OGE1036" s="1610"/>
      <c r="OGF1036" s="1610"/>
      <c r="OGG1036" s="1610"/>
      <c r="OGH1036" s="1610"/>
      <c r="OGI1036" s="1610"/>
      <c r="OGJ1036" s="1610"/>
      <c r="OGK1036" s="1610"/>
      <c r="OGL1036" s="1610"/>
      <c r="OGM1036" s="1610"/>
      <c r="OGN1036" s="1610"/>
      <c r="OGO1036" s="1610"/>
      <c r="OGP1036" s="1610"/>
      <c r="OGQ1036" s="1610"/>
      <c r="OGR1036" s="1610"/>
      <c r="OGS1036" s="1610"/>
      <c r="OGT1036" s="1610"/>
      <c r="OGU1036" s="1610"/>
      <c r="OGV1036" s="1610"/>
      <c r="OGW1036" s="1610"/>
      <c r="OGX1036" s="1610"/>
      <c r="OGY1036" s="1610"/>
      <c r="OGZ1036" s="1610"/>
      <c r="OHA1036" s="1610"/>
      <c r="OHB1036" s="1610"/>
      <c r="OHC1036" s="1610"/>
      <c r="OHD1036" s="1610"/>
      <c r="OHE1036" s="1610"/>
      <c r="OHF1036" s="1610"/>
      <c r="OHG1036" s="1610"/>
      <c r="OHH1036" s="1610"/>
      <c r="OHI1036" s="1610"/>
      <c r="OHJ1036" s="1610"/>
      <c r="OHK1036" s="1610"/>
      <c r="OHL1036" s="1610"/>
      <c r="OHM1036" s="1610"/>
      <c r="OHN1036" s="1610"/>
      <c r="OHO1036" s="1610"/>
      <c r="OHP1036" s="1610"/>
      <c r="OHQ1036" s="1610"/>
      <c r="OHR1036" s="1610"/>
      <c r="OHS1036" s="1610"/>
      <c r="OHT1036" s="1610"/>
      <c r="OHU1036" s="1610"/>
      <c r="OHV1036" s="1610"/>
      <c r="OHW1036" s="1610"/>
      <c r="OHX1036" s="1610"/>
      <c r="OHY1036" s="1610"/>
      <c r="OHZ1036" s="1610"/>
      <c r="OIA1036" s="1610"/>
      <c r="OIB1036" s="1610"/>
      <c r="OIC1036" s="1610"/>
      <c r="OID1036" s="1610"/>
      <c r="OIE1036" s="1610"/>
      <c r="OIF1036" s="1610"/>
      <c r="OIG1036" s="1610"/>
      <c r="OIH1036" s="1610"/>
      <c r="OII1036" s="1610"/>
      <c r="OIJ1036" s="1610"/>
      <c r="OIK1036" s="1610"/>
      <c r="OIL1036" s="1610"/>
      <c r="OIM1036" s="1610"/>
      <c r="OIN1036" s="1610"/>
      <c r="OIO1036" s="1610"/>
      <c r="OIP1036" s="1610"/>
      <c r="OIQ1036" s="1610"/>
      <c r="OIR1036" s="1610"/>
      <c r="OIS1036" s="1610"/>
      <c r="OIT1036" s="1610"/>
      <c r="OIU1036" s="1610"/>
      <c r="OIV1036" s="1610"/>
      <c r="OIW1036" s="1610"/>
      <c r="OIX1036" s="1610"/>
      <c r="OIY1036" s="1610"/>
      <c r="OIZ1036" s="1610"/>
      <c r="OJA1036" s="1610"/>
      <c r="OJB1036" s="1610"/>
      <c r="OJC1036" s="1610"/>
      <c r="OJD1036" s="1610"/>
      <c r="OJE1036" s="1610"/>
      <c r="OJF1036" s="1610"/>
      <c r="OJG1036" s="1610"/>
      <c r="OJH1036" s="1610"/>
      <c r="OJI1036" s="1610"/>
      <c r="OJJ1036" s="1610"/>
      <c r="OJK1036" s="1610"/>
      <c r="OJL1036" s="1610"/>
      <c r="OJM1036" s="1610"/>
      <c r="OJN1036" s="1610"/>
      <c r="OJO1036" s="1610"/>
      <c r="OJP1036" s="1610"/>
      <c r="OJQ1036" s="1610"/>
      <c r="OJR1036" s="1610"/>
      <c r="OJS1036" s="1610"/>
      <c r="OJT1036" s="1610"/>
      <c r="OJU1036" s="1610"/>
      <c r="OJV1036" s="1610"/>
      <c r="OJW1036" s="1610"/>
      <c r="OJX1036" s="1610"/>
      <c r="OJY1036" s="1610"/>
      <c r="OJZ1036" s="1610"/>
      <c r="OKA1036" s="1610"/>
      <c r="OKB1036" s="1610"/>
      <c r="OKC1036" s="1610"/>
      <c r="OKD1036" s="1610"/>
      <c r="OKE1036" s="1610"/>
      <c r="OKF1036" s="1610"/>
      <c r="OKG1036" s="1610"/>
      <c r="OKH1036" s="1610"/>
      <c r="OKI1036" s="1610"/>
      <c r="OKJ1036" s="1610"/>
      <c r="OKK1036" s="1610"/>
      <c r="OKL1036" s="1610"/>
      <c r="OKM1036" s="1610"/>
      <c r="OKN1036" s="1610"/>
      <c r="OKO1036" s="1610"/>
      <c r="OKP1036" s="1610"/>
      <c r="OKQ1036" s="1610"/>
      <c r="OKR1036" s="1610"/>
      <c r="OKS1036" s="1610"/>
      <c r="OKT1036" s="1610"/>
      <c r="OKU1036" s="1610"/>
      <c r="OKV1036" s="1610"/>
      <c r="OKW1036" s="1610"/>
      <c r="OKX1036" s="1610"/>
      <c r="OKY1036" s="1610"/>
      <c r="OKZ1036" s="1610"/>
      <c r="OLA1036" s="1610"/>
      <c r="OLB1036" s="1610"/>
      <c r="OLC1036" s="1610"/>
      <c r="OLD1036" s="1610"/>
      <c r="OLE1036" s="1610"/>
      <c r="OLF1036" s="1610"/>
      <c r="OLG1036" s="1610"/>
      <c r="OLH1036" s="1610"/>
      <c r="OLI1036" s="1610"/>
      <c r="OLJ1036" s="1610"/>
      <c r="OLK1036" s="1610"/>
      <c r="OLL1036" s="1610"/>
      <c r="OLM1036" s="1610"/>
      <c r="OLN1036" s="1610"/>
      <c r="OLO1036" s="1610"/>
      <c r="OLP1036" s="1610"/>
      <c r="OLQ1036" s="1610"/>
      <c r="OLR1036" s="1610"/>
      <c r="OLS1036" s="1610"/>
      <c r="OLT1036" s="1610"/>
      <c r="OLU1036" s="1610"/>
      <c r="OLV1036" s="1610"/>
      <c r="OLW1036" s="1610"/>
      <c r="OLX1036" s="1610"/>
      <c r="OLY1036" s="1610"/>
      <c r="OLZ1036" s="1610"/>
      <c r="OMA1036" s="1610"/>
      <c r="OMB1036" s="1610"/>
      <c r="OMC1036" s="1610"/>
      <c r="OMD1036" s="1610"/>
      <c r="OME1036" s="1610"/>
      <c r="OMF1036" s="1610"/>
      <c r="OMG1036" s="1610"/>
      <c r="OMH1036" s="1610"/>
      <c r="OMI1036" s="1610"/>
      <c r="OMJ1036" s="1610"/>
      <c r="OMK1036" s="1610"/>
      <c r="OML1036" s="1610"/>
      <c r="OMM1036" s="1610"/>
      <c r="OMN1036" s="1610"/>
      <c r="OMO1036" s="1610"/>
      <c r="OMP1036" s="1610"/>
      <c r="OMQ1036" s="1610"/>
      <c r="OMR1036" s="1610"/>
      <c r="OMS1036" s="1610"/>
      <c r="OMT1036" s="1610"/>
      <c r="OMU1036" s="1610"/>
      <c r="OMV1036" s="1610"/>
      <c r="OMW1036" s="1610"/>
      <c r="OMX1036" s="1610"/>
      <c r="OMY1036" s="1610"/>
      <c r="OMZ1036" s="1610"/>
      <c r="ONA1036" s="1610"/>
      <c r="ONB1036" s="1610"/>
      <c r="ONC1036" s="1610"/>
      <c r="OND1036" s="1610"/>
      <c r="ONE1036" s="1610"/>
      <c r="ONF1036" s="1610"/>
      <c r="ONG1036" s="1610"/>
      <c r="ONH1036" s="1610"/>
      <c r="ONI1036" s="1610"/>
      <c r="ONJ1036" s="1610"/>
      <c r="ONK1036" s="1610"/>
      <c r="ONL1036" s="1610"/>
      <c r="ONM1036" s="1610"/>
      <c r="ONN1036" s="1610"/>
      <c r="ONO1036" s="1610"/>
      <c r="ONP1036" s="1610"/>
      <c r="ONQ1036" s="1610"/>
      <c r="ONR1036" s="1610"/>
      <c r="ONS1036" s="1610"/>
      <c r="ONT1036" s="1610"/>
      <c r="ONU1036" s="1610"/>
      <c r="ONV1036" s="1610"/>
      <c r="ONW1036" s="1610"/>
      <c r="ONX1036" s="1610"/>
      <c r="ONY1036" s="1610"/>
      <c r="ONZ1036" s="1610"/>
      <c r="OOA1036" s="1610"/>
      <c r="OOB1036" s="1610"/>
      <c r="OOC1036" s="1610"/>
      <c r="OOD1036" s="1610"/>
      <c r="OOE1036" s="1610"/>
      <c r="OOF1036" s="1610"/>
      <c r="OOG1036" s="1610"/>
      <c r="OOH1036" s="1610"/>
      <c r="OOI1036" s="1610"/>
      <c r="OOJ1036" s="1610"/>
      <c r="OOK1036" s="1610"/>
      <c r="OOL1036" s="1610"/>
      <c r="OOM1036" s="1610"/>
      <c r="OON1036" s="1610"/>
      <c r="OOO1036" s="1610"/>
      <c r="OOP1036" s="1610"/>
      <c r="OOQ1036" s="1610"/>
      <c r="OOR1036" s="1610"/>
      <c r="OOS1036" s="1610"/>
      <c r="OOT1036" s="1610"/>
      <c r="OOU1036" s="1610"/>
      <c r="OOV1036" s="1610"/>
      <c r="OOW1036" s="1610"/>
      <c r="OOX1036" s="1610"/>
      <c r="OOY1036" s="1610"/>
      <c r="OOZ1036" s="1610"/>
      <c r="OPA1036" s="1610"/>
      <c r="OPB1036" s="1610"/>
      <c r="OPC1036" s="1610"/>
      <c r="OPD1036" s="1610"/>
      <c r="OPE1036" s="1610"/>
      <c r="OPF1036" s="1610"/>
      <c r="OPG1036" s="1610"/>
      <c r="OPH1036" s="1610"/>
      <c r="OPI1036" s="1610"/>
      <c r="OPJ1036" s="1610"/>
      <c r="OPK1036" s="1610"/>
      <c r="OPL1036" s="1610"/>
      <c r="OPM1036" s="1610"/>
      <c r="OPN1036" s="1610"/>
      <c r="OPO1036" s="1610"/>
      <c r="OPP1036" s="1610"/>
      <c r="OPQ1036" s="1610"/>
      <c r="OPR1036" s="1610"/>
      <c r="OPS1036" s="1610"/>
      <c r="OPT1036" s="1610"/>
      <c r="OPU1036" s="1610"/>
      <c r="OPV1036" s="1610"/>
      <c r="OPW1036" s="1610"/>
      <c r="OPX1036" s="1610"/>
      <c r="OPY1036" s="1610"/>
      <c r="OPZ1036" s="1610"/>
      <c r="OQA1036" s="1610"/>
      <c r="OQB1036" s="1610"/>
      <c r="OQC1036" s="1610"/>
      <c r="OQD1036" s="1610"/>
      <c r="OQE1036" s="1610"/>
      <c r="OQF1036" s="1610"/>
      <c r="OQG1036" s="1610"/>
      <c r="OQH1036" s="1610"/>
      <c r="OQI1036" s="1610"/>
      <c r="OQJ1036" s="1610"/>
      <c r="OQK1036" s="1610"/>
      <c r="OQL1036" s="1610"/>
      <c r="OQM1036" s="1610"/>
      <c r="OQN1036" s="1610"/>
      <c r="OQO1036" s="1610"/>
      <c r="OQP1036" s="1610"/>
      <c r="OQQ1036" s="1610"/>
      <c r="OQR1036" s="1610"/>
      <c r="OQS1036" s="1610"/>
      <c r="OQT1036" s="1610"/>
      <c r="OQU1036" s="1610"/>
      <c r="OQV1036" s="1610"/>
      <c r="OQW1036" s="1610"/>
      <c r="OQX1036" s="1610"/>
      <c r="OQY1036" s="1610"/>
      <c r="OQZ1036" s="1610"/>
      <c r="ORA1036" s="1610"/>
      <c r="ORB1036" s="1610"/>
      <c r="ORC1036" s="1610"/>
      <c r="ORD1036" s="1610"/>
      <c r="ORE1036" s="1610"/>
      <c r="ORF1036" s="1610"/>
      <c r="ORG1036" s="1610"/>
      <c r="ORH1036" s="1610"/>
      <c r="ORI1036" s="1610"/>
      <c r="ORJ1036" s="1610"/>
      <c r="ORK1036" s="1610"/>
      <c r="ORL1036" s="1610"/>
      <c r="ORM1036" s="1610"/>
      <c r="ORN1036" s="1610"/>
      <c r="ORO1036" s="1610"/>
      <c r="ORP1036" s="1610"/>
      <c r="ORQ1036" s="1610"/>
      <c r="ORR1036" s="1610"/>
      <c r="ORS1036" s="1610"/>
      <c r="ORT1036" s="1610"/>
      <c r="ORU1036" s="1610"/>
      <c r="ORV1036" s="1610"/>
      <c r="ORW1036" s="1610"/>
      <c r="ORX1036" s="1610"/>
      <c r="ORY1036" s="1610"/>
      <c r="ORZ1036" s="1610"/>
      <c r="OSA1036" s="1610"/>
      <c r="OSB1036" s="1610"/>
      <c r="OSC1036" s="1610"/>
      <c r="OSD1036" s="1610"/>
      <c r="OSE1036" s="1610"/>
      <c r="OSF1036" s="1610"/>
      <c r="OSG1036" s="1610"/>
      <c r="OSH1036" s="1610"/>
      <c r="OSI1036" s="1610"/>
      <c r="OSJ1036" s="1610"/>
      <c r="OSK1036" s="1610"/>
      <c r="OSL1036" s="1610"/>
      <c r="OSM1036" s="1610"/>
      <c r="OSN1036" s="1610"/>
      <c r="OSO1036" s="1610"/>
      <c r="OSP1036" s="1610"/>
      <c r="OSQ1036" s="1610"/>
      <c r="OSR1036" s="1610"/>
      <c r="OSS1036" s="1610"/>
      <c r="OST1036" s="1610"/>
      <c r="OSU1036" s="1610"/>
      <c r="OSV1036" s="1610"/>
      <c r="OSW1036" s="1610"/>
      <c r="OSX1036" s="1610"/>
      <c r="OSY1036" s="1610"/>
      <c r="OSZ1036" s="1610"/>
      <c r="OTA1036" s="1610"/>
      <c r="OTB1036" s="1610"/>
      <c r="OTC1036" s="1610"/>
      <c r="OTD1036" s="1610"/>
      <c r="OTE1036" s="1610"/>
      <c r="OTF1036" s="1610"/>
      <c r="OTG1036" s="1610"/>
      <c r="OTH1036" s="1610"/>
      <c r="OTI1036" s="1610"/>
      <c r="OTJ1036" s="1610"/>
      <c r="OTK1036" s="1610"/>
      <c r="OTL1036" s="1610"/>
      <c r="OTM1036" s="1610"/>
      <c r="OTN1036" s="1610"/>
      <c r="OTO1036" s="1610"/>
      <c r="OTP1036" s="1610"/>
      <c r="OTQ1036" s="1610"/>
      <c r="OTR1036" s="1610"/>
      <c r="OTS1036" s="1610"/>
      <c r="OTT1036" s="1610"/>
      <c r="OTU1036" s="1610"/>
      <c r="OTV1036" s="1610"/>
      <c r="OTW1036" s="1610"/>
      <c r="OTX1036" s="1610"/>
      <c r="OTY1036" s="1610"/>
      <c r="OTZ1036" s="1610"/>
      <c r="OUA1036" s="1610"/>
      <c r="OUB1036" s="1610"/>
      <c r="OUC1036" s="1610"/>
      <c r="OUD1036" s="1610"/>
      <c r="OUE1036" s="1610"/>
      <c r="OUF1036" s="1610"/>
      <c r="OUG1036" s="1610"/>
      <c r="OUH1036" s="1610"/>
      <c r="OUI1036" s="1610"/>
      <c r="OUJ1036" s="1610"/>
      <c r="OUK1036" s="1610"/>
      <c r="OUL1036" s="1610"/>
      <c r="OUM1036" s="1610"/>
      <c r="OUN1036" s="1610"/>
      <c r="OUO1036" s="1610"/>
      <c r="OUP1036" s="1610"/>
      <c r="OUQ1036" s="1610"/>
      <c r="OUR1036" s="1610"/>
      <c r="OUS1036" s="1610"/>
      <c r="OUT1036" s="1610"/>
      <c r="OUU1036" s="1610"/>
      <c r="OUV1036" s="1610"/>
      <c r="OUW1036" s="1610"/>
      <c r="OUX1036" s="1610"/>
      <c r="OUY1036" s="1610"/>
      <c r="OUZ1036" s="1610"/>
      <c r="OVA1036" s="1610"/>
      <c r="OVB1036" s="1610"/>
      <c r="OVC1036" s="1610"/>
      <c r="OVD1036" s="1610"/>
      <c r="OVE1036" s="1610"/>
      <c r="OVF1036" s="1610"/>
      <c r="OVG1036" s="1610"/>
      <c r="OVH1036" s="1610"/>
      <c r="OVI1036" s="1610"/>
      <c r="OVJ1036" s="1610"/>
      <c r="OVK1036" s="1610"/>
      <c r="OVL1036" s="1610"/>
      <c r="OVM1036" s="1610"/>
      <c r="OVN1036" s="1610"/>
      <c r="OVO1036" s="1610"/>
      <c r="OVP1036" s="1610"/>
      <c r="OVQ1036" s="1610"/>
      <c r="OVR1036" s="1610"/>
      <c r="OVS1036" s="1610"/>
      <c r="OVT1036" s="1610"/>
      <c r="OVU1036" s="1610"/>
      <c r="OVV1036" s="1610"/>
      <c r="OVW1036" s="1610"/>
      <c r="OVX1036" s="1610"/>
      <c r="OVY1036" s="1610"/>
      <c r="OVZ1036" s="1610"/>
      <c r="OWA1036" s="1610"/>
      <c r="OWB1036" s="1610"/>
      <c r="OWC1036" s="1610"/>
      <c r="OWD1036" s="1610"/>
      <c r="OWE1036" s="1610"/>
      <c r="OWF1036" s="1610"/>
      <c r="OWG1036" s="1610"/>
      <c r="OWH1036" s="1610"/>
      <c r="OWI1036" s="1610"/>
      <c r="OWJ1036" s="1610"/>
      <c r="OWK1036" s="1610"/>
      <c r="OWL1036" s="1610"/>
      <c r="OWM1036" s="1610"/>
      <c r="OWN1036" s="1610"/>
      <c r="OWO1036" s="1610"/>
      <c r="OWP1036" s="1610"/>
      <c r="OWQ1036" s="1610"/>
      <c r="OWR1036" s="1610"/>
      <c r="OWS1036" s="1610"/>
      <c r="OWT1036" s="1610"/>
      <c r="OWU1036" s="1610"/>
      <c r="OWV1036" s="1610"/>
      <c r="OWW1036" s="1610"/>
      <c r="OWX1036" s="1610"/>
      <c r="OWY1036" s="1610"/>
      <c r="OWZ1036" s="1610"/>
      <c r="OXA1036" s="1610"/>
      <c r="OXB1036" s="1610"/>
      <c r="OXC1036" s="1610"/>
      <c r="OXD1036" s="1610"/>
      <c r="OXE1036" s="1610"/>
      <c r="OXF1036" s="1610"/>
      <c r="OXG1036" s="1610"/>
      <c r="OXH1036" s="1610"/>
      <c r="OXI1036" s="1610"/>
      <c r="OXJ1036" s="1610"/>
      <c r="OXK1036" s="1610"/>
      <c r="OXL1036" s="1610"/>
      <c r="OXM1036" s="1610"/>
      <c r="OXN1036" s="1610"/>
      <c r="OXO1036" s="1610"/>
      <c r="OXP1036" s="1610"/>
      <c r="OXQ1036" s="1610"/>
      <c r="OXR1036" s="1610"/>
      <c r="OXS1036" s="1610"/>
      <c r="OXT1036" s="1610"/>
      <c r="OXU1036" s="1610"/>
      <c r="OXV1036" s="1610"/>
      <c r="OXW1036" s="1610"/>
      <c r="OXX1036" s="1610"/>
      <c r="OXY1036" s="1610"/>
      <c r="OXZ1036" s="1610"/>
      <c r="OYA1036" s="1610"/>
      <c r="OYB1036" s="1610"/>
      <c r="OYC1036" s="1610"/>
      <c r="OYD1036" s="1610"/>
      <c r="OYE1036" s="1610"/>
      <c r="OYF1036" s="1610"/>
      <c r="OYG1036" s="1610"/>
      <c r="OYH1036" s="1610"/>
      <c r="OYI1036" s="1610"/>
      <c r="OYJ1036" s="1610"/>
      <c r="OYK1036" s="1610"/>
      <c r="OYL1036" s="1610"/>
      <c r="OYM1036" s="1610"/>
      <c r="OYN1036" s="1610"/>
      <c r="OYO1036" s="1610"/>
      <c r="OYP1036" s="1610"/>
      <c r="OYQ1036" s="1610"/>
      <c r="OYR1036" s="1610"/>
      <c r="OYS1036" s="1610"/>
      <c r="OYT1036" s="1610"/>
      <c r="OYU1036" s="1610"/>
      <c r="OYV1036" s="1610"/>
      <c r="OYW1036" s="1610"/>
      <c r="OYX1036" s="1610"/>
      <c r="OYY1036" s="1610"/>
      <c r="OYZ1036" s="1610"/>
      <c r="OZA1036" s="1610"/>
      <c r="OZB1036" s="1610"/>
      <c r="OZC1036" s="1610"/>
      <c r="OZD1036" s="1610"/>
      <c r="OZE1036" s="1610"/>
      <c r="OZF1036" s="1610"/>
      <c r="OZG1036" s="1610"/>
      <c r="OZH1036" s="1610"/>
      <c r="OZI1036" s="1610"/>
      <c r="OZJ1036" s="1610"/>
      <c r="OZK1036" s="1610"/>
      <c r="OZL1036" s="1610"/>
      <c r="OZM1036" s="1610"/>
      <c r="OZN1036" s="1610"/>
      <c r="OZO1036" s="1610"/>
      <c r="OZP1036" s="1610"/>
      <c r="OZQ1036" s="1610"/>
      <c r="OZR1036" s="1610"/>
      <c r="OZS1036" s="1610"/>
      <c r="OZT1036" s="1610"/>
      <c r="OZU1036" s="1610"/>
      <c r="OZV1036" s="1610"/>
      <c r="OZW1036" s="1610"/>
      <c r="OZX1036" s="1610"/>
      <c r="OZY1036" s="1610"/>
      <c r="OZZ1036" s="1610"/>
      <c r="PAA1036" s="1610"/>
      <c r="PAB1036" s="1610"/>
      <c r="PAC1036" s="1610"/>
      <c r="PAD1036" s="1610"/>
      <c r="PAE1036" s="1610"/>
      <c r="PAF1036" s="1610"/>
      <c r="PAG1036" s="1610"/>
      <c r="PAH1036" s="1610"/>
      <c r="PAI1036" s="1610"/>
      <c r="PAJ1036" s="1610"/>
      <c r="PAK1036" s="1610"/>
      <c r="PAL1036" s="1610"/>
      <c r="PAM1036" s="1610"/>
      <c r="PAN1036" s="1610"/>
      <c r="PAO1036" s="1610"/>
      <c r="PAP1036" s="1610"/>
      <c r="PAQ1036" s="1610"/>
      <c r="PAR1036" s="1610"/>
      <c r="PAS1036" s="1610"/>
      <c r="PAT1036" s="1610"/>
      <c r="PAU1036" s="1610"/>
      <c r="PAV1036" s="1610"/>
      <c r="PAW1036" s="1610"/>
      <c r="PAX1036" s="1610"/>
      <c r="PAY1036" s="1610"/>
      <c r="PAZ1036" s="1610"/>
      <c r="PBA1036" s="1610"/>
      <c r="PBB1036" s="1610"/>
      <c r="PBC1036" s="1610"/>
      <c r="PBD1036" s="1610"/>
      <c r="PBE1036" s="1610"/>
      <c r="PBF1036" s="1610"/>
      <c r="PBG1036" s="1610"/>
      <c r="PBH1036" s="1610"/>
      <c r="PBI1036" s="1610"/>
      <c r="PBJ1036" s="1610"/>
      <c r="PBK1036" s="1610"/>
      <c r="PBL1036" s="1610"/>
      <c r="PBM1036" s="1610"/>
      <c r="PBN1036" s="1610"/>
      <c r="PBO1036" s="1610"/>
      <c r="PBP1036" s="1610"/>
      <c r="PBQ1036" s="1610"/>
      <c r="PBR1036" s="1610"/>
      <c r="PBS1036" s="1610"/>
      <c r="PBT1036" s="1610"/>
      <c r="PBU1036" s="1610"/>
      <c r="PBV1036" s="1610"/>
      <c r="PBW1036" s="1610"/>
      <c r="PBX1036" s="1610"/>
      <c r="PBY1036" s="1610"/>
      <c r="PBZ1036" s="1610"/>
      <c r="PCA1036" s="1610"/>
      <c r="PCB1036" s="1610"/>
      <c r="PCC1036" s="1610"/>
      <c r="PCD1036" s="1610"/>
      <c r="PCE1036" s="1610"/>
      <c r="PCF1036" s="1610"/>
      <c r="PCG1036" s="1610"/>
      <c r="PCH1036" s="1610"/>
      <c r="PCI1036" s="1610"/>
      <c r="PCJ1036" s="1610"/>
      <c r="PCK1036" s="1610"/>
      <c r="PCL1036" s="1610"/>
      <c r="PCM1036" s="1610"/>
      <c r="PCN1036" s="1610"/>
      <c r="PCO1036" s="1610"/>
      <c r="PCP1036" s="1610"/>
      <c r="PCQ1036" s="1610"/>
      <c r="PCR1036" s="1610"/>
      <c r="PCS1036" s="1610"/>
      <c r="PCT1036" s="1610"/>
      <c r="PCU1036" s="1610"/>
      <c r="PCV1036" s="1610"/>
      <c r="PCW1036" s="1610"/>
      <c r="PCX1036" s="1610"/>
      <c r="PCY1036" s="1610"/>
      <c r="PCZ1036" s="1610"/>
      <c r="PDA1036" s="1610"/>
      <c r="PDB1036" s="1610"/>
      <c r="PDC1036" s="1610"/>
      <c r="PDD1036" s="1610"/>
      <c r="PDE1036" s="1610"/>
      <c r="PDF1036" s="1610"/>
      <c r="PDG1036" s="1610"/>
      <c r="PDH1036" s="1610"/>
      <c r="PDI1036" s="1610"/>
      <c r="PDJ1036" s="1610"/>
      <c r="PDK1036" s="1610"/>
      <c r="PDL1036" s="1610"/>
      <c r="PDM1036" s="1610"/>
      <c r="PDN1036" s="1610"/>
      <c r="PDO1036" s="1610"/>
      <c r="PDP1036" s="1610"/>
      <c r="PDQ1036" s="1610"/>
      <c r="PDR1036" s="1610"/>
      <c r="PDS1036" s="1610"/>
      <c r="PDT1036" s="1610"/>
      <c r="PDU1036" s="1610"/>
      <c r="PDV1036" s="1610"/>
      <c r="PDW1036" s="1610"/>
      <c r="PDX1036" s="1610"/>
      <c r="PDY1036" s="1610"/>
      <c r="PDZ1036" s="1610"/>
      <c r="PEA1036" s="1610"/>
      <c r="PEB1036" s="1610"/>
      <c r="PEC1036" s="1610"/>
      <c r="PED1036" s="1610"/>
      <c r="PEE1036" s="1610"/>
      <c r="PEF1036" s="1610"/>
      <c r="PEG1036" s="1610"/>
      <c r="PEH1036" s="1610"/>
      <c r="PEI1036" s="1610"/>
      <c r="PEJ1036" s="1610"/>
      <c r="PEK1036" s="1610"/>
      <c r="PEL1036" s="1610"/>
      <c r="PEM1036" s="1610"/>
      <c r="PEN1036" s="1610"/>
      <c r="PEO1036" s="1610"/>
      <c r="PEP1036" s="1610"/>
      <c r="PEQ1036" s="1610"/>
      <c r="PER1036" s="1610"/>
      <c r="PES1036" s="1610"/>
      <c r="PET1036" s="1610"/>
      <c r="PEU1036" s="1610"/>
      <c r="PEV1036" s="1610"/>
      <c r="PEW1036" s="1610"/>
      <c r="PEX1036" s="1610"/>
      <c r="PEY1036" s="1610"/>
      <c r="PEZ1036" s="1610"/>
      <c r="PFA1036" s="1610"/>
      <c r="PFB1036" s="1610"/>
      <c r="PFC1036" s="1610"/>
      <c r="PFD1036" s="1610"/>
      <c r="PFE1036" s="1610"/>
      <c r="PFF1036" s="1610"/>
      <c r="PFG1036" s="1610"/>
      <c r="PFH1036" s="1610"/>
      <c r="PFI1036" s="1610"/>
      <c r="PFJ1036" s="1610"/>
      <c r="PFK1036" s="1610"/>
      <c r="PFL1036" s="1610"/>
      <c r="PFM1036" s="1610"/>
      <c r="PFN1036" s="1610"/>
      <c r="PFO1036" s="1610"/>
      <c r="PFP1036" s="1610"/>
      <c r="PFQ1036" s="1610"/>
      <c r="PFR1036" s="1610"/>
      <c r="PFS1036" s="1610"/>
      <c r="PFT1036" s="1610"/>
      <c r="PFU1036" s="1610"/>
      <c r="PFV1036" s="1610"/>
      <c r="PFW1036" s="1610"/>
      <c r="PFX1036" s="1610"/>
      <c r="PFY1036" s="1610"/>
      <c r="PFZ1036" s="1610"/>
      <c r="PGA1036" s="1610"/>
      <c r="PGB1036" s="1610"/>
      <c r="PGC1036" s="1610"/>
      <c r="PGD1036" s="1610"/>
      <c r="PGE1036" s="1610"/>
      <c r="PGF1036" s="1610"/>
      <c r="PGG1036" s="1610"/>
      <c r="PGH1036" s="1610"/>
      <c r="PGI1036" s="1610"/>
      <c r="PGJ1036" s="1610"/>
      <c r="PGK1036" s="1610"/>
      <c r="PGL1036" s="1610"/>
      <c r="PGM1036" s="1610"/>
      <c r="PGN1036" s="1610"/>
      <c r="PGO1036" s="1610"/>
      <c r="PGP1036" s="1610"/>
      <c r="PGQ1036" s="1610"/>
      <c r="PGR1036" s="1610"/>
      <c r="PGS1036" s="1610"/>
      <c r="PGT1036" s="1610"/>
      <c r="PGU1036" s="1610"/>
      <c r="PGV1036" s="1610"/>
      <c r="PGW1036" s="1610"/>
      <c r="PGX1036" s="1610"/>
      <c r="PGY1036" s="1610"/>
      <c r="PGZ1036" s="1610"/>
      <c r="PHA1036" s="1610"/>
      <c r="PHB1036" s="1610"/>
      <c r="PHC1036" s="1610"/>
      <c r="PHD1036" s="1610"/>
      <c r="PHE1036" s="1610"/>
      <c r="PHF1036" s="1610"/>
      <c r="PHG1036" s="1610"/>
      <c r="PHH1036" s="1610"/>
      <c r="PHI1036" s="1610"/>
      <c r="PHJ1036" s="1610"/>
      <c r="PHK1036" s="1610"/>
      <c r="PHL1036" s="1610"/>
      <c r="PHM1036" s="1610"/>
      <c r="PHN1036" s="1610"/>
      <c r="PHO1036" s="1610"/>
      <c r="PHP1036" s="1610"/>
      <c r="PHQ1036" s="1610"/>
      <c r="PHR1036" s="1610"/>
      <c r="PHS1036" s="1610"/>
      <c r="PHT1036" s="1610"/>
      <c r="PHU1036" s="1610"/>
      <c r="PHV1036" s="1610"/>
      <c r="PHW1036" s="1610"/>
      <c r="PHX1036" s="1610"/>
      <c r="PHY1036" s="1610"/>
      <c r="PHZ1036" s="1610"/>
      <c r="PIA1036" s="1610"/>
      <c r="PIB1036" s="1610"/>
      <c r="PIC1036" s="1610"/>
      <c r="PID1036" s="1610"/>
      <c r="PIE1036" s="1610"/>
      <c r="PIF1036" s="1610"/>
      <c r="PIG1036" s="1610"/>
      <c r="PIH1036" s="1610"/>
      <c r="PII1036" s="1610"/>
      <c r="PIJ1036" s="1610"/>
      <c r="PIK1036" s="1610"/>
      <c r="PIL1036" s="1610"/>
      <c r="PIM1036" s="1610"/>
      <c r="PIN1036" s="1610"/>
      <c r="PIO1036" s="1610"/>
      <c r="PIP1036" s="1610"/>
      <c r="PIQ1036" s="1610"/>
      <c r="PIR1036" s="1610"/>
      <c r="PIS1036" s="1610"/>
      <c r="PIT1036" s="1610"/>
      <c r="PIU1036" s="1610"/>
      <c r="PIV1036" s="1610"/>
      <c r="PIW1036" s="1610"/>
      <c r="PIX1036" s="1610"/>
      <c r="PIY1036" s="1610"/>
      <c r="PIZ1036" s="1610"/>
      <c r="PJA1036" s="1610"/>
      <c r="PJB1036" s="1610"/>
      <c r="PJC1036" s="1610"/>
      <c r="PJD1036" s="1610"/>
      <c r="PJE1036" s="1610"/>
      <c r="PJF1036" s="1610"/>
      <c r="PJG1036" s="1610"/>
      <c r="PJH1036" s="1610"/>
      <c r="PJI1036" s="1610"/>
      <c r="PJJ1036" s="1610"/>
      <c r="PJK1036" s="1610"/>
      <c r="PJL1036" s="1610"/>
      <c r="PJM1036" s="1610"/>
      <c r="PJN1036" s="1610"/>
      <c r="PJO1036" s="1610"/>
      <c r="PJP1036" s="1610"/>
      <c r="PJQ1036" s="1610"/>
      <c r="PJR1036" s="1610"/>
      <c r="PJS1036" s="1610"/>
      <c r="PJT1036" s="1610"/>
      <c r="PJU1036" s="1610"/>
      <c r="PJV1036" s="1610"/>
      <c r="PJW1036" s="1610"/>
      <c r="PJX1036" s="1610"/>
      <c r="PJY1036" s="1610"/>
      <c r="PJZ1036" s="1610"/>
      <c r="PKA1036" s="1610"/>
      <c r="PKB1036" s="1610"/>
      <c r="PKC1036" s="1610"/>
      <c r="PKD1036" s="1610"/>
      <c r="PKE1036" s="1610"/>
      <c r="PKF1036" s="1610"/>
      <c r="PKG1036" s="1610"/>
      <c r="PKH1036" s="1610"/>
      <c r="PKI1036" s="1610"/>
      <c r="PKJ1036" s="1610"/>
      <c r="PKK1036" s="1610"/>
      <c r="PKL1036" s="1610"/>
      <c r="PKM1036" s="1610"/>
      <c r="PKN1036" s="1610"/>
      <c r="PKO1036" s="1610"/>
      <c r="PKP1036" s="1610"/>
      <c r="PKQ1036" s="1610"/>
      <c r="PKR1036" s="1610"/>
      <c r="PKS1036" s="1610"/>
      <c r="PKT1036" s="1610"/>
      <c r="PKU1036" s="1610"/>
      <c r="PKV1036" s="1610"/>
      <c r="PKW1036" s="1610"/>
      <c r="PKX1036" s="1610"/>
      <c r="PKY1036" s="1610"/>
      <c r="PKZ1036" s="1610"/>
      <c r="PLA1036" s="1610"/>
      <c r="PLB1036" s="1610"/>
      <c r="PLC1036" s="1610"/>
      <c r="PLD1036" s="1610"/>
      <c r="PLE1036" s="1610"/>
      <c r="PLF1036" s="1610"/>
      <c r="PLG1036" s="1610"/>
      <c r="PLH1036" s="1610"/>
      <c r="PLI1036" s="1610"/>
      <c r="PLJ1036" s="1610"/>
      <c r="PLK1036" s="1610"/>
      <c r="PLL1036" s="1610"/>
      <c r="PLM1036" s="1610"/>
      <c r="PLN1036" s="1610"/>
      <c r="PLO1036" s="1610"/>
      <c r="PLP1036" s="1610"/>
      <c r="PLQ1036" s="1610"/>
      <c r="PLR1036" s="1610"/>
      <c r="PLS1036" s="1610"/>
      <c r="PLT1036" s="1610"/>
      <c r="PLU1036" s="1610"/>
      <c r="PLV1036" s="1610"/>
      <c r="PLW1036" s="1610"/>
      <c r="PLX1036" s="1610"/>
      <c r="PLY1036" s="1610"/>
      <c r="PLZ1036" s="1610"/>
      <c r="PMA1036" s="1610"/>
      <c r="PMB1036" s="1610"/>
      <c r="PMC1036" s="1610"/>
      <c r="PMD1036" s="1610"/>
      <c r="PME1036" s="1610"/>
      <c r="PMF1036" s="1610"/>
      <c r="PMG1036" s="1610"/>
      <c r="PMH1036" s="1610"/>
      <c r="PMI1036" s="1610"/>
      <c r="PMJ1036" s="1610"/>
      <c r="PMK1036" s="1610"/>
      <c r="PML1036" s="1610"/>
      <c r="PMM1036" s="1610"/>
      <c r="PMN1036" s="1610"/>
      <c r="PMO1036" s="1610"/>
      <c r="PMP1036" s="1610"/>
      <c r="PMQ1036" s="1610"/>
      <c r="PMR1036" s="1610"/>
      <c r="PMS1036" s="1610"/>
      <c r="PMT1036" s="1610"/>
      <c r="PMU1036" s="1610"/>
      <c r="PMV1036" s="1610"/>
      <c r="PMW1036" s="1610"/>
      <c r="PMX1036" s="1610"/>
      <c r="PMY1036" s="1610"/>
      <c r="PMZ1036" s="1610"/>
      <c r="PNA1036" s="1610"/>
      <c r="PNB1036" s="1610"/>
      <c r="PNC1036" s="1610"/>
      <c r="PND1036" s="1610"/>
      <c r="PNE1036" s="1610"/>
      <c r="PNF1036" s="1610"/>
      <c r="PNG1036" s="1610"/>
      <c r="PNH1036" s="1610"/>
      <c r="PNI1036" s="1610"/>
      <c r="PNJ1036" s="1610"/>
      <c r="PNK1036" s="1610"/>
      <c r="PNL1036" s="1610"/>
      <c r="PNM1036" s="1610"/>
      <c r="PNN1036" s="1610"/>
      <c r="PNO1036" s="1610"/>
      <c r="PNP1036" s="1610"/>
      <c r="PNQ1036" s="1610"/>
      <c r="PNR1036" s="1610"/>
      <c r="PNS1036" s="1610"/>
      <c r="PNT1036" s="1610"/>
      <c r="PNU1036" s="1610"/>
      <c r="PNV1036" s="1610"/>
      <c r="PNW1036" s="1610"/>
      <c r="PNX1036" s="1610"/>
      <c r="PNY1036" s="1610"/>
      <c r="PNZ1036" s="1610"/>
      <c r="POA1036" s="1610"/>
      <c r="POB1036" s="1610"/>
      <c r="POC1036" s="1610"/>
      <c r="POD1036" s="1610"/>
      <c r="POE1036" s="1610"/>
      <c r="POF1036" s="1610"/>
      <c r="POG1036" s="1610"/>
      <c r="POH1036" s="1610"/>
      <c r="POI1036" s="1610"/>
      <c r="POJ1036" s="1610"/>
      <c r="POK1036" s="1610"/>
      <c r="POL1036" s="1610"/>
      <c r="POM1036" s="1610"/>
      <c r="PON1036" s="1610"/>
      <c r="POO1036" s="1610"/>
      <c r="POP1036" s="1610"/>
      <c r="POQ1036" s="1610"/>
      <c r="POR1036" s="1610"/>
      <c r="POS1036" s="1610"/>
      <c r="POT1036" s="1610"/>
      <c r="POU1036" s="1610"/>
      <c r="POV1036" s="1610"/>
      <c r="POW1036" s="1610"/>
      <c r="POX1036" s="1610"/>
      <c r="POY1036" s="1610"/>
      <c r="POZ1036" s="1610"/>
      <c r="PPA1036" s="1610"/>
      <c r="PPB1036" s="1610"/>
      <c r="PPC1036" s="1610"/>
      <c r="PPD1036" s="1610"/>
      <c r="PPE1036" s="1610"/>
      <c r="PPF1036" s="1610"/>
      <c r="PPG1036" s="1610"/>
      <c r="PPH1036" s="1610"/>
      <c r="PPI1036" s="1610"/>
      <c r="PPJ1036" s="1610"/>
      <c r="PPK1036" s="1610"/>
      <c r="PPL1036" s="1610"/>
      <c r="PPM1036" s="1610"/>
      <c r="PPN1036" s="1610"/>
      <c r="PPO1036" s="1610"/>
      <c r="PPP1036" s="1610"/>
      <c r="PPQ1036" s="1610"/>
      <c r="PPR1036" s="1610"/>
      <c r="PPS1036" s="1610"/>
      <c r="PPT1036" s="1610"/>
      <c r="PPU1036" s="1610"/>
      <c r="PPV1036" s="1610"/>
      <c r="PPW1036" s="1610"/>
      <c r="PPX1036" s="1610"/>
      <c r="PPY1036" s="1610"/>
      <c r="PPZ1036" s="1610"/>
      <c r="PQA1036" s="1610"/>
      <c r="PQB1036" s="1610"/>
      <c r="PQC1036" s="1610"/>
      <c r="PQD1036" s="1610"/>
      <c r="PQE1036" s="1610"/>
      <c r="PQF1036" s="1610"/>
      <c r="PQG1036" s="1610"/>
      <c r="PQH1036" s="1610"/>
      <c r="PQI1036" s="1610"/>
      <c r="PQJ1036" s="1610"/>
      <c r="PQK1036" s="1610"/>
      <c r="PQL1036" s="1610"/>
      <c r="PQM1036" s="1610"/>
      <c r="PQN1036" s="1610"/>
      <c r="PQO1036" s="1610"/>
      <c r="PQP1036" s="1610"/>
      <c r="PQQ1036" s="1610"/>
      <c r="PQR1036" s="1610"/>
      <c r="PQS1036" s="1610"/>
      <c r="PQT1036" s="1610"/>
      <c r="PQU1036" s="1610"/>
      <c r="PQV1036" s="1610"/>
      <c r="PQW1036" s="1610"/>
      <c r="PQX1036" s="1610"/>
      <c r="PQY1036" s="1610"/>
      <c r="PQZ1036" s="1610"/>
      <c r="PRA1036" s="1610"/>
      <c r="PRB1036" s="1610"/>
      <c r="PRC1036" s="1610"/>
      <c r="PRD1036" s="1610"/>
      <c r="PRE1036" s="1610"/>
      <c r="PRF1036" s="1610"/>
      <c r="PRG1036" s="1610"/>
      <c r="PRH1036" s="1610"/>
      <c r="PRI1036" s="1610"/>
      <c r="PRJ1036" s="1610"/>
      <c r="PRK1036" s="1610"/>
      <c r="PRL1036" s="1610"/>
      <c r="PRM1036" s="1610"/>
      <c r="PRN1036" s="1610"/>
      <c r="PRO1036" s="1610"/>
      <c r="PRP1036" s="1610"/>
      <c r="PRQ1036" s="1610"/>
      <c r="PRR1036" s="1610"/>
      <c r="PRS1036" s="1610"/>
      <c r="PRT1036" s="1610"/>
      <c r="PRU1036" s="1610"/>
      <c r="PRV1036" s="1610"/>
      <c r="PRW1036" s="1610"/>
      <c r="PRX1036" s="1610"/>
      <c r="PRY1036" s="1610"/>
      <c r="PRZ1036" s="1610"/>
      <c r="PSA1036" s="1610"/>
      <c r="PSB1036" s="1610"/>
      <c r="PSC1036" s="1610"/>
      <c r="PSD1036" s="1610"/>
      <c r="PSE1036" s="1610"/>
      <c r="PSF1036" s="1610"/>
      <c r="PSG1036" s="1610"/>
      <c r="PSH1036" s="1610"/>
      <c r="PSI1036" s="1610"/>
      <c r="PSJ1036" s="1610"/>
      <c r="PSK1036" s="1610"/>
      <c r="PSL1036" s="1610"/>
      <c r="PSM1036" s="1610"/>
      <c r="PSN1036" s="1610"/>
      <c r="PSO1036" s="1610"/>
      <c r="PSP1036" s="1610"/>
      <c r="PSQ1036" s="1610"/>
      <c r="PSR1036" s="1610"/>
      <c r="PSS1036" s="1610"/>
      <c r="PST1036" s="1610"/>
      <c r="PSU1036" s="1610"/>
      <c r="PSV1036" s="1610"/>
      <c r="PSW1036" s="1610"/>
      <c r="PSX1036" s="1610"/>
      <c r="PSY1036" s="1610"/>
      <c r="PSZ1036" s="1610"/>
      <c r="PTA1036" s="1610"/>
      <c r="PTB1036" s="1610"/>
      <c r="PTC1036" s="1610"/>
      <c r="PTD1036" s="1610"/>
      <c r="PTE1036" s="1610"/>
      <c r="PTF1036" s="1610"/>
      <c r="PTG1036" s="1610"/>
      <c r="PTH1036" s="1610"/>
      <c r="PTI1036" s="1610"/>
      <c r="PTJ1036" s="1610"/>
      <c r="PTK1036" s="1610"/>
      <c r="PTL1036" s="1610"/>
      <c r="PTM1036" s="1610"/>
      <c r="PTN1036" s="1610"/>
      <c r="PTO1036" s="1610"/>
      <c r="PTP1036" s="1610"/>
      <c r="PTQ1036" s="1610"/>
      <c r="PTR1036" s="1610"/>
      <c r="PTS1036" s="1610"/>
      <c r="PTT1036" s="1610"/>
      <c r="PTU1036" s="1610"/>
      <c r="PTV1036" s="1610"/>
      <c r="PTW1036" s="1610"/>
      <c r="PTX1036" s="1610"/>
      <c r="PTY1036" s="1610"/>
      <c r="PTZ1036" s="1610"/>
      <c r="PUA1036" s="1610"/>
      <c r="PUB1036" s="1610"/>
      <c r="PUC1036" s="1610"/>
      <c r="PUD1036" s="1610"/>
      <c r="PUE1036" s="1610"/>
      <c r="PUF1036" s="1610"/>
      <c r="PUG1036" s="1610"/>
      <c r="PUH1036" s="1610"/>
      <c r="PUI1036" s="1610"/>
      <c r="PUJ1036" s="1610"/>
      <c r="PUK1036" s="1610"/>
      <c r="PUL1036" s="1610"/>
      <c r="PUM1036" s="1610"/>
      <c r="PUN1036" s="1610"/>
      <c r="PUO1036" s="1610"/>
      <c r="PUP1036" s="1610"/>
      <c r="PUQ1036" s="1610"/>
      <c r="PUR1036" s="1610"/>
      <c r="PUS1036" s="1610"/>
      <c r="PUT1036" s="1610"/>
      <c r="PUU1036" s="1610"/>
      <c r="PUV1036" s="1610"/>
      <c r="PUW1036" s="1610"/>
      <c r="PUX1036" s="1610"/>
      <c r="PUY1036" s="1610"/>
      <c r="PUZ1036" s="1610"/>
      <c r="PVA1036" s="1610"/>
      <c r="PVB1036" s="1610"/>
      <c r="PVC1036" s="1610"/>
      <c r="PVD1036" s="1610"/>
      <c r="PVE1036" s="1610"/>
      <c r="PVF1036" s="1610"/>
      <c r="PVG1036" s="1610"/>
      <c r="PVH1036" s="1610"/>
      <c r="PVI1036" s="1610"/>
      <c r="PVJ1036" s="1610"/>
      <c r="PVK1036" s="1610"/>
      <c r="PVL1036" s="1610"/>
      <c r="PVM1036" s="1610"/>
      <c r="PVN1036" s="1610"/>
      <c r="PVO1036" s="1610"/>
      <c r="PVP1036" s="1610"/>
      <c r="PVQ1036" s="1610"/>
      <c r="PVR1036" s="1610"/>
      <c r="PVS1036" s="1610"/>
      <c r="PVT1036" s="1610"/>
      <c r="PVU1036" s="1610"/>
      <c r="PVV1036" s="1610"/>
      <c r="PVW1036" s="1610"/>
      <c r="PVX1036" s="1610"/>
      <c r="PVY1036" s="1610"/>
      <c r="PVZ1036" s="1610"/>
      <c r="PWA1036" s="1610"/>
      <c r="PWB1036" s="1610"/>
      <c r="PWC1036" s="1610"/>
      <c r="PWD1036" s="1610"/>
      <c r="PWE1036" s="1610"/>
      <c r="PWF1036" s="1610"/>
      <c r="PWG1036" s="1610"/>
      <c r="PWH1036" s="1610"/>
      <c r="PWI1036" s="1610"/>
      <c r="PWJ1036" s="1610"/>
      <c r="PWK1036" s="1610"/>
      <c r="PWL1036" s="1610"/>
      <c r="PWM1036" s="1610"/>
      <c r="PWN1036" s="1610"/>
      <c r="PWO1036" s="1610"/>
      <c r="PWP1036" s="1610"/>
      <c r="PWQ1036" s="1610"/>
      <c r="PWR1036" s="1610"/>
      <c r="PWS1036" s="1610"/>
      <c r="PWT1036" s="1610"/>
      <c r="PWU1036" s="1610"/>
      <c r="PWV1036" s="1610"/>
      <c r="PWW1036" s="1610"/>
      <c r="PWX1036" s="1610"/>
      <c r="PWY1036" s="1610"/>
      <c r="PWZ1036" s="1610"/>
      <c r="PXA1036" s="1610"/>
      <c r="PXB1036" s="1610"/>
      <c r="PXC1036" s="1610"/>
      <c r="PXD1036" s="1610"/>
      <c r="PXE1036" s="1610"/>
      <c r="PXF1036" s="1610"/>
      <c r="PXG1036" s="1610"/>
      <c r="PXH1036" s="1610"/>
      <c r="PXI1036" s="1610"/>
      <c r="PXJ1036" s="1610"/>
      <c r="PXK1036" s="1610"/>
      <c r="PXL1036" s="1610"/>
      <c r="PXM1036" s="1610"/>
      <c r="PXN1036" s="1610"/>
      <c r="PXO1036" s="1610"/>
      <c r="PXP1036" s="1610"/>
      <c r="PXQ1036" s="1610"/>
      <c r="PXR1036" s="1610"/>
      <c r="PXS1036" s="1610"/>
      <c r="PXT1036" s="1610"/>
      <c r="PXU1036" s="1610"/>
      <c r="PXV1036" s="1610"/>
      <c r="PXW1036" s="1610"/>
      <c r="PXX1036" s="1610"/>
      <c r="PXY1036" s="1610"/>
      <c r="PXZ1036" s="1610"/>
      <c r="PYA1036" s="1610"/>
      <c r="PYB1036" s="1610"/>
      <c r="PYC1036" s="1610"/>
      <c r="PYD1036" s="1610"/>
      <c r="PYE1036" s="1610"/>
      <c r="PYF1036" s="1610"/>
      <c r="PYG1036" s="1610"/>
      <c r="PYH1036" s="1610"/>
      <c r="PYI1036" s="1610"/>
      <c r="PYJ1036" s="1610"/>
      <c r="PYK1036" s="1610"/>
      <c r="PYL1036" s="1610"/>
      <c r="PYM1036" s="1610"/>
      <c r="PYN1036" s="1610"/>
      <c r="PYO1036" s="1610"/>
      <c r="PYP1036" s="1610"/>
      <c r="PYQ1036" s="1610"/>
      <c r="PYR1036" s="1610"/>
      <c r="PYS1036" s="1610"/>
      <c r="PYT1036" s="1610"/>
      <c r="PYU1036" s="1610"/>
      <c r="PYV1036" s="1610"/>
      <c r="PYW1036" s="1610"/>
      <c r="PYX1036" s="1610"/>
      <c r="PYY1036" s="1610"/>
      <c r="PYZ1036" s="1610"/>
      <c r="PZA1036" s="1610"/>
      <c r="PZB1036" s="1610"/>
      <c r="PZC1036" s="1610"/>
      <c r="PZD1036" s="1610"/>
      <c r="PZE1036" s="1610"/>
      <c r="PZF1036" s="1610"/>
      <c r="PZG1036" s="1610"/>
      <c r="PZH1036" s="1610"/>
      <c r="PZI1036" s="1610"/>
      <c r="PZJ1036" s="1610"/>
      <c r="PZK1036" s="1610"/>
      <c r="PZL1036" s="1610"/>
      <c r="PZM1036" s="1610"/>
      <c r="PZN1036" s="1610"/>
      <c r="PZO1036" s="1610"/>
      <c r="PZP1036" s="1610"/>
      <c r="PZQ1036" s="1610"/>
      <c r="PZR1036" s="1610"/>
      <c r="PZS1036" s="1610"/>
      <c r="PZT1036" s="1610"/>
      <c r="PZU1036" s="1610"/>
      <c r="PZV1036" s="1610"/>
      <c r="PZW1036" s="1610"/>
      <c r="PZX1036" s="1610"/>
      <c r="PZY1036" s="1610"/>
      <c r="PZZ1036" s="1610"/>
      <c r="QAA1036" s="1610"/>
      <c r="QAB1036" s="1610"/>
      <c r="QAC1036" s="1610"/>
      <c r="QAD1036" s="1610"/>
      <c r="QAE1036" s="1610"/>
      <c r="QAF1036" s="1610"/>
      <c r="QAG1036" s="1610"/>
      <c r="QAH1036" s="1610"/>
      <c r="QAI1036" s="1610"/>
      <c r="QAJ1036" s="1610"/>
      <c r="QAK1036" s="1610"/>
      <c r="QAL1036" s="1610"/>
      <c r="QAM1036" s="1610"/>
      <c r="QAN1036" s="1610"/>
      <c r="QAO1036" s="1610"/>
      <c r="QAP1036" s="1610"/>
      <c r="QAQ1036" s="1610"/>
      <c r="QAR1036" s="1610"/>
      <c r="QAS1036" s="1610"/>
      <c r="QAT1036" s="1610"/>
      <c r="QAU1036" s="1610"/>
      <c r="QAV1036" s="1610"/>
      <c r="QAW1036" s="1610"/>
      <c r="QAX1036" s="1610"/>
      <c r="QAY1036" s="1610"/>
      <c r="QAZ1036" s="1610"/>
      <c r="QBA1036" s="1610"/>
      <c r="QBB1036" s="1610"/>
      <c r="QBC1036" s="1610"/>
      <c r="QBD1036" s="1610"/>
      <c r="QBE1036" s="1610"/>
      <c r="QBF1036" s="1610"/>
      <c r="QBG1036" s="1610"/>
      <c r="QBH1036" s="1610"/>
      <c r="QBI1036" s="1610"/>
      <c r="QBJ1036" s="1610"/>
      <c r="QBK1036" s="1610"/>
      <c r="QBL1036" s="1610"/>
      <c r="QBM1036" s="1610"/>
      <c r="QBN1036" s="1610"/>
      <c r="QBO1036" s="1610"/>
      <c r="QBP1036" s="1610"/>
      <c r="QBQ1036" s="1610"/>
      <c r="QBR1036" s="1610"/>
      <c r="QBS1036" s="1610"/>
      <c r="QBT1036" s="1610"/>
      <c r="QBU1036" s="1610"/>
      <c r="QBV1036" s="1610"/>
      <c r="QBW1036" s="1610"/>
      <c r="QBX1036" s="1610"/>
      <c r="QBY1036" s="1610"/>
      <c r="QBZ1036" s="1610"/>
      <c r="QCA1036" s="1610"/>
      <c r="QCB1036" s="1610"/>
      <c r="QCC1036" s="1610"/>
      <c r="QCD1036" s="1610"/>
      <c r="QCE1036" s="1610"/>
      <c r="QCF1036" s="1610"/>
      <c r="QCG1036" s="1610"/>
      <c r="QCH1036" s="1610"/>
      <c r="QCI1036" s="1610"/>
      <c r="QCJ1036" s="1610"/>
      <c r="QCK1036" s="1610"/>
      <c r="QCL1036" s="1610"/>
      <c r="QCM1036" s="1610"/>
      <c r="QCN1036" s="1610"/>
      <c r="QCO1036" s="1610"/>
      <c r="QCP1036" s="1610"/>
      <c r="QCQ1036" s="1610"/>
      <c r="QCR1036" s="1610"/>
      <c r="QCS1036" s="1610"/>
      <c r="QCT1036" s="1610"/>
      <c r="QCU1036" s="1610"/>
      <c r="QCV1036" s="1610"/>
      <c r="QCW1036" s="1610"/>
      <c r="QCX1036" s="1610"/>
      <c r="QCY1036" s="1610"/>
      <c r="QCZ1036" s="1610"/>
      <c r="QDA1036" s="1610"/>
      <c r="QDB1036" s="1610"/>
      <c r="QDC1036" s="1610"/>
      <c r="QDD1036" s="1610"/>
      <c r="QDE1036" s="1610"/>
      <c r="QDF1036" s="1610"/>
      <c r="QDG1036" s="1610"/>
      <c r="QDH1036" s="1610"/>
      <c r="QDI1036" s="1610"/>
      <c r="QDJ1036" s="1610"/>
      <c r="QDK1036" s="1610"/>
      <c r="QDL1036" s="1610"/>
      <c r="QDM1036" s="1610"/>
      <c r="QDN1036" s="1610"/>
      <c r="QDO1036" s="1610"/>
      <c r="QDP1036" s="1610"/>
      <c r="QDQ1036" s="1610"/>
      <c r="QDR1036" s="1610"/>
      <c r="QDS1036" s="1610"/>
      <c r="QDT1036" s="1610"/>
      <c r="QDU1036" s="1610"/>
      <c r="QDV1036" s="1610"/>
      <c r="QDW1036" s="1610"/>
      <c r="QDX1036" s="1610"/>
      <c r="QDY1036" s="1610"/>
      <c r="QDZ1036" s="1610"/>
      <c r="QEA1036" s="1610"/>
      <c r="QEB1036" s="1610"/>
      <c r="QEC1036" s="1610"/>
      <c r="QED1036" s="1610"/>
      <c r="QEE1036" s="1610"/>
      <c r="QEF1036" s="1610"/>
      <c r="QEG1036" s="1610"/>
      <c r="QEH1036" s="1610"/>
      <c r="QEI1036" s="1610"/>
      <c r="QEJ1036" s="1610"/>
      <c r="QEK1036" s="1610"/>
      <c r="QEL1036" s="1610"/>
      <c r="QEM1036" s="1610"/>
      <c r="QEN1036" s="1610"/>
      <c r="QEO1036" s="1610"/>
      <c r="QEP1036" s="1610"/>
      <c r="QEQ1036" s="1610"/>
      <c r="QER1036" s="1610"/>
      <c r="QES1036" s="1610"/>
      <c r="QET1036" s="1610"/>
      <c r="QEU1036" s="1610"/>
      <c r="QEV1036" s="1610"/>
      <c r="QEW1036" s="1610"/>
      <c r="QEX1036" s="1610"/>
      <c r="QEY1036" s="1610"/>
      <c r="QEZ1036" s="1610"/>
      <c r="QFA1036" s="1610"/>
      <c r="QFB1036" s="1610"/>
      <c r="QFC1036" s="1610"/>
      <c r="QFD1036" s="1610"/>
      <c r="QFE1036" s="1610"/>
      <c r="QFF1036" s="1610"/>
      <c r="QFG1036" s="1610"/>
      <c r="QFH1036" s="1610"/>
      <c r="QFI1036" s="1610"/>
      <c r="QFJ1036" s="1610"/>
      <c r="QFK1036" s="1610"/>
      <c r="QFL1036" s="1610"/>
      <c r="QFM1036" s="1610"/>
      <c r="QFN1036" s="1610"/>
      <c r="QFO1036" s="1610"/>
      <c r="QFP1036" s="1610"/>
      <c r="QFQ1036" s="1610"/>
      <c r="QFR1036" s="1610"/>
      <c r="QFS1036" s="1610"/>
      <c r="QFT1036" s="1610"/>
      <c r="QFU1036" s="1610"/>
      <c r="QFV1036" s="1610"/>
      <c r="QFW1036" s="1610"/>
      <c r="QFX1036" s="1610"/>
      <c r="QFY1036" s="1610"/>
      <c r="QFZ1036" s="1610"/>
      <c r="QGA1036" s="1610"/>
      <c r="QGB1036" s="1610"/>
      <c r="QGC1036" s="1610"/>
      <c r="QGD1036" s="1610"/>
      <c r="QGE1036" s="1610"/>
      <c r="QGF1036" s="1610"/>
      <c r="QGG1036" s="1610"/>
      <c r="QGH1036" s="1610"/>
      <c r="QGI1036" s="1610"/>
      <c r="QGJ1036" s="1610"/>
      <c r="QGK1036" s="1610"/>
      <c r="QGL1036" s="1610"/>
      <c r="QGM1036" s="1610"/>
      <c r="QGN1036" s="1610"/>
      <c r="QGO1036" s="1610"/>
      <c r="QGP1036" s="1610"/>
      <c r="QGQ1036" s="1610"/>
      <c r="QGR1036" s="1610"/>
      <c r="QGS1036" s="1610"/>
      <c r="QGT1036" s="1610"/>
      <c r="QGU1036" s="1610"/>
      <c r="QGV1036" s="1610"/>
      <c r="QGW1036" s="1610"/>
      <c r="QGX1036" s="1610"/>
      <c r="QGY1036" s="1610"/>
      <c r="QGZ1036" s="1610"/>
      <c r="QHA1036" s="1610"/>
      <c r="QHB1036" s="1610"/>
      <c r="QHC1036" s="1610"/>
      <c r="QHD1036" s="1610"/>
      <c r="QHE1036" s="1610"/>
      <c r="QHF1036" s="1610"/>
      <c r="QHG1036" s="1610"/>
      <c r="QHH1036" s="1610"/>
      <c r="QHI1036" s="1610"/>
      <c r="QHJ1036" s="1610"/>
      <c r="QHK1036" s="1610"/>
      <c r="QHL1036" s="1610"/>
      <c r="QHM1036" s="1610"/>
      <c r="QHN1036" s="1610"/>
      <c r="QHO1036" s="1610"/>
      <c r="QHP1036" s="1610"/>
      <c r="QHQ1036" s="1610"/>
      <c r="QHR1036" s="1610"/>
      <c r="QHS1036" s="1610"/>
      <c r="QHT1036" s="1610"/>
      <c r="QHU1036" s="1610"/>
      <c r="QHV1036" s="1610"/>
      <c r="QHW1036" s="1610"/>
      <c r="QHX1036" s="1610"/>
      <c r="QHY1036" s="1610"/>
      <c r="QHZ1036" s="1610"/>
      <c r="QIA1036" s="1610"/>
      <c r="QIB1036" s="1610"/>
      <c r="QIC1036" s="1610"/>
      <c r="QID1036" s="1610"/>
      <c r="QIE1036" s="1610"/>
      <c r="QIF1036" s="1610"/>
      <c r="QIG1036" s="1610"/>
      <c r="QIH1036" s="1610"/>
      <c r="QII1036" s="1610"/>
      <c r="QIJ1036" s="1610"/>
      <c r="QIK1036" s="1610"/>
      <c r="QIL1036" s="1610"/>
      <c r="QIM1036" s="1610"/>
      <c r="QIN1036" s="1610"/>
      <c r="QIO1036" s="1610"/>
      <c r="QIP1036" s="1610"/>
      <c r="QIQ1036" s="1610"/>
      <c r="QIR1036" s="1610"/>
      <c r="QIS1036" s="1610"/>
      <c r="QIT1036" s="1610"/>
      <c r="QIU1036" s="1610"/>
      <c r="QIV1036" s="1610"/>
      <c r="QIW1036" s="1610"/>
      <c r="QIX1036" s="1610"/>
      <c r="QIY1036" s="1610"/>
      <c r="QIZ1036" s="1610"/>
      <c r="QJA1036" s="1610"/>
      <c r="QJB1036" s="1610"/>
      <c r="QJC1036" s="1610"/>
      <c r="QJD1036" s="1610"/>
      <c r="QJE1036" s="1610"/>
      <c r="QJF1036" s="1610"/>
      <c r="QJG1036" s="1610"/>
      <c r="QJH1036" s="1610"/>
      <c r="QJI1036" s="1610"/>
      <c r="QJJ1036" s="1610"/>
      <c r="QJK1036" s="1610"/>
      <c r="QJL1036" s="1610"/>
      <c r="QJM1036" s="1610"/>
      <c r="QJN1036" s="1610"/>
      <c r="QJO1036" s="1610"/>
      <c r="QJP1036" s="1610"/>
      <c r="QJQ1036" s="1610"/>
      <c r="QJR1036" s="1610"/>
      <c r="QJS1036" s="1610"/>
      <c r="QJT1036" s="1610"/>
      <c r="QJU1036" s="1610"/>
      <c r="QJV1036" s="1610"/>
      <c r="QJW1036" s="1610"/>
      <c r="QJX1036" s="1610"/>
      <c r="QJY1036" s="1610"/>
      <c r="QJZ1036" s="1610"/>
      <c r="QKA1036" s="1610"/>
      <c r="QKB1036" s="1610"/>
      <c r="QKC1036" s="1610"/>
      <c r="QKD1036" s="1610"/>
      <c r="QKE1036" s="1610"/>
      <c r="QKF1036" s="1610"/>
      <c r="QKG1036" s="1610"/>
      <c r="QKH1036" s="1610"/>
      <c r="QKI1036" s="1610"/>
      <c r="QKJ1036" s="1610"/>
      <c r="QKK1036" s="1610"/>
      <c r="QKL1036" s="1610"/>
      <c r="QKM1036" s="1610"/>
      <c r="QKN1036" s="1610"/>
      <c r="QKO1036" s="1610"/>
      <c r="QKP1036" s="1610"/>
      <c r="QKQ1036" s="1610"/>
      <c r="QKR1036" s="1610"/>
      <c r="QKS1036" s="1610"/>
      <c r="QKT1036" s="1610"/>
      <c r="QKU1036" s="1610"/>
      <c r="QKV1036" s="1610"/>
      <c r="QKW1036" s="1610"/>
      <c r="QKX1036" s="1610"/>
      <c r="QKY1036" s="1610"/>
      <c r="QKZ1036" s="1610"/>
      <c r="QLA1036" s="1610"/>
      <c r="QLB1036" s="1610"/>
      <c r="QLC1036" s="1610"/>
      <c r="QLD1036" s="1610"/>
      <c r="QLE1036" s="1610"/>
      <c r="QLF1036" s="1610"/>
      <c r="QLG1036" s="1610"/>
      <c r="QLH1036" s="1610"/>
      <c r="QLI1036" s="1610"/>
      <c r="QLJ1036" s="1610"/>
      <c r="QLK1036" s="1610"/>
      <c r="QLL1036" s="1610"/>
      <c r="QLM1036" s="1610"/>
      <c r="QLN1036" s="1610"/>
      <c r="QLO1036" s="1610"/>
      <c r="QLP1036" s="1610"/>
      <c r="QLQ1036" s="1610"/>
      <c r="QLR1036" s="1610"/>
      <c r="QLS1036" s="1610"/>
      <c r="QLT1036" s="1610"/>
      <c r="QLU1036" s="1610"/>
      <c r="QLV1036" s="1610"/>
      <c r="QLW1036" s="1610"/>
      <c r="QLX1036" s="1610"/>
      <c r="QLY1036" s="1610"/>
      <c r="QLZ1036" s="1610"/>
      <c r="QMA1036" s="1610"/>
      <c r="QMB1036" s="1610"/>
      <c r="QMC1036" s="1610"/>
      <c r="QMD1036" s="1610"/>
      <c r="QME1036" s="1610"/>
      <c r="QMF1036" s="1610"/>
      <c r="QMG1036" s="1610"/>
      <c r="QMH1036" s="1610"/>
      <c r="QMI1036" s="1610"/>
      <c r="QMJ1036" s="1610"/>
      <c r="QMK1036" s="1610"/>
      <c r="QML1036" s="1610"/>
      <c r="QMM1036" s="1610"/>
      <c r="QMN1036" s="1610"/>
      <c r="QMO1036" s="1610"/>
      <c r="QMP1036" s="1610"/>
      <c r="QMQ1036" s="1610"/>
      <c r="QMR1036" s="1610"/>
      <c r="QMS1036" s="1610"/>
      <c r="QMT1036" s="1610"/>
      <c r="QMU1036" s="1610"/>
      <c r="QMV1036" s="1610"/>
      <c r="QMW1036" s="1610"/>
      <c r="QMX1036" s="1610"/>
      <c r="QMY1036" s="1610"/>
      <c r="QMZ1036" s="1610"/>
      <c r="QNA1036" s="1610"/>
      <c r="QNB1036" s="1610"/>
      <c r="QNC1036" s="1610"/>
      <c r="QND1036" s="1610"/>
      <c r="QNE1036" s="1610"/>
      <c r="QNF1036" s="1610"/>
      <c r="QNG1036" s="1610"/>
      <c r="QNH1036" s="1610"/>
      <c r="QNI1036" s="1610"/>
      <c r="QNJ1036" s="1610"/>
      <c r="QNK1036" s="1610"/>
      <c r="QNL1036" s="1610"/>
      <c r="QNM1036" s="1610"/>
      <c r="QNN1036" s="1610"/>
      <c r="QNO1036" s="1610"/>
      <c r="QNP1036" s="1610"/>
      <c r="QNQ1036" s="1610"/>
      <c r="QNR1036" s="1610"/>
      <c r="QNS1036" s="1610"/>
      <c r="QNT1036" s="1610"/>
      <c r="QNU1036" s="1610"/>
      <c r="QNV1036" s="1610"/>
      <c r="QNW1036" s="1610"/>
      <c r="QNX1036" s="1610"/>
      <c r="QNY1036" s="1610"/>
      <c r="QNZ1036" s="1610"/>
      <c r="QOA1036" s="1610"/>
      <c r="QOB1036" s="1610"/>
      <c r="QOC1036" s="1610"/>
      <c r="QOD1036" s="1610"/>
      <c r="QOE1036" s="1610"/>
      <c r="QOF1036" s="1610"/>
      <c r="QOG1036" s="1610"/>
      <c r="QOH1036" s="1610"/>
      <c r="QOI1036" s="1610"/>
      <c r="QOJ1036" s="1610"/>
      <c r="QOK1036" s="1610"/>
      <c r="QOL1036" s="1610"/>
      <c r="QOM1036" s="1610"/>
      <c r="QON1036" s="1610"/>
      <c r="QOO1036" s="1610"/>
      <c r="QOP1036" s="1610"/>
      <c r="QOQ1036" s="1610"/>
      <c r="QOR1036" s="1610"/>
      <c r="QOS1036" s="1610"/>
      <c r="QOT1036" s="1610"/>
      <c r="QOU1036" s="1610"/>
      <c r="QOV1036" s="1610"/>
      <c r="QOW1036" s="1610"/>
      <c r="QOX1036" s="1610"/>
      <c r="QOY1036" s="1610"/>
      <c r="QOZ1036" s="1610"/>
      <c r="QPA1036" s="1610"/>
      <c r="QPB1036" s="1610"/>
      <c r="QPC1036" s="1610"/>
      <c r="QPD1036" s="1610"/>
      <c r="QPE1036" s="1610"/>
      <c r="QPF1036" s="1610"/>
      <c r="QPG1036" s="1610"/>
      <c r="QPH1036" s="1610"/>
      <c r="QPI1036" s="1610"/>
      <c r="QPJ1036" s="1610"/>
      <c r="QPK1036" s="1610"/>
      <c r="QPL1036" s="1610"/>
      <c r="QPM1036" s="1610"/>
      <c r="QPN1036" s="1610"/>
      <c r="QPO1036" s="1610"/>
      <c r="QPP1036" s="1610"/>
      <c r="QPQ1036" s="1610"/>
      <c r="QPR1036" s="1610"/>
      <c r="QPS1036" s="1610"/>
      <c r="QPT1036" s="1610"/>
      <c r="QPU1036" s="1610"/>
      <c r="QPV1036" s="1610"/>
      <c r="QPW1036" s="1610"/>
      <c r="QPX1036" s="1610"/>
      <c r="QPY1036" s="1610"/>
      <c r="QPZ1036" s="1610"/>
      <c r="QQA1036" s="1610"/>
      <c r="QQB1036" s="1610"/>
      <c r="QQC1036" s="1610"/>
      <c r="QQD1036" s="1610"/>
      <c r="QQE1036" s="1610"/>
      <c r="QQF1036" s="1610"/>
      <c r="QQG1036" s="1610"/>
      <c r="QQH1036" s="1610"/>
      <c r="QQI1036" s="1610"/>
      <c r="QQJ1036" s="1610"/>
      <c r="QQK1036" s="1610"/>
      <c r="QQL1036" s="1610"/>
      <c r="QQM1036" s="1610"/>
      <c r="QQN1036" s="1610"/>
      <c r="QQO1036" s="1610"/>
      <c r="QQP1036" s="1610"/>
      <c r="QQQ1036" s="1610"/>
      <c r="QQR1036" s="1610"/>
      <c r="QQS1036" s="1610"/>
      <c r="QQT1036" s="1610"/>
      <c r="QQU1036" s="1610"/>
      <c r="QQV1036" s="1610"/>
      <c r="QQW1036" s="1610"/>
      <c r="QQX1036" s="1610"/>
      <c r="QQY1036" s="1610"/>
      <c r="QQZ1036" s="1610"/>
      <c r="QRA1036" s="1610"/>
      <c r="QRB1036" s="1610"/>
      <c r="QRC1036" s="1610"/>
      <c r="QRD1036" s="1610"/>
      <c r="QRE1036" s="1610"/>
      <c r="QRF1036" s="1610"/>
      <c r="QRG1036" s="1610"/>
      <c r="QRH1036" s="1610"/>
      <c r="QRI1036" s="1610"/>
      <c r="QRJ1036" s="1610"/>
      <c r="QRK1036" s="1610"/>
      <c r="QRL1036" s="1610"/>
      <c r="QRM1036" s="1610"/>
      <c r="QRN1036" s="1610"/>
      <c r="QRO1036" s="1610"/>
      <c r="QRP1036" s="1610"/>
      <c r="QRQ1036" s="1610"/>
      <c r="QRR1036" s="1610"/>
      <c r="QRS1036" s="1610"/>
      <c r="QRT1036" s="1610"/>
      <c r="QRU1036" s="1610"/>
      <c r="QRV1036" s="1610"/>
      <c r="QRW1036" s="1610"/>
      <c r="QRX1036" s="1610"/>
      <c r="QRY1036" s="1610"/>
      <c r="QRZ1036" s="1610"/>
      <c r="QSA1036" s="1610"/>
      <c r="QSB1036" s="1610"/>
      <c r="QSC1036" s="1610"/>
      <c r="QSD1036" s="1610"/>
      <c r="QSE1036" s="1610"/>
      <c r="QSF1036" s="1610"/>
      <c r="QSG1036" s="1610"/>
      <c r="QSH1036" s="1610"/>
      <c r="QSI1036" s="1610"/>
      <c r="QSJ1036" s="1610"/>
      <c r="QSK1036" s="1610"/>
      <c r="QSL1036" s="1610"/>
      <c r="QSM1036" s="1610"/>
      <c r="QSN1036" s="1610"/>
      <c r="QSO1036" s="1610"/>
      <c r="QSP1036" s="1610"/>
      <c r="QSQ1036" s="1610"/>
      <c r="QSR1036" s="1610"/>
      <c r="QSS1036" s="1610"/>
      <c r="QST1036" s="1610"/>
      <c r="QSU1036" s="1610"/>
      <c r="QSV1036" s="1610"/>
      <c r="QSW1036" s="1610"/>
      <c r="QSX1036" s="1610"/>
      <c r="QSY1036" s="1610"/>
      <c r="QSZ1036" s="1610"/>
      <c r="QTA1036" s="1610"/>
      <c r="QTB1036" s="1610"/>
      <c r="QTC1036" s="1610"/>
      <c r="QTD1036" s="1610"/>
      <c r="QTE1036" s="1610"/>
      <c r="QTF1036" s="1610"/>
      <c r="QTG1036" s="1610"/>
      <c r="QTH1036" s="1610"/>
      <c r="QTI1036" s="1610"/>
      <c r="QTJ1036" s="1610"/>
      <c r="QTK1036" s="1610"/>
      <c r="QTL1036" s="1610"/>
      <c r="QTM1036" s="1610"/>
      <c r="QTN1036" s="1610"/>
      <c r="QTO1036" s="1610"/>
      <c r="QTP1036" s="1610"/>
      <c r="QTQ1036" s="1610"/>
      <c r="QTR1036" s="1610"/>
      <c r="QTS1036" s="1610"/>
      <c r="QTT1036" s="1610"/>
      <c r="QTU1036" s="1610"/>
      <c r="QTV1036" s="1610"/>
      <c r="QTW1036" s="1610"/>
      <c r="QTX1036" s="1610"/>
      <c r="QTY1036" s="1610"/>
      <c r="QTZ1036" s="1610"/>
      <c r="QUA1036" s="1610"/>
      <c r="QUB1036" s="1610"/>
      <c r="QUC1036" s="1610"/>
      <c r="QUD1036" s="1610"/>
      <c r="QUE1036" s="1610"/>
      <c r="QUF1036" s="1610"/>
      <c r="QUG1036" s="1610"/>
      <c r="QUH1036" s="1610"/>
      <c r="QUI1036" s="1610"/>
      <c r="QUJ1036" s="1610"/>
      <c r="QUK1036" s="1610"/>
      <c r="QUL1036" s="1610"/>
      <c r="QUM1036" s="1610"/>
      <c r="QUN1036" s="1610"/>
      <c r="QUO1036" s="1610"/>
      <c r="QUP1036" s="1610"/>
      <c r="QUQ1036" s="1610"/>
      <c r="QUR1036" s="1610"/>
      <c r="QUS1036" s="1610"/>
      <c r="QUT1036" s="1610"/>
      <c r="QUU1036" s="1610"/>
      <c r="QUV1036" s="1610"/>
      <c r="QUW1036" s="1610"/>
      <c r="QUX1036" s="1610"/>
      <c r="QUY1036" s="1610"/>
      <c r="QUZ1036" s="1610"/>
      <c r="QVA1036" s="1610"/>
      <c r="QVB1036" s="1610"/>
      <c r="QVC1036" s="1610"/>
      <c r="QVD1036" s="1610"/>
      <c r="QVE1036" s="1610"/>
      <c r="QVF1036" s="1610"/>
      <c r="QVG1036" s="1610"/>
      <c r="QVH1036" s="1610"/>
      <c r="QVI1036" s="1610"/>
      <c r="QVJ1036" s="1610"/>
      <c r="QVK1036" s="1610"/>
      <c r="QVL1036" s="1610"/>
      <c r="QVM1036" s="1610"/>
      <c r="QVN1036" s="1610"/>
      <c r="QVO1036" s="1610"/>
      <c r="QVP1036" s="1610"/>
      <c r="QVQ1036" s="1610"/>
      <c r="QVR1036" s="1610"/>
      <c r="QVS1036" s="1610"/>
      <c r="QVT1036" s="1610"/>
      <c r="QVU1036" s="1610"/>
      <c r="QVV1036" s="1610"/>
      <c r="QVW1036" s="1610"/>
      <c r="QVX1036" s="1610"/>
      <c r="QVY1036" s="1610"/>
      <c r="QVZ1036" s="1610"/>
      <c r="QWA1036" s="1610"/>
      <c r="QWB1036" s="1610"/>
      <c r="QWC1036" s="1610"/>
      <c r="QWD1036" s="1610"/>
      <c r="QWE1036" s="1610"/>
      <c r="QWF1036" s="1610"/>
      <c r="QWG1036" s="1610"/>
      <c r="QWH1036" s="1610"/>
      <c r="QWI1036" s="1610"/>
      <c r="QWJ1036" s="1610"/>
      <c r="QWK1036" s="1610"/>
      <c r="QWL1036" s="1610"/>
      <c r="QWM1036" s="1610"/>
      <c r="QWN1036" s="1610"/>
      <c r="QWO1036" s="1610"/>
      <c r="QWP1036" s="1610"/>
      <c r="QWQ1036" s="1610"/>
      <c r="QWR1036" s="1610"/>
      <c r="QWS1036" s="1610"/>
      <c r="QWT1036" s="1610"/>
      <c r="QWU1036" s="1610"/>
      <c r="QWV1036" s="1610"/>
      <c r="QWW1036" s="1610"/>
      <c r="QWX1036" s="1610"/>
      <c r="QWY1036" s="1610"/>
      <c r="QWZ1036" s="1610"/>
      <c r="QXA1036" s="1610"/>
      <c r="QXB1036" s="1610"/>
      <c r="QXC1036" s="1610"/>
      <c r="QXD1036" s="1610"/>
      <c r="QXE1036" s="1610"/>
      <c r="QXF1036" s="1610"/>
      <c r="QXG1036" s="1610"/>
      <c r="QXH1036" s="1610"/>
      <c r="QXI1036" s="1610"/>
      <c r="QXJ1036" s="1610"/>
      <c r="QXK1036" s="1610"/>
      <c r="QXL1036" s="1610"/>
      <c r="QXM1036" s="1610"/>
      <c r="QXN1036" s="1610"/>
      <c r="QXO1036" s="1610"/>
      <c r="QXP1036" s="1610"/>
      <c r="QXQ1036" s="1610"/>
      <c r="QXR1036" s="1610"/>
      <c r="QXS1036" s="1610"/>
      <c r="QXT1036" s="1610"/>
      <c r="QXU1036" s="1610"/>
      <c r="QXV1036" s="1610"/>
      <c r="QXW1036" s="1610"/>
      <c r="QXX1036" s="1610"/>
      <c r="QXY1036" s="1610"/>
      <c r="QXZ1036" s="1610"/>
      <c r="QYA1036" s="1610"/>
      <c r="QYB1036" s="1610"/>
      <c r="QYC1036" s="1610"/>
      <c r="QYD1036" s="1610"/>
      <c r="QYE1036" s="1610"/>
      <c r="QYF1036" s="1610"/>
      <c r="QYG1036" s="1610"/>
      <c r="QYH1036" s="1610"/>
      <c r="QYI1036" s="1610"/>
      <c r="QYJ1036" s="1610"/>
      <c r="QYK1036" s="1610"/>
      <c r="QYL1036" s="1610"/>
      <c r="QYM1036" s="1610"/>
      <c r="QYN1036" s="1610"/>
      <c r="QYO1036" s="1610"/>
      <c r="QYP1036" s="1610"/>
      <c r="QYQ1036" s="1610"/>
      <c r="QYR1036" s="1610"/>
      <c r="QYS1036" s="1610"/>
      <c r="QYT1036" s="1610"/>
      <c r="QYU1036" s="1610"/>
      <c r="QYV1036" s="1610"/>
      <c r="QYW1036" s="1610"/>
      <c r="QYX1036" s="1610"/>
      <c r="QYY1036" s="1610"/>
      <c r="QYZ1036" s="1610"/>
      <c r="QZA1036" s="1610"/>
      <c r="QZB1036" s="1610"/>
      <c r="QZC1036" s="1610"/>
      <c r="QZD1036" s="1610"/>
      <c r="QZE1036" s="1610"/>
      <c r="QZF1036" s="1610"/>
      <c r="QZG1036" s="1610"/>
      <c r="QZH1036" s="1610"/>
      <c r="QZI1036" s="1610"/>
      <c r="QZJ1036" s="1610"/>
      <c r="QZK1036" s="1610"/>
      <c r="QZL1036" s="1610"/>
      <c r="QZM1036" s="1610"/>
      <c r="QZN1036" s="1610"/>
      <c r="QZO1036" s="1610"/>
      <c r="QZP1036" s="1610"/>
      <c r="QZQ1036" s="1610"/>
      <c r="QZR1036" s="1610"/>
      <c r="QZS1036" s="1610"/>
      <c r="QZT1036" s="1610"/>
      <c r="QZU1036" s="1610"/>
      <c r="QZV1036" s="1610"/>
      <c r="QZW1036" s="1610"/>
      <c r="QZX1036" s="1610"/>
      <c r="QZY1036" s="1610"/>
      <c r="QZZ1036" s="1610"/>
      <c r="RAA1036" s="1610"/>
      <c r="RAB1036" s="1610"/>
      <c r="RAC1036" s="1610"/>
      <c r="RAD1036" s="1610"/>
      <c r="RAE1036" s="1610"/>
      <c r="RAF1036" s="1610"/>
      <c r="RAG1036" s="1610"/>
      <c r="RAH1036" s="1610"/>
      <c r="RAI1036" s="1610"/>
      <c r="RAJ1036" s="1610"/>
      <c r="RAK1036" s="1610"/>
      <c r="RAL1036" s="1610"/>
      <c r="RAM1036" s="1610"/>
      <c r="RAN1036" s="1610"/>
      <c r="RAO1036" s="1610"/>
      <c r="RAP1036" s="1610"/>
      <c r="RAQ1036" s="1610"/>
      <c r="RAR1036" s="1610"/>
      <c r="RAS1036" s="1610"/>
      <c r="RAT1036" s="1610"/>
      <c r="RAU1036" s="1610"/>
      <c r="RAV1036" s="1610"/>
      <c r="RAW1036" s="1610"/>
      <c r="RAX1036" s="1610"/>
      <c r="RAY1036" s="1610"/>
      <c r="RAZ1036" s="1610"/>
      <c r="RBA1036" s="1610"/>
      <c r="RBB1036" s="1610"/>
      <c r="RBC1036" s="1610"/>
      <c r="RBD1036" s="1610"/>
      <c r="RBE1036" s="1610"/>
      <c r="RBF1036" s="1610"/>
      <c r="RBG1036" s="1610"/>
      <c r="RBH1036" s="1610"/>
      <c r="RBI1036" s="1610"/>
      <c r="RBJ1036" s="1610"/>
      <c r="RBK1036" s="1610"/>
      <c r="RBL1036" s="1610"/>
      <c r="RBM1036" s="1610"/>
      <c r="RBN1036" s="1610"/>
      <c r="RBO1036" s="1610"/>
      <c r="RBP1036" s="1610"/>
      <c r="RBQ1036" s="1610"/>
      <c r="RBR1036" s="1610"/>
      <c r="RBS1036" s="1610"/>
      <c r="RBT1036" s="1610"/>
      <c r="RBU1036" s="1610"/>
      <c r="RBV1036" s="1610"/>
      <c r="RBW1036" s="1610"/>
      <c r="RBX1036" s="1610"/>
      <c r="RBY1036" s="1610"/>
      <c r="RBZ1036" s="1610"/>
      <c r="RCA1036" s="1610"/>
      <c r="RCB1036" s="1610"/>
      <c r="RCC1036" s="1610"/>
      <c r="RCD1036" s="1610"/>
      <c r="RCE1036" s="1610"/>
      <c r="RCF1036" s="1610"/>
      <c r="RCG1036" s="1610"/>
      <c r="RCH1036" s="1610"/>
      <c r="RCI1036" s="1610"/>
      <c r="RCJ1036" s="1610"/>
      <c r="RCK1036" s="1610"/>
      <c r="RCL1036" s="1610"/>
      <c r="RCM1036" s="1610"/>
      <c r="RCN1036" s="1610"/>
      <c r="RCO1036" s="1610"/>
      <c r="RCP1036" s="1610"/>
      <c r="RCQ1036" s="1610"/>
      <c r="RCR1036" s="1610"/>
      <c r="RCS1036" s="1610"/>
      <c r="RCT1036" s="1610"/>
      <c r="RCU1036" s="1610"/>
      <c r="RCV1036" s="1610"/>
      <c r="RCW1036" s="1610"/>
      <c r="RCX1036" s="1610"/>
      <c r="RCY1036" s="1610"/>
      <c r="RCZ1036" s="1610"/>
      <c r="RDA1036" s="1610"/>
      <c r="RDB1036" s="1610"/>
      <c r="RDC1036" s="1610"/>
      <c r="RDD1036" s="1610"/>
      <c r="RDE1036" s="1610"/>
      <c r="RDF1036" s="1610"/>
      <c r="RDG1036" s="1610"/>
      <c r="RDH1036" s="1610"/>
      <c r="RDI1036" s="1610"/>
      <c r="RDJ1036" s="1610"/>
      <c r="RDK1036" s="1610"/>
      <c r="RDL1036" s="1610"/>
      <c r="RDM1036" s="1610"/>
      <c r="RDN1036" s="1610"/>
      <c r="RDO1036" s="1610"/>
      <c r="RDP1036" s="1610"/>
      <c r="RDQ1036" s="1610"/>
      <c r="RDR1036" s="1610"/>
      <c r="RDS1036" s="1610"/>
      <c r="RDT1036" s="1610"/>
      <c r="RDU1036" s="1610"/>
      <c r="RDV1036" s="1610"/>
      <c r="RDW1036" s="1610"/>
      <c r="RDX1036" s="1610"/>
      <c r="RDY1036" s="1610"/>
      <c r="RDZ1036" s="1610"/>
      <c r="REA1036" s="1610"/>
      <c r="REB1036" s="1610"/>
      <c r="REC1036" s="1610"/>
      <c r="RED1036" s="1610"/>
      <c r="REE1036" s="1610"/>
      <c r="REF1036" s="1610"/>
      <c r="REG1036" s="1610"/>
      <c r="REH1036" s="1610"/>
      <c r="REI1036" s="1610"/>
      <c r="REJ1036" s="1610"/>
      <c r="REK1036" s="1610"/>
      <c r="REL1036" s="1610"/>
      <c r="REM1036" s="1610"/>
      <c r="REN1036" s="1610"/>
      <c r="REO1036" s="1610"/>
      <c r="REP1036" s="1610"/>
      <c r="REQ1036" s="1610"/>
      <c r="RER1036" s="1610"/>
      <c r="RES1036" s="1610"/>
      <c r="RET1036" s="1610"/>
      <c r="REU1036" s="1610"/>
      <c r="REV1036" s="1610"/>
      <c r="REW1036" s="1610"/>
      <c r="REX1036" s="1610"/>
      <c r="REY1036" s="1610"/>
      <c r="REZ1036" s="1610"/>
      <c r="RFA1036" s="1610"/>
      <c r="RFB1036" s="1610"/>
      <c r="RFC1036" s="1610"/>
      <c r="RFD1036" s="1610"/>
      <c r="RFE1036" s="1610"/>
      <c r="RFF1036" s="1610"/>
      <c r="RFG1036" s="1610"/>
      <c r="RFH1036" s="1610"/>
      <c r="RFI1036" s="1610"/>
      <c r="RFJ1036" s="1610"/>
      <c r="RFK1036" s="1610"/>
      <c r="RFL1036" s="1610"/>
      <c r="RFM1036" s="1610"/>
      <c r="RFN1036" s="1610"/>
      <c r="RFO1036" s="1610"/>
      <c r="RFP1036" s="1610"/>
      <c r="RFQ1036" s="1610"/>
      <c r="RFR1036" s="1610"/>
      <c r="RFS1036" s="1610"/>
      <c r="RFT1036" s="1610"/>
      <c r="RFU1036" s="1610"/>
      <c r="RFV1036" s="1610"/>
      <c r="RFW1036" s="1610"/>
      <c r="RFX1036" s="1610"/>
      <c r="RFY1036" s="1610"/>
      <c r="RFZ1036" s="1610"/>
      <c r="RGA1036" s="1610"/>
      <c r="RGB1036" s="1610"/>
      <c r="RGC1036" s="1610"/>
      <c r="RGD1036" s="1610"/>
      <c r="RGE1036" s="1610"/>
      <c r="RGF1036" s="1610"/>
      <c r="RGG1036" s="1610"/>
      <c r="RGH1036" s="1610"/>
      <c r="RGI1036" s="1610"/>
      <c r="RGJ1036" s="1610"/>
      <c r="RGK1036" s="1610"/>
      <c r="RGL1036" s="1610"/>
      <c r="RGM1036" s="1610"/>
      <c r="RGN1036" s="1610"/>
      <c r="RGO1036" s="1610"/>
      <c r="RGP1036" s="1610"/>
      <c r="RGQ1036" s="1610"/>
      <c r="RGR1036" s="1610"/>
      <c r="RGS1036" s="1610"/>
      <c r="RGT1036" s="1610"/>
      <c r="RGU1036" s="1610"/>
      <c r="RGV1036" s="1610"/>
      <c r="RGW1036" s="1610"/>
      <c r="RGX1036" s="1610"/>
      <c r="RGY1036" s="1610"/>
      <c r="RGZ1036" s="1610"/>
      <c r="RHA1036" s="1610"/>
      <c r="RHB1036" s="1610"/>
      <c r="RHC1036" s="1610"/>
      <c r="RHD1036" s="1610"/>
      <c r="RHE1036" s="1610"/>
      <c r="RHF1036" s="1610"/>
      <c r="RHG1036" s="1610"/>
      <c r="RHH1036" s="1610"/>
      <c r="RHI1036" s="1610"/>
      <c r="RHJ1036" s="1610"/>
      <c r="RHK1036" s="1610"/>
      <c r="RHL1036" s="1610"/>
      <c r="RHM1036" s="1610"/>
      <c r="RHN1036" s="1610"/>
      <c r="RHO1036" s="1610"/>
      <c r="RHP1036" s="1610"/>
      <c r="RHQ1036" s="1610"/>
      <c r="RHR1036" s="1610"/>
      <c r="RHS1036" s="1610"/>
      <c r="RHT1036" s="1610"/>
      <c r="RHU1036" s="1610"/>
      <c r="RHV1036" s="1610"/>
      <c r="RHW1036" s="1610"/>
      <c r="RHX1036" s="1610"/>
      <c r="RHY1036" s="1610"/>
      <c r="RHZ1036" s="1610"/>
      <c r="RIA1036" s="1610"/>
      <c r="RIB1036" s="1610"/>
      <c r="RIC1036" s="1610"/>
      <c r="RID1036" s="1610"/>
      <c r="RIE1036" s="1610"/>
      <c r="RIF1036" s="1610"/>
      <c r="RIG1036" s="1610"/>
      <c r="RIH1036" s="1610"/>
      <c r="RII1036" s="1610"/>
      <c r="RIJ1036" s="1610"/>
      <c r="RIK1036" s="1610"/>
      <c r="RIL1036" s="1610"/>
      <c r="RIM1036" s="1610"/>
      <c r="RIN1036" s="1610"/>
      <c r="RIO1036" s="1610"/>
      <c r="RIP1036" s="1610"/>
      <c r="RIQ1036" s="1610"/>
      <c r="RIR1036" s="1610"/>
      <c r="RIS1036" s="1610"/>
      <c r="RIT1036" s="1610"/>
      <c r="RIU1036" s="1610"/>
      <c r="RIV1036" s="1610"/>
      <c r="RIW1036" s="1610"/>
      <c r="RIX1036" s="1610"/>
      <c r="RIY1036" s="1610"/>
      <c r="RIZ1036" s="1610"/>
      <c r="RJA1036" s="1610"/>
      <c r="RJB1036" s="1610"/>
      <c r="RJC1036" s="1610"/>
      <c r="RJD1036" s="1610"/>
      <c r="RJE1036" s="1610"/>
      <c r="RJF1036" s="1610"/>
      <c r="RJG1036" s="1610"/>
      <c r="RJH1036" s="1610"/>
      <c r="RJI1036" s="1610"/>
      <c r="RJJ1036" s="1610"/>
      <c r="RJK1036" s="1610"/>
      <c r="RJL1036" s="1610"/>
      <c r="RJM1036" s="1610"/>
      <c r="RJN1036" s="1610"/>
      <c r="RJO1036" s="1610"/>
      <c r="RJP1036" s="1610"/>
      <c r="RJQ1036" s="1610"/>
      <c r="RJR1036" s="1610"/>
      <c r="RJS1036" s="1610"/>
      <c r="RJT1036" s="1610"/>
      <c r="RJU1036" s="1610"/>
      <c r="RJV1036" s="1610"/>
      <c r="RJW1036" s="1610"/>
      <c r="RJX1036" s="1610"/>
      <c r="RJY1036" s="1610"/>
      <c r="RJZ1036" s="1610"/>
      <c r="RKA1036" s="1610"/>
      <c r="RKB1036" s="1610"/>
      <c r="RKC1036" s="1610"/>
      <c r="RKD1036" s="1610"/>
      <c r="RKE1036" s="1610"/>
      <c r="RKF1036" s="1610"/>
      <c r="RKG1036" s="1610"/>
      <c r="RKH1036" s="1610"/>
      <c r="RKI1036" s="1610"/>
      <c r="RKJ1036" s="1610"/>
      <c r="RKK1036" s="1610"/>
      <c r="RKL1036" s="1610"/>
      <c r="RKM1036" s="1610"/>
      <c r="RKN1036" s="1610"/>
      <c r="RKO1036" s="1610"/>
      <c r="RKP1036" s="1610"/>
      <c r="RKQ1036" s="1610"/>
      <c r="RKR1036" s="1610"/>
      <c r="RKS1036" s="1610"/>
      <c r="RKT1036" s="1610"/>
      <c r="RKU1036" s="1610"/>
      <c r="RKV1036" s="1610"/>
      <c r="RKW1036" s="1610"/>
      <c r="RKX1036" s="1610"/>
      <c r="RKY1036" s="1610"/>
      <c r="RKZ1036" s="1610"/>
      <c r="RLA1036" s="1610"/>
      <c r="RLB1036" s="1610"/>
      <c r="RLC1036" s="1610"/>
      <c r="RLD1036" s="1610"/>
      <c r="RLE1036" s="1610"/>
      <c r="RLF1036" s="1610"/>
      <c r="RLG1036" s="1610"/>
      <c r="RLH1036" s="1610"/>
      <c r="RLI1036" s="1610"/>
      <c r="RLJ1036" s="1610"/>
      <c r="RLK1036" s="1610"/>
      <c r="RLL1036" s="1610"/>
      <c r="RLM1036" s="1610"/>
      <c r="RLN1036" s="1610"/>
      <c r="RLO1036" s="1610"/>
      <c r="RLP1036" s="1610"/>
      <c r="RLQ1036" s="1610"/>
      <c r="RLR1036" s="1610"/>
      <c r="RLS1036" s="1610"/>
      <c r="RLT1036" s="1610"/>
      <c r="RLU1036" s="1610"/>
      <c r="RLV1036" s="1610"/>
      <c r="RLW1036" s="1610"/>
      <c r="RLX1036" s="1610"/>
      <c r="RLY1036" s="1610"/>
      <c r="RLZ1036" s="1610"/>
      <c r="RMA1036" s="1610"/>
      <c r="RMB1036" s="1610"/>
      <c r="RMC1036" s="1610"/>
      <c r="RMD1036" s="1610"/>
      <c r="RME1036" s="1610"/>
      <c r="RMF1036" s="1610"/>
      <c r="RMG1036" s="1610"/>
      <c r="RMH1036" s="1610"/>
      <c r="RMI1036" s="1610"/>
      <c r="RMJ1036" s="1610"/>
      <c r="RMK1036" s="1610"/>
      <c r="RML1036" s="1610"/>
      <c r="RMM1036" s="1610"/>
      <c r="RMN1036" s="1610"/>
      <c r="RMO1036" s="1610"/>
      <c r="RMP1036" s="1610"/>
      <c r="RMQ1036" s="1610"/>
      <c r="RMR1036" s="1610"/>
      <c r="RMS1036" s="1610"/>
      <c r="RMT1036" s="1610"/>
      <c r="RMU1036" s="1610"/>
      <c r="RMV1036" s="1610"/>
      <c r="RMW1036" s="1610"/>
      <c r="RMX1036" s="1610"/>
      <c r="RMY1036" s="1610"/>
      <c r="RMZ1036" s="1610"/>
      <c r="RNA1036" s="1610"/>
      <c r="RNB1036" s="1610"/>
      <c r="RNC1036" s="1610"/>
      <c r="RND1036" s="1610"/>
      <c r="RNE1036" s="1610"/>
      <c r="RNF1036" s="1610"/>
      <c r="RNG1036" s="1610"/>
      <c r="RNH1036" s="1610"/>
      <c r="RNI1036" s="1610"/>
      <c r="RNJ1036" s="1610"/>
      <c r="RNK1036" s="1610"/>
      <c r="RNL1036" s="1610"/>
      <c r="RNM1036" s="1610"/>
      <c r="RNN1036" s="1610"/>
      <c r="RNO1036" s="1610"/>
      <c r="RNP1036" s="1610"/>
      <c r="RNQ1036" s="1610"/>
      <c r="RNR1036" s="1610"/>
      <c r="RNS1036" s="1610"/>
      <c r="RNT1036" s="1610"/>
      <c r="RNU1036" s="1610"/>
      <c r="RNV1036" s="1610"/>
      <c r="RNW1036" s="1610"/>
      <c r="RNX1036" s="1610"/>
      <c r="RNY1036" s="1610"/>
      <c r="RNZ1036" s="1610"/>
      <c r="ROA1036" s="1610"/>
      <c r="ROB1036" s="1610"/>
      <c r="ROC1036" s="1610"/>
      <c r="ROD1036" s="1610"/>
      <c r="ROE1036" s="1610"/>
      <c r="ROF1036" s="1610"/>
      <c r="ROG1036" s="1610"/>
      <c r="ROH1036" s="1610"/>
      <c r="ROI1036" s="1610"/>
      <c r="ROJ1036" s="1610"/>
      <c r="ROK1036" s="1610"/>
      <c r="ROL1036" s="1610"/>
      <c r="ROM1036" s="1610"/>
      <c r="RON1036" s="1610"/>
      <c r="ROO1036" s="1610"/>
      <c r="ROP1036" s="1610"/>
      <c r="ROQ1036" s="1610"/>
      <c r="ROR1036" s="1610"/>
      <c r="ROS1036" s="1610"/>
      <c r="ROT1036" s="1610"/>
      <c r="ROU1036" s="1610"/>
      <c r="ROV1036" s="1610"/>
      <c r="ROW1036" s="1610"/>
      <c r="ROX1036" s="1610"/>
      <c r="ROY1036" s="1610"/>
      <c r="ROZ1036" s="1610"/>
      <c r="RPA1036" s="1610"/>
      <c r="RPB1036" s="1610"/>
      <c r="RPC1036" s="1610"/>
      <c r="RPD1036" s="1610"/>
      <c r="RPE1036" s="1610"/>
      <c r="RPF1036" s="1610"/>
      <c r="RPG1036" s="1610"/>
      <c r="RPH1036" s="1610"/>
      <c r="RPI1036" s="1610"/>
      <c r="RPJ1036" s="1610"/>
      <c r="RPK1036" s="1610"/>
      <c r="RPL1036" s="1610"/>
      <c r="RPM1036" s="1610"/>
      <c r="RPN1036" s="1610"/>
      <c r="RPO1036" s="1610"/>
      <c r="RPP1036" s="1610"/>
      <c r="RPQ1036" s="1610"/>
      <c r="RPR1036" s="1610"/>
      <c r="RPS1036" s="1610"/>
      <c r="RPT1036" s="1610"/>
      <c r="RPU1036" s="1610"/>
      <c r="RPV1036" s="1610"/>
      <c r="RPW1036" s="1610"/>
      <c r="RPX1036" s="1610"/>
      <c r="RPY1036" s="1610"/>
      <c r="RPZ1036" s="1610"/>
      <c r="RQA1036" s="1610"/>
      <c r="RQB1036" s="1610"/>
      <c r="RQC1036" s="1610"/>
      <c r="RQD1036" s="1610"/>
      <c r="RQE1036" s="1610"/>
      <c r="RQF1036" s="1610"/>
      <c r="RQG1036" s="1610"/>
      <c r="RQH1036" s="1610"/>
      <c r="RQI1036" s="1610"/>
      <c r="RQJ1036" s="1610"/>
      <c r="RQK1036" s="1610"/>
      <c r="RQL1036" s="1610"/>
      <c r="RQM1036" s="1610"/>
      <c r="RQN1036" s="1610"/>
      <c r="RQO1036" s="1610"/>
      <c r="RQP1036" s="1610"/>
      <c r="RQQ1036" s="1610"/>
      <c r="RQR1036" s="1610"/>
      <c r="RQS1036" s="1610"/>
      <c r="RQT1036" s="1610"/>
      <c r="RQU1036" s="1610"/>
      <c r="RQV1036" s="1610"/>
      <c r="RQW1036" s="1610"/>
      <c r="RQX1036" s="1610"/>
      <c r="RQY1036" s="1610"/>
      <c r="RQZ1036" s="1610"/>
      <c r="RRA1036" s="1610"/>
      <c r="RRB1036" s="1610"/>
      <c r="RRC1036" s="1610"/>
      <c r="RRD1036" s="1610"/>
      <c r="RRE1036" s="1610"/>
      <c r="RRF1036" s="1610"/>
      <c r="RRG1036" s="1610"/>
      <c r="RRH1036" s="1610"/>
      <c r="RRI1036" s="1610"/>
      <c r="RRJ1036" s="1610"/>
      <c r="RRK1036" s="1610"/>
      <c r="RRL1036" s="1610"/>
      <c r="RRM1036" s="1610"/>
      <c r="RRN1036" s="1610"/>
      <c r="RRO1036" s="1610"/>
      <c r="RRP1036" s="1610"/>
      <c r="RRQ1036" s="1610"/>
      <c r="RRR1036" s="1610"/>
      <c r="RRS1036" s="1610"/>
      <c r="RRT1036" s="1610"/>
      <c r="RRU1036" s="1610"/>
      <c r="RRV1036" s="1610"/>
      <c r="RRW1036" s="1610"/>
      <c r="RRX1036" s="1610"/>
      <c r="RRY1036" s="1610"/>
      <c r="RRZ1036" s="1610"/>
      <c r="RSA1036" s="1610"/>
      <c r="RSB1036" s="1610"/>
      <c r="RSC1036" s="1610"/>
      <c r="RSD1036" s="1610"/>
      <c r="RSE1036" s="1610"/>
      <c r="RSF1036" s="1610"/>
      <c r="RSG1036" s="1610"/>
      <c r="RSH1036" s="1610"/>
      <c r="RSI1036" s="1610"/>
      <c r="RSJ1036" s="1610"/>
      <c r="RSK1036" s="1610"/>
      <c r="RSL1036" s="1610"/>
      <c r="RSM1036" s="1610"/>
      <c r="RSN1036" s="1610"/>
      <c r="RSO1036" s="1610"/>
      <c r="RSP1036" s="1610"/>
      <c r="RSQ1036" s="1610"/>
      <c r="RSR1036" s="1610"/>
      <c r="RSS1036" s="1610"/>
      <c r="RST1036" s="1610"/>
      <c r="RSU1036" s="1610"/>
      <c r="RSV1036" s="1610"/>
      <c r="RSW1036" s="1610"/>
      <c r="RSX1036" s="1610"/>
      <c r="RSY1036" s="1610"/>
      <c r="RSZ1036" s="1610"/>
      <c r="RTA1036" s="1610"/>
      <c r="RTB1036" s="1610"/>
      <c r="RTC1036" s="1610"/>
      <c r="RTD1036" s="1610"/>
      <c r="RTE1036" s="1610"/>
      <c r="RTF1036" s="1610"/>
      <c r="RTG1036" s="1610"/>
      <c r="RTH1036" s="1610"/>
      <c r="RTI1036" s="1610"/>
      <c r="RTJ1036" s="1610"/>
      <c r="RTK1036" s="1610"/>
      <c r="RTL1036" s="1610"/>
      <c r="RTM1036" s="1610"/>
      <c r="RTN1036" s="1610"/>
      <c r="RTO1036" s="1610"/>
      <c r="RTP1036" s="1610"/>
      <c r="RTQ1036" s="1610"/>
      <c r="RTR1036" s="1610"/>
      <c r="RTS1036" s="1610"/>
      <c r="RTT1036" s="1610"/>
      <c r="RTU1036" s="1610"/>
      <c r="RTV1036" s="1610"/>
      <c r="RTW1036" s="1610"/>
      <c r="RTX1036" s="1610"/>
      <c r="RTY1036" s="1610"/>
      <c r="RTZ1036" s="1610"/>
      <c r="RUA1036" s="1610"/>
      <c r="RUB1036" s="1610"/>
      <c r="RUC1036" s="1610"/>
      <c r="RUD1036" s="1610"/>
      <c r="RUE1036" s="1610"/>
      <c r="RUF1036" s="1610"/>
      <c r="RUG1036" s="1610"/>
      <c r="RUH1036" s="1610"/>
      <c r="RUI1036" s="1610"/>
      <c r="RUJ1036" s="1610"/>
      <c r="RUK1036" s="1610"/>
      <c r="RUL1036" s="1610"/>
      <c r="RUM1036" s="1610"/>
      <c r="RUN1036" s="1610"/>
      <c r="RUO1036" s="1610"/>
      <c r="RUP1036" s="1610"/>
      <c r="RUQ1036" s="1610"/>
      <c r="RUR1036" s="1610"/>
      <c r="RUS1036" s="1610"/>
      <c r="RUT1036" s="1610"/>
      <c r="RUU1036" s="1610"/>
      <c r="RUV1036" s="1610"/>
      <c r="RUW1036" s="1610"/>
      <c r="RUX1036" s="1610"/>
      <c r="RUY1036" s="1610"/>
      <c r="RUZ1036" s="1610"/>
      <c r="RVA1036" s="1610"/>
      <c r="RVB1036" s="1610"/>
      <c r="RVC1036" s="1610"/>
      <c r="RVD1036" s="1610"/>
      <c r="RVE1036" s="1610"/>
      <c r="RVF1036" s="1610"/>
      <c r="RVG1036" s="1610"/>
      <c r="RVH1036" s="1610"/>
      <c r="RVI1036" s="1610"/>
      <c r="RVJ1036" s="1610"/>
      <c r="RVK1036" s="1610"/>
      <c r="RVL1036" s="1610"/>
      <c r="RVM1036" s="1610"/>
      <c r="RVN1036" s="1610"/>
      <c r="RVO1036" s="1610"/>
      <c r="RVP1036" s="1610"/>
      <c r="RVQ1036" s="1610"/>
      <c r="RVR1036" s="1610"/>
      <c r="RVS1036" s="1610"/>
      <c r="RVT1036" s="1610"/>
      <c r="RVU1036" s="1610"/>
      <c r="RVV1036" s="1610"/>
      <c r="RVW1036" s="1610"/>
      <c r="RVX1036" s="1610"/>
      <c r="RVY1036" s="1610"/>
      <c r="RVZ1036" s="1610"/>
      <c r="RWA1036" s="1610"/>
      <c r="RWB1036" s="1610"/>
      <c r="RWC1036" s="1610"/>
      <c r="RWD1036" s="1610"/>
      <c r="RWE1036" s="1610"/>
      <c r="RWF1036" s="1610"/>
      <c r="RWG1036" s="1610"/>
      <c r="RWH1036" s="1610"/>
      <c r="RWI1036" s="1610"/>
      <c r="RWJ1036" s="1610"/>
      <c r="RWK1036" s="1610"/>
      <c r="RWL1036" s="1610"/>
      <c r="RWM1036" s="1610"/>
      <c r="RWN1036" s="1610"/>
      <c r="RWO1036" s="1610"/>
      <c r="RWP1036" s="1610"/>
      <c r="RWQ1036" s="1610"/>
      <c r="RWR1036" s="1610"/>
      <c r="RWS1036" s="1610"/>
      <c r="RWT1036" s="1610"/>
      <c r="RWU1036" s="1610"/>
      <c r="RWV1036" s="1610"/>
      <c r="RWW1036" s="1610"/>
      <c r="RWX1036" s="1610"/>
      <c r="RWY1036" s="1610"/>
      <c r="RWZ1036" s="1610"/>
      <c r="RXA1036" s="1610"/>
      <c r="RXB1036" s="1610"/>
      <c r="RXC1036" s="1610"/>
      <c r="RXD1036" s="1610"/>
      <c r="RXE1036" s="1610"/>
      <c r="RXF1036" s="1610"/>
      <c r="RXG1036" s="1610"/>
      <c r="RXH1036" s="1610"/>
      <c r="RXI1036" s="1610"/>
      <c r="RXJ1036" s="1610"/>
      <c r="RXK1036" s="1610"/>
      <c r="RXL1036" s="1610"/>
      <c r="RXM1036" s="1610"/>
      <c r="RXN1036" s="1610"/>
      <c r="RXO1036" s="1610"/>
      <c r="RXP1036" s="1610"/>
      <c r="RXQ1036" s="1610"/>
      <c r="RXR1036" s="1610"/>
      <c r="RXS1036" s="1610"/>
      <c r="RXT1036" s="1610"/>
      <c r="RXU1036" s="1610"/>
      <c r="RXV1036" s="1610"/>
      <c r="RXW1036" s="1610"/>
      <c r="RXX1036" s="1610"/>
      <c r="RXY1036" s="1610"/>
      <c r="RXZ1036" s="1610"/>
      <c r="RYA1036" s="1610"/>
      <c r="RYB1036" s="1610"/>
      <c r="RYC1036" s="1610"/>
      <c r="RYD1036" s="1610"/>
      <c r="RYE1036" s="1610"/>
      <c r="RYF1036" s="1610"/>
      <c r="RYG1036" s="1610"/>
      <c r="RYH1036" s="1610"/>
      <c r="RYI1036" s="1610"/>
      <c r="RYJ1036" s="1610"/>
      <c r="RYK1036" s="1610"/>
      <c r="RYL1036" s="1610"/>
      <c r="RYM1036" s="1610"/>
      <c r="RYN1036" s="1610"/>
      <c r="RYO1036" s="1610"/>
      <c r="RYP1036" s="1610"/>
      <c r="RYQ1036" s="1610"/>
      <c r="RYR1036" s="1610"/>
      <c r="RYS1036" s="1610"/>
      <c r="RYT1036" s="1610"/>
      <c r="RYU1036" s="1610"/>
      <c r="RYV1036" s="1610"/>
      <c r="RYW1036" s="1610"/>
      <c r="RYX1036" s="1610"/>
      <c r="RYY1036" s="1610"/>
      <c r="RYZ1036" s="1610"/>
      <c r="RZA1036" s="1610"/>
      <c r="RZB1036" s="1610"/>
      <c r="RZC1036" s="1610"/>
      <c r="RZD1036" s="1610"/>
      <c r="RZE1036" s="1610"/>
      <c r="RZF1036" s="1610"/>
      <c r="RZG1036" s="1610"/>
      <c r="RZH1036" s="1610"/>
      <c r="RZI1036" s="1610"/>
      <c r="RZJ1036" s="1610"/>
      <c r="RZK1036" s="1610"/>
      <c r="RZL1036" s="1610"/>
      <c r="RZM1036" s="1610"/>
      <c r="RZN1036" s="1610"/>
      <c r="RZO1036" s="1610"/>
      <c r="RZP1036" s="1610"/>
      <c r="RZQ1036" s="1610"/>
      <c r="RZR1036" s="1610"/>
      <c r="RZS1036" s="1610"/>
      <c r="RZT1036" s="1610"/>
      <c r="RZU1036" s="1610"/>
      <c r="RZV1036" s="1610"/>
      <c r="RZW1036" s="1610"/>
      <c r="RZX1036" s="1610"/>
      <c r="RZY1036" s="1610"/>
      <c r="RZZ1036" s="1610"/>
      <c r="SAA1036" s="1610"/>
      <c r="SAB1036" s="1610"/>
      <c r="SAC1036" s="1610"/>
      <c r="SAD1036" s="1610"/>
      <c r="SAE1036" s="1610"/>
      <c r="SAF1036" s="1610"/>
      <c r="SAG1036" s="1610"/>
      <c r="SAH1036" s="1610"/>
      <c r="SAI1036" s="1610"/>
      <c r="SAJ1036" s="1610"/>
      <c r="SAK1036" s="1610"/>
      <c r="SAL1036" s="1610"/>
      <c r="SAM1036" s="1610"/>
      <c r="SAN1036" s="1610"/>
      <c r="SAO1036" s="1610"/>
      <c r="SAP1036" s="1610"/>
      <c r="SAQ1036" s="1610"/>
      <c r="SAR1036" s="1610"/>
      <c r="SAS1036" s="1610"/>
      <c r="SAT1036" s="1610"/>
      <c r="SAU1036" s="1610"/>
      <c r="SAV1036" s="1610"/>
      <c r="SAW1036" s="1610"/>
      <c r="SAX1036" s="1610"/>
      <c r="SAY1036" s="1610"/>
      <c r="SAZ1036" s="1610"/>
      <c r="SBA1036" s="1610"/>
      <c r="SBB1036" s="1610"/>
      <c r="SBC1036" s="1610"/>
      <c r="SBD1036" s="1610"/>
      <c r="SBE1036" s="1610"/>
      <c r="SBF1036" s="1610"/>
      <c r="SBG1036" s="1610"/>
      <c r="SBH1036" s="1610"/>
      <c r="SBI1036" s="1610"/>
      <c r="SBJ1036" s="1610"/>
      <c r="SBK1036" s="1610"/>
      <c r="SBL1036" s="1610"/>
      <c r="SBM1036" s="1610"/>
      <c r="SBN1036" s="1610"/>
      <c r="SBO1036" s="1610"/>
      <c r="SBP1036" s="1610"/>
      <c r="SBQ1036" s="1610"/>
      <c r="SBR1036" s="1610"/>
      <c r="SBS1036" s="1610"/>
      <c r="SBT1036" s="1610"/>
      <c r="SBU1036" s="1610"/>
      <c r="SBV1036" s="1610"/>
      <c r="SBW1036" s="1610"/>
      <c r="SBX1036" s="1610"/>
      <c r="SBY1036" s="1610"/>
      <c r="SBZ1036" s="1610"/>
      <c r="SCA1036" s="1610"/>
      <c r="SCB1036" s="1610"/>
      <c r="SCC1036" s="1610"/>
      <c r="SCD1036" s="1610"/>
      <c r="SCE1036" s="1610"/>
      <c r="SCF1036" s="1610"/>
      <c r="SCG1036" s="1610"/>
      <c r="SCH1036" s="1610"/>
      <c r="SCI1036" s="1610"/>
      <c r="SCJ1036" s="1610"/>
      <c r="SCK1036" s="1610"/>
      <c r="SCL1036" s="1610"/>
      <c r="SCM1036" s="1610"/>
      <c r="SCN1036" s="1610"/>
      <c r="SCO1036" s="1610"/>
      <c r="SCP1036" s="1610"/>
      <c r="SCQ1036" s="1610"/>
      <c r="SCR1036" s="1610"/>
      <c r="SCS1036" s="1610"/>
      <c r="SCT1036" s="1610"/>
      <c r="SCU1036" s="1610"/>
      <c r="SCV1036" s="1610"/>
      <c r="SCW1036" s="1610"/>
      <c r="SCX1036" s="1610"/>
      <c r="SCY1036" s="1610"/>
      <c r="SCZ1036" s="1610"/>
      <c r="SDA1036" s="1610"/>
      <c r="SDB1036" s="1610"/>
      <c r="SDC1036" s="1610"/>
      <c r="SDD1036" s="1610"/>
      <c r="SDE1036" s="1610"/>
      <c r="SDF1036" s="1610"/>
      <c r="SDG1036" s="1610"/>
      <c r="SDH1036" s="1610"/>
      <c r="SDI1036" s="1610"/>
      <c r="SDJ1036" s="1610"/>
      <c r="SDK1036" s="1610"/>
      <c r="SDL1036" s="1610"/>
      <c r="SDM1036" s="1610"/>
      <c r="SDN1036" s="1610"/>
      <c r="SDO1036" s="1610"/>
      <c r="SDP1036" s="1610"/>
      <c r="SDQ1036" s="1610"/>
      <c r="SDR1036" s="1610"/>
      <c r="SDS1036" s="1610"/>
      <c r="SDT1036" s="1610"/>
      <c r="SDU1036" s="1610"/>
      <c r="SDV1036" s="1610"/>
      <c r="SDW1036" s="1610"/>
      <c r="SDX1036" s="1610"/>
      <c r="SDY1036" s="1610"/>
      <c r="SDZ1036" s="1610"/>
      <c r="SEA1036" s="1610"/>
      <c r="SEB1036" s="1610"/>
      <c r="SEC1036" s="1610"/>
      <c r="SED1036" s="1610"/>
      <c r="SEE1036" s="1610"/>
      <c r="SEF1036" s="1610"/>
      <c r="SEG1036" s="1610"/>
      <c r="SEH1036" s="1610"/>
      <c r="SEI1036" s="1610"/>
      <c r="SEJ1036" s="1610"/>
      <c r="SEK1036" s="1610"/>
      <c r="SEL1036" s="1610"/>
      <c r="SEM1036" s="1610"/>
      <c r="SEN1036" s="1610"/>
      <c r="SEO1036" s="1610"/>
      <c r="SEP1036" s="1610"/>
      <c r="SEQ1036" s="1610"/>
      <c r="SER1036" s="1610"/>
      <c r="SES1036" s="1610"/>
      <c r="SET1036" s="1610"/>
      <c r="SEU1036" s="1610"/>
      <c r="SEV1036" s="1610"/>
      <c r="SEW1036" s="1610"/>
      <c r="SEX1036" s="1610"/>
      <c r="SEY1036" s="1610"/>
      <c r="SEZ1036" s="1610"/>
      <c r="SFA1036" s="1610"/>
      <c r="SFB1036" s="1610"/>
      <c r="SFC1036" s="1610"/>
      <c r="SFD1036" s="1610"/>
      <c r="SFE1036" s="1610"/>
      <c r="SFF1036" s="1610"/>
      <c r="SFG1036" s="1610"/>
      <c r="SFH1036" s="1610"/>
      <c r="SFI1036" s="1610"/>
      <c r="SFJ1036" s="1610"/>
      <c r="SFK1036" s="1610"/>
      <c r="SFL1036" s="1610"/>
      <c r="SFM1036" s="1610"/>
      <c r="SFN1036" s="1610"/>
      <c r="SFO1036" s="1610"/>
      <c r="SFP1036" s="1610"/>
      <c r="SFQ1036" s="1610"/>
      <c r="SFR1036" s="1610"/>
      <c r="SFS1036" s="1610"/>
      <c r="SFT1036" s="1610"/>
      <c r="SFU1036" s="1610"/>
      <c r="SFV1036" s="1610"/>
      <c r="SFW1036" s="1610"/>
      <c r="SFX1036" s="1610"/>
      <c r="SFY1036" s="1610"/>
      <c r="SFZ1036" s="1610"/>
      <c r="SGA1036" s="1610"/>
      <c r="SGB1036" s="1610"/>
      <c r="SGC1036" s="1610"/>
      <c r="SGD1036" s="1610"/>
      <c r="SGE1036" s="1610"/>
      <c r="SGF1036" s="1610"/>
      <c r="SGG1036" s="1610"/>
      <c r="SGH1036" s="1610"/>
      <c r="SGI1036" s="1610"/>
      <c r="SGJ1036" s="1610"/>
      <c r="SGK1036" s="1610"/>
      <c r="SGL1036" s="1610"/>
      <c r="SGM1036" s="1610"/>
      <c r="SGN1036" s="1610"/>
      <c r="SGO1036" s="1610"/>
      <c r="SGP1036" s="1610"/>
      <c r="SGQ1036" s="1610"/>
      <c r="SGR1036" s="1610"/>
      <c r="SGS1036" s="1610"/>
      <c r="SGT1036" s="1610"/>
      <c r="SGU1036" s="1610"/>
      <c r="SGV1036" s="1610"/>
      <c r="SGW1036" s="1610"/>
      <c r="SGX1036" s="1610"/>
      <c r="SGY1036" s="1610"/>
      <c r="SGZ1036" s="1610"/>
      <c r="SHA1036" s="1610"/>
      <c r="SHB1036" s="1610"/>
      <c r="SHC1036" s="1610"/>
      <c r="SHD1036" s="1610"/>
      <c r="SHE1036" s="1610"/>
      <c r="SHF1036" s="1610"/>
      <c r="SHG1036" s="1610"/>
      <c r="SHH1036" s="1610"/>
      <c r="SHI1036" s="1610"/>
      <c r="SHJ1036" s="1610"/>
      <c r="SHK1036" s="1610"/>
      <c r="SHL1036" s="1610"/>
      <c r="SHM1036" s="1610"/>
      <c r="SHN1036" s="1610"/>
      <c r="SHO1036" s="1610"/>
      <c r="SHP1036" s="1610"/>
      <c r="SHQ1036" s="1610"/>
      <c r="SHR1036" s="1610"/>
      <c r="SHS1036" s="1610"/>
      <c r="SHT1036" s="1610"/>
      <c r="SHU1036" s="1610"/>
      <c r="SHV1036" s="1610"/>
      <c r="SHW1036" s="1610"/>
      <c r="SHX1036" s="1610"/>
      <c r="SHY1036" s="1610"/>
      <c r="SHZ1036" s="1610"/>
      <c r="SIA1036" s="1610"/>
      <c r="SIB1036" s="1610"/>
      <c r="SIC1036" s="1610"/>
      <c r="SID1036" s="1610"/>
      <c r="SIE1036" s="1610"/>
      <c r="SIF1036" s="1610"/>
      <c r="SIG1036" s="1610"/>
      <c r="SIH1036" s="1610"/>
      <c r="SII1036" s="1610"/>
      <c r="SIJ1036" s="1610"/>
      <c r="SIK1036" s="1610"/>
      <c r="SIL1036" s="1610"/>
      <c r="SIM1036" s="1610"/>
      <c r="SIN1036" s="1610"/>
      <c r="SIO1036" s="1610"/>
      <c r="SIP1036" s="1610"/>
      <c r="SIQ1036" s="1610"/>
      <c r="SIR1036" s="1610"/>
      <c r="SIS1036" s="1610"/>
      <c r="SIT1036" s="1610"/>
      <c r="SIU1036" s="1610"/>
      <c r="SIV1036" s="1610"/>
      <c r="SIW1036" s="1610"/>
      <c r="SIX1036" s="1610"/>
      <c r="SIY1036" s="1610"/>
      <c r="SIZ1036" s="1610"/>
      <c r="SJA1036" s="1610"/>
      <c r="SJB1036" s="1610"/>
      <c r="SJC1036" s="1610"/>
      <c r="SJD1036" s="1610"/>
      <c r="SJE1036" s="1610"/>
      <c r="SJF1036" s="1610"/>
      <c r="SJG1036" s="1610"/>
      <c r="SJH1036" s="1610"/>
      <c r="SJI1036" s="1610"/>
      <c r="SJJ1036" s="1610"/>
      <c r="SJK1036" s="1610"/>
      <c r="SJL1036" s="1610"/>
      <c r="SJM1036" s="1610"/>
      <c r="SJN1036" s="1610"/>
      <c r="SJO1036" s="1610"/>
      <c r="SJP1036" s="1610"/>
      <c r="SJQ1036" s="1610"/>
      <c r="SJR1036" s="1610"/>
      <c r="SJS1036" s="1610"/>
      <c r="SJT1036" s="1610"/>
      <c r="SJU1036" s="1610"/>
      <c r="SJV1036" s="1610"/>
      <c r="SJW1036" s="1610"/>
      <c r="SJX1036" s="1610"/>
      <c r="SJY1036" s="1610"/>
      <c r="SJZ1036" s="1610"/>
      <c r="SKA1036" s="1610"/>
      <c r="SKB1036" s="1610"/>
      <c r="SKC1036" s="1610"/>
      <c r="SKD1036" s="1610"/>
      <c r="SKE1036" s="1610"/>
      <c r="SKF1036" s="1610"/>
      <c r="SKG1036" s="1610"/>
      <c r="SKH1036" s="1610"/>
      <c r="SKI1036" s="1610"/>
      <c r="SKJ1036" s="1610"/>
      <c r="SKK1036" s="1610"/>
      <c r="SKL1036" s="1610"/>
      <c r="SKM1036" s="1610"/>
      <c r="SKN1036" s="1610"/>
      <c r="SKO1036" s="1610"/>
      <c r="SKP1036" s="1610"/>
      <c r="SKQ1036" s="1610"/>
      <c r="SKR1036" s="1610"/>
      <c r="SKS1036" s="1610"/>
      <c r="SKT1036" s="1610"/>
      <c r="SKU1036" s="1610"/>
      <c r="SKV1036" s="1610"/>
      <c r="SKW1036" s="1610"/>
      <c r="SKX1036" s="1610"/>
      <c r="SKY1036" s="1610"/>
      <c r="SKZ1036" s="1610"/>
      <c r="SLA1036" s="1610"/>
      <c r="SLB1036" s="1610"/>
      <c r="SLC1036" s="1610"/>
      <c r="SLD1036" s="1610"/>
      <c r="SLE1036" s="1610"/>
      <c r="SLF1036" s="1610"/>
      <c r="SLG1036" s="1610"/>
      <c r="SLH1036" s="1610"/>
      <c r="SLI1036" s="1610"/>
      <c r="SLJ1036" s="1610"/>
      <c r="SLK1036" s="1610"/>
      <c r="SLL1036" s="1610"/>
      <c r="SLM1036" s="1610"/>
      <c r="SLN1036" s="1610"/>
      <c r="SLO1036" s="1610"/>
      <c r="SLP1036" s="1610"/>
      <c r="SLQ1036" s="1610"/>
      <c r="SLR1036" s="1610"/>
      <c r="SLS1036" s="1610"/>
      <c r="SLT1036" s="1610"/>
      <c r="SLU1036" s="1610"/>
      <c r="SLV1036" s="1610"/>
      <c r="SLW1036" s="1610"/>
      <c r="SLX1036" s="1610"/>
      <c r="SLY1036" s="1610"/>
      <c r="SLZ1036" s="1610"/>
      <c r="SMA1036" s="1610"/>
      <c r="SMB1036" s="1610"/>
      <c r="SMC1036" s="1610"/>
      <c r="SMD1036" s="1610"/>
      <c r="SME1036" s="1610"/>
      <c r="SMF1036" s="1610"/>
      <c r="SMG1036" s="1610"/>
      <c r="SMH1036" s="1610"/>
      <c r="SMI1036" s="1610"/>
      <c r="SMJ1036" s="1610"/>
      <c r="SMK1036" s="1610"/>
      <c r="SML1036" s="1610"/>
      <c r="SMM1036" s="1610"/>
      <c r="SMN1036" s="1610"/>
      <c r="SMO1036" s="1610"/>
      <c r="SMP1036" s="1610"/>
      <c r="SMQ1036" s="1610"/>
      <c r="SMR1036" s="1610"/>
      <c r="SMS1036" s="1610"/>
      <c r="SMT1036" s="1610"/>
      <c r="SMU1036" s="1610"/>
      <c r="SMV1036" s="1610"/>
      <c r="SMW1036" s="1610"/>
      <c r="SMX1036" s="1610"/>
      <c r="SMY1036" s="1610"/>
      <c r="SMZ1036" s="1610"/>
      <c r="SNA1036" s="1610"/>
      <c r="SNB1036" s="1610"/>
      <c r="SNC1036" s="1610"/>
      <c r="SND1036" s="1610"/>
      <c r="SNE1036" s="1610"/>
      <c r="SNF1036" s="1610"/>
      <c r="SNG1036" s="1610"/>
      <c r="SNH1036" s="1610"/>
      <c r="SNI1036" s="1610"/>
      <c r="SNJ1036" s="1610"/>
      <c r="SNK1036" s="1610"/>
      <c r="SNL1036" s="1610"/>
      <c r="SNM1036" s="1610"/>
      <c r="SNN1036" s="1610"/>
      <c r="SNO1036" s="1610"/>
      <c r="SNP1036" s="1610"/>
      <c r="SNQ1036" s="1610"/>
      <c r="SNR1036" s="1610"/>
      <c r="SNS1036" s="1610"/>
      <c r="SNT1036" s="1610"/>
      <c r="SNU1036" s="1610"/>
      <c r="SNV1036" s="1610"/>
      <c r="SNW1036" s="1610"/>
      <c r="SNX1036" s="1610"/>
      <c r="SNY1036" s="1610"/>
      <c r="SNZ1036" s="1610"/>
      <c r="SOA1036" s="1610"/>
      <c r="SOB1036" s="1610"/>
      <c r="SOC1036" s="1610"/>
      <c r="SOD1036" s="1610"/>
      <c r="SOE1036" s="1610"/>
      <c r="SOF1036" s="1610"/>
      <c r="SOG1036" s="1610"/>
      <c r="SOH1036" s="1610"/>
      <c r="SOI1036" s="1610"/>
      <c r="SOJ1036" s="1610"/>
      <c r="SOK1036" s="1610"/>
      <c r="SOL1036" s="1610"/>
      <c r="SOM1036" s="1610"/>
      <c r="SON1036" s="1610"/>
      <c r="SOO1036" s="1610"/>
      <c r="SOP1036" s="1610"/>
      <c r="SOQ1036" s="1610"/>
      <c r="SOR1036" s="1610"/>
      <c r="SOS1036" s="1610"/>
      <c r="SOT1036" s="1610"/>
      <c r="SOU1036" s="1610"/>
      <c r="SOV1036" s="1610"/>
      <c r="SOW1036" s="1610"/>
      <c r="SOX1036" s="1610"/>
      <c r="SOY1036" s="1610"/>
      <c r="SOZ1036" s="1610"/>
      <c r="SPA1036" s="1610"/>
      <c r="SPB1036" s="1610"/>
      <c r="SPC1036" s="1610"/>
      <c r="SPD1036" s="1610"/>
      <c r="SPE1036" s="1610"/>
      <c r="SPF1036" s="1610"/>
      <c r="SPG1036" s="1610"/>
      <c r="SPH1036" s="1610"/>
      <c r="SPI1036" s="1610"/>
      <c r="SPJ1036" s="1610"/>
      <c r="SPK1036" s="1610"/>
      <c r="SPL1036" s="1610"/>
      <c r="SPM1036" s="1610"/>
      <c r="SPN1036" s="1610"/>
      <c r="SPO1036" s="1610"/>
      <c r="SPP1036" s="1610"/>
      <c r="SPQ1036" s="1610"/>
      <c r="SPR1036" s="1610"/>
      <c r="SPS1036" s="1610"/>
      <c r="SPT1036" s="1610"/>
      <c r="SPU1036" s="1610"/>
      <c r="SPV1036" s="1610"/>
      <c r="SPW1036" s="1610"/>
      <c r="SPX1036" s="1610"/>
      <c r="SPY1036" s="1610"/>
      <c r="SPZ1036" s="1610"/>
      <c r="SQA1036" s="1610"/>
      <c r="SQB1036" s="1610"/>
      <c r="SQC1036" s="1610"/>
      <c r="SQD1036" s="1610"/>
      <c r="SQE1036" s="1610"/>
      <c r="SQF1036" s="1610"/>
      <c r="SQG1036" s="1610"/>
      <c r="SQH1036" s="1610"/>
      <c r="SQI1036" s="1610"/>
      <c r="SQJ1036" s="1610"/>
      <c r="SQK1036" s="1610"/>
      <c r="SQL1036" s="1610"/>
      <c r="SQM1036" s="1610"/>
      <c r="SQN1036" s="1610"/>
      <c r="SQO1036" s="1610"/>
      <c r="SQP1036" s="1610"/>
      <c r="SQQ1036" s="1610"/>
      <c r="SQR1036" s="1610"/>
      <c r="SQS1036" s="1610"/>
      <c r="SQT1036" s="1610"/>
      <c r="SQU1036" s="1610"/>
      <c r="SQV1036" s="1610"/>
      <c r="SQW1036" s="1610"/>
      <c r="SQX1036" s="1610"/>
      <c r="SQY1036" s="1610"/>
      <c r="SQZ1036" s="1610"/>
      <c r="SRA1036" s="1610"/>
      <c r="SRB1036" s="1610"/>
      <c r="SRC1036" s="1610"/>
      <c r="SRD1036" s="1610"/>
      <c r="SRE1036" s="1610"/>
      <c r="SRF1036" s="1610"/>
      <c r="SRG1036" s="1610"/>
      <c r="SRH1036" s="1610"/>
      <c r="SRI1036" s="1610"/>
      <c r="SRJ1036" s="1610"/>
      <c r="SRK1036" s="1610"/>
      <c r="SRL1036" s="1610"/>
      <c r="SRM1036" s="1610"/>
      <c r="SRN1036" s="1610"/>
      <c r="SRO1036" s="1610"/>
      <c r="SRP1036" s="1610"/>
      <c r="SRQ1036" s="1610"/>
      <c r="SRR1036" s="1610"/>
      <c r="SRS1036" s="1610"/>
      <c r="SRT1036" s="1610"/>
      <c r="SRU1036" s="1610"/>
      <c r="SRV1036" s="1610"/>
      <c r="SRW1036" s="1610"/>
      <c r="SRX1036" s="1610"/>
      <c r="SRY1036" s="1610"/>
      <c r="SRZ1036" s="1610"/>
      <c r="SSA1036" s="1610"/>
      <c r="SSB1036" s="1610"/>
      <c r="SSC1036" s="1610"/>
      <c r="SSD1036" s="1610"/>
      <c r="SSE1036" s="1610"/>
      <c r="SSF1036" s="1610"/>
      <c r="SSG1036" s="1610"/>
      <c r="SSH1036" s="1610"/>
      <c r="SSI1036" s="1610"/>
      <c r="SSJ1036" s="1610"/>
      <c r="SSK1036" s="1610"/>
      <c r="SSL1036" s="1610"/>
      <c r="SSM1036" s="1610"/>
      <c r="SSN1036" s="1610"/>
      <c r="SSO1036" s="1610"/>
      <c r="SSP1036" s="1610"/>
      <c r="SSQ1036" s="1610"/>
      <c r="SSR1036" s="1610"/>
      <c r="SSS1036" s="1610"/>
      <c r="SST1036" s="1610"/>
      <c r="SSU1036" s="1610"/>
      <c r="SSV1036" s="1610"/>
      <c r="SSW1036" s="1610"/>
      <c r="SSX1036" s="1610"/>
      <c r="SSY1036" s="1610"/>
      <c r="SSZ1036" s="1610"/>
      <c r="STA1036" s="1610"/>
      <c r="STB1036" s="1610"/>
      <c r="STC1036" s="1610"/>
      <c r="STD1036" s="1610"/>
      <c r="STE1036" s="1610"/>
      <c r="STF1036" s="1610"/>
      <c r="STG1036" s="1610"/>
      <c r="STH1036" s="1610"/>
      <c r="STI1036" s="1610"/>
      <c r="STJ1036" s="1610"/>
      <c r="STK1036" s="1610"/>
      <c r="STL1036" s="1610"/>
      <c r="STM1036" s="1610"/>
      <c r="STN1036" s="1610"/>
      <c r="STO1036" s="1610"/>
      <c r="STP1036" s="1610"/>
      <c r="STQ1036" s="1610"/>
      <c r="STR1036" s="1610"/>
      <c r="STS1036" s="1610"/>
      <c r="STT1036" s="1610"/>
      <c r="STU1036" s="1610"/>
      <c r="STV1036" s="1610"/>
      <c r="STW1036" s="1610"/>
      <c r="STX1036" s="1610"/>
      <c r="STY1036" s="1610"/>
      <c r="STZ1036" s="1610"/>
      <c r="SUA1036" s="1610"/>
      <c r="SUB1036" s="1610"/>
      <c r="SUC1036" s="1610"/>
      <c r="SUD1036" s="1610"/>
      <c r="SUE1036" s="1610"/>
      <c r="SUF1036" s="1610"/>
      <c r="SUG1036" s="1610"/>
      <c r="SUH1036" s="1610"/>
      <c r="SUI1036" s="1610"/>
      <c r="SUJ1036" s="1610"/>
      <c r="SUK1036" s="1610"/>
      <c r="SUL1036" s="1610"/>
      <c r="SUM1036" s="1610"/>
      <c r="SUN1036" s="1610"/>
      <c r="SUO1036" s="1610"/>
      <c r="SUP1036" s="1610"/>
      <c r="SUQ1036" s="1610"/>
      <c r="SUR1036" s="1610"/>
      <c r="SUS1036" s="1610"/>
      <c r="SUT1036" s="1610"/>
      <c r="SUU1036" s="1610"/>
      <c r="SUV1036" s="1610"/>
      <c r="SUW1036" s="1610"/>
      <c r="SUX1036" s="1610"/>
      <c r="SUY1036" s="1610"/>
      <c r="SUZ1036" s="1610"/>
      <c r="SVA1036" s="1610"/>
      <c r="SVB1036" s="1610"/>
      <c r="SVC1036" s="1610"/>
      <c r="SVD1036" s="1610"/>
      <c r="SVE1036" s="1610"/>
      <c r="SVF1036" s="1610"/>
      <c r="SVG1036" s="1610"/>
      <c r="SVH1036" s="1610"/>
      <c r="SVI1036" s="1610"/>
      <c r="SVJ1036" s="1610"/>
      <c r="SVK1036" s="1610"/>
      <c r="SVL1036" s="1610"/>
      <c r="SVM1036" s="1610"/>
      <c r="SVN1036" s="1610"/>
      <c r="SVO1036" s="1610"/>
      <c r="SVP1036" s="1610"/>
      <c r="SVQ1036" s="1610"/>
      <c r="SVR1036" s="1610"/>
      <c r="SVS1036" s="1610"/>
      <c r="SVT1036" s="1610"/>
      <c r="SVU1036" s="1610"/>
      <c r="SVV1036" s="1610"/>
      <c r="SVW1036" s="1610"/>
      <c r="SVX1036" s="1610"/>
      <c r="SVY1036" s="1610"/>
      <c r="SVZ1036" s="1610"/>
      <c r="SWA1036" s="1610"/>
      <c r="SWB1036" s="1610"/>
      <c r="SWC1036" s="1610"/>
      <c r="SWD1036" s="1610"/>
      <c r="SWE1036" s="1610"/>
      <c r="SWF1036" s="1610"/>
      <c r="SWG1036" s="1610"/>
      <c r="SWH1036" s="1610"/>
      <c r="SWI1036" s="1610"/>
      <c r="SWJ1036" s="1610"/>
      <c r="SWK1036" s="1610"/>
      <c r="SWL1036" s="1610"/>
      <c r="SWM1036" s="1610"/>
      <c r="SWN1036" s="1610"/>
      <c r="SWO1036" s="1610"/>
      <c r="SWP1036" s="1610"/>
      <c r="SWQ1036" s="1610"/>
      <c r="SWR1036" s="1610"/>
      <c r="SWS1036" s="1610"/>
      <c r="SWT1036" s="1610"/>
      <c r="SWU1036" s="1610"/>
      <c r="SWV1036" s="1610"/>
      <c r="SWW1036" s="1610"/>
      <c r="SWX1036" s="1610"/>
      <c r="SWY1036" s="1610"/>
      <c r="SWZ1036" s="1610"/>
      <c r="SXA1036" s="1610"/>
      <c r="SXB1036" s="1610"/>
      <c r="SXC1036" s="1610"/>
      <c r="SXD1036" s="1610"/>
      <c r="SXE1036" s="1610"/>
      <c r="SXF1036" s="1610"/>
      <c r="SXG1036" s="1610"/>
      <c r="SXH1036" s="1610"/>
      <c r="SXI1036" s="1610"/>
      <c r="SXJ1036" s="1610"/>
      <c r="SXK1036" s="1610"/>
      <c r="SXL1036" s="1610"/>
      <c r="SXM1036" s="1610"/>
      <c r="SXN1036" s="1610"/>
      <c r="SXO1036" s="1610"/>
      <c r="SXP1036" s="1610"/>
      <c r="SXQ1036" s="1610"/>
      <c r="SXR1036" s="1610"/>
      <c r="SXS1036" s="1610"/>
      <c r="SXT1036" s="1610"/>
      <c r="SXU1036" s="1610"/>
      <c r="SXV1036" s="1610"/>
      <c r="SXW1036" s="1610"/>
      <c r="SXX1036" s="1610"/>
      <c r="SXY1036" s="1610"/>
      <c r="SXZ1036" s="1610"/>
      <c r="SYA1036" s="1610"/>
      <c r="SYB1036" s="1610"/>
      <c r="SYC1036" s="1610"/>
      <c r="SYD1036" s="1610"/>
      <c r="SYE1036" s="1610"/>
      <c r="SYF1036" s="1610"/>
      <c r="SYG1036" s="1610"/>
      <c r="SYH1036" s="1610"/>
      <c r="SYI1036" s="1610"/>
      <c r="SYJ1036" s="1610"/>
      <c r="SYK1036" s="1610"/>
      <c r="SYL1036" s="1610"/>
      <c r="SYM1036" s="1610"/>
      <c r="SYN1036" s="1610"/>
      <c r="SYO1036" s="1610"/>
      <c r="SYP1036" s="1610"/>
      <c r="SYQ1036" s="1610"/>
      <c r="SYR1036" s="1610"/>
      <c r="SYS1036" s="1610"/>
      <c r="SYT1036" s="1610"/>
      <c r="SYU1036" s="1610"/>
      <c r="SYV1036" s="1610"/>
      <c r="SYW1036" s="1610"/>
      <c r="SYX1036" s="1610"/>
      <c r="SYY1036" s="1610"/>
      <c r="SYZ1036" s="1610"/>
      <c r="SZA1036" s="1610"/>
      <c r="SZB1036" s="1610"/>
      <c r="SZC1036" s="1610"/>
      <c r="SZD1036" s="1610"/>
      <c r="SZE1036" s="1610"/>
      <c r="SZF1036" s="1610"/>
      <c r="SZG1036" s="1610"/>
      <c r="SZH1036" s="1610"/>
      <c r="SZI1036" s="1610"/>
      <c r="SZJ1036" s="1610"/>
      <c r="SZK1036" s="1610"/>
      <c r="SZL1036" s="1610"/>
      <c r="SZM1036" s="1610"/>
      <c r="SZN1036" s="1610"/>
      <c r="SZO1036" s="1610"/>
      <c r="SZP1036" s="1610"/>
      <c r="SZQ1036" s="1610"/>
      <c r="SZR1036" s="1610"/>
      <c r="SZS1036" s="1610"/>
      <c r="SZT1036" s="1610"/>
      <c r="SZU1036" s="1610"/>
      <c r="SZV1036" s="1610"/>
      <c r="SZW1036" s="1610"/>
      <c r="SZX1036" s="1610"/>
      <c r="SZY1036" s="1610"/>
      <c r="SZZ1036" s="1610"/>
      <c r="TAA1036" s="1610"/>
      <c r="TAB1036" s="1610"/>
      <c r="TAC1036" s="1610"/>
      <c r="TAD1036" s="1610"/>
      <c r="TAE1036" s="1610"/>
      <c r="TAF1036" s="1610"/>
      <c r="TAG1036" s="1610"/>
      <c r="TAH1036" s="1610"/>
      <c r="TAI1036" s="1610"/>
      <c r="TAJ1036" s="1610"/>
      <c r="TAK1036" s="1610"/>
      <c r="TAL1036" s="1610"/>
      <c r="TAM1036" s="1610"/>
      <c r="TAN1036" s="1610"/>
      <c r="TAO1036" s="1610"/>
      <c r="TAP1036" s="1610"/>
      <c r="TAQ1036" s="1610"/>
      <c r="TAR1036" s="1610"/>
      <c r="TAS1036" s="1610"/>
      <c r="TAT1036" s="1610"/>
      <c r="TAU1036" s="1610"/>
      <c r="TAV1036" s="1610"/>
      <c r="TAW1036" s="1610"/>
      <c r="TAX1036" s="1610"/>
      <c r="TAY1036" s="1610"/>
      <c r="TAZ1036" s="1610"/>
      <c r="TBA1036" s="1610"/>
      <c r="TBB1036" s="1610"/>
      <c r="TBC1036" s="1610"/>
      <c r="TBD1036" s="1610"/>
      <c r="TBE1036" s="1610"/>
      <c r="TBF1036" s="1610"/>
      <c r="TBG1036" s="1610"/>
      <c r="TBH1036" s="1610"/>
      <c r="TBI1036" s="1610"/>
      <c r="TBJ1036" s="1610"/>
      <c r="TBK1036" s="1610"/>
      <c r="TBL1036" s="1610"/>
      <c r="TBM1036" s="1610"/>
      <c r="TBN1036" s="1610"/>
      <c r="TBO1036" s="1610"/>
      <c r="TBP1036" s="1610"/>
      <c r="TBQ1036" s="1610"/>
      <c r="TBR1036" s="1610"/>
      <c r="TBS1036" s="1610"/>
      <c r="TBT1036" s="1610"/>
      <c r="TBU1036" s="1610"/>
      <c r="TBV1036" s="1610"/>
      <c r="TBW1036" s="1610"/>
      <c r="TBX1036" s="1610"/>
      <c r="TBY1036" s="1610"/>
      <c r="TBZ1036" s="1610"/>
      <c r="TCA1036" s="1610"/>
      <c r="TCB1036" s="1610"/>
      <c r="TCC1036" s="1610"/>
      <c r="TCD1036" s="1610"/>
      <c r="TCE1036" s="1610"/>
      <c r="TCF1036" s="1610"/>
      <c r="TCG1036" s="1610"/>
      <c r="TCH1036" s="1610"/>
      <c r="TCI1036" s="1610"/>
      <c r="TCJ1036" s="1610"/>
      <c r="TCK1036" s="1610"/>
      <c r="TCL1036" s="1610"/>
      <c r="TCM1036" s="1610"/>
      <c r="TCN1036" s="1610"/>
      <c r="TCO1036" s="1610"/>
      <c r="TCP1036" s="1610"/>
      <c r="TCQ1036" s="1610"/>
      <c r="TCR1036" s="1610"/>
      <c r="TCS1036" s="1610"/>
      <c r="TCT1036" s="1610"/>
      <c r="TCU1036" s="1610"/>
      <c r="TCV1036" s="1610"/>
      <c r="TCW1036" s="1610"/>
      <c r="TCX1036" s="1610"/>
      <c r="TCY1036" s="1610"/>
      <c r="TCZ1036" s="1610"/>
      <c r="TDA1036" s="1610"/>
      <c r="TDB1036" s="1610"/>
      <c r="TDC1036" s="1610"/>
      <c r="TDD1036" s="1610"/>
      <c r="TDE1036" s="1610"/>
      <c r="TDF1036" s="1610"/>
      <c r="TDG1036" s="1610"/>
      <c r="TDH1036" s="1610"/>
      <c r="TDI1036" s="1610"/>
      <c r="TDJ1036" s="1610"/>
      <c r="TDK1036" s="1610"/>
      <c r="TDL1036" s="1610"/>
      <c r="TDM1036" s="1610"/>
      <c r="TDN1036" s="1610"/>
      <c r="TDO1036" s="1610"/>
      <c r="TDP1036" s="1610"/>
      <c r="TDQ1036" s="1610"/>
      <c r="TDR1036" s="1610"/>
      <c r="TDS1036" s="1610"/>
      <c r="TDT1036" s="1610"/>
      <c r="TDU1036" s="1610"/>
      <c r="TDV1036" s="1610"/>
      <c r="TDW1036" s="1610"/>
      <c r="TDX1036" s="1610"/>
      <c r="TDY1036" s="1610"/>
      <c r="TDZ1036" s="1610"/>
      <c r="TEA1036" s="1610"/>
      <c r="TEB1036" s="1610"/>
      <c r="TEC1036" s="1610"/>
      <c r="TED1036" s="1610"/>
      <c r="TEE1036" s="1610"/>
      <c r="TEF1036" s="1610"/>
      <c r="TEG1036" s="1610"/>
      <c r="TEH1036" s="1610"/>
      <c r="TEI1036" s="1610"/>
      <c r="TEJ1036" s="1610"/>
      <c r="TEK1036" s="1610"/>
      <c r="TEL1036" s="1610"/>
      <c r="TEM1036" s="1610"/>
      <c r="TEN1036" s="1610"/>
      <c r="TEO1036" s="1610"/>
      <c r="TEP1036" s="1610"/>
      <c r="TEQ1036" s="1610"/>
      <c r="TER1036" s="1610"/>
      <c r="TES1036" s="1610"/>
      <c r="TET1036" s="1610"/>
      <c r="TEU1036" s="1610"/>
      <c r="TEV1036" s="1610"/>
      <c r="TEW1036" s="1610"/>
      <c r="TEX1036" s="1610"/>
      <c r="TEY1036" s="1610"/>
      <c r="TEZ1036" s="1610"/>
      <c r="TFA1036" s="1610"/>
      <c r="TFB1036" s="1610"/>
      <c r="TFC1036" s="1610"/>
      <c r="TFD1036" s="1610"/>
      <c r="TFE1036" s="1610"/>
      <c r="TFF1036" s="1610"/>
      <c r="TFG1036" s="1610"/>
      <c r="TFH1036" s="1610"/>
      <c r="TFI1036" s="1610"/>
      <c r="TFJ1036" s="1610"/>
      <c r="TFK1036" s="1610"/>
      <c r="TFL1036" s="1610"/>
      <c r="TFM1036" s="1610"/>
      <c r="TFN1036" s="1610"/>
      <c r="TFO1036" s="1610"/>
      <c r="TFP1036" s="1610"/>
      <c r="TFQ1036" s="1610"/>
      <c r="TFR1036" s="1610"/>
      <c r="TFS1036" s="1610"/>
      <c r="TFT1036" s="1610"/>
      <c r="TFU1036" s="1610"/>
      <c r="TFV1036" s="1610"/>
      <c r="TFW1036" s="1610"/>
      <c r="TFX1036" s="1610"/>
      <c r="TFY1036" s="1610"/>
      <c r="TFZ1036" s="1610"/>
      <c r="TGA1036" s="1610"/>
      <c r="TGB1036" s="1610"/>
      <c r="TGC1036" s="1610"/>
      <c r="TGD1036" s="1610"/>
      <c r="TGE1036" s="1610"/>
      <c r="TGF1036" s="1610"/>
      <c r="TGG1036" s="1610"/>
      <c r="TGH1036" s="1610"/>
      <c r="TGI1036" s="1610"/>
      <c r="TGJ1036" s="1610"/>
      <c r="TGK1036" s="1610"/>
      <c r="TGL1036" s="1610"/>
      <c r="TGM1036" s="1610"/>
      <c r="TGN1036" s="1610"/>
      <c r="TGO1036" s="1610"/>
      <c r="TGP1036" s="1610"/>
      <c r="TGQ1036" s="1610"/>
      <c r="TGR1036" s="1610"/>
      <c r="TGS1036" s="1610"/>
      <c r="TGT1036" s="1610"/>
      <c r="TGU1036" s="1610"/>
      <c r="TGV1036" s="1610"/>
      <c r="TGW1036" s="1610"/>
      <c r="TGX1036" s="1610"/>
      <c r="TGY1036" s="1610"/>
      <c r="TGZ1036" s="1610"/>
      <c r="THA1036" s="1610"/>
      <c r="THB1036" s="1610"/>
      <c r="THC1036" s="1610"/>
      <c r="THD1036" s="1610"/>
      <c r="THE1036" s="1610"/>
      <c r="THF1036" s="1610"/>
      <c r="THG1036" s="1610"/>
      <c r="THH1036" s="1610"/>
      <c r="THI1036" s="1610"/>
      <c r="THJ1036" s="1610"/>
      <c r="THK1036" s="1610"/>
      <c r="THL1036" s="1610"/>
      <c r="THM1036" s="1610"/>
      <c r="THN1036" s="1610"/>
      <c r="THO1036" s="1610"/>
      <c r="THP1036" s="1610"/>
      <c r="THQ1036" s="1610"/>
      <c r="THR1036" s="1610"/>
      <c r="THS1036" s="1610"/>
      <c r="THT1036" s="1610"/>
      <c r="THU1036" s="1610"/>
      <c r="THV1036" s="1610"/>
      <c r="THW1036" s="1610"/>
      <c r="THX1036" s="1610"/>
      <c r="THY1036" s="1610"/>
      <c r="THZ1036" s="1610"/>
      <c r="TIA1036" s="1610"/>
      <c r="TIB1036" s="1610"/>
      <c r="TIC1036" s="1610"/>
      <c r="TID1036" s="1610"/>
      <c r="TIE1036" s="1610"/>
      <c r="TIF1036" s="1610"/>
      <c r="TIG1036" s="1610"/>
      <c r="TIH1036" s="1610"/>
      <c r="TII1036" s="1610"/>
      <c r="TIJ1036" s="1610"/>
      <c r="TIK1036" s="1610"/>
      <c r="TIL1036" s="1610"/>
      <c r="TIM1036" s="1610"/>
      <c r="TIN1036" s="1610"/>
      <c r="TIO1036" s="1610"/>
      <c r="TIP1036" s="1610"/>
      <c r="TIQ1036" s="1610"/>
      <c r="TIR1036" s="1610"/>
      <c r="TIS1036" s="1610"/>
      <c r="TIT1036" s="1610"/>
      <c r="TIU1036" s="1610"/>
      <c r="TIV1036" s="1610"/>
      <c r="TIW1036" s="1610"/>
      <c r="TIX1036" s="1610"/>
      <c r="TIY1036" s="1610"/>
      <c r="TIZ1036" s="1610"/>
      <c r="TJA1036" s="1610"/>
      <c r="TJB1036" s="1610"/>
      <c r="TJC1036" s="1610"/>
      <c r="TJD1036" s="1610"/>
      <c r="TJE1036" s="1610"/>
      <c r="TJF1036" s="1610"/>
      <c r="TJG1036" s="1610"/>
      <c r="TJH1036" s="1610"/>
      <c r="TJI1036" s="1610"/>
      <c r="TJJ1036" s="1610"/>
      <c r="TJK1036" s="1610"/>
      <c r="TJL1036" s="1610"/>
      <c r="TJM1036" s="1610"/>
      <c r="TJN1036" s="1610"/>
      <c r="TJO1036" s="1610"/>
      <c r="TJP1036" s="1610"/>
      <c r="TJQ1036" s="1610"/>
      <c r="TJR1036" s="1610"/>
      <c r="TJS1036" s="1610"/>
      <c r="TJT1036" s="1610"/>
      <c r="TJU1036" s="1610"/>
      <c r="TJV1036" s="1610"/>
      <c r="TJW1036" s="1610"/>
      <c r="TJX1036" s="1610"/>
      <c r="TJY1036" s="1610"/>
      <c r="TJZ1036" s="1610"/>
      <c r="TKA1036" s="1610"/>
      <c r="TKB1036" s="1610"/>
      <c r="TKC1036" s="1610"/>
      <c r="TKD1036" s="1610"/>
      <c r="TKE1036" s="1610"/>
      <c r="TKF1036" s="1610"/>
      <c r="TKG1036" s="1610"/>
      <c r="TKH1036" s="1610"/>
      <c r="TKI1036" s="1610"/>
      <c r="TKJ1036" s="1610"/>
      <c r="TKK1036" s="1610"/>
      <c r="TKL1036" s="1610"/>
      <c r="TKM1036" s="1610"/>
      <c r="TKN1036" s="1610"/>
      <c r="TKO1036" s="1610"/>
      <c r="TKP1036" s="1610"/>
      <c r="TKQ1036" s="1610"/>
      <c r="TKR1036" s="1610"/>
      <c r="TKS1036" s="1610"/>
      <c r="TKT1036" s="1610"/>
      <c r="TKU1036" s="1610"/>
      <c r="TKV1036" s="1610"/>
      <c r="TKW1036" s="1610"/>
      <c r="TKX1036" s="1610"/>
      <c r="TKY1036" s="1610"/>
      <c r="TKZ1036" s="1610"/>
      <c r="TLA1036" s="1610"/>
      <c r="TLB1036" s="1610"/>
      <c r="TLC1036" s="1610"/>
      <c r="TLD1036" s="1610"/>
      <c r="TLE1036" s="1610"/>
      <c r="TLF1036" s="1610"/>
      <c r="TLG1036" s="1610"/>
      <c r="TLH1036" s="1610"/>
      <c r="TLI1036" s="1610"/>
      <c r="TLJ1036" s="1610"/>
      <c r="TLK1036" s="1610"/>
      <c r="TLL1036" s="1610"/>
      <c r="TLM1036" s="1610"/>
      <c r="TLN1036" s="1610"/>
      <c r="TLO1036" s="1610"/>
      <c r="TLP1036" s="1610"/>
      <c r="TLQ1036" s="1610"/>
      <c r="TLR1036" s="1610"/>
      <c r="TLS1036" s="1610"/>
      <c r="TLT1036" s="1610"/>
      <c r="TLU1036" s="1610"/>
      <c r="TLV1036" s="1610"/>
      <c r="TLW1036" s="1610"/>
      <c r="TLX1036" s="1610"/>
      <c r="TLY1036" s="1610"/>
      <c r="TLZ1036" s="1610"/>
      <c r="TMA1036" s="1610"/>
      <c r="TMB1036" s="1610"/>
      <c r="TMC1036" s="1610"/>
      <c r="TMD1036" s="1610"/>
      <c r="TME1036" s="1610"/>
      <c r="TMF1036" s="1610"/>
      <c r="TMG1036" s="1610"/>
      <c r="TMH1036" s="1610"/>
      <c r="TMI1036" s="1610"/>
      <c r="TMJ1036" s="1610"/>
      <c r="TMK1036" s="1610"/>
      <c r="TML1036" s="1610"/>
      <c r="TMM1036" s="1610"/>
      <c r="TMN1036" s="1610"/>
      <c r="TMO1036" s="1610"/>
      <c r="TMP1036" s="1610"/>
      <c r="TMQ1036" s="1610"/>
      <c r="TMR1036" s="1610"/>
      <c r="TMS1036" s="1610"/>
      <c r="TMT1036" s="1610"/>
      <c r="TMU1036" s="1610"/>
      <c r="TMV1036" s="1610"/>
      <c r="TMW1036" s="1610"/>
      <c r="TMX1036" s="1610"/>
      <c r="TMY1036" s="1610"/>
      <c r="TMZ1036" s="1610"/>
      <c r="TNA1036" s="1610"/>
      <c r="TNB1036" s="1610"/>
      <c r="TNC1036" s="1610"/>
      <c r="TND1036" s="1610"/>
      <c r="TNE1036" s="1610"/>
      <c r="TNF1036" s="1610"/>
      <c r="TNG1036" s="1610"/>
      <c r="TNH1036" s="1610"/>
      <c r="TNI1036" s="1610"/>
      <c r="TNJ1036" s="1610"/>
      <c r="TNK1036" s="1610"/>
      <c r="TNL1036" s="1610"/>
      <c r="TNM1036" s="1610"/>
      <c r="TNN1036" s="1610"/>
      <c r="TNO1036" s="1610"/>
      <c r="TNP1036" s="1610"/>
      <c r="TNQ1036" s="1610"/>
      <c r="TNR1036" s="1610"/>
      <c r="TNS1036" s="1610"/>
      <c r="TNT1036" s="1610"/>
      <c r="TNU1036" s="1610"/>
      <c r="TNV1036" s="1610"/>
      <c r="TNW1036" s="1610"/>
      <c r="TNX1036" s="1610"/>
      <c r="TNY1036" s="1610"/>
      <c r="TNZ1036" s="1610"/>
      <c r="TOA1036" s="1610"/>
      <c r="TOB1036" s="1610"/>
      <c r="TOC1036" s="1610"/>
      <c r="TOD1036" s="1610"/>
      <c r="TOE1036" s="1610"/>
      <c r="TOF1036" s="1610"/>
      <c r="TOG1036" s="1610"/>
      <c r="TOH1036" s="1610"/>
      <c r="TOI1036" s="1610"/>
      <c r="TOJ1036" s="1610"/>
      <c r="TOK1036" s="1610"/>
      <c r="TOL1036" s="1610"/>
      <c r="TOM1036" s="1610"/>
      <c r="TON1036" s="1610"/>
      <c r="TOO1036" s="1610"/>
      <c r="TOP1036" s="1610"/>
      <c r="TOQ1036" s="1610"/>
      <c r="TOR1036" s="1610"/>
      <c r="TOS1036" s="1610"/>
      <c r="TOT1036" s="1610"/>
      <c r="TOU1036" s="1610"/>
      <c r="TOV1036" s="1610"/>
      <c r="TOW1036" s="1610"/>
      <c r="TOX1036" s="1610"/>
      <c r="TOY1036" s="1610"/>
      <c r="TOZ1036" s="1610"/>
      <c r="TPA1036" s="1610"/>
      <c r="TPB1036" s="1610"/>
      <c r="TPC1036" s="1610"/>
      <c r="TPD1036" s="1610"/>
      <c r="TPE1036" s="1610"/>
      <c r="TPF1036" s="1610"/>
      <c r="TPG1036" s="1610"/>
      <c r="TPH1036" s="1610"/>
      <c r="TPI1036" s="1610"/>
      <c r="TPJ1036" s="1610"/>
      <c r="TPK1036" s="1610"/>
      <c r="TPL1036" s="1610"/>
      <c r="TPM1036" s="1610"/>
      <c r="TPN1036" s="1610"/>
      <c r="TPO1036" s="1610"/>
      <c r="TPP1036" s="1610"/>
      <c r="TPQ1036" s="1610"/>
      <c r="TPR1036" s="1610"/>
      <c r="TPS1036" s="1610"/>
      <c r="TPT1036" s="1610"/>
      <c r="TPU1036" s="1610"/>
      <c r="TPV1036" s="1610"/>
      <c r="TPW1036" s="1610"/>
      <c r="TPX1036" s="1610"/>
      <c r="TPY1036" s="1610"/>
      <c r="TPZ1036" s="1610"/>
      <c r="TQA1036" s="1610"/>
      <c r="TQB1036" s="1610"/>
      <c r="TQC1036" s="1610"/>
      <c r="TQD1036" s="1610"/>
      <c r="TQE1036" s="1610"/>
      <c r="TQF1036" s="1610"/>
      <c r="TQG1036" s="1610"/>
      <c r="TQH1036" s="1610"/>
      <c r="TQI1036" s="1610"/>
      <c r="TQJ1036" s="1610"/>
      <c r="TQK1036" s="1610"/>
      <c r="TQL1036" s="1610"/>
      <c r="TQM1036" s="1610"/>
      <c r="TQN1036" s="1610"/>
      <c r="TQO1036" s="1610"/>
      <c r="TQP1036" s="1610"/>
      <c r="TQQ1036" s="1610"/>
      <c r="TQR1036" s="1610"/>
      <c r="TQS1036" s="1610"/>
      <c r="TQT1036" s="1610"/>
      <c r="TQU1036" s="1610"/>
      <c r="TQV1036" s="1610"/>
      <c r="TQW1036" s="1610"/>
      <c r="TQX1036" s="1610"/>
      <c r="TQY1036" s="1610"/>
      <c r="TQZ1036" s="1610"/>
      <c r="TRA1036" s="1610"/>
      <c r="TRB1036" s="1610"/>
      <c r="TRC1036" s="1610"/>
      <c r="TRD1036" s="1610"/>
      <c r="TRE1036" s="1610"/>
      <c r="TRF1036" s="1610"/>
      <c r="TRG1036" s="1610"/>
      <c r="TRH1036" s="1610"/>
      <c r="TRI1036" s="1610"/>
      <c r="TRJ1036" s="1610"/>
      <c r="TRK1036" s="1610"/>
      <c r="TRL1036" s="1610"/>
      <c r="TRM1036" s="1610"/>
      <c r="TRN1036" s="1610"/>
      <c r="TRO1036" s="1610"/>
      <c r="TRP1036" s="1610"/>
      <c r="TRQ1036" s="1610"/>
      <c r="TRR1036" s="1610"/>
      <c r="TRS1036" s="1610"/>
      <c r="TRT1036" s="1610"/>
      <c r="TRU1036" s="1610"/>
      <c r="TRV1036" s="1610"/>
      <c r="TRW1036" s="1610"/>
      <c r="TRX1036" s="1610"/>
      <c r="TRY1036" s="1610"/>
      <c r="TRZ1036" s="1610"/>
      <c r="TSA1036" s="1610"/>
      <c r="TSB1036" s="1610"/>
      <c r="TSC1036" s="1610"/>
      <c r="TSD1036" s="1610"/>
      <c r="TSE1036" s="1610"/>
      <c r="TSF1036" s="1610"/>
      <c r="TSG1036" s="1610"/>
      <c r="TSH1036" s="1610"/>
      <c r="TSI1036" s="1610"/>
      <c r="TSJ1036" s="1610"/>
      <c r="TSK1036" s="1610"/>
      <c r="TSL1036" s="1610"/>
      <c r="TSM1036" s="1610"/>
      <c r="TSN1036" s="1610"/>
      <c r="TSO1036" s="1610"/>
      <c r="TSP1036" s="1610"/>
      <c r="TSQ1036" s="1610"/>
      <c r="TSR1036" s="1610"/>
      <c r="TSS1036" s="1610"/>
      <c r="TST1036" s="1610"/>
      <c r="TSU1036" s="1610"/>
      <c r="TSV1036" s="1610"/>
      <c r="TSW1036" s="1610"/>
      <c r="TSX1036" s="1610"/>
      <c r="TSY1036" s="1610"/>
      <c r="TSZ1036" s="1610"/>
      <c r="TTA1036" s="1610"/>
      <c r="TTB1036" s="1610"/>
      <c r="TTC1036" s="1610"/>
      <c r="TTD1036" s="1610"/>
      <c r="TTE1036" s="1610"/>
      <c r="TTF1036" s="1610"/>
      <c r="TTG1036" s="1610"/>
      <c r="TTH1036" s="1610"/>
      <c r="TTI1036" s="1610"/>
      <c r="TTJ1036" s="1610"/>
      <c r="TTK1036" s="1610"/>
      <c r="TTL1036" s="1610"/>
      <c r="TTM1036" s="1610"/>
      <c r="TTN1036" s="1610"/>
      <c r="TTO1036" s="1610"/>
      <c r="TTP1036" s="1610"/>
      <c r="TTQ1036" s="1610"/>
      <c r="TTR1036" s="1610"/>
      <c r="TTS1036" s="1610"/>
      <c r="TTT1036" s="1610"/>
      <c r="TTU1036" s="1610"/>
      <c r="TTV1036" s="1610"/>
      <c r="TTW1036" s="1610"/>
      <c r="TTX1036" s="1610"/>
      <c r="TTY1036" s="1610"/>
      <c r="TTZ1036" s="1610"/>
      <c r="TUA1036" s="1610"/>
      <c r="TUB1036" s="1610"/>
      <c r="TUC1036" s="1610"/>
      <c r="TUD1036" s="1610"/>
      <c r="TUE1036" s="1610"/>
      <c r="TUF1036" s="1610"/>
      <c r="TUG1036" s="1610"/>
      <c r="TUH1036" s="1610"/>
      <c r="TUI1036" s="1610"/>
      <c r="TUJ1036" s="1610"/>
      <c r="TUK1036" s="1610"/>
      <c r="TUL1036" s="1610"/>
      <c r="TUM1036" s="1610"/>
      <c r="TUN1036" s="1610"/>
      <c r="TUO1036" s="1610"/>
      <c r="TUP1036" s="1610"/>
      <c r="TUQ1036" s="1610"/>
      <c r="TUR1036" s="1610"/>
      <c r="TUS1036" s="1610"/>
      <c r="TUT1036" s="1610"/>
      <c r="TUU1036" s="1610"/>
      <c r="TUV1036" s="1610"/>
      <c r="TUW1036" s="1610"/>
      <c r="TUX1036" s="1610"/>
      <c r="TUY1036" s="1610"/>
      <c r="TUZ1036" s="1610"/>
      <c r="TVA1036" s="1610"/>
      <c r="TVB1036" s="1610"/>
      <c r="TVC1036" s="1610"/>
      <c r="TVD1036" s="1610"/>
      <c r="TVE1036" s="1610"/>
      <c r="TVF1036" s="1610"/>
      <c r="TVG1036" s="1610"/>
      <c r="TVH1036" s="1610"/>
      <c r="TVI1036" s="1610"/>
      <c r="TVJ1036" s="1610"/>
      <c r="TVK1036" s="1610"/>
      <c r="TVL1036" s="1610"/>
      <c r="TVM1036" s="1610"/>
      <c r="TVN1036" s="1610"/>
      <c r="TVO1036" s="1610"/>
      <c r="TVP1036" s="1610"/>
      <c r="TVQ1036" s="1610"/>
      <c r="TVR1036" s="1610"/>
      <c r="TVS1036" s="1610"/>
      <c r="TVT1036" s="1610"/>
      <c r="TVU1036" s="1610"/>
      <c r="TVV1036" s="1610"/>
      <c r="TVW1036" s="1610"/>
      <c r="TVX1036" s="1610"/>
      <c r="TVY1036" s="1610"/>
      <c r="TVZ1036" s="1610"/>
      <c r="TWA1036" s="1610"/>
      <c r="TWB1036" s="1610"/>
      <c r="TWC1036" s="1610"/>
      <c r="TWD1036" s="1610"/>
      <c r="TWE1036" s="1610"/>
      <c r="TWF1036" s="1610"/>
      <c r="TWG1036" s="1610"/>
      <c r="TWH1036" s="1610"/>
      <c r="TWI1036" s="1610"/>
      <c r="TWJ1036" s="1610"/>
      <c r="TWK1036" s="1610"/>
      <c r="TWL1036" s="1610"/>
      <c r="TWM1036" s="1610"/>
      <c r="TWN1036" s="1610"/>
      <c r="TWO1036" s="1610"/>
      <c r="TWP1036" s="1610"/>
      <c r="TWQ1036" s="1610"/>
      <c r="TWR1036" s="1610"/>
      <c r="TWS1036" s="1610"/>
      <c r="TWT1036" s="1610"/>
      <c r="TWU1036" s="1610"/>
      <c r="TWV1036" s="1610"/>
      <c r="TWW1036" s="1610"/>
      <c r="TWX1036" s="1610"/>
      <c r="TWY1036" s="1610"/>
      <c r="TWZ1036" s="1610"/>
      <c r="TXA1036" s="1610"/>
      <c r="TXB1036" s="1610"/>
      <c r="TXC1036" s="1610"/>
      <c r="TXD1036" s="1610"/>
      <c r="TXE1036" s="1610"/>
      <c r="TXF1036" s="1610"/>
      <c r="TXG1036" s="1610"/>
      <c r="TXH1036" s="1610"/>
      <c r="TXI1036" s="1610"/>
      <c r="TXJ1036" s="1610"/>
      <c r="TXK1036" s="1610"/>
      <c r="TXL1036" s="1610"/>
      <c r="TXM1036" s="1610"/>
      <c r="TXN1036" s="1610"/>
      <c r="TXO1036" s="1610"/>
      <c r="TXP1036" s="1610"/>
      <c r="TXQ1036" s="1610"/>
      <c r="TXR1036" s="1610"/>
      <c r="TXS1036" s="1610"/>
      <c r="TXT1036" s="1610"/>
      <c r="TXU1036" s="1610"/>
      <c r="TXV1036" s="1610"/>
      <c r="TXW1036" s="1610"/>
      <c r="TXX1036" s="1610"/>
      <c r="TXY1036" s="1610"/>
      <c r="TXZ1036" s="1610"/>
      <c r="TYA1036" s="1610"/>
      <c r="TYB1036" s="1610"/>
      <c r="TYC1036" s="1610"/>
      <c r="TYD1036" s="1610"/>
      <c r="TYE1036" s="1610"/>
      <c r="TYF1036" s="1610"/>
      <c r="TYG1036" s="1610"/>
      <c r="TYH1036" s="1610"/>
      <c r="TYI1036" s="1610"/>
      <c r="TYJ1036" s="1610"/>
      <c r="TYK1036" s="1610"/>
      <c r="TYL1036" s="1610"/>
      <c r="TYM1036" s="1610"/>
      <c r="TYN1036" s="1610"/>
      <c r="TYO1036" s="1610"/>
      <c r="TYP1036" s="1610"/>
      <c r="TYQ1036" s="1610"/>
      <c r="TYR1036" s="1610"/>
      <c r="TYS1036" s="1610"/>
      <c r="TYT1036" s="1610"/>
      <c r="TYU1036" s="1610"/>
      <c r="TYV1036" s="1610"/>
      <c r="TYW1036" s="1610"/>
      <c r="TYX1036" s="1610"/>
      <c r="TYY1036" s="1610"/>
      <c r="TYZ1036" s="1610"/>
      <c r="TZA1036" s="1610"/>
      <c r="TZB1036" s="1610"/>
      <c r="TZC1036" s="1610"/>
      <c r="TZD1036" s="1610"/>
      <c r="TZE1036" s="1610"/>
      <c r="TZF1036" s="1610"/>
      <c r="TZG1036" s="1610"/>
      <c r="TZH1036" s="1610"/>
      <c r="TZI1036" s="1610"/>
      <c r="TZJ1036" s="1610"/>
      <c r="TZK1036" s="1610"/>
      <c r="TZL1036" s="1610"/>
      <c r="TZM1036" s="1610"/>
      <c r="TZN1036" s="1610"/>
      <c r="TZO1036" s="1610"/>
      <c r="TZP1036" s="1610"/>
      <c r="TZQ1036" s="1610"/>
      <c r="TZR1036" s="1610"/>
      <c r="TZS1036" s="1610"/>
      <c r="TZT1036" s="1610"/>
      <c r="TZU1036" s="1610"/>
      <c r="TZV1036" s="1610"/>
      <c r="TZW1036" s="1610"/>
      <c r="TZX1036" s="1610"/>
      <c r="TZY1036" s="1610"/>
      <c r="TZZ1036" s="1610"/>
      <c r="UAA1036" s="1610"/>
      <c r="UAB1036" s="1610"/>
      <c r="UAC1036" s="1610"/>
      <c r="UAD1036" s="1610"/>
      <c r="UAE1036" s="1610"/>
      <c r="UAF1036" s="1610"/>
      <c r="UAG1036" s="1610"/>
      <c r="UAH1036" s="1610"/>
      <c r="UAI1036" s="1610"/>
      <c r="UAJ1036" s="1610"/>
      <c r="UAK1036" s="1610"/>
      <c r="UAL1036" s="1610"/>
      <c r="UAM1036" s="1610"/>
      <c r="UAN1036" s="1610"/>
      <c r="UAO1036" s="1610"/>
      <c r="UAP1036" s="1610"/>
      <c r="UAQ1036" s="1610"/>
      <c r="UAR1036" s="1610"/>
      <c r="UAS1036" s="1610"/>
      <c r="UAT1036" s="1610"/>
      <c r="UAU1036" s="1610"/>
      <c r="UAV1036" s="1610"/>
      <c r="UAW1036" s="1610"/>
      <c r="UAX1036" s="1610"/>
      <c r="UAY1036" s="1610"/>
      <c r="UAZ1036" s="1610"/>
      <c r="UBA1036" s="1610"/>
      <c r="UBB1036" s="1610"/>
      <c r="UBC1036" s="1610"/>
      <c r="UBD1036" s="1610"/>
      <c r="UBE1036" s="1610"/>
      <c r="UBF1036" s="1610"/>
      <c r="UBG1036" s="1610"/>
      <c r="UBH1036" s="1610"/>
      <c r="UBI1036" s="1610"/>
      <c r="UBJ1036" s="1610"/>
      <c r="UBK1036" s="1610"/>
      <c r="UBL1036" s="1610"/>
      <c r="UBM1036" s="1610"/>
      <c r="UBN1036" s="1610"/>
      <c r="UBO1036" s="1610"/>
      <c r="UBP1036" s="1610"/>
      <c r="UBQ1036" s="1610"/>
      <c r="UBR1036" s="1610"/>
      <c r="UBS1036" s="1610"/>
      <c r="UBT1036" s="1610"/>
      <c r="UBU1036" s="1610"/>
      <c r="UBV1036" s="1610"/>
      <c r="UBW1036" s="1610"/>
      <c r="UBX1036" s="1610"/>
      <c r="UBY1036" s="1610"/>
      <c r="UBZ1036" s="1610"/>
      <c r="UCA1036" s="1610"/>
      <c r="UCB1036" s="1610"/>
      <c r="UCC1036" s="1610"/>
      <c r="UCD1036" s="1610"/>
      <c r="UCE1036" s="1610"/>
      <c r="UCF1036" s="1610"/>
      <c r="UCG1036" s="1610"/>
      <c r="UCH1036" s="1610"/>
      <c r="UCI1036" s="1610"/>
      <c r="UCJ1036" s="1610"/>
      <c r="UCK1036" s="1610"/>
      <c r="UCL1036" s="1610"/>
      <c r="UCM1036" s="1610"/>
      <c r="UCN1036" s="1610"/>
      <c r="UCO1036" s="1610"/>
      <c r="UCP1036" s="1610"/>
      <c r="UCQ1036" s="1610"/>
      <c r="UCR1036" s="1610"/>
      <c r="UCS1036" s="1610"/>
      <c r="UCT1036" s="1610"/>
      <c r="UCU1036" s="1610"/>
      <c r="UCV1036" s="1610"/>
      <c r="UCW1036" s="1610"/>
      <c r="UCX1036" s="1610"/>
      <c r="UCY1036" s="1610"/>
      <c r="UCZ1036" s="1610"/>
      <c r="UDA1036" s="1610"/>
      <c r="UDB1036" s="1610"/>
      <c r="UDC1036" s="1610"/>
      <c r="UDD1036" s="1610"/>
      <c r="UDE1036" s="1610"/>
      <c r="UDF1036" s="1610"/>
      <c r="UDG1036" s="1610"/>
      <c r="UDH1036" s="1610"/>
      <c r="UDI1036" s="1610"/>
      <c r="UDJ1036" s="1610"/>
      <c r="UDK1036" s="1610"/>
      <c r="UDL1036" s="1610"/>
      <c r="UDM1036" s="1610"/>
      <c r="UDN1036" s="1610"/>
      <c r="UDO1036" s="1610"/>
      <c r="UDP1036" s="1610"/>
      <c r="UDQ1036" s="1610"/>
      <c r="UDR1036" s="1610"/>
      <c r="UDS1036" s="1610"/>
      <c r="UDT1036" s="1610"/>
      <c r="UDU1036" s="1610"/>
      <c r="UDV1036" s="1610"/>
      <c r="UDW1036" s="1610"/>
      <c r="UDX1036" s="1610"/>
      <c r="UDY1036" s="1610"/>
      <c r="UDZ1036" s="1610"/>
      <c r="UEA1036" s="1610"/>
      <c r="UEB1036" s="1610"/>
      <c r="UEC1036" s="1610"/>
      <c r="UED1036" s="1610"/>
      <c r="UEE1036" s="1610"/>
      <c r="UEF1036" s="1610"/>
      <c r="UEG1036" s="1610"/>
      <c r="UEH1036" s="1610"/>
      <c r="UEI1036" s="1610"/>
      <c r="UEJ1036" s="1610"/>
      <c r="UEK1036" s="1610"/>
      <c r="UEL1036" s="1610"/>
      <c r="UEM1036" s="1610"/>
      <c r="UEN1036" s="1610"/>
      <c r="UEO1036" s="1610"/>
      <c r="UEP1036" s="1610"/>
      <c r="UEQ1036" s="1610"/>
      <c r="UER1036" s="1610"/>
      <c r="UES1036" s="1610"/>
      <c r="UET1036" s="1610"/>
      <c r="UEU1036" s="1610"/>
      <c r="UEV1036" s="1610"/>
      <c r="UEW1036" s="1610"/>
      <c r="UEX1036" s="1610"/>
      <c r="UEY1036" s="1610"/>
      <c r="UEZ1036" s="1610"/>
      <c r="UFA1036" s="1610"/>
      <c r="UFB1036" s="1610"/>
      <c r="UFC1036" s="1610"/>
      <c r="UFD1036" s="1610"/>
      <c r="UFE1036" s="1610"/>
      <c r="UFF1036" s="1610"/>
      <c r="UFG1036" s="1610"/>
      <c r="UFH1036" s="1610"/>
      <c r="UFI1036" s="1610"/>
      <c r="UFJ1036" s="1610"/>
      <c r="UFK1036" s="1610"/>
      <c r="UFL1036" s="1610"/>
      <c r="UFM1036" s="1610"/>
      <c r="UFN1036" s="1610"/>
      <c r="UFO1036" s="1610"/>
      <c r="UFP1036" s="1610"/>
      <c r="UFQ1036" s="1610"/>
      <c r="UFR1036" s="1610"/>
      <c r="UFS1036" s="1610"/>
      <c r="UFT1036" s="1610"/>
      <c r="UFU1036" s="1610"/>
      <c r="UFV1036" s="1610"/>
      <c r="UFW1036" s="1610"/>
      <c r="UFX1036" s="1610"/>
      <c r="UFY1036" s="1610"/>
      <c r="UFZ1036" s="1610"/>
      <c r="UGA1036" s="1610"/>
      <c r="UGB1036" s="1610"/>
      <c r="UGC1036" s="1610"/>
      <c r="UGD1036" s="1610"/>
      <c r="UGE1036" s="1610"/>
      <c r="UGF1036" s="1610"/>
      <c r="UGG1036" s="1610"/>
      <c r="UGH1036" s="1610"/>
      <c r="UGI1036" s="1610"/>
      <c r="UGJ1036" s="1610"/>
      <c r="UGK1036" s="1610"/>
      <c r="UGL1036" s="1610"/>
      <c r="UGM1036" s="1610"/>
      <c r="UGN1036" s="1610"/>
      <c r="UGO1036" s="1610"/>
      <c r="UGP1036" s="1610"/>
      <c r="UGQ1036" s="1610"/>
      <c r="UGR1036" s="1610"/>
      <c r="UGS1036" s="1610"/>
      <c r="UGT1036" s="1610"/>
      <c r="UGU1036" s="1610"/>
      <c r="UGV1036" s="1610"/>
      <c r="UGW1036" s="1610"/>
      <c r="UGX1036" s="1610"/>
      <c r="UGY1036" s="1610"/>
      <c r="UGZ1036" s="1610"/>
      <c r="UHA1036" s="1610"/>
      <c r="UHB1036" s="1610"/>
      <c r="UHC1036" s="1610"/>
      <c r="UHD1036" s="1610"/>
      <c r="UHE1036" s="1610"/>
      <c r="UHF1036" s="1610"/>
      <c r="UHG1036" s="1610"/>
      <c r="UHH1036" s="1610"/>
      <c r="UHI1036" s="1610"/>
      <c r="UHJ1036" s="1610"/>
      <c r="UHK1036" s="1610"/>
      <c r="UHL1036" s="1610"/>
      <c r="UHM1036" s="1610"/>
      <c r="UHN1036" s="1610"/>
      <c r="UHO1036" s="1610"/>
      <c r="UHP1036" s="1610"/>
      <c r="UHQ1036" s="1610"/>
      <c r="UHR1036" s="1610"/>
      <c r="UHS1036" s="1610"/>
      <c r="UHT1036" s="1610"/>
      <c r="UHU1036" s="1610"/>
      <c r="UHV1036" s="1610"/>
      <c r="UHW1036" s="1610"/>
      <c r="UHX1036" s="1610"/>
      <c r="UHY1036" s="1610"/>
      <c r="UHZ1036" s="1610"/>
      <c r="UIA1036" s="1610"/>
      <c r="UIB1036" s="1610"/>
      <c r="UIC1036" s="1610"/>
      <c r="UID1036" s="1610"/>
      <c r="UIE1036" s="1610"/>
      <c r="UIF1036" s="1610"/>
      <c r="UIG1036" s="1610"/>
      <c r="UIH1036" s="1610"/>
      <c r="UII1036" s="1610"/>
      <c r="UIJ1036" s="1610"/>
      <c r="UIK1036" s="1610"/>
      <c r="UIL1036" s="1610"/>
      <c r="UIM1036" s="1610"/>
      <c r="UIN1036" s="1610"/>
      <c r="UIO1036" s="1610"/>
      <c r="UIP1036" s="1610"/>
      <c r="UIQ1036" s="1610"/>
      <c r="UIR1036" s="1610"/>
      <c r="UIS1036" s="1610"/>
      <c r="UIT1036" s="1610"/>
      <c r="UIU1036" s="1610"/>
      <c r="UIV1036" s="1610"/>
      <c r="UIW1036" s="1610"/>
      <c r="UIX1036" s="1610"/>
      <c r="UIY1036" s="1610"/>
      <c r="UIZ1036" s="1610"/>
      <c r="UJA1036" s="1610"/>
      <c r="UJB1036" s="1610"/>
      <c r="UJC1036" s="1610"/>
      <c r="UJD1036" s="1610"/>
      <c r="UJE1036" s="1610"/>
      <c r="UJF1036" s="1610"/>
      <c r="UJG1036" s="1610"/>
      <c r="UJH1036" s="1610"/>
      <c r="UJI1036" s="1610"/>
      <c r="UJJ1036" s="1610"/>
      <c r="UJK1036" s="1610"/>
      <c r="UJL1036" s="1610"/>
      <c r="UJM1036" s="1610"/>
      <c r="UJN1036" s="1610"/>
      <c r="UJO1036" s="1610"/>
      <c r="UJP1036" s="1610"/>
      <c r="UJQ1036" s="1610"/>
      <c r="UJR1036" s="1610"/>
      <c r="UJS1036" s="1610"/>
      <c r="UJT1036" s="1610"/>
      <c r="UJU1036" s="1610"/>
      <c r="UJV1036" s="1610"/>
      <c r="UJW1036" s="1610"/>
      <c r="UJX1036" s="1610"/>
      <c r="UJY1036" s="1610"/>
      <c r="UJZ1036" s="1610"/>
      <c r="UKA1036" s="1610"/>
      <c r="UKB1036" s="1610"/>
      <c r="UKC1036" s="1610"/>
      <c r="UKD1036" s="1610"/>
      <c r="UKE1036" s="1610"/>
      <c r="UKF1036" s="1610"/>
      <c r="UKG1036" s="1610"/>
      <c r="UKH1036" s="1610"/>
      <c r="UKI1036" s="1610"/>
      <c r="UKJ1036" s="1610"/>
      <c r="UKK1036" s="1610"/>
      <c r="UKL1036" s="1610"/>
      <c r="UKM1036" s="1610"/>
      <c r="UKN1036" s="1610"/>
      <c r="UKO1036" s="1610"/>
      <c r="UKP1036" s="1610"/>
      <c r="UKQ1036" s="1610"/>
      <c r="UKR1036" s="1610"/>
      <c r="UKS1036" s="1610"/>
      <c r="UKT1036" s="1610"/>
      <c r="UKU1036" s="1610"/>
      <c r="UKV1036" s="1610"/>
      <c r="UKW1036" s="1610"/>
      <c r="UKX1036" s="1610"/>
      <c r="UKY1036" s="1610"/>
      <c r="UKZ1036" s="1610"/>
      <c r="ULA1036" s="1610"/>
      <c r="ULB1036" s="1610"/>
      <c r="ULC1036" s="1610"/>
      <c r="ULD1036" s="1610"/>
      <c r="ULE1036" s="1610"/>
      <c r="ULF1036" s="1610"/>
      <c r="ULG1036" s="1610"/>
      <c r="ULH1036" s="1610"/>
      <c r="ULI1036" s="1610"/>
      <c r="ULJ1036" s="1610"/>
      <c r="ULK1036" s="1610"/>
      <c r="ULL1036" s="1610"/>
      <c r="ULM1036" s="1610"/>
      <c r="ULN1036" s="1610"/>
      <c r="ULO1036" s="1610"/>
      <c r="ULP1036" s="1610"/>
      <c r="ULQ1036" s="1610"/>
      <c r="ULR1036" s="1610"/>
      <c r="ULS1036" s="1610"/>
      <c r="ULT1036" s="1610"/>
      <c r="ULU1036" s="1610"/>
      <c r="ULV1036" s="1610"/>
      <c r="ULW1036" s="1610"/>
      <c r="ULX1036" s="1610"/>
      <c r="ULY1036" s="1610"/>
      <c r="ULZ1036" s="1610"/>
      <c r="UMA1036" s="1610"/>
      <c r="UMB1036" s="1610"/>
      <c r="UMC1036" s="1610"/>
      <c r="UMD1036" s="1610"/>
      <c r="UME1036" s="1610"/>
      <c r="UMF1036" s="1610"/>
      <c r="UMG1036" s="1610"/>
      <c r="UMH1036" s="1610"/>
      <c r="UMI1036" s="1610"/>
      <c r="UMJ1036" s="1610"/>
      <c r="UMK1036" s="1610"/>
      <c r="UML1036" s="1610"/>
      <c r="UMM1036" s="1610"/>
      <c r="UMN1036" s="1610"/>
      <c r="UMO1036" s="1610"/>
      <c r="UMP1036" s="1610"/>
      <c r="UMQ1036" s="1610"/>
      <c r="UMR1036" s="1610"/>
      <c r="UMS1036" s="1610"/>
      <c r="UMT1036" s="1610"/>
      <c r="UMU1036" s="1610"/>
      <c r="UMV1036" s="1610"/>
      <c r="UMW1036" s="1610"/>
      <c r="UMX1036" s="1610"/>
      <c r="UMY1036" s="1610"/>
      <c r="UMZ1036" s="1610"/>
      <c r="UNA1036" s="1610"/>
      <c r="UNB1036" s="1610"/>
      <c r="UNC1036" s="1610"/>
      <c r="UND1036" s="1610"/>
      <c r="UNE1036" s="1610"/>
      <c r="UNF1036" s="1610"/>
      <c r="UNG1036" s="1610"/>
      <c r="UNH1036" s="1610"/>
      <c r="UNI1036" s="1610"/>
      <c r="UNJ1036" s="1610"/>
      <c r="UNK1036" s="1610"/>
      <c r="UNL1036" s="1610"/>
      <c r="UNM1036" s="1610"/>
      <c r="UNN1036" s="1610"/>
      <c r="UNO1036" s="1610"/>
      <c r="UNP1036" s="1610"/>
      <c r="UNQ1036" s="1610"/>
      <c r="UNR1036" s="1610"/>
      <c r="UNS1036" s="1610"/>
      <c r="UNT1036" s="1610"/>
      <c r="UNU1036" s="1610"/>
      <c r="UNV1036" s="1610"/>
      <c r="UNW1036" s="1610"/>
      <c r="UNX1036" s="1610"/>
      <c r="UNY1036" s="1610"/>
      <c r="UNZ1036" s="1610"/>
      <c r="UOA1036" s="1610"/>
      <c r="UOB1036" s="1610"/>
      <c r="UOC1036" s="1610"/>
      <c r="UOD1036" s="1610"/>
      <c r="UOE1036" s="1610"/>
      <c r="UOF1036" s="1610"/>
      <c r="UOG1036" s="1610"/>
      <c r="UOH1036" s="1610"/>
      <c r="UOI1036" s="1610"/>
      <c r="UOJ1036" s="1610"/>
      <c r="UOK1036" s="1610"/>
      <c r="UOL1036" s="1610"/>
      <c r="UOM1036" s="1610"/>
      <c r="UON1036" s="1610"/>
      <c r="UOO1036" s="1610"/>
      <c r="UOP1036" s="1610"/>
      <c r="UOQ1036" s="1610"/>
      <c r="UOR1036" s="1610"/>
      <c r="UOS1036" s="1610"/>
      <c r="UOT1036" s="1610"/>
      <c r="UOU1036" s="1610"/>
      <c r="UOV1036" s="1610"/>
      <c r="UOW1036" s="1610"/>
      <c r="UOX1036" s="1610"/>
      <c r="UOY1036" s="1610"/>
      <c r="UOZ1036" s="1610"/>
      <c r="UPA1036" s="1610"/>
      <c r="UPB1036" s="1610"/>
      <c r="UPC1036" s="1610"/>
      <c r="UPD1036" s="1610"/>
      <c r="UPE1036" s="1610"/>
      <c r="UPF1036" s="1610"/>
      <c r="UPG1036" s="1610"/>
      <c r="UPH1036" s="1610"/>
      <c r="UPI1036" s="1610"/>
      <c r="UPJ1036" s="1610"/>
      <c r="UPK1036" s="1610"/>
      <c r="UPL1036" s="1610"/>
      <c r="UPM1036" s="1610"/>
      <c r="UPN1036" s="1610"/>
      <c r="UPO1036" s="1610"/>
      <c r="UPP1036" s="1610"/>
      <c r="UPQ1036" s="1610"/>
      <c r="UPR1036" s="1610"/>
      <c r="UPS1036" s="1610"/>
      <c r="UPT1036" s="1610"/>
      <c r="UPU1036" s="1610"/>
      <c r="UPV1036" s="1610"/>
      <c r="UPW1036" s="1610"/>
      <c r="UPX1036" s="1610"/>
      <c r="UPY1036" s="1610"/>
      <c r="UPZ1036" s="1610"/>
      <c r="UQA1036" s="1610"/>
      <c r="UQB1036" s="1610"/>
      <c r="UQC1036" s="1610"/>
      <c r="UQD1036" s="1610"/>
      <c r="UQE1036" s="1610"/>
      <c r="UQF1036" s="1610"/>
      <c r="UQG1036" s="1610"/>
      <c r="UQH1036" s="1610"/>
      <c r="UQI1036" s="1610"/>
      <c r="UQJ1036" s="1610"/>
      <c r="UQK1036" s="1610"/>
      <c r="UQL1036" s="1610"/>
      <c r="UQM1036" s="1610"/>
      <c r="UQN1036" s="1610"/>
      <c r="UQO1036" s="1610"/>
      <c r="UQP1036" s="1610"/>
      <c r="UQQ1036" s="1610"/>
      <c r="UQR1036" s="1610"/>
      <c r="UQS1036" s="1610"/>
      <c r="UQT1036" s="1610"/>
      <c r="UQU1036" s="1610"/>
      <c r="UQV1036" s="1610"/>
      <c r="UQW1036" s="1610"/>
      <c r="UQX1036" s="1610"/>
      <c r="UQY1036" s="1610"/>
      <c r="UQZ1036" s="1610"/>
      <c r="URA1036" s="1610"/>
      <c r="URB1036" s="1610"/>
      <c r="URC1036" s="1610"/>
      <c r="URD1036" s="1610"/>
      <c r="URE1036" s="1610"/>
      <c r="URF1036" s="1610"/>
      <c r="URG1036" s="1610"/>
      <c r="URH1036" s="1610"/>
      <c r="URI1036" s="1610"/>
      <c r="URJ1036" s="1610"/>
      <c r="URK1036" s="1610"/>
      <c r="URL1036" s="1610"/>
      <c r="URM1036" s="1610"/>
      <c r="URN1036" s="1610"/>
      <c r="URO1036" s="1610"/>
      <c r="URP1036" s="1610"/>
      <c r="URQ1036" s="1610"/>
      <c r="URR1036" s="1610"/>
      <c r="URS1036" s="1610"/>
      <c r="URT1036" s="1610"/>
      <c r="URU1036" s="1610"/>
      <c r="URV1036" s="1610"/>
      <c r="URW1036" s="1610"/>
      <c r="URX1036" s="1610"/>
      <c r="URY1036" s="1610"/>
      <c r="URZ1036" s="1610"/>
      <c r="USA1036" s="1610"/>
      <c r="USB1036" s="1610"/>
      <c r="USC1036" s="1610"/>
      <c r="USD1036" s="1610"/>
      <c r="USE1036" s="1610"/>
      <c r="USF1036" s="1610"/>
      <c r="USG1036" s="1610"/>
      <c r="USH1036" s="1610"/>
      <c r="USI1036" s="1610"/>
      <c r="USJ1036" s="1610"/>
      <c r="USK1036" s="1610"/>
      <c r="USL1036" s="1610"/>
      <c r="USM1036" s="1610"/>
      <c r="USN1036" s="1610"/>
      <c r="USO1036" s="1610"/>
      <c r="USP1036" s="1610"/>
      <c r="USQ1036" s="1610"/>
      <c r="USR1036" s="1610"/>
      <c r="USS1036" s="1610"/>
      <c r="UST1036" s="1610"/>
      <c r="USU1036" s="1610"/>
      <c r="USV1036" s="1610"/>
      <c r="USW1036" s="1610"/>
      <c r="USX1036" s="1610"/>
      <c r="USY1036" s="1610"/>
      <c r="USZ1036" s="1610"/>
      <c r="UTA1036" s="1610"/>
      <c r="UTB1036" s="1610"/>
      <c r="UTC1036" s="1610"/>
      <c r="UTD1036" s="1610"/>
      <c r="UTE1036" s="1610"/>
      <c r="UTF1036" s="1610"/>
      <c r="UTG1036" s="1610"/>
      <c r="UTH1036" s="1610"/>
      <c r="UTI1036" s="1610"/>
      <c r="UTJ1036" s="1610"/>
      <c r="UTK1036" s="1610"/>
      <c r="UTL1036" s="1610"/>
      <c r="UTM1036" s="1610"/>
      <c r="UTN1036" s="1610"/>
      <c r="UTO1036" s="1610"/>
      <c r="UTP1036" s="1610"/>
      <c r="UTQ1036" s="1610"/>
      <c r="UTR1036" s="1610"/>
      <c r="UTS1036" s="1610"/>
      <c r="UTT1036" s="1610"/>
      <c r="UTU1036" s="1610"/>
      <c r="UTV1036" s="1610"/>
      <c r="UTW1036" s="1610"/>
      <c r="UTX1036" s="1610"/>
      <c r="UTY1036" s="1610"/>
      <c r="UTZ1036" s="1610"/>
      <c r="UUA1036" s="1610"/>
      <c r="UUB1036" s="1610"/>
      <c r="UUC1036" s="1610"/>
      <c r="UUD1036" s="1610"/>
      <c r="UUE1036" s="1610"/>
      <c r="UUF1036" s="1610"/>
      <c r="UUG1036" s="1610"/>
      <c r="UUH1036" s="1610"/>
      <c r="UUI1036" s="1610"/>
      <c r="UUJ1036" s="1610"/>
      <c r="UUK1036" s="1610"/>
      <c r="UUL1036" s="1610"/>
      <c r="UUM1036" s="1610"/>
      <c r="UUN1036" s="1610"/>
      <c r="UUO1036" s="1610"/>
      <c r="UUP1036" s="1610"/>
      <c r="UUQ1036" s="1610"/>
      <c r="UUR1036" s="1610"/>
      <c r="UUS1036" s="1610"/>
      <c r="UUT1036" s="1610"/>
      <c r="UUU1036" s="1610"/>
      <c r="UUV1036" s="1610"/>
      <c r="UUW1036" s="1610"/>
      <c r="UUX1036" s="1610"/>
      <c r="UUY1036" s="1610"/>
      <c r="UUZ1036" s="1610"/>
      <c r="UVA1036" s="1610"/>
      <c r="UVB1036" s="1610"/>
      <c r="UVC1036" s="1610"/>
      <c r="UVD1036" s="1610"/>
      <c r="UVE1036" s="1610"/>
      <c r="UVF1036" s="1610"/>
      <c r="UVG1036" s="1610"/>
      <c r="UVH1036" s="1610"/>
      <c r="UVI1036" s="1610"/>
      <c r="UVJ1036" s="1610"/>
      <c r="UVK1036" s="1610"/>
      <c r="UVL1036" s="1610"/>
      <c r="UVM1036" s="1610"/>
      <c r="UVN1036" s="1610"/>
      <c r="UVO1036" s="1610"/>
      <c r="UVP1036" s="1610"/>
      <c r="UVQ1036" s="1610"/>
      <c r="UVR1036" s="1610"/>
      <c r="UVS1036" s="1610"/>
      <c r="UVT1036" s="1610"/>
      <c r="UVU1036" s="1610"/>
      <c r="UVV1036" s="1610"/>
      <c r="UVW1036" s="1610"/>
      <c r="UVX1036" s="1610"/>
      <c r="UVY1036" s="1610"/>
      <c r="UVZ1036" s="1610"/>
      <c r="UWA1036" s="1610"/>
      <c r="UWB1036" s="1610"/>
      <c r="UWC1036" s="1610"/>
      <c r="UWD1036" s="1610"/>
      <c r="UWE1036" s="1610"/>
      <c r="UWF1036" s="1610"/>
      <c r="UWG1036" s="1610"/>
      <c r="UWH1036" s="1610"/>
      <c r="UWI1036" s="1610"/>
      <c r="UWJ1036" s="1610"/>
      <c r="UWK1036" s="1610"/>
      <c r="UWL1036" s="1610"/>
      <c r="UWM1036" s="1610"/>
      <c r="UWN1036" s="1610"/>
      <c r="UWO1036" s="1610"/>
      <c r="UWP1036" s="1610"/>
      <c r="UWQ1036" s="1610"/>
      <c r="UWR1036" s="1610"/>
      <c r="UWS1036" s="1610"/>
      <c r="UWT1036" s="1610"/>
      <c r="UWU1036" s="1610"/>
      <c r="UWV1036" s="1610"/>
      <c r="UWW1036" s="1610"/>
      <c r="UWX1036" s="1610"/>
      <c r="UWY1036" s="1610"/>
      <c r="UWZ1036" s="1610"/>
      <c r="UXA1036" s="1610"/>
      <c r="UXB1036" s="1610"/>
      <c r="UXC1036" s="1610"/>
      <c r="UXD1036" s="1610"/>
      <c r="UXE1036" s="1610"/>
      <c r="UXF1036" s="1610"/>
      <c r="UXG1036" s="1610"/>
      <c r="UXH1036" s="1610"/>
      <c r="UXI1036" s="1610"/>
      <c r="UXJ1036" s="1610"/>
      <c r="UXK1036" s="1610"/>
      <c r="UXL1036" s="1610"/>
      <c r="UXM1036" s="1610"/>
      <c r="UXN1036" s="1610"/>
      <c r="UXO1036" s="1610"/>
      <c r="UXP1036" s="1610"/>
      <c r="UXQ1036" s="1610"/>
      <c r="UXR1036" s="1610"/>
      <c r="UXS1036" s="1610"/>
      <c r="UXT1036" s="1610"/>
      <c r="UXU1036" s="1610"/>
      <c r="UXV1036" s="1610"/>
      <c r="UXW1036" s="1610"/>
      <c r="UXX1036" s="1610"/>
      <c r="UXY1036" s="1610"/>
      <c r="UXZ1036" s="1610"/>
      <c r="UYA1036" s="1610"/>
      <c r="UYB1036" s="1610"/>
      <c r="UYC1036" s="1610"/>
      <c r="UYD1036" s="1610"/>
      <c r="UYE1036" s="1610"/>
      <c r="UYF1036" s="1610"/>
      <c r="UYG1036" s="1610"/>
      <c r="UYH1036" s="1610"/>
      <c r="UYI1036" s="1610"/>
      <c r="UYJ1036" s="1610"/>
      <c r="UYK1036" s="1610"/>
      <c r="UYL1036" s="1610"/>
      <c r="UYM1036" s="1610"/>
      <c r="UYN1036" s="1610"/>
      <c r="UYO1036" s="1610"/>
      <c r="UYP1036" s="1610"/>
      <c r="UYQ1036" s="1610"/>
      <c r="UYR1036" s="1610"/>
      <c r="UYS1036" s="1610"/>
      <c r="UYT1036" s="1610"/>
      <c r="UYU1036" s="1610"/>
      <c r="UYV1036" s="1610"/>
      <c r="UYW1036" s="1610"/>
      <c r="UYX1036" s="1610"/>
      <c r="UYY1036" s="1610"/>
      <c r="UYZ1036" s="1610"/>
      <c r="UZA1036" s="1610"/>
      <c r="UZB1036" s="1610"/>
      <c r="UZC1036" s="1610"/>
      <c r="UZD1036" s="1610"/>
      <c r="UZE1036" s="1610"/>
      <c r="UZF1036" s="1610"/>
      <c r="UZG1036" s="1610"/>
      <c r="UZH1036" s="1610"/>
      <c r="UZI1036" s="1610"/>
      <c r="UZJ1036" s="1610"/>
      <c r="UZK1036" s="1610"/>
      <c r="UZL1036" s="1610"/>
      <c r="UZM1036" s="1610"/>
      <c r="UZN1036" s="1610"/>
      <c r="UZO1036" s="1610"/>
      <c r="UZP1036" s="1610"/>
      <c r="UZQ1036" s="1610"/>
      <c r="UZR1036" s="1610"/>
      <c r="UZS1036" s="1610"/>
      <c r="UZT1036" s="1610"/>
      <c r="UZU1036" s="1610"/>
      <c r="UZV1036" s="1610"/>
      <c r="UZW1036" s="1610"/>
      <c r="UZX1036" s="1610"/>
      <c r="UZY1036" s="1610"/>
      <c r="UZZ1036" s="1610"/>
      <c r="VAA1036" s="1610"/>
      <c r="VAB1036" s="1610"/>
      <c r="VAC1036" s="1610"/>
      <c r="VAD1036" s="1610"/>
      <c r="VAE1036" s="1610"/>
      <c r="VAF1036" s="1610"/>
      <c r="VAG1036" s="1610"/>
      <c r="VAH1036" s="1610"/>
      <c r="VAI1036" s="1610"/>
      <c r="VAJ1036" s="1610"/>
      <c r="VAK1036" s="1610"/>
      <c r="VAL1036" s="1610"/>
      <c r="VAM1036" s="1610"/>
      <c r="VAN1036" s="1610"/>
      <c r="VAO1036" s="1610"/>
      <c r="VAP1036" s="1610"/>
      <c r="VAQ1036" s="1610"/>
      <c r="VAR1036" s="1610"/>
      <c r="VAS1036" s="1610"/>
      <c r="VAT1036" s="1610"/>
      <c r="VAU1036" s="1610"/>
      <c r="VAV1036" s="1610"/>
      <c r="VAW1036" s="1610"/>
      <c r="VAX1036" s="1610"/>
      <c r="VAY1036" s="1610"/>
      <c r="VAZ1036" s="1610"/>
      <c r="VBA1036" s="1610"/>
      <c r="VBB1036" s="1610"/>
      <c r="VBC1036" s="1610"/>
      <c r="VBD1036" s="1610"/>
      <c r="VBE1036" s="1610"/>
      <c r="VBF1036" s="1610"/>
      <c r="VBG1036" s="1610"/>
      <c r="VBH1036" s="1610"/>
      <c r="VBI1036" s="1610"/>
      <c r="VBJ1036" s="1610"/>
      <c r="VBK1036" s="1610"/>
      <c r="VBL1036" s="1610"/>
      <c r="VBM1036" s="1610"/>
      <c r="VBN1036" s="1610"/>
      <c r="VBO1036" s="1610"/>
      <c r="VBP1036" s="1610"/>
      <c r="VBQ1036" s="1610"/>
      <c r="VBR1036" s="1610"/>
      <c r="VBS1036" s="1610"/>
      <c r="VBT1036" s="1610"/>
      <c r="VBU1036" s="1610"/>
      <c r="VBV1036" s="1610"/>
      <c r="VBW1036" s="1610"/>
      <c r="VBX1036" s="1610"/>
      <c r="VBY1036" s="1610"/>
      <c r="VBZ1036" s="1610"/>
      <c r="VCA1036" s="1610"/>
      <c r="VCB1036" s="1610"/>
      <c r="VCC1036" s="1610"/>
      <c r="VCD1036" s="1610"/>
      <c r="VCE1036" s="1610"/>
      <c r="VCF1036" s="1610"/>
      <c r="VCG1036" s="1610"/>
      <c r="VCH1036" s="1610"/>
      <c r="VCI1036" s="1610"/>
      <c r="VCJ1036" s="1610"/>
      <c r="VCK1036" s="1610"/>
      <c r="VCL1036" s="1610"/>
      <c r="VCM1036" s="1610"/>
      <c r="VCN1036" s="1610"/>
      <c r="VCO1036" s="1610"/>
      <c r="VCP1036" s="1610"/>
      <c r="VCQ1036" s="1610"/>
      <c r="VCR1036" s="1610"/>
      <c r="VCS1036" s="1610"/>
      <c r="VCT1036" s="1610"/>
      <c r="VCU1036" s="1610"/>
      <c r="VCV1036" s="1610"/>
      <c r="VCW1036" s="1610"/>
      <c r="VCX1036" s="1610"/>
      <c r="VCY1036" s="1610"/>
      <c r="VCZ1036" s="1610"/>
      <c r="VDA1036" s="1610"/>
      <c r="VDB1036" s="1610"/>
      <c r="VDC1036" s="1610"/>
      <c r="VDD1036" s="1610"/>
      <c r="VDE1036" s="1610"/>
      <c r="VDF1036" s="1610"/>
      <c r="VDG1036" s="1610"/>
      <c r="VDH1036" s="1610"/>
      <c r="VDI1036" s="1610"/>
      <c r="VDJ1036" s="1610"/>
      <c r="VDK1036" s="1610"/>
      <c r="VDL1036" s="1610"/>
      <c r="VDM1036" s="1610"/>
      <c r="VDN1036" s="1610"/>
      <c r="VDO1036" s="1610"/>
      <c r="VDP1036" s="1610"/>
      <c r="VDQ1036" s="1610"/>
      <c r="VDR1036" s="1610"/>
      <c r="VDS1036" s="1610"/>
      <c r="VDT1036" s="1610"/>
      <c r="VDU1036" s="1610"/>
      <c r="VDV1036" s="1610"/>
      <c r="VDW1036" s="1610"/>
      <c r="VDX1036" s="1610"/>
      <c r="VDY1036" s="1610"/>
      <c r="VDZ1036" s="1610"/>
      <c r="VEA1036" s="1610"/>
      <c r="VEB1036" s="1610"/>
      <c r="VEC1036" s="1610"/>
      <c r="VED1036" s="1610"/>
      <c r="VEE1036" s="1610"/>
      <c r="VEF1036" s="1610"/>
      <c r="VEG1036" s="1610"/>
      <c r="VEH1036" s="1610"/>
      <c r="VEI1036" s="1610"/>
      <c r="VEJ1036" s="1610"/>
      <c r="VEK1036" s="1610"/>
      <c r="VEL1036" s="1610"/>
      <c r="VEM1036" s="1610"/>
      <c r="VEN1036" s="1610"/>
      <c r="VEO1036" s="1610"/>
      <c r="VEP1036" s="1610"/>
      <c r="VEQ1036" s="1610"/>
      <c r="VER1036" s="1610"/>
      <c r="VES1036" s="1610"/>
      <c r="VET1036" s="1610"/>
      <c r="VEU1036" s="1610"/>
      <c r="VEV1036" s="1610"/>
      <c r="VEW1036" s="1610"/>
      <c r="VEX1036" s="1610"/>
      <c r="VEY1036" s="1610"/>
      <c r="VEZ1036" s="1610"/>
      <c r="VFA1036" s="1610"/>
      <c r="VFB1036" s="1610"/>
      <c r="VFC1036" s="1610"/>
      <c r="VFD1036" s="1610"/>
      <c r="VFE1036" s="1610"/>
      <c r="VFF1036" s="1610"/>
      <c r="VFG1036" s="1610"/>
      <c r="VFH1036" s="1610"/>
      <c r="VFI1036" s="1610"/>
      <c r="VFJ1036" s="1610"/>
      <c r="VFK1036" s="1610"/>
      <c r="VFL1036" s="1610"/>
      <c r="VFM1036" s="1610"/>
      <c r="VFN1036" s="1610"/>
      <c r="VFO1036" s="1610"/>
      <c r="VFP1036" s="1610"/>
      <c r="VFQ1036" s="1610"/>
      <c r="VFR1036" s="1610"/>
      <c r="VFS1036" s="1610"/>
      <c r="VFT1036" s="1610"/>
      <c r="VFU1036" s="1610"/>
      <c r="VFV1036" s="1610"/>
      <c r="VFW1036" s="1610"/>
      <c r="VFX1036" s="1610"/>
      <c r="VFY1036" s="1610"/>
      <c r="VFZ1036" s="1610"/>
      <c r="VGA1036" s="1610"/>
      <c r="VGB1036" s="1610"/>
      <c r="VGC1036" s="1610"/>
      <c r="VGD1036" s="1610"/>
      <c r="VGE1036" s="1610"/>
      <c r="VGF1036" s="1610"/>
      <c r="VGG1036" s="1610"/>
      <c r="VGH1036" s="1610"/>
      <c r="VGI1036" s="1610"/>
      <c r="VGJ1036" s="1610"/>
      <c r="VGK1036" s="1610"/>
      <c r="VGL1036" s="1610"/>
      <c r="VGM1036" s="1610"/>
      <c r="VGN1036" s="1610"/>
      <c r="VGO1036" s="1610"/>
      <c r="VGP1036" s="1610"/>
      <c r="VGQ1036" s="1610"/>
      <c r="VGR1036" s="1610"/>
      <c r="VGS1036" s="1610"/>
      <c r="VGT1036" s="1610"/>
      <c r="VGU1036" s="1610"/>
      <c r="VGV1036" s="1610"/>
      <c r="VGW1036" s="1610"/>
      <c r="VGX1036" s="1610"/>
      <c r="VGY1036" s="1610"/>
      <c r="VGZ1036" s="1610"/>
      <c r="VHA1036" s="1610"/>
      <c r="VHB1036" s="1610"/>
      <c r="VHC1036" s="1610"/>
      <c r="VHD1036" s="1610"/>
      <c r="VHE1036" s="1610"/>
      <c r="VHF1036" s="1610"/>
      <c r="VHG1036" s="1610"/>
      <c r="VHH1036" s="1610"/>
      <c r="VHI1036" s="1610"/>
      <c r="VHJ1036" s="1610"/>
      <c r="VHK1036" s="1610"/>
      <c r="VHL1036" s="1610"/>
      <c r="VHM1036" s="1610"/>
      <c r="VHN1036" s="1610"/>
      <c r="VHO1036" s="1610"/>
      <c r="VHP1036" s="1610"/>
      <c r="VHQ1036" s="1610"/>
      <c r="VHR1036" s="1610"/>
      <c r="VHS1036" s="1610"/>
      <c r="VHT1036" s="1610"/>
      <c r="VHU1036" s="1610"/>
      <c r="VHV1036" s="1610"/>
      <c r="VHW1036" s="1610"/>
      <c r="VHX1036" s="1610"/>
      <c r="VHY1036" s="1610"/>
      <c r="VHZ1036" s="1610"/>
      <c r="VIA1036" s="1610"/>
      <c r="VIB1036" s="1610"/>
      <c r="VIC1036" s="1610"/>
      <c r="VID1036" s="1610"/>
      <c r="VIE1036" s="1610"/>
      <c r="VIF1036" s="1610"/>
      <c r="VIG1036" s="1610"/>
      <c r="VIH1036" s="1610"/>
      <c r="VII1036" s="1610"/>
      <c r="VIJ1036" s="1610"/>
      <c r="VIK1036" s="1610"/>
      <c r="VIL1036" s="1610"/>
      <c r="VIM1036" s="1610"/>
      <c r="VIN1036" s="1610"/>
      <c r="VIO1036" s="1610"/>
      <c r="VIP1036" s="1610"/>
      <c r="VIQ1036" s="1610"/>
      <c r="VIR1036" s="1610"/>
      <c r="VIS1036" s="1610"/>
      <c r="VIT1036" s="1610"/>
      <c r="VIU1036" s="1610"/>
      <c r="VIV1036" s="1610"/>
      <c r="VIW1036" s="1610"/>
      <c r="VIX1036" s="1610"/>
      <c r="VIY1036" s="1610"/>
      <c r="VIZ1036" s="1610"/>
      <c r="VJA1036" s="1610"/>
      <c r="VJB1036" s="1610"/>
      <c r="VJC1036" s="1610"/>
      <c r="VJD1036" s="1610"/>
      <c r="VJE1036" s="1610"/>
      <c r="VJF1036" s="1610"/>
      <c r="VJG1036" s="1610"/>
      <c r="VJH1036" s="1610"/>
      <c r="VJI1036" s="1610"/>
      <c r="VJJ1036" s="1610"/>
      <c r="VJK1036" s="1610"/>
      <c r="VJL1036" s="1610"/>
      <c r="VJM1036" s="1610"/>
      <c r="VJN1036" s="1610"/>
      <c r="VJO1036" s="1610"/>
      <c r="VJP1036" s="1610"/>
      <c r="VJQ1036" s="1610"/>
      <c r="VJR1036" s="1610"/>
      <c r="VJS1036" s="1610"/>
      <c r="VJT1036" s="1610"/>
      <c r="VJU1036" s="1610"/>
      <c r="VJV1036" s="1610"/>
      <c r="VJW1036" s="1610"/>
      <c r="VJX1036" s="1610"/>
      <c r="VJY1036" s="1610"/>
      <c r="VJZ1036" s="1610"/>
      <c r="VKA1036" s="1610"/>
      <c r="VKB1036" s="1610"/>
      <c r="VKC1036" s="1610"/>
      <c r="VKD1036" s="1610"/>
      <c r="VKE1036" s="1610"/>
      <c r="VKF1036" s="1610"/>
      <c r="VKG1036" s="1610"/>
      <c r="VKH1036" s="1610"/>
      <c r="VKI1036" s="1610"/>
      <c r="VKJ1036" s="1610"/>
      <c r="VKK1036" s="1610"/>
      <c r="VKL1036" s="1610"/>
      <c r="VKM1036" s="1610"/>
      <c r="VKN1036" s="1610"/>
      <c r="VKO1036" s="1610"/>
      <c r="VKP1036" s="1610"/>
      <c r="VKQ1036" s="1610"/>
      <c r="VKR1036" s="1610"/>
      <c r="VKS1036" s="1610"/>
      <c r="VKT1036" s="1610"/>
      <c r="VKU1036" s="1610"/>
      <c r="VKV1036" s="1610"/>
      <c r="VKW1036" s="1610"/>
      <c r="VKX1036" s="1610"/>
      <c r="VKY1036" s="1610"/>
      <c r="VKZ1036" s="1610"/>
      <c r="VLA1036" s="1610"/>
      <c r="VLB1036" s="1610"/>
      <c r="VLC1036" s="1610"/>
      <c r="VLD1036" s="1610"/>
      <c r="VLE1036" s="1610"/>
      <c r="VLF1036" s="1610"/>
      <c r="VLG1036" s="1610"/>
      <c r="VLH1036" s="1610"/>
      <c r="VLI1036" s="1610"/>
      <c r="VLJ1036" s="1610"/>
      <c r="VLK1036" s="1610"/>
      <c r="VLL1036" s="1610"/>
      <c r="VLM1036" s="1610"/>
      <c r="VLN1036" s="1610"/>
      <c r="VLO1036" s="1610"/>
      <c r="VLP1036" s="1610"/>
      <c r="VLQ1036" s="1610"/>
      <c r="VLR1036" s="1610"/>
      <c r="VLS1036" s="1610"/>
      <c r="VLT1036" s="1610"/>
      <c r="VLU1036" s="1610"/>
      <c r="VLV1036" s="1610"/>
      <c r="VLW1036" s="1610"/>
      <c r="VLX1036" s="1610"/>
      <c r="VLY1036" s="1610"/>
      <c r="VLZ1036" s="1610"/>
      <c r="VMA1036" s="1610"/>
      <c r="VMB1036" s="1610"/>
      <c r="VMC1036" s="1610"/>
      <c r="VMD1036" s="1610"/>
      <c r="VME1036" s="1610"/>
      <c r="VMF1036" s="1610"/>
      <c r="VMG1036" s="1610"/>
      <c r="VMH1036" s="1610"/>
      <c r="VMI1036" s="1610"/>
      <c r="VMJ1036" s="1610"/>
      <c r="VMK1036" s="1610"/>
      <c r="VML1036" s="1610"/>
      <c r="VMM1036" s="1610"/>
      <c r="VMN1036" s="1610"/>
      <c r="VMO1036" s="1610"/>
      <c r="VMP1036" s="1610"/>
      <c r="VMQ1036" s="1610"/>
      <c r="VMR1036" s="1610"/>
      <c r="VMS1036" s="1610"/>
      <c r="VMT1036" s="1610"/>
      <c r="VMU1036" s="1610"/>
      <c r="VMV1036" s="1610"/>
      <c r="VMW1036" s="1610"/>
      <c r="VMX1036" s="1610"/>
      <c r="VMY1036" s="1610"/>
      <c r="VMZ1036" s="1610"/>
      <c r="VNA1036" s="1610"/>
      <c r="VNB1036" s="1610"/>
      <c r="VNC1036" s="1610"/>
      <c r="VND1036" s="1610"/>
      <c r="VNE1036" s="1610"/>
      <c r="VNF1036" s="1610"/>
      <c r="VNG1036" s="1610"/>
      <c r="VNH1036" s="1610"/>
      <c r="VNI1036" s="1610"/>
      <c r="VNJ1036" s="1610"/>
      <c r="VNK1036" s="1610"/>
      <c r="VNL1036" s="1610"/>
      <c r="VNM1036" s="1610"/>
      <c r="VNN1036" s="1610"/>
      <c r="VNO1036" s="1610"/>
      <c r="VNP1036" s="1610"/>
      <c r="VNQ1036" s="1610"/>
      <c r="VNR1036" s="1610"/>
      <c r="VNS1036" s="1610"/>
      <c r="VNT1036" s="1610"/>
      <c r="VNU1036" s="1610"/>
      <c r="VNV1036" s="1610"/>
      <c r="VNW1036" s="1610"/>
      <c r="VNX1036" s="1610"/>
      <c r="VNY1036" s="1610"/>
      <c r="VNZ1036" s="1610"/>
      <c r="VOA1036" s="1610"/>
      <c r="VOB1036" s="1610"/>
      <c r="VOC1036" s="1610"/>
      <c r="VOD1036" s="1610"/>
      <c r="VOE1036" s="1610"/>
      <c r="VOF1036" s="1610"/>
      <c r="VOG1036" s="1610"/>
      <c r="VOH1036" s="1610"/>
      <c r="VOI1036" s="1610"/>
      <c r="VOJ1036" s="1610"/>
      <c r="VOK1036" s="1610"/>
      <c r="VOL1036" s="1610"/>
      <c r="VOM1036" s="1610"/>
      <c r="VON1036" s="1610"/>
      <c r="VOO1036" s="1610"/>
      <c r="VOP1036" s="1610"/>
      <c r="VOQ1036" s="1610"/>
      <c r="VOR1036" s="1610"/>
      <c r="VOS1036" s="1610"/>
      <c r="VOT1036" s="1610"/>
      <c r="VOU1036" s="1610"/>
      <c r="VOV1036" s="1610"/>
      <c r="VOW1036" s="1610"/>
      <c r="VOX1036" s="1610"/>
      <c r="VOY1036" s="1610"/>
      <c r="VOZ1036" s="1610"/>
      <c r="VPA1036" s="1610"/>
      <c r="VPB1036" s="1610"/>
      <c r="VPC1036" s="1610"/>
      <c r="VPD1036" s="1610"/>
      <c r="VPE1036" s="1610"/>
      <c r="VPF1036" s="1610"/>
      <c r="VPG1036" s="1610"/>
      <c r="VPH1036" s="1610"/>
      <c r="VPI1036" s="1610"/>
      <c r="VPJ1036" s="1610"/>
      <c r="VPK1036" s="1610"/>
      <c r="VPL1036" s="1610"/>
      <c r="VPM1036" s="1610"/>
      <c r="VPN1036" s="1610"/>
      <c r="VPO1036" s="1610"/>
      <c r="VPP1036" s="1610"/>
      <c r="VPQ1036" s="1610"/>
      <c r="VPR1036" s="1610"/>
      <c r="VPS1036" s="1610"/>
      <c r="VPT1036" s="1610"/>
      <c r="VPU1036" s="1610"/>
      <c r="VPV1036" s="1610"/>
      <c r="VPW1036" s="1610"/>
      <c r="VPX1036" s="1610"/>
      <c r="VPY1036" s="1610"/>
      <c r="VPZ1036" s="1610"/>
      <c r="VQA1036" s="1610"/>
      <c r="VQB1036" s="1610"/>
      <c r="VQC1036" s="1610"/>
      <c r="VQD1036" s="1610"/>
      <c r="VQE1036" s="1610"/>
      <c r="VQF1036" s="1610"/>
      <c r="VQG1036" s="1610"/>
      <c r="VQH1036" s="1610"/>
      <c r="VQI1036" s="1610"/>
      <c r="VQJ1036" s="1610"/>
      <c r="VQK1036" s="1610"/>
      <c r="VQL1036" s="1610"/>
      <c r="VQM1036" s="1610"/>
      <c r="VQN1036" s="1610"/>
      <c r="VQO1036" s="1610"/>
      <c r="VQP1036" s="1610"/>
      <c r="VQQ1036" s="1610"/>
      <c r="VQR1036" s="1610"/>
      <c r="VQS1036" s="1610"/>
      <c r="VQT1036" s="1610"/>
      <c r="VQU1036" s="1610"/>
      <c r="VQV1036" s="1610"/>
      <c r="VQW1036" s="1610"/>
      <c r="VQX1036" s="1610"/>
      <c r="VQY1036" s="1610"/>
      <c r="VQZ1036" s="1610"/>
      <c r="VRA1036" s="1610"/>
      <c r="VRB1036" s="1610"/>
      <c r="VRC1036" s="1610"/>
      <c r="VRD1036" s="1610"/>
      <c r="VRE1036" s="1610"/>
      <c r="VRF1036" s="1610"/>
      <c r="VRG1036" s="1610"/>
      <c r="VRH1036" s="1610"/>
      <c r="VRI1036" s="1610"/>
      <c r="VRJ1036" s="1610"/>
      <c r="VRK1036" s="1610"/>
      <c r="VRL1036" s="1610"/>
      <c r="VRM1036" s="1610"/>
      <c r="VRN1036" s="1610"/>
      <c r="VRO1036" s="1610"/>
      <c r="VRP1036" s="1610"/>
      <c r="VRQ1036" s="1610"/>
      <c r="VRR1036" s="1610"/>
      <c r="VRS1036" s="1610"/>
      <c r="VRT1036" s="1610"/>
      <c r="VRU1036" s="1610"/>
      <c r="VRV1036" s="1610"/>
      <c r="VRW1036" s="1610"/>
      <c r="VRX1036" s="1610"/>
      <c r="VRY1036" s="1610"/>
      <c r="VRZ1036" s="1610"/>
      <c r="VSA1036" s="1610"/>
      <c r="VSB1036" s="1610"/>
      <c r="VSC1036" s="1610"/>
      <c r="VSD1036" s="1610"/>
      <c r="VSE1036" s="1610"/>
      <c r="VSF1036" s="1610"/>
      <c r="VSG1036" s="1610"/>
      <c r="VSH1036" s="1610"/>
      <c r="VSI1036" s="1610"/>
      <c r="VSJ1036" s="1610"/>
      <c r="VSK1036" s="1610"/>
      <c r="VSL1036" s="1610"/>
      <c r="VSM1036" s="1610"/>
      <c r="VSN1036" s="1610"/>
      <c r="VSO1036" s="1610"/>
      <c r="VSP1036" s="1610"/>
      <c r="VSQ1036" s="1610"/>
      <c r="VSR1036" s="1610"/>
      <c r="VSS1036" s="1610"/>
      <c r="VST1036" s="1610"/>
      <c r="VSU1036" s="1610"/>
      <c r="VSV1036" s="1610"/>
      <c r="VSW1036" s="1610"/>
      <c r="VSX1036" s="1610"/>
      <c r="VSY1036" s="1610"/>
      <c r="VSZ1036" s="1610"/>
      <c r="VTA1036" s="1610"/>
      <c r="VTB1036" s="1610"/>
      <c r="VTC1036" s="1610"/>
      <c r="VTD1036" s="1610"/>
      <c r="VTE1036" s="1610"/>
      <c r="VTF1036" s="1610"/>
      <c r="VTG1036" s="1610"/>
      <c r="VTH1036" s="1610"/>
      <c r="VTI1036" s="1610"/>
      <c r="VTJ1036" s="1610"/>
      <c r="VTK1036" s="1610"/>
      <c r="VTL1036" s="1610"/>
      <c r="VTM1036" s="1610"/>
      <c r="VTN1036" s="1610"/>
      <c r="VTO1036" s="1610"/>
      <c r="VTP1036" s="1610"/>
      <c r="VTQ1036" s="1610"/>
      <c r="VTR1036" s="1610"/>
      <c r="VTS1036" s="1610"/>
      <c r="VTT1036" s="1610"/>
      <c r="VTU1036" s="1610"/>
      <c r="VTV1036" s="1610"/>
      <c r="VTW1036" s="1610"/>
      <c r="VTX1036" s="1610"/>
      <c r="VTY1036" s="1610"/>
      <c r="VTZ1036" s="1610"/>
      <c r="VUA1036" s="1610"/>
      <c r="VUB1036" s="1610"/>
      <c r="VUC1036" s="1610"/>
      <c r="VUD1036" s="1610"/>
      <c r="VUE1036" s="1610"/>
      <c r="VUF1036" s="1610"/>
      <c r="VUG1036" s="1610"/>
      <c r="VUH1036" s="1610"/>
      <c r="VUI1036" s="1610"/>
      <c r="VUJ1036" s="1610"/>
      <c r="VUK1036" s="1610"/>
      <c r="VUL1036" s="1610"/>
      <c r="VUM1036" s="1610"/>
      <c r="VUN1036" s="1610"/>
      <c r="VUO1036" s="1610"/>
      <c r="VUP1036" s="1610"/>
      <c r="VUQ1036" s="1610"/>
      <c r="VUR1036" s="1610"/>
      <c r="VUS1036" s="1610"/>
      <c r="VUT1036" s="1610"/>
      <c r="VUU1036" s="1610"/>
      <c r="VUV1036" s="1610"/>
      <c r="VUW1036" s="1610"/>
      <c r="VUX1036" s="1610"/>
      <c r="VUY1036" s="1610"/>
      <c r="VUZ1036" s="1610"/>
      <c r="VVA1036" s="1610"/>
      <c r="VVB1036" s="1610"/>
      <c r="VVC1036" s="1610"/>
      <c r="VVD1036" s="1610"/>
      <c r="VVE1036" s="1610"/>
      <c r="VVF1036" s="1610"/>
      <c r="VVG1036" s="1610"/>
      <c r="VVH1036" s="1610"/>
      <c r="VVI1036" s="1610"/>
      <c r="VVJ1036" s="1610"/>
      <c r="VVK1036" s="1610"/>
      <c r="VVL1036" s="1610"/>
      <c r="VVM1036" s="1610"/>
      <c r="VVN1036" s="1610"/>
      <c r="VVO1036" s="1610"/>
      <c r="VVP1036" s="1610"/>
      <c r="VVQ1036" s="1610"/>
      <c r="VVR1036" s="1610"/>
      <c r="VVS1036" s="1610"/>
      <c r="VVT1036" s="1610"/>
      <c r="VVU1036" s="1610"/>
      <c r="VVV1036" s="1610"/>
      <c r="VVW1036" s="1610"/>
      <c r="VVX1036" s="1610"/>
      <c r="VVY1036" s="1610"/>
      <c r="VVZ1036" s="1610"/>
      <c r="VWA1036" s="1610"/>
      <c r="VWB1036" s="1610"/>
      <c r="VWC1036" s="1610"/>
      <c r="VWD1036" s="1610"/>
      <c r="VWE1036" s="1610"/>
      <c r="VWF1036" s="1610"/>
      <c r="VWG1036" s="1610"/>
      <c r="VWH1036" s="1610"/>
      <c r="VWI1036" s="1610"/>
      <c r="VWJ1036" s="1610"/>
      <c r="VWK1036" s="1610"/>
      <c r="VWL1036" s="1610"/>
      <c r="VWM1036" s="1610"/>
      <c r="VWN1036" s="1610"/>
      <c r="VWO1036" s="1610"/>
      <c r="VWP1036" s="1610"/>
      <c r="VWQ1036" s="1610"/>
      <c r="VWR1036" s="1610"/>
      <c r="VWS1036" s="1610"/>
      <c r="VWT1036" s="1610"/>
      <c r="VWU1036" s="1610"/>
      <c r="VWV1036" s="1610"/>
      <c r="VWW1036" s="1610"/>
      <c r="VWX1036" s="1610"/>
      <c r="VWY1036" s="1610"/>
      <c r="VWZ1036" s="1610"/>
      <c r="VXA1036" s="1610"/>
      <c r="VXB1036" s="1610"/>
      <c r="VXC1036" s="1610"/>
      <c r="VXD1036" s="1610"/>
      <c r="VXE1036" s="1610"/>
      <c r="VXF1036" s="1610"/>
      <c r="VXG1036" s="1610"/>
      <c r="VXH1036" s="1610"/>
      <c r="VXI1036" s="1610"/>
      <c r="VXJ1036" s="1610"/>
      <c r="VXK1036" s="1610"/>
      <c r="VXL1036" s="1610"/>
      <c r="VXM1036" s="1610"/>
      <c r="VXN1036" s="1610"/>
      <c r="VXO1036" s="1610"/>
      <c r="VXP1036" s="1610"/>
      <c r="VXQ1036" s="1610"/>
      <c r="VXR1036" s="1610"/>
      <c r="VXS1036" s="1610"/>
      <c r="VXT1036" s="1610"/>
      <c r="VXU1036" s="1610"/>
      <c r="VXV1036" s="1610"/>
      <c r="VXW1036" s="1610"/>
      <c r="VXX1036" s="1610"/>
      <c r="VXY1036" s="1610"/>
      <c r="VXZ1036" s="1610"/>
      <c r="VYA1036" s="1610"/>
      <c r="VYB1036" s="1610"/>
      <c r="VYC1036" s="1610"/>
      <c r="VYD1036" s="1610"/>
      <c r="VYE1036" s="1610"/>
      <c r="VYF1036" s="1610"/>
      <c r="VYG1036" s="1610"/>
      <c r="VYH1036" s="1610"/>
      <c r="VYI1036" s="1610"/>
      <c r="VYJ1036" s="1610"/>
      <c r="VYK1036" s="1610"/>
      <c r="VYL1036" s="1610"/>
      <c r="VYM1036" s="1610"/>
      <c r="VYN1036" s="1610"/>
      <c r="VYO1036" s="1610"/>
      <c r="VYP1036" s="1610"/>
      <c r="VYQ1036" s="1610"/>
      <c r="VYR1036" s="1610"/>
      <c r="VYS1036" s="1610"/>
      <c r="VYT1036" s="1610"/>
      <c r="VYU1036" s="1610"/>
      <c r="VYV1036" s="1610"/>
      <c r="VYW1036" s="1610"/>
      <c r="VYX1036" s="1610"/>
      <c r="VYY1036" s="1610"/>
      <c r="VYZ1036" s="1610"/>
      <c r="VZA1036" s="1610"/>
      <c r="VZB1036" s="1610"/>
      <c r="VZC1036" s="1610"/>
      <c r="VZD1036" s="1610"/>
      <c r="VZE1036" s="1610"/>
      <c r="VZF1036" s="1610"/>
      <c r="VZG1036" s="1610"/>
      <c r="VZH1036" s="1610"/>
      <c r="VZI1036" s="1610"/>
      <c r="VZJ1036" s="1610"/>
      <c r="VZK1036" s="1610"/>
      <c r="VZL1036" s="1610"/>
      <c r="VZM1036" s="1610"/>
      <c r="VZN1036" s="1610"/>
      <c r="VZO1036" s="1610"/>
      <c r="VZP1036" s="1610"/>
      <c r="VZQ1036" s="1610"/>
      <c r="VZR1036" s="1610"/>
      <c r="VZS1036" s="1610"/>
      <c r="VZT1036" s="1610"/>
      <c r="VZU1036" s="1610"/>
      <c r="VZV1036" s="1610"/>
      <c r="VZW1036" s="1610"/>
      <c r="VZX1036" s="1610"/>
      <c r="VZY1036" s="1610"/>
      <c r="VZZ1036" s="1610"/>
      <c r="WAA1036" s="1610"/>
      <c r="WAB1036" s="1610"/>
      <c r="WAC1036" s="1610"/>
      <c r="WAD1036" s="1610"/>
      <c r="WAE1036" s="1610"/>
      <c r="WAF1036" s="1610"/>
      <c r="WAG1036" s="1610"/>
      <c r="WAH1036" s="1610"/>
      <c r="WAI1036" s="1610"/>
      <c r="WAJ1036" s="1610"/>
      <c r="WAK1036" s="1610"/>
      <c r="WAL1036" s="1610"/>
      <c r="WAM1036" s="1610"/>
      <c r="WAN1036" s="1610"/>
      <c r="WAO1036" s="1610"/>
      <c r="WAP1036" s="1610"/>
      <c r="WAQ1036" s="1610"/>
      <c r="WAR1036" s="1610"/>
      <c r="WAS1036" s="1610"/>
      <c r="WAT1036" s="1610"/>
      <c r="WAU1036" s="1610"/>
      <c r="WAV1036" s="1610"/>
      <c r="WAW1036" s="1610"/>
      <c r="WAX1036" s="1610"/>
      <c r="WAY1036" s="1610"/>
      <c r="WAZ1036" s="1610"/>
      <c r="WBA1036" s="1610"/>
      <c r="WBB1036" s="1610"/>
      <c r="WBC1036" s="1610"/>
      <c r="WBD1036" s="1610"/>
      <c r="WBE1036" s="1610"/>
      <c r="WBF1036" s="1610"/>
      <c r="WBG1036" s="1610"/>
      <c r="WBH1036" s="1610"/>
      <c r="WBI1036" s="1610"/>
      <c r="WBJ1036" s="1610"/>
      <c r="WBK1036" s="1610"/>
      <c r="WBL1036" s="1610"/>
      <c r="WBM1036" s="1610"/>
      <c r="WBN1036" s="1610"/>
      <c r="WBO1036" s="1610"/>
      <c r="WBP1036" s="1610"/>
      <c r="WBQ1036" s="1610"/>
      <c r="WBR1036" s="1610"/>
      <c r="WBS1036" s="1610"/>
      <c r="WBT1036" s="1610"/>
      <c r="WBU1036" s="1610"/>
      <c r="WBV1036" s="1610"/>
      <c r="WBW1036" s="1610"/>
      <c r="WBX1036" s="1610"/>
      <c r="WBY1036" s="1610"/>
      <c r="WBZ1036" s="1610"/>
      <c r="WCA1036" s="1610"/>
      <c r="WCB1036" s="1610"/>
      <c r="WCC1036" s="1610"/>
      <c r="WCD1036" s="1610"/>
      <c r="WCE1036" s="1610"/>
      <c r="WCF1036" s="1610"/>
      <c r="WCG1036" s="1610"/>
      <c r="WCH1036" s="1610"/>
      <c r="WCI1036" s="1610"/>
      <c r="WCJ1036" s="1610"/>
      <c r="WCK1036" s="1610"/>
      <c r="WCL1036" s="1610"/>
      <c r="WCM1036" s="1610"/>
      <c r="WCN1036" s="1610"/>
      <c r="WCO1036" s="1610"/>
      <c r="WCP1036" s="1610"/>
      <c r="WCQ1036" s="1610"/>
      <c r="WCR1036" s="1610"/>
      <c r="WCS1036" s="1610"/>
      <c r="WCT1036" s="1610"/>
      <c r="WCU1036" s="1610"/>
      <c r="WCV1036" s="1610"/>
      <c r="WCW1036" s="1610"/>
      <c r="WCX1036" s="1610"/>
      <c r="WCY1036" s="1610"/>
      <c r="WCZ1036" s="1610"/>
      <c r="WDA1036" s="1610"/>
      <c r="WDB1036" s="1610"/>
      <c r="WDC1036" s="1610"/>
      <c r="WDD1036" s="1610"/>
      <c r="WDE1036" s="1610"/>
      <c r="WDF1036" s="1610"/>
      <c r="WDG1036" s="1610"/>
      <c r="WDH1036" s="1610"/>
      <c r="WDI1036" s="1610"/>
      <c r="WDJ1036" s="1610"/>
      <c r="WDK1036" s="1610"/>
      <c r="WDL1036" s="1610"/>
      <c r="WDM1036" s="1610"/>
      <c r="WDN1036" s="1610"/>
      <c r="WDO1036" s="1610"/>
      <c r="WDP1036" s="1610"/>
      <c r="WDQ1036" s="1610"/>
      <c r="WDR1036" s="1610"/>
      <c r="WDS1036" s="1610"/>
      <c r="WDT1036" s="1610"/>
      <c r="WDU1036" s="1610"/>
      <c r="WDV1036" s="1610"/>
      <c r="WDW1036" s="1610"/>
      <c r="WDX1036" s="1610"/>
      <c r="WDY1036" s="1610"/>
      <c r="WDZ1036" s="1610"/>
      <c r="WEA1036" s="1610"/>
      <c r="WEB1036" s="1610"/>
      <c r="WEC1036" s="1610"/>
      <c r="WED1036" s="1610"/>
      <c r="WEE1036" s="1610"/>
      <c r="WEF1036" s="1610"/>
      <c r="WEG1036" s="1610"/>
      <c r="WEH1036" s="1610"/>
      <c r="WEI1036" s="1610"/>
      <c r="WEJ1036" s="1610"/>
      <c r="WEK1036" s="1610"/>
      <c r="WEL1036" s="1610"/>
      <c r="WEM1036" s="1610"/>
      <c r="WEN1036" s="1610"/>
      <c r="WEO1036" s="1610"/>
      <c r="WEP1036" s="1610"/>
      <c r="WEQ1036" s="1610"/>
      <c r="WER1036" s="1610"/>
      <c r="WES1036" s="1610"/>
      <c r="WET1036" s="1610"/>
      <c r="WEU1036" s="1610"/>
      <c r="WEV1036" s="1610"/>
      <c r="WEW1036" s="1610"/>
      <c r="WEX1036" s="1610"/>
      <c r="WEY1036" s="1610"/>
      <c r="WEZ1036" s="1610"/>
      <c r="WFA1036" s="1610"/>
      <c r="WFB1036" s="1610"/>
      <c r="WFC1036" s="1610"/>
      <c r="WFD1036" s="1610"/>
      <c r="WFE1036" s="1610"/>
      <c r="WFF1036" s="1610"/>
      <c r="WFG1036" s="1610"/>
      <c r="WFH1036" s="1610"/>
      <c r="WFI1036" s="1610"/>
      <c r="WFJ1036" s="1610"/>
      <c r="WFK1036" s="1610"/>
      <c r="WFL1036" s="1610"/>
      <c r="WFM1036" s="1610"/>
      <c r="WFN1036" s="1610"/>
      <c r="WFO1036" s="1610"/>
      <c r="WFP1036" s="1610"/>
      <c r="WFQ1036" s="1610"/>
      <c r="WFR1036" s="1610"/>
      <c r="WFS1036" s="1610"/>
      <c r="WFT1036" s="1610"/>
      <c r="WFU1036" s="1610"/>
      <c r="WFV1036" s="1610"/>
      <c r="WFW1036" s="1610"/>
      <c r="WFX1036" s="1610"/>
      <c r="WFY1036" s="1610"/>
      <c r="WFZ1036" s="1610"/>
      <c r="WGA1036" s="1610"/>
      <c r="WGB1036" s="1610"/>
      <c r="WGC1036" s="1610"/>
      <c r="WGD1036" s="1610"/>
      <c r="WGE1036" s="1610"/>
      <c r="WGF1036" s="1610"/>
      <c r="WGG1036" s="1610"/>
      <c r="WGH1036" s="1610"/>
      <c r="WGI1036" s="1610"/>
      <c r="WGJ1036" s="1610"/>
      <c r="WGK1036" s="1610"/>
      <c r="WGL1036" s="1610"/>
      <c r="WGM1036" s="1610"/>
      <c r="WGN1036" s="1610"/>
      <c r="WGO1036" s="1610"/>
      <c r="WGP1036" s="1610"/>
      <c r="WGQ1036" s="1610"/>
      <c r="WGR1036" s="1610"/>
      <c r="WGS1036" s="1610"/>
      <c r="WGT1036" s="1610"/>
      <c r="WGU1036" s="1610"/>
      <c r="WGV1036" s="1610"/>
      <c r="WGW1036" s="1610"/>
      <c r="WGX1036" s="1610"/>
      <c r="WGY1036" s="1610"/>
      <c r="WGZ1036" s="1610"/>
      <c r="WHA1036" s="1610"/>
      <c r="WHB1036" s="1610"/>
      <c r="WHC1036" s="1610"/>
      <c r="WHD1036" s="1610"/>
      <c r="WHE1036" s="1610"/>
      <c r="WHF1036" s="1610"/>
      <c r="WHG1036" s="1610"/>
      <c r="WHH1036" s="1610"/>
      <c r="WHI1036" s="1610"/>
      <c r="WHJ1036" s="1610"/>
      <c r="WHK1036" s="1610"/>
      <c r="WHL1036" s="1610"/>
      <c r="WHM1036" s="1610"/>
      <c r="WHN1036" s="1610"/>
      <c r="WHO1036" s="1610"/>
      <c r="WHP1036" s="1610"/>
      <c r="WHQ1036" s="1610"/>
      <c r="WHR1036" s="1610"/>
      <c r="WHS1036" s="1610"/>
      <c r="WHT1036" s="1610"/>
      <c r="WHU1036" s="1610"/>
      <c r="WHV1036" s="1610"/>
      <c r="WHW1036" s="1610"/>
      <c r="WHX1036" s="1610"/>
      <c r="WHY1036" s="1610"/>
      <c r="WHZ1036" s="1610"/>
      <c r="WIA1036" s="1610"/>
      <c r="WIB1036" s="1610"/>
      <c r="WIC1036" s="1610"/>
      <c r="WID1036" s="1610"/>
      <c r="WIE1036" s="1610"/>
      <c r="WIF1036" s="1610"/>
      <c r="WIG1036" s="1610"/>
      <c r="WIH1036" s="1610"/>
      <c r="WII1036" s="1610"/>
      <c r="WIJ1036" s="1610"/>
      <c r="WIK1036" s="1610"/>
      <c r="WIL1036" s="1610"/>
      <c r="WIM1036" s="1610"/>
      <c r="WIN1036" s="1610"/>
      <c r="WIO1036" s="1610"/>
      <c r="WIP1036" s="1610"/>
      <c r="WIQ1036" s="1610"/>
      <c r="WIR1036" s="1610"/>
      <c r="WIS1036" s="1610"/>
      <c r="WIT1036" s="1610"/>
      <c r="WIU1036" s="1610"/>
      <c r="WIV1036" s="1610"/>
      <c r="WIW1036" s="1610"/>
      <c r="WIX1036" s="1610"/>
      <c r="WIY1036" s="1610"/>
      <c r="WIZ1036" s="1610"/>
      <c r="WJA1036" s="1610"/>
      <c r="WJB1036" s="1610"/>
      <c r="WJC1036" s="1610"/>
      <c r="WJD1036" s="1610"/>
      <c r="WJE1036" s="1610"/>
      <c r="WJF1036" s="1610"/>
      <c r="WJG1036" s="1610"/>
      <c r="WJH1036" s="1610"/>
      <c r="WJI1036" s="1610"/>
      <c r="WJJ1036" s="1610"/>
      <c r="WJK1036" s="1610"/>
      <c r="WJL1036" s="1610"/>
      <c r="WJM1036" s="1610"/>
      <c r="WJN1036" s="1610"/>
      <c r="WJO1036" s="1610"/>
      <c r="WJP1036" s="1610"/>
      <c r="WJQ1036" s="1610"/>
      <c r="WJR1036" s="1610"/>
      <c r="WJS1036" s="1610"/>
      <c r="WJT1036" s="1610"/>
      <c r="WJU1036" s="1610"/>
      <c r="WJV1036" s="1610"/>
      <c r="WJW1036" s="1610"/>
      <c r="WJX1036" s="1610"/>
      <c r="WJY1036" s="1610"/>
      <c r="WJZ1036" s="1610"/>
      <c r="WKA1036" s="1610"/>
      <c r="WKB1036" s="1610"/>
      <c r="WKC1036" s="1610"/>
      <c r="WKD1036" s="1610"/>
      <c r="WKE1036" s="1610"/>
      <c r="WKF1036" s="1610"/>
      <c r="WKG1036" s="1610"/>
      <c r="WKH1036" s="1610"/>
      <c r="WKI1036" s="1610"/>
      <c r="WKJ1036" s="1610"/>
      <c r="WKK1036" s="1610"/>
      <c r="WKL1036" s="1610"/>
      <c r="WKM1036" s="1610"/>
      <c r="WKN1036" s="1610"/>
      <c r="WKO1036" s="1610"/>
      <c r="WKP1036" s="1610"/>
      <c r="WKQ1036" s="1610"/>
      <c r="WKR1036" s="1610"/>
      <c r="WKS1036" s="1610"/>
      <c r="WKT1036" s="1610"/>
      <c r="WKU1036" s="1610"/>
      <c r="WKV1036" s="1610"/>
      <c r="WKW1036" s="1610"/>
      <c r="WKX1036" s="1610"/>
      <c r="WKY1036" s="1610"/>
      <c r="WKZ1036" s="1610"/>
      <c r="WLA1036" s="1610"/>
      <c r="WLB1036" s="1610"/>
      <c r="WLC1036" s="1610"/>
      <c r="WLD1036" s="1610"/>
      <c r="WLE1036" s="1610"/>
      <c r="WLF1036" s="1610"/>
      <c r="WLG1036" s="1610"/>
      <c r="WLH1036" s="1610"/>
      <c r="WLI1036" s="1610"/>
      <c r="WLJ1036" s="1610"/>
      <c r="WLK1036" s="1610"/>
      <c r="WLL1036" s="1610"/>
      <c r="WLM1036" s="1610"/>
      <c r="WLN1036" s="1610"/>
      <c r="WLO1036" s="1610"/>
      <c r="WLP1036" s="1610"/>
      <c r="WLQ1036" s="1610"/>
      <c r="WLR1036" s="1610"/>
      <c r="WLS1036" s="1610"/>
      <c r="WLT1036" s="1610"/>
      <c r="WLU1036" s="1610"/>
      <c r="WLV1036" s="1610"/>
      <c r="WLW1036" s="1610"/>
      <c r="WLX1036" s="1610"/>
      <c r="WLY1036" s="1610"/>
      <c r="WLZ1036" s="1610"/>
      <c r="WMA1036" s="1610"/>
      <c r="WMB1036" s="1610"/>
      <c r="WMC1036" s="1610"/>
      <c r="WMD1036" s="1610"/>
      <c r="WME1036" s="1610"/>
      <c r="WMF1036" s="1610"/>
      <c r="WMG1036" s="1610"/>
      <c r="WMH1036" s="1610"/>
      <c r="WMI1036" s="1610"/>
      <c r="WMJ1036" s="1610"/>
      <c r="WMK1036" s="1610"/>
      <c r="WML1036" s="1610"/>
      <c r="WMM1036" s="1610"/>
      <c r="WMN1036" s="1610"/>
      <c r="WMO1036" s="1610"/>
      <c r="WMP1036" s="1610"/>
      <c r="WMQ1036" s="1610"/>
      <c r="WMR1036" s="1610"/>
      <c r="WMS1036" s="1610"/>
      <c r="WMT1036" s="1610"/>
      <c r="WMU1036" s="1610"/>
      <c r="WMV1036" s="1610"/>
      <c r="WMW1036" s="1610"/>
      <c r="WMX1036" s="1610"/>
      <c r="WMY1036" s="1610"/>
      <c r="WMZ1036" s="1610"/>
      <c r="WNA1036" s="1610"/>
      <c r="WNB1036" s="1610"/>
      <c r="WNC1036" s="1610"/>
      <c r="WND1036" s="1610"/>
      <c r="WNE1036" s="1610"/>
      <c r="WNF1036" s="1610"/>
      <c r="WNG1036" s="1610"/>
      <c r="WNH1036" s="1610"/>
      <c r="WNI1036" s="1610"/>
      <c r="WNJ1036" s="1610"/>
      <c r="WNK1036" s="1610"/>
      <c r="WNL1036" s="1610"/>
      <c r="WNM1036" s="1610"/>
      <c r="WNN1036" s="1610"/>
      <c r="WNO1036" s="1610"/>
      <c r="WNP1036" s="1610"/>
      <c r="WNQ1036" s="1610"/>
      <c r="WNR1036" s="1610"/>
      <c r="WNS1036" s="1610"/>
      <c r="WNT1036" s="1610"/>
      <c r="WNU1036" s="1610"/>
      <c r="WNV1036" s="1610"/>
      <c r="WNW1036" s="1610"/>
      <c r="WNX1036" s="1610"/>
      <c r="WNY1036" s="1610"/>
      <c r="WNZ1036" s="1610"/>
      <c r="WOA1036" s="1610"/>
      <c r="WOB1036" s="1610"/>
      <c r="WOC1036" s="1610"/>
      <c r="WOD1036" s="1610"/>
      <c r="WOE1036" s="1610"/>
      <c r="WOF1036" s="1610"/>
      <c r="WOG1036" s="1610"/>
      <c r="WOH1036" s="1610"/>
      <c r="WOI1036" s="1610"/>
      <c r="WOJ1036" s="1610"/>
      <c r="WOK1036" s="1610"/>
      <c r="WOL1036" s="1610"/>
      <c r="WOM1036" s="1610"/>
      <c r="WON1036" s="1610"/>
      <c r="WOO1036" s="1610"/>
      <c r="WOP1036" s="1610"/>
      <c r="WOQ1036" s="1610"/>
      <c r="WOR1036" s="1610"/>
      <c r="WOS1036" s="1610"/>
      <c r="WOT1036" s="1610"/>
      <c r="WOU1036" s="1610"/>
      <c r="WOV1036" s="1610"/>
      <c r="WOW1036" s="1610"/>
      <c r="WOX1036" s="1610"/>
      <c r="WOY1036" s="1610"/>
      <c r="WOZ1036" s="1610"/>
      <c r="WPA1036" s="1610"/>
      <c r="WPB1036" s="1610"/>
      <c r="WPC1036" s="1610"/>
      <c r="WPD1036" s="1610"/>
      <c r="WPE1036" s="1610"/>
      <c r="WPF1036" s="1610"/>
      <c r="WPG1036" s="1610"/>
      <c r="WPH1036" s="1610"/>
      <c r="WPI1036" s="1610"/>
      <c r="WPJ1036" s="1610"/>
      <c r="WPK1036" s="1610"/>
      <c r="WPL1036" s="1610"/>
      <c r="WPM1036" s="1610"/>
      <c r="WPN1036" s="1610"/>
      <c r="WPO1036" s="1610"/>
      <c r="WPP1036" s="1610"/>
      <c r="WPQ1036" s="1610"/>
      <c r="WPR1036" s="1610"/>
      <c r="WPS1036" s="1610"/>
      <c r="WPT1036" s="1610"/>
      <c r="WPU1036" s="1610"/>
      <c r="WPV1036" s="1610"/>
      <c r="WPW1036" s="1610"/>
      <c r="WPX1036" s="1610"/>
      <c r="WPY1036" s="1610"/>
      <c r="WPZ1036" s="1610"/>
      <c r="WQA1036" s="1610"/>
      <c r="WQB1036" s="1610"/>
      <c r="WQC1036" s="1610"/>
      <c r="WQD1036" s="1610"/>
      <c r="WQE1036" s="1610"/>
      <c r="WQF1036" s="1610"/>
      <c r="WQG1036" s="1610"/>
      <c r="WQH1036" s="1610"/>
      <c r="WQI1036" s="1610"/>
      <c r="WQJ1036" s="1610"/>
      <c r="WQK1036" s="1610"/>
      <c r="WQL1036" s="1610"/>
      <c r="WQM1036" s="1610"/>
      <c r="WQN1036" s="1610"/>
      <c r="WQO1036" s="1610"/>
      <c r="WQP1036" s="1610"/>
      <c r="WQQ1036" s="1610"/>
      <c r="WQR1036" s="1610"/>
      <c r="WQS1036" s="1610"/>
      <c r="WQT1036" s="1610"/>
      <c r="WQU1036" s="1610"/>
      <c r="WQV1036" s="1610"/>
      <c r="WQW1036" s="1610"/>
      <c r="WQX1036" s="1610"/>
      <c r="WQY1036" s="1610"/>
      <c r="WQZ1036" s="1610"/>
      <c r="WRA1036" s="1610"/>
      <c r="WRB1036" s="1610"/>
      <c r="WRC1036" s="1610"/>
      <c r="WRD1036" s="1610"/>
      <c r="WRE1036" s="1610"/>
      <c r="WRF1036" s="1610"/>
      <c r="WRG1036" s="1610"/>
      <c r="WRH1036" s="1610"/>
      <c r="WRI1036" s="1610"/>
      <c r="WRJ1036" s="1610"/>
      <c r="WRK1036" s="1610"/>
      <c r="WRL1036" s="1610"/>
      <c r="WRM1036" s="1610"/>
      <c r="WRN1036" s="1610"/>
      <c r="WRO1036" s="1610"/>
      <c r="WRP1036" s="1610"/>
      <c r="WRQ1036" s="1610"/>
      <c r="WRR1036" s="1610"/>
      <c r="WRS1036" s="1610"/>
      <c r="WRT1036" s="1610"/>
      <c r="WRU1036" s="1610"/>
      <c r="WRV1036" s="1610"/>
      <c r="WRW1036" s="1610"/>
      <c r="WRX1036" s="1610"/>
      <c r="WRY1036" s="1610"/>
      <c r="WRZ1036" s="1610"/>
      <c r="WSA1036" s="1610"/>
      <c r="WSB1036" s="1610"/>
      <c r="WSC1036" s="1610"/>
      <c r="WSD1036" s="1610"/>
      <c r="WSE1036" s="1610"/>
      <c r="WSF1036" s="1610"/>
      <c r="WSG1036" s="1610"/>
      <c r="WSH1036" s="1610"/>
      <c r="WSI1036" s="1610"/>
      <c r="WSJ1036" s="1610"/>
      <c r="WSK1036" s="1610"/>
      <c r="WSL1036" s="1610"/>
      <c r="WSM1036" s="1610"/>
      <c r="WSN1036" s="1610"/>
      <c r="WSO1036" s="1610"/>
      <c r="WSP1036" s="1610"/>
      <c r="WSQ1036" s="1610"/>
      <c r="WSR1036" s="1610"/>
      <c r="WSS1036" s="1610"/>
      <c r="WST1036" s="1610"/>
      <c r="WSU1036" s="1610"/>
      <c r="WSV1036" s="1610"/>
      <c r="WSW1036" s="1610"/>
      <c r="WSX1036" s="1610"/>
      <c r="WSY1036" s="1610"/>
      <c r="WSZ1036" s="1610"/>
      <c r="WTA1036" s="1610"/>
      <c r="WTB1036" s="1610"/>
      <c r="WTC1036" s="1610"/>
      <c r="WTD1036" s="1610"/>
      <c r="WTE1036" s="1610"/>
      <c r="WTF1036" s="1610"/>
      <c r="WTG1036" s="1610"/>
      <c r="WTH1036" s="1610"/>
      <c r="WTI1036" s="1610"/>
      <c r="WTJ1036" s="1610"/>
      <c r="WTK1036" s="1610"/>
      <c r="WTL1036" s="1610"/>
      <c r="WTM1036" s="1610"/>
      <c r="WTN1036" s="1610"/>
      <c r="WTO1036" s="1610"/>
      <c r="WTP1036" s="1610"/>
      <c r="WTQ1036" s="1610"/>
      <c r="WTR1036" s="1610"/>
      <c r="WTS1036" s="1610"/>
      <c r="WTT1036" s="1610"/>
      <c r="WTU1036" s="1610"/>
      <c r="WTV1036" s="1610"/>
      <c r="WTW1036" s="1610"/>
      <c r="WTX1036" s="1610"/>
      <c r="WTY1036" s="1610"/>
      <c r="WTZ1036" s="1610"/>
      <c r="WUA1036" s="1610"/>
      <c r="WUB1036" s="1610"/>
      <c r="WUC1036" s="1610"/>
      <c r="WUD1036" s="1610"/>
      <c r="WUE1036" s="1610"/>
      <c r="WUF1036" s="1610"/>
      <c r="WUG1036" s="1610"/>
      <c r="WUH1036" s="1610"/>
      <c r="WUI1036" s="1610"/>
      <c r="WUJ1036" s="1610"/>
      <c r="WUK1036" s="1610"/>
      <c r="WUL1036" s="1610"/>
      <c r="WUM1036" s="1610"/>
      <c r="WUN1036" s="1610"/>
      <c r="WUO1036" s="1610"/>
      <c r="WUP1036" s="1610"/>
      <c r="WUQ1036" s="1610"/>
      <c r="WUR1036" s="1610"/>
      <c r="WUS1036" s="1610"/>
      <c r="WUT1036" s="1610"/>
      <c r="WUU1036" s="1610"/>
      <c r="WUV1036" s="1610"/>
      <c r="WUW1036" s="1610"/>
      <c r="WUX1036" s="1610"/>
      <c r="WUY1036" s="1610"/>
      <c r="WUZ1036" s="1610"/>
      <c r="WVA1036" s="1610"/>
      <c r="WVB1036" s="1610"/>
      <c r="WVC1036" s="1610"/>
      <c r="WVD1036" s="1610"/>
      <c r="WVE1036" s="1610"/>
      <c r="WVF1036" s="1610"/>
      <c r="WVG1036" s="1610"/>
      <c r="WVH1036" s="1610"/>
      <c r="WVI1036" s="1610"/>
      <c r="WVJ1036" s="1610"/>
      <c r="WVK1036" s="1610"/>
      <c r="WVL1036" s="1610"/>
      <c r="WVM1036" s="1610"/>
      <c r="WVN1036" s="1610"/>
      <c r="WVO1036" s="1610"/>
      <c r="WVP1036" s="1610"/>
      <c r="WVQ1036" s="1610"/>
      <c r="WVR1036" s="1610"/>
      <c r="WVS1036" s="1610"/>
      <c r="WVT1036" s="1610"/>
      <c r="WVU1036" s="1610"/>
      <c r="WVV1036" s="1610"/>
      <c r="WVW1036" s="1610"/>
      <c r="WVX1036" s="1610"/>
      <c r="WVY1036" s="1610"/>
      <c r="WVZ1036" s="1610"/>
      <c r="WWA1036" s="1610"/>
      <c r="WWB1036" s="1610"/>
      <c r="WWC1036" s="1610"/>
      <c r="WWD1036" s="1610"/>
      <c r="WWE1036" s="1610"/>
      <c r="WWF1036" s="1610"/>
      <c r="WWG1036" s="1610"/>
      <c r="WWH1036" s="1610"/>
      <c r="WWI1036" s="1610"/>
      <c r="WWJ1036" s="1610"/>
      <c r="WWK1036" s="1610"/>
      <c r="WWL1036" s="1610"/>
      <c r="WWM1036" s="1610"/>
      <c r="WWN1036" s="1610"/>
      <c r="WWO1036" s="1610"/>
      <c r="WWP1036" s="1610"/>
      <c r="WWQ1036" s="1610"/>
      <c r="WWR1036" s="1610"/>
      <c r="WWS1036" s="1610"/>
      <c r="WWT1036" s="1610"/>
      <c r="WWU1036" s="1610"/>
      <c r="WWV1036" s="1610"/>
      <c r="WWW1036" s="1610"/>
      <c r="WWX1036" s="1610"/>
      <c r="WWY1036" s="1610"/>
      <c r="WWZ1036" s="1610"/>
      <c r="WXA1036" s="1610"/>
      <c r="WXB1036" s="1610"/>
      <c r="WXC1036" s="1610"/>
      <c r="WXD1036" s="1610"/>
      <c r="WXE1036" s="1610"/>
      <c r="WXF1036" s="1610"/>
      <c r="WXG1036" s="1610"/>
      <c r="WXH1036" s="1610"/>
      <c r="WXI1036" s="1610"/>
      <c r="WXJ1036" s="1610"/>
      <c r="WXK1036" s="1610"/>
      <c r="WXL1036" s="1610"/>
      <c r="WXM1036" s="1610"/>
      <c r="WXN1036" s="1610"/>
      <c r="WXO1036" s="1610"/>
      <c r="WXP1036" s="1610"/>
      <c r="WXQ1036" s="1610"/>
      <c r="WXR1036" s="1610"/>
      <c r="WXS1036" s="1610"/>
      <c r="WXT1036" s="1610"/>
      <c r="WXU1036" s="1610"/>
      <c r="WXV1036" s="1610"/>
      <c r="WXW1036" s="1610"/>
      <c r="WXX1036" s="1610"/>
      <c r="WXY1036" s="1610"/>
      <c r="WXZ1036" s="1610"/>
      <c r="WYA1036" s="1610"/>
      <c r="WYB1036" s="1610"/>
      <c r="WYC1036" s="1610"/>
      <c r="WYD1036" s="1610"/>
      <c r="WYE1036" s="1610"/>
      <c r="WYF1036" s="1610"/>
      <c r="WYG1036" s="1610"/>
      <c r="WYH1036" s="1610"/>
      <c r="WYI1036" s="1610"/>
      <c r="WYJ1036" s="1610"/>
      <c r="WYK1036" s="1610"/>
      <c r="WYL1036" s="1610"/>
      <c r="WYM1036" s="1610"/>
      <c r="WYN1036" s="1610"/>
      <c r="WYO1036" s="1610"/>
      <c r="WYP1036" s="1610"/>
      <c r="WYQ1036" s="1610"/>
      <c r="WYR1036" s="1610"/>
      <c r="WYS1036" s="1610"/>
      <c r="WYT1036" s="1610"/>
      <c r="WYU1036" s="1610"/>
      <c r="WYV1036" s="1610"/>
      <c r="WYW1036" s="1610"/>
      <c r="WYX1036" s="1610"/>
      <c r="WYY1036" s="1610"/>
      <c r="WYZ1036" s="1610"/>
      <c r="WZA1036" s="1610"/>
      <c r="WZB1036" s="1610"/>
      <c r="WZC1036" s="1610"/>
      <c r="WZD1036" s="1610"/>
      <c r="WZE1036" s="1610"/>
      <c r="WZF1036" s="1610"/>
      <c r="WZG1036" s="1610"/>
      <c r="WZH1036" s="1610"/>
      <c r="WZI1036" s="1610"/>
      <c r="WZJ1036" s="1610"/>
      <c r="WZK1036" s="1610"/>
      <c r="WZL1036" s="1610"/>
      <c r="WZM1036" s="1610"/>
      <c r="WZN1036" s="1610"/>
      <c r="WZO1036" s="1610"/>
      <c r="WZP1036" s="1610"/>
      <c r="WZQ1036" s="1610"/>
      <c r="WZR1036" s="1610"/>
      <c r="WZS1036" s="1610"/>
      <c r="WZT1036" s="1610"/>
      <c r="WZU1036" s="1610"/>
      <c r="WZV1036" s="1610"/>
      <c r="WZW1036" s="1610"/>
      <c r="WZX1036" s="1610"/>
      <c r="WZY1036" s="1610"/>
      <c r="WZZ1036" s="1610"/>
      <c r="XAA1036" s="1610"/>
      <c r="XAB1036" s="1610"/>
      <c r="XAC1036" s="1610"/>
      <c r="XAD1036" s="1610"/>
      <c r="XAE1036" s="1610"/>
      <c r="XAF1036" s="1610"/>
      <c r="XAG1036" s="1610"/>
      <c r="XAH1036" s="1610"/>
      <c r="XAI1036" s="1610"/>
      <c r="XAJ1036" s="1610"/>
      <c r="XAK1036" s="1610"/>
      <c r="XAL1036" s="1610"/>
      <c r="XAM1036" s="1610"/>
      <c r="XAN1036" s="1610"/>
      <c r="XAO1036" s="1610"/>
      <c r="XAP1036" s="1610"/>
      <c r="XAQ1036" s="1610"/>
      <c r="XAR1036" s="1610"/>
      <c r="XAS1036" s="1610"/>
      <c r="XAT1036" s="1610"/>
      <c r="XAU1036" s="1610"/>
      <c r="XAV1036" s="1610"/>
      <c r="XAW1036" s="1610"/>
      <c r="XAX1036" s="1610"/>
      <c r="XAY1036" s="1610"/>
      <c r="XAZ1036" s="1610"/>
      <c r="XBA1036" s="1610"/>
      <c r="XBB1036" s="1610"/>
      <c r="XBC1036" s="1610"/>
      <c r="XBD1036" s="1610"/>
      <c r="XBE1036" s="1610"/>
      <c r="XBF1036" s="1610"/>
      <c r="XBG1036" s="1610"/>
      <c r="XBH1036" s="1610"/>
      <c r="XBI1036" s="1610"/>
      <c r="XBJ1036" s="1610"/>
      <c r="XBK1036" s="1610"/>
      <c r="XBL1036" s="1610"/>
      <c r="XBM1036" s="1610"/>
      <c r="XBN1036" s="1610"/>
      <c r="XBO1036" s="1610"/>
      <c r="XBP1036" s="1610"/>
      <c r="XBQ1036" s="1610"/>
      <c r="XBR1036" s="1610"/>
      <c r="XBS1036" s="1610"/>
      <c r="XBT1036" s="1610"/>
      <c r="XBU1036" s="1610"/>
      <c r="XBV1036" s="1610"/>
      <c r="XBW1036" s="1610"/>
      <c r="XBX1036" s="1610"/>
      <c r="XBY1036" s="1610"/>
      <c r="XBZ1036" s="1610"/>
      <c r="XCA1036" s="1610"/>
      <c r="XCB1036" s="1610"/>
      <c r="XCC1036" s="1610"/>
      <c r="XCD1036" s="1610"/>
      <c r="XCE1036" s="1610"/>
      <c r="XCF1036" s="1610"/>
      <c r="XCG1036" s="1610"/>
      <c r="XCH1036" s="1610"/>
      <c r="XCI1036" s="1610"/>
      <c r="XCJ1036" s="1610"/>
      <c r="XCK1036" s="1610"/>
      <c r="XCL1036" s="1610"/>
      <c r="XCM1036" s="1610"/>
      <c r="XCN1036" s="1610"/>
      <c r="XCO1036" s="1610"/>
      <c r="XCP1036" s="1610"/>
      <c r="XCQ1036" s="1610"/>
      <c r="XCR1036" s="1610"/>
      <c r="XCS1036" s="1610"/>
      <c r="XCT1036" s="1610"/>
      <c r="XCU1036" s="1610"/>
      <c r="XCV1036" s="1610"/>
      <c r="XCW1036" s="1610"/>
      <c r="XCX1036" s="1610"/>
      <c r="XCY1036" s="1610"/>
      <c r="XCZ1036" s="1610"/>
      <c r="XDA1036" s="1610"/>
      <c r="XDB1036" s="1610"/>
      <c r="XDC1036" s="1610"/>
      <c r="XDD1036" s="1610"/>
      <c r="XDE1036" s="1610"/>
      <c r="XDF1036" s="1610"/>
      <c r="XDG1036" s="1610"/>
      <c r="XDH1036" s="1610"/>
      <c r="XDI1036" s="1610"/>
      <c r="XDJ1036" s="1610"/>
      <c r="XDK1036" s="1610"/>
      <c r="XDL1036" s="1610"/>
      <c r="XDM1036" s="1610"/>
      <c r="XDN1036" s="1610"/>
      <c r="XDO1036" s="1610"/>
      <c r="XDP1036" s="1610"/>
    </row>
    <row r="1037" spans="1:16344" ht="61.95" customHeight="1">
      <c r="A1037" s="1601"/>
      <c r="B1037" s="2895" t="s">
        <v>91</v>
      </c>
      <c r="C1037" s="2895" t="s">
        <v>3726</v>
      </c>
      <c r="E1037" s="2898" t="s">
        <v>5771</v>
      </c>
      <c r="F1037" s="2895">
        <v>19</v>
      </c>
      <c r="G1037" s="2899" t="s">
        <v>5864</v>
      </c>
      <c r="H1037" s="2895" t="s">
        <v>987</v>
      </c>
      <c r="I1037" s="2895" t="s">
        <v>2318</v>
      </c>
      <c r="J1037" s="2895" t="s">
        <v>2064</v>
      </c>
      <c r="K1037" s="2900">
        <v>44957</v>
      </c>
      <c r="L1037" s="2901" t="s">
        <v>990</v>
      </c>
      <c r="M1037" s="2901" t="s">
        <v>5745</v>
      </c>
      <c r="N1037" s="2895" t="s">
        <v>2320</v>
      </c>
      <c r="O1037" s="2895">
        <v>2023</v>
      </c>
      <c r="P1037" s="2895" t="s">
        <v>2165</v>
      </c>
      <c r="Q1037" s="2895">
        <v>2</v>
      </c>
      <c r="R1037" s="2895"/>
      <c r="S1037" s="2895"/>
      <c r="T1037" s="2898" t="s">
        <v>5763</v>
      </c>
      <c r="U1037" s="2895" t="s">
        <v>4247</v>
      </c>
      <c r="V1037" s="2895" t="s">
        <v>5877</v>
      </c>
      <c r="W1037" s="2895" t="s">
        <v>3450</v>
      </c>
      <c r="X1037" s="2902"/>
      <c r="Y1037" s="2903"/>
      <c r="Z1037" s="2895" t="s">
        <v>5430</v>
      </c>
    </row>
    <row r="1038" spans="1:16344" ht="33.6" customHeight="1">
      <c r="A1038" s="1601"/>
      <c r="B1038" s="2895" t="s">
        <v>3202</v>
      </c>
      <c r="C1038" s="2895" t="s">
        <v>6077</v>
      </c>
      <c r="E1038" s="2898" t="s">
        <v>5755</v>
      </c>
      <c r="F1038" s="2895">
        <v>55</v>
      </c>
      <c r="G1038" s="2899" t="s">
        <v>5449</v>
      </c>
      <c r="H1038" s="2895" t="s">
        <v>987</v>
      </c>
      <c r="I1038" s="2895" t="s">
        <v>4808</v>
      </c>
      <c r="J1038" s="2895" t="s">
        <v>5756</v>
      </c>
      <c r="K1038" s="2900">
        <v>44942</v>
      </c>
      <c r="L1038" s="2901" t="s">
        <v>990</v>
      </c>
      <c r="M1038" s="2901" t="s">
        <v>5740</v>
      </c>
      <c r="N1038" s="2895" t="s">
        <v>923</v>
      </c>
      <c r="O1038" s="2895">
        <v>2023</v>
      </c>
      <c r="P1038" s="2895" t="s">
        <v>2165</v>
      </c>
      <c r="Q1038" s="2895">
        <v>2</v>
      </c>
      <c r="R1038" s="2895"/>
      <c r="S1038" s="2895"/>
      <c r="T1038" s="2898" t="s">
        <v>5762</v>
      </c>
      <c r="U1038" s="2895" t="s">
        <v>4247</v>
      </c>
      <c r="V1038" s="2895" t="s">
        <v>5875</v>
      </c>
      <c r="W1038" s="2895" t="s">
        <v>5089</v>
      </c>
      <c r="X1038" s="2902"/>
      <c r="Y1038" s="2903"/>
      <c r="Z1038" s="2895"/>
    </row>
    <row r="1039" spans="1:16344" ht="33.6" customHeight="1">
      <c r="A1039" s="1601"/>
      <c r="B1039" s="2895" t="s">
        <v>3202</v>
      </c>
      <c r="C1039" s="2895" t="s">
        <v>5686</v>
      </c>
      <c r="E1039" s="2898" t="s">
        <v>5769</v>
      </c>
      <c r="F1039" s="2895">
        <v>23</v>
      </c>
      <c r="G1039" s="2899" t="s">
        <v>3592</v>
      </c>
      <c r="H1039" s="2895" t="s">
        <v>987</v>
      </c>
      <c r="I1039" s="2895" t="s">
        <v>2318</v>
      </c>
      <c r="J1039" s="2895" t="s">
        <v>5770</v>
      </c>
      <c r="K1039" s="2900">
        <v>44953</v>
      </c>
      <c r="L1039" s="2901" t="s">
        <v>1045</v>
      </c>
      <c r="M1039" s="2901" t="s">
        <v>5746</v>
      </c>
      <c r="N1039" s="2895" t="s">
        <v>2320</v>
      </c>
      <c r="O1039" s="2895">
        <v>2023</v>
      </c>
      <c r="P1039" s="2895" t="s">
        <v>2165</v>
      </c>
      <c r="Q1039" s="2895">
        <v>14</v>
      </c>
      <c r="R1039" s="2895"/>
      <c r="S1039" s="2895"/>
      <c r="T1039" s="2898" t="s">
        <v>5761</v>
      </c>
      <c r="U1039" s="2895" t="s">
        <v>4247</v>
      </c>
      <c r="V1039" s="2895" t="s">
        <v>5875</v>
      </c>
      <c r="W1039" s="2895" t="s">
        <v>2275</v>
      </c>
      <c r="X1039" s="2902" t="s">
        <v>5696</v>
      </c>
      <c r="Y1039" s="2903"/>
      <c r="Z1039" s="2895" t="s">
        <v>993</v>
      </c>
    </row>
    <row r="1040" spans="1:16344" ht="59.7" customHeight="1">
      <c r="A1040" s="1601"/>
      <c r="B1040" s="2895" t="s">
        <v>3202</v>
      </c>
      <c r="C1040" s="2895" t="s">
        <v>5766</v>
      </c>
      <c r="E1040" s="2898" t="s">
        <v>5768</v>
      </c>
      <c r="F1040" s="2895">
        <v>42</v>
      </c>
      <c r="G1040" s="2899" t="s">
        <v>3432</v>
      </c>
      <c r="H1040" s="2895" t="s">
        <v>987</v>
      </c>
      <c r="I1040" s="2895" t="s">
        <v>2549</v>
      </c>
      <c r="J1040" s="2895" t="s">
        <v>2681</v>
      </c>
      <c r="K1040" s="2900">
        <v>44957</v>
      </c>
      <c r="L1040" s="2901" t="s">
        <v>990</v>
      </c>
      <c r="M1040" s="2901" t="s">
        <v>5767</v>
      </c>
      <c r="N1040" s="2895" t="s">
        <v>2320</v>
      </c>
      <c r="O1040" s="2895">
        <v>2023</v>
      </c>
      <c r="P1040" s="2895" t="s">
        <v>2165</v>
      </c>
      <c r="Q1040" s="2895">
        <v>8</v>
      </c>
      <c r="R1040" s="2895"/>
      <c r="S1040" s="2895"/>
      <c r="T1040" s="2898" t="s">
        <v>4204</v>
      </c>
      <c r="U1040" s="2895" t="s">
        <v>4247</v>
      </c>
      <c r="V1040" s="2895" t="s">
        <v>5875</v>
      </c>
      <c r="W1040" s="2895" t="s">
        <v>2275</v>
      </c>
      <c r="X1040" s="2902"/>
      <c r="Y1040" s="2903"/>
      <c r="Z1040" s="2895"/>
    </row>
    <row r="1041" spans="1:26" ht="47.7" customHeight="1">
      <c r="A1041" s="1601"/>
      <c r="B1041" s="2895" t="s">
        <v>2943</v>
      </c>
      <c r="C1041" s="2895" t="s">
        <v>5732</v>
      </c>
      <c r="E1041" s="2898" t="s">
        <v>5749</v>
      </c>
      <c r="F1041" s="2895">
        <v>40</v>
      </c>
      <c r="G1041" s="2899" t="s">
        <v>5750</v>
      </c>
      <c r="H1041" s="2895" t="s">
        <v>987</v>
      </c>
      <c r="I1041" s="2895" t="s">
        <v>2318</v>
      </c>
      <c r="J1041" s="2895" t="s">
        <v>2492</v>
      </c>
      <c r="K1041" s="2900">
        <v>44929</v>
      </c>
      <c r="L1041" s="2901" t="s">
        <v>990</v>
      </c>
      <c r="M1041" s="2901" t="s">
        <v>5741</v>
      </c>
      <c r="N1041" s="2895" t="s">
        <v>915</v>
      </c>
      <c r="O1041" s="2895">
        <v>2023</v>
      </c>
      <c r="P1041" s="2895" t="s">
        <v>2165</v>
      </c>
      <c r="Q1041" s="2895">
        <v>21</v>
      </c>
      <c r="R1041" s="2895"/>
      <c r="S1041" s="2895"/>
      <c r="T1041" s="2901" t="s">
        <v>5752</v>
      </c>
      <c r="U1041" s="2895" t="s">
        <v>4247</v>
      </c>
      <c r="V1041" s="2895" t="s">
        <v>5876</v>
      </c>
      <c r="W1041" s="2895" t="s">
        <v>3450</v>
      </c>
      <c r="X1041" s="2895" t="s">
        <v>5751</v>
      </c>
      <c r="Y1041" s="2903"/>
      <c r="Z1041" s="2895" t="s">
        <v>993</v>
      </c>
    </row>
    <row r="1042" spans="1:26" ht="91.2" hidden="1" customHeight="1">
      <c r="B1042" s="2895" t="s">
        <v>790</v>
      </c>
      <c r="C1042" s="2895" t="s">
        <v>5594</v>
      </c>
      <c r="E1042" s="2898" t="s">
        <v>5782</v>
      </c>
      <c r="F1042" s="2895">
        <v>20</v>
      </c>
      <c r="G1042" s="2899" t="s">
        <v>2956</v>
      </c>
      <c r="H1042" s="2895" t="s">
        <v>987</v>
      </c>
      <c r="I1042" s="2895" t="s">
        <v>4808</v>
      </c>
      <c r="J1042" s="2895" t="s">
        <v>2748</v>
      </c>
      <c r="K1042" s="2900">
        <v>44944</v>
      </c>
      <c r="L1042" s="2901" t="s">
        <v>5602</v>
      </c>
      <c r="M1042" s="2901" t="s">
        <v>5742</v>
      </c>
      <c r="N1042" s="2895" t="s">
        <v>5328</v>
      </c>
      <c r="O1042" s="2895">
        <v>2023</v>
      </c>
      <c r="P1042" s="2895" t="s">
        <v>2165</v>
      </c>
      <c r="Q1042" s="2895">
        <v>0</v>
      </c>
      <c r="R1042" s="2895"/>
      <c r="S1042" s="2895"/>
      <c r="T1042" s="2898" t="s">
        <v>3586</v>
      </c>
      <c r="U1042" s="2895" t="s">
        <v>4247</v>
      </c>
      <c r="V1042" s="2903"/>
      <c r="W1042" s="2895" t="s">
        <v>3450</v>
      </c>
      <c r="X1042" s="2902"/>
      <c r="Y1042" s="2903"/>
      <c r="Z1042" s="2895"/>
    </row>
    <row r="1043" spans="1:26" ht="73.95" customHeight="1">
      <c r="A1043" s="1601"/>
      <c r="B1043" s="2897" t="s">
        <v>2943</v>
      </c>
      <c r="C1043" s="2897" t="s">
        <v>5733</v>
      </c>
      <c r="E1043" s="2910" t="s">
        <v>5779</v>
      </c>
      <c r="F1043" s="2897">
        <v>59</v>
      </c>
      <c r="G1043" s="2911" t="s">
        <v>5778</v>
      </c>
      <c r="H1043" s="2897" t="s">
        <v>987</v>
      </c>
      <c r="I1043" s="2897" t="s">
        <v>4808</v>
      </c>
      <c r="J1043" s="2897" t="s">
        <v>5253</v>
      </c>
      <c r="K1043" s="2912">
        <v>44946</v>
      </c>
      <c r="L1043" s="2913" t="s">
        <v>990</v>
      </c>
      <c r="M1043" s="2913" t="s">
        <v>5743</v>
      </c>
      <c r="N1043" s="2897" t="s">
        <v>3416</v>
      </c>
      <c r="O1043" s="2897">
        <v>2023</v>
      </c>
      <c r="P1043" s="2897" t="s">
        <v>2165</v>
      </c>
      <c r="Q1043" s="2897">
        <v>2</v>
      </c>
      <c r="R1043" s="2897"/>
      <c r="S1043" s="2897"/>
      <c r="T1043" s="2910" t="s">
        <v>5760</v>
      </c>
      <c r="U1043" s="2897" t="s">
        <v>4247</v>
      </c>
      <c r="V1043" s="2897" t="s">
        <v>5876</v>
      </c>
      <c r="W1043" s="2897" t="s">
        <v>5757</v>
      </c>
      <c r="X1043" s="2914"/>
      <c r="Y1043" s="2903"/>
      <c r="Z1043" s="2895"/>
    </row>
    <row r="1044" spans="1:26" ht="73.95" customHeight="1">
      <c r="A1044" s="1601"/>
      <c r="B1044" s="2895" t="s">
        <v>789</v>
      </c>
      <c r="C1044" s="2895" t="s">
        <v>3495</v>
      </c>
      <c r="E1044" s="2898" t="s">
        <v>5777</v>
      </c>
      <c r="F1044" s="2895">
        <v>38</v>
      </c>
      <c r="G1044" s="2899" t="s">
        <v>5776</v>
      </c>
      <c r="H1044" s="2895" t="s">
        <v>987</v>
      </c>
      <c r="I1044" s="2895" t="s">
        <v>2318</v>
      </c>
      <c r="J1044" s="2895" t="s">
        <v>2492</v>
      </c>
      <c r="K1044" s="2900">
        <v>44946</v>
      </c>
      <c r="L1044" s="2901" t="s">
        <v>990</v>
      </c>
      <c r="M1044" s="2901" t="s">
        <v>5744</v>
      </c>
      <c r="N1044" s="2895" t="s">
        <v>925</v>
      </c>
      <c r="O1044" s="2895">
        <v>2023</v>
      </c>
      <c r="P1044" s="2895" t="s">
        <v>2165</v>
      </c>
      <c r="Q1044" s="2895">
        <v>20</v>
      </c>
      <c r="R1044" s="2895"/>
      <c r="S1044" s="2895"/>
      <c r="T1044" s="2898" t="s">
        <v>5759</v>
      </c>
      <c r="U1044" s="2895" t="s">
        <v>4247</v>
      </c>
      <c r="V1044" s="2895" t="s">
        <v>2951</v>
      </c>
      <c r="W1044" s="2895" t="s">
        <v>1555</v>
      </c>
      <c r="X1044" s="2902"/>
      <c r="Y1044" s="2903"/>
      <c r="Z1044" s="2895"/>
    </row>
    <row r="1045" spans="1:26" ht="27.6">
      <c r="A1045" s="1601"/>
      <c r="B1045" s="2915" t="s">
        <v>918</v>
      </c>
      <c r="C1045" s="2915" t="s">
        <v>6078</v>
      </c>
      <c r="E1045" s="2916" t="s">
        <v>5839</v>
      </c>
      <c r="F1045" s="2915">
        <v>43</v>
      </c>
      <c r="G1045" s="2917" t="s">
        <v>4852</v>
      </c>
      <c r="H1045" s="2915" t="s">
        <v>987</v>
      </c>
      <c r="I1045" s="2915" t="s">
        <v>4808</v>
      </c>
      <c r="J1045" s="2915" t="s">
        <v>2070</v>
      </c>
      <c r="K1045" s="2918">
        <v>44959</v>
      </c>
      <c r="L1045" s="2919" t="s">
        <v>1045</v>
      </c>
      <c r="M1045" s="2920" t="s">
        <v>5790</v>
      </c>
      <c r="N1045" s="2915" t="s">
        <v>913</v>
      </c>
      <c r="O1045" s="2915">
        <v>2023</v>
      </c>
      <c r="P1045" s="2915" t="s">
        <v>896</v>
      </c>
      <c r="Q1045" s="2915">
        <v>28</v>
      </c>
      <c r="R1045" s="2915"/>
      <c r="S1045" s="2915"/>
      <c r="T1045" s="2916" t="s">
        <v>5791</v>
      </c>
      <c r="U1045" s="2915" t="s">
        <v>4516</v>
      </c>
      <c r="V1045" s="2915" t="s">
        <v>5874</v>
      </c>
      <c r="W1045" s="2915" t="s">
        <v>2482</v>
      </c>
      <c r="X1045" s="2915"/>
      <c r="Y1045" s="2919"/>
      <c r="Z1045" s="2919"/>
    </row>
    <row r="1046" spans="1:26" ht="55.2">
      <c r="A1046" s="1601"/>
      <c r="B1046" s="2915" t="s">
        <v>91</v>
      </c>
      <c r="C1046" s="2915" t="s">
        <v>3596</v>
      </c>
      <c r="E1046" s="2916" t="s">
        <v>5846</v>
      </c>
      <c r="F1046" s="2915">
        <v>27</v>
      </c>
      <c r="G1046" s="2917" t="s">
        <v>5847</v>
      </c>
      <c r="H1046" s="2915" t="s">
        <v>987</v>
      </c>
      <c r="I1046" s="2915" t="s">
        <v>4808</v>
      </c>
      <c r="J1046" s="2915" t="s">
        <v>2523</v>
      </c>
      <c r="K1046" s="2918">
        <v>44959</v>
      </c>
      <c r="L1046" s="2919" t="s">
        <v>1045</v>
      </c>
      <c r="M1046" s="2920" t="s">
        <v>5792</v>
      </c>
      <c r="N1046" s="2915" t="s">
        <v>2320</v>
      </c>
      <c r="O1046" s="2915">
        <v>2023</v>
      </c>
      <c r="P1046" s="2915" t="s">
        <v>896</v>
      </c>
      <c r="Q1046" s="2915">
        <v>27</v>
      </c>
      <c r="R1046" s="2915"/>
      <c r="S1046" s="2915"/>
      <c r="T1046" s="2916" t="s">
        <v>3016</v>
      </c>
      <c r="U1046" s="2915" t="s">
        <v>4247</v>
      </c>
      <c r="V1046" s="2915" t="s">
        <v>5874</v>
      </c>
      <c r="W1046" s="2915" t="s">
        <v>2607</v>
      </c>
      <c r="X1046" s="2915"/>
      <c r="Y1046" s="2919"/>
      <c r="Z1046" s="2919" t="s">
        <v>5430</v>
      </c>
    </row>
    <row r="1047" spans="1:26" ht="27.6">
      <c r="A1047" s="1601"/>
      <c r="B1047" s="2915" t="s">
        <v>6075</v>
      </c>
      <c r="C1047" s="2915" t="s">
        <v>4571</v>
      </c>
      <c r="E1047" s="2916" t="s">
        <v>5840</v>
      </c>
      <c r="F1047" s="2915">
        <v>50</v>
      </c>
      <c r="G1047" s="2917" t="s">
        <v>5888</v>
      </c>
      <c r="H1047" s="2915" t="s">
        <v>987</v>
      </c>
      <c r="I1047" s="2915" t="s">
        <v>4808</v>
      </c>
      <c r="J1047" s="2915" t="s">
        <v>3240</v>
      </c>
      <c r="K1047" s="2918">
        <v>44963</v>
      </c>
      <c r="L1047" s="2919" t="s">
        <v>1045</v>
      </c>
      <c r="M1047" s="2920" t="s">
        <v>5793</v>
      </c>
      <c r="N1047" s="2915" t="s">
        <v>913</v>
      </c>
      <c r="O1047" s="2915">
        <v>2023</v>
      </c>
      <c r="P1047" s="2915" t="s">
        <v>896</v>
      </c>
      <c r="Q1047" s="2915">
        <v>19</v>
      </c>
      <c r="R1047" s="2915"/>
      <c r="S1047" s="2915"/>
      <c r="T1047" s="2916" t="s">
        <v>4204</v>
      </c>
      <c r="U1047" s="2915" t="s">
        <v>4247</v>
      </c>
      <c r="V1047" s="2915" t="s">
        <v>5876</v>
      </c>
      <c r="W1047" s="2915" t="s">
        <v>3450</v>
      </c>
      <c r="X1047" s="2915" t="s">
        <v>1105</v>
      </c>
      <c r="Y1047" s="2919"/>
      <c r="Z1047" s="2919" t="s">
        <v>993</v>
      </c>
    </row>
    <row r="1048" spans="1:26" ht="27.6">
      <c r="A1048" s="1601"/>
      <c r="B1048" s="2915" t="s">
        <v>429</v>
      </c>
      <c r="C1048" s="2915" t="s">
        <v>3247</v>
      </c>
      <c r="E1048" s="2916" t="s">
        <v>5838</v>
      </c>
      <c r="F1048" s="2915"/>
      <c r="G1048" s="2917" t="s">
        <v>5887</v>
      </c>
      <c r="H1048" s="2915" t="s">
        <v>987</v>
      </c>
      <c r="I1048" s="2915" t="s">
        <v>4808</v>
      </c>
      <c r="J1048" s="2915" t="s">
        <v>2748</v>
      </c>
      <c r="K1048" s="2918">
        <v>44965</v>
      </c>
      <c r="L1048" s="2919" t="s">
        <v>1045</v>
      </c>
      <c r="M1048" s="2920" t="s">
        <v>5794</v>
      </c>
      <c r="N1048" s="2915" t="s">
        <v>913</v>
      </c>
      <c r="O1048" s="2915">
        <v>2023</v>
      </c>
      <c r="P1048" s="2915" t="s">
        <v>896</v>
      </c>
      <c r="Q1048" s="2915">
        <v>3</v>
      </c>
      <c r="R1048" s="2915"/>
      <c r="S1048" s="2915"/>
      <c r="T1048" s="2916" t="s">
        <v>3586</v>
      </c>
      <c r="U1048" s="2915" t="s">
        <v>4247</v>
      </c>
      <c r="V1048" s="2915" t="s">
        <v>5877</v>
      </c>
      <c r="W1048" s="2915" t="s">
        <v>3450</v>
      </c>
      <c r="X1048" s="2915" t="s">
        <v>5795</v>
      </c>
      <c r="Y1048" s="2919"/>
      <c r="Z1048" s="2919" t="s">
        <v>993</v>
      </c>
    </row>
    <row r="1049" spans="1:26" ht="27.6">
      <c r="A1049" s="1601"/>
      <c r="B1049" s="2915" t="s">
        <v>1006</v>
      </c>
      <c r="C1049" s="2915" t="s">
        <v>3668</v>
      </c>
      <c r="E1049" s="2916" t="s">
        <v>5843</v>
      </c>
      <c r="F1049" s="2915">
        <v>36</v>
      </c>
      <c r="G1049" s="2917" t="s">
        <v>4355</v>
      </c>
      <c r="H1049" s="2915" t="s">
        <v>994</v>
      </c>
      <c r="I1049" s="2915" t="s">
        <v>4808</v>
      </c>
      <c r="J1049" s="2915" t="s">
        <v>2466</v>
      </c>
      <c r="K1049" s="2918">
        <v>44966</v>
      </c>
      <c r="L1049" s="2919" t="s">
        <v>1045</v>
      </c>
      <c r="M1049" s="2920" t="s">
        <v>5796</v>
      </c>
      <c r="N1049" s="2915" t="s">
        <v>917</v>
      </c>
      <c r="O1049" s="2915">
        <v>2023</v>
      </c>
      <c r="P1049" s="2915" t="s">
        <v>896</v>
      </c>
      <c r="Q1049" s="2915">
        <v>2</v>
      </c>
      <c r="R1049" s="2915"/>
      <c r="S1049" s="2915"/>
      <c r="T1049" s="2916" t="s">
        <v>5797</v>
      </c>
      <c r="U1049" s="2915" t="s">
        <v>4247</v>
      </c>
      <c r="V1049" s="2915" t="s">
        <v>5878</v>
      </c>
      <c r="W1049" s="2915" t="s">
        <v>3450</v>
      </c>
      <c r="X1049" s="2915" t="s">
        <v>1228</v>
      </c>
      <c r="Y1049" s="2919"/>
      <c r="Z1049" s="2919" t="s">
        <v>993</v>
      </c>
    </row>
    <row r="1050" spans="1:26" ht="41.4" hidden="1">
      <c r="B1050" s="2915" t="s">
        <v>5798</v>
      </c>
      <c r="C1050" s="2915" t="s">
        <v>3609</v>
      </c>
      <c r="E1050" s="2916" t="s">
        <v>5835</v>
      </c>
      <c r="F1050" s="2915">
        <v>37</v>
      </c>
      <c r="G1050" s="2917" t="s">
        <v>3432</v>
      </c>
      <c r="H1050" s="2915" t="s">
        <v>987</v>
      </c>
      <c r="I1050" s="2915" t="s">
        <v>4808</v>
      </c>
      <c r="J1050" s="2915" t="s">
        <v>2644</v>
      </c>
      <c r="K1050" s="2918">
        <v>44966</v>
      </c>
      <c r="L1050" s="2919" t="s">
        <v>5426</v>
      </c>
      <c r="M1050" s="2920" t="s">
        <v>5799</v>
      </c>
      <c r="N1050" s="2915" t="s">
        <v>2320</v>
      </c>
      <c r="O1050" s="2915">
        <v>2023</v>
      </c>
      <c r="P1050" s="2915" t="s">
        <v>896</v>
      </c>
      <c r="Q1050" s="2915">
        <v>20</v>
      </c>
      <c r="R1050" s="2915"/>
      <c r="S1050" s="2915"/>
      <c r="T1050" s="2916" t="s">
        <v>5800</v>
      </c>
      <c r="U1050" s="2915" t="s">
        <v>4247</v>
      </c>
      <c r="V1050" s="2915" t="s">
        <v>5875</v>
      </c>
      <c r="W1050" s="2915" t="s">
        <v>3450</v>
      </c>
      <c r="X1050" s="2915"/>
      <c r="Y1050" s="2919"/>
      <c r="Z1050" s="2919"/>
    </row>
    <row r="1051" spans="1:26" ht="27.6" hidden="1">
      <c r="A1051" s="1601"/>
      <c r="B1051" s="2915" t="s">
        <v>5451</v>
      </c>
      <c r="C1051" s="2915" t="s">
        <v>5451</v>
      </c>
      <c r="E1051" s="2916" t="s">
        <v>5834</v>
      </c>
      <c r="F1051" s="2915">
        <v>47</v>
      </c>
      <c r="G1051" s="2917" t="s">
        <v>5449</v>
      </c>
      <c r="H1051" s="2915" t="s">
        <v>987</v>
      </c>
      <c r="I1051" s="2915" t="s">
        <v>2549</v>
      </c>
      <c r="J1051" s="2915" t="s">
        <v>2869</v>
      </c>
      <c r="K1051" s="2918">
        <v>44973</v>
      </c>
      <c r="L1051" s="2919" t="s">
        <v>1045</v>
      </c>
      <c r="M1051" s="2920" t="s">
        <v>5801</v>
      </c>
      <c r="N1051" s="2915" t="s">
        <v>917</v>
      </c>
      <c r="O1051" s="2915">
        <v>2023</v>
      </c>
      <c r="P1051" s="2915" t="s">
        <v>896</v>
      </c>
      <c r="Q1051" s="2915">
        <v>2</v>
      </c>
      <c r="R1051" s="2915"/>
      <c r="S1051" s="2915"/>
      <c r="T1051" s="2916" t="s">
        <v>2305</v>
      </c>
      <c r="U1051" s="2915" t="s">
        <v>4247</v>
      </c>
      <c r="V1051" s="2915" t="s">
        <v>2951</v>
      </c>
      <c r="W1051" s="2915" t="s">
        <v>3450</v>
      </c>
      <c r="X1051" s="2915"/>
      <c r="Y1051" s="2919"/>
      <c r="Z1051" s="2919"/>
    </row>
    <row r="1052" spans="1:26" ht="55.2">
      <c r="A1052" s="1601"/>
      <c r="B1052" s="2915" t="s">
        <v>429</v>
      </c>
      <c r="C1052" s="2915" t="s">
        <v>879</v>
      </c>
      <c r="E1052" s="2916" t="s">
        <v>5833</v>
      </c>
      <c r="F1052" s="2915">
        <v>55</v>
      </c>
      <c r="G1052" s="2917" t="s">
        <v>3575</v>
      </c>
      <c r="H1052" s="2915" t="s">
        <v>987</v>
      </c>
      <c r="I1052" s="2915" t="s">
        <v>2318</v>
      </c>
      <c r="J1052" s="2915" t="s">
        <v>3053</v>
      </c>
      <c r="K1052" s="2918">
        <v>44973</v>
      </c>
      <c r="L1052" s="2919" t="s">
        <v>1045</v>
      </c>
      <c r="M1052" s="2920" t="s">
        <v>5802</v>
      </c>
      <c r="N1052" s="2915" t="s">
        <v>913</v>
      </c>
      <c r="O1052" s="2915">
        <v>2023</v>
      </c>
      <c r="P1052" s="2915" t="s">
        <v>896</v>
      </c>
      <c r="Q1052" s="2915">
        <v>8</v>
      </c>
      <c r="R1052" s="2915"/>
      <c r="S1052" s="2915"/>
      <c r="T1052" s="2916" t="s">
        <v>5803</v>
      </c>
      <c r="U1052" s="2915" t="s">
        <v>4247</v>
      </c>
      <c r="V1052" s="2915" t="s">
        <v>5878</v>
      </c>
      <c r="W1052" s="2915" t="s">
        <v>3450</v>
      </c>
      <c r="X1052" s="2915"/>
      <c r="Y1052" s="2919"/>
      <c r="Z1052" s="2919"/>
    </row>
    <row r="1053" spans="1:26" ht="41.4">
      <c r="A1053" s="1601"/>
      <c r="B1053" s="2915" t="s">
        <v>5798</v>
      </c>
      <c r="C1053" s="2915" t="s">
        <v>974</v>
      </c>
      <c r="E1053" s="2916" t="s">
        <v>5832</v>
      </c>
      <c r="F1053" s="2915">
        <v>22</v>
      </c>
      <c r="G1053" s="2917" t="s">
        <v>3251</v>
      </c>
      <c r="H1053" s="2915" t="s">
        <v>987</v>
      </c>
      <c r="I1053" s="2915" t="s">
        <v>4808</v>
      </c>
      <c r="J1053" s="2915" t="s">
        <v>5831</v>
      </c>
      <c r="K1053" s="2918">
        <v>44976</v>
      </c>
      <c r="L1053" s="2919" t="s">
        <v>1045</v>
      </c>
      <c r="M1053" s="2920" t="s">
        <v>5804</v>
      </c>
      <c r="N1053" s="2915" t="s">
        <v>3416</v>
      </c>
      <c r="O1053" s="2915">
        <v>2023</v>
      </c>
      <c r="P1053" s="2915" t="s">
        <v>896</v>
      </c>
      <c r="Q1053" s="2915">
        <v>9</v>
      </c>
      <c r="R1053" s="2915"/>
      <c r="S1053" s="2915"/>
      <c r="T1053" s="2916" t="s">
        <v>5807</v>
      </c>
      <c r="U1053" s="2915" t="s">
        <v>4247</v>
      </c>
      <c r="V1053" s="2915" t="s">
        <v>5876</v>
      </c>
      <c r="W1053" s="2915" t="s">
        <v>2275</v>
      </c>
      <c r="X1053" s="2915"/>
      <c r="Y1053" s="2919"/>
      <c r="Z1053" s="2919"/>
    </row>
    <row r="1054" spans="1:26" ht="55.2">
      <c r="A1054" s="1601"/>
      <c r="B1054" s="2915" t="s">
        <v>1053</v>
      </c>
      <c r="C1054" s="2915" t="s">
        <v>5805</v>
      </c>
      <c r="E1054" s="2916" t="s">
        <v>5822</v>
      </c>
      <c r="F1054" s="2915">
        <v>25</v>
      </c>
      <c r="G1054" s="2917" t="s">
        <v>5865</v>
      </c>
      <c r="H1054" s="2915" t="s">
        <v>987</v>
      </c>
      <c r="I1054" s="2915" t="s">
        <v>2318</v>
      </c>
      <c r="J1054" s="2915" t="s">
        <v>3246</v>
      </c>
      <c r="K1054" s="2918">
        <v>44978</v>
      </c>
      <c r="L1054" s="2919" t="s">
        <v>1045</v>
      </c>
      <c r="M1054" s="2920" t="s">
        <v>5806</v>
      </c>
      <c r="N1054" s="2915" t="s">
        <v>2320</v>
      </c>
      <c r="O1054" s="2915">
        <v>2023</v>
      </c>
      <c r="P1054" s="2915" t="s">
        <v>896</v>
      </c>
      <c r="Q1054" s="2915">
        <v>37</v>
      </c>
      <c r="R1054" s="2915"/>
      <c r="S1054" s="2915"/>
      <c r="T1054" s="2916" t="s">
        <v>5808</v>
      </c>
      <c r="U1054" s="2915" t="s">
        <v>4247</v>
      </c>
      <c r="V1054" s="2915" t="s">
        <v>5876</v>
      </c>
      <c r="W1054" s="2915" t="s">
        <v>2340</v>
      </c>
      <c r="X1054" s="2915"/>
      <c r="Y1054" s="2919"/>
      <c r="Z1054" s="2919" t="s">
        <v>5430</v>
      </c>
    </row>
    <row r="1055" spans="1:26" ht="27.6">
      <c r="A1055" s="1601"/>
      <c r="B1055" s="2915" t="s">
        <v>6244</v>
      </c>
      <c r="C1055" s="2915" t="s">
        <v>5809</v>
      </c>
      <c r="D1055" s="1185"/>
      <c r="E1055" s="2916" t="s">
        <v>5830</v>
      </c>
      <c r="F1055" s="2915"/>
      <c r="G1055" s="2917" t="s">
        <v>5889</v>
      </c>
      <c r="H1055" s="2915" t="s">
        <v>994</v>
      </c>
      <c r="I1055" s="2915" t="s">
        <v>2549</v>
      </c>
      <c r="J1055" s="2915" t="s">
        <v>2748</v>
      </c>
      <c r="K1055" s="2918">
        <v>44977</v>
      </c>
      <c r="L1055" s="2919" t="s">
        <v>1045</v>
      </c>
      <c r="M1055" s="2920" t="s">
        <v>5810</v>
      </c>
      <c r="N1055" s="2915" t="s">
        <v>917</v>
      </c>
      <c r="O1055" s="2915">
        <v>2023</v>
      </c>
      <c r="P1055" s="2915" t="s">
        <v>896</v>
      </c>
      <c r="Q1055" s="2915">
        <v>3</v>
      </c>
      <c r="R1055" s="2915"/>
      <c r="S1055" s="2915"/>
      <c r="T1055" s="2916" t="s">
        <v>2234</v>
      </c>
      <c r="U1055" s="2915" t="s">
        <v>4247</v>
      </c>
      <c r="V1055" s="2915" t="s">
        <v>5878</v>
      </c>
      <c r="W1055" s="2915" t="s">
        <v>3450</v>
      </c>
      <c r="X1055" s="2915" t="s">
        <v>5396</v>
      </c>
      <c r="Y1055" s="2919"/>
      <c r="Z1055" s="2919" t="s">
        <v>993</v>
      </c>
    </row>
    <row r="1056" spans="1:26" ht="41.4" hidden="1">
      <c r="B1056" s="2915" t="s">
        <v>604</v>
      </c>
      <c r="C1056" s="2915" t="s">
        <v>5824</v>
      </c>
      <c r="D1056" s="1185"/>
      <c r="E1056" s="2916" t="s">
        <v>5823</v>
      </c>
      <c r="F1056" s="2915">
        <v>24</v>
      </c>
      <c r="G1056" s="2917" t="s">
        <v>5828</v>
      </c>
      <c r="H1056" s="2915" t="s">
        <v>994</v>
      </c>
      <c r="I1056" s="2915" t="s">
        <v>4808</v>
      </c>
      <c r="J1056" s="2915" t="s">
        <v>2466</v>
      </c>
      <c r="K1056" s="2918">
        <v>44977</v>
      </c>
      <c r="L1056" s="2919" t="s">
        <v>5826</v>
      </c>
      <c r="M1056" s="2920" t="s">
        <v>5825</v>
      </c>
      <c r="N1056" s="2915" t="s">
        <v>915</v>
      </c>
      <c r="O1056" s="2915">
        <v>2023</v>
      </c>
      <c r="P1056" s="2915" t="s">
        <v>896</v>
      </c>
      <c r="Q1056" s="2915">
        <v>3</v>
      </c>
      <c r="R1056" s="2915"/>
      <c r="S1056" s="2915"/>
      <c r="T1056" s="2916" t="s">
        <v>2689</v>
      </c>
      <c r="U1056" s="2915" t="s">
        <v>5827</v>
      </c>
      <c r="V1056" s="2919"/>
      <c r="W1056" s="2915" t="s">
        <v>5829</v>
      </c>
      <c r="X1056" s="2915"/>
      <c r="Y1056" s="2919"/>
      <c r="Z1056" s="2919"/>
    </row>
    <row r="1057" spans="1:26" ht="27.6">
      <c r="A1057" s="1601"/>
      <c r="B1057" s="2915" t="s">
        <v>694</v>
      </c>
      <c r="C1057" s="2915" t="s">
        <v>3864</v>
      </c>
      <c r="D1057" s="1185"/>
      <c r="E1057" s="2916" t="s">
        <v>5820</v>
      </c>
      <c r="F1057" s="2915">
        <v>27</v>
      </c>
      <c r="G1057" s="2917" t="s">
        <v>2758</v>
      </c>
      <c r="H1057" s="2915" t="s">
        <v>987</v>
      </c>
      <c r="I1057" s="2915" t="s">
        <v>2549</v>
      </c>
      <c r="J1057" s="2915" t="s">
        <v>5821</v>
      </c>
      <c r="K1057" s="2918">
        <v>44985</v>
      </c>
      <c r="L1057" s="2919" t="s">
        <v>1045</v>
      </c>
      <c r="M1057" s="2920" t="s">
        <v>5817</v>
      </c>
      <c r="N1057" s="2915" t="s">
        <v>917</v>
      </c>
      <c r="O1057" s="2915">
        <v>2023</v>
      </c>
      <c r="P1057" s="2915" t="s">
        <v>896</v>
      </c>
      <c r="Q1057" s="2915">
        <v>11</v>
      </c>
      <c r="R1057" s="2915"/>
      <c r="S1057" s="2915"/>
      <c r="T1057" s="2916" t="s">
        <v>5879</v>
      </c>
      <c r="U1057" s="2915" t="s">
        <v>4247</v>
      </c>
      <c r="V1057" s="2915" t="s">
        <v>5875</v>
      </c>
      <c r="W1057" s="2915" t="s">
        <v>3808</v>
      </c>
      <c r="X1057" s="2915"/>
      <c r="Y1057" s="2919"/>
      <c r="Z1057" s="2919" t="s">
        <v>5430</v>
      </c>
    </row>
    <row r="1058" spans="1:26" ht="41.4">
      <c r="A1058" s="1601"/>
      <c r="B1058" s="2915" t="s">
        <v>5798</v>
      </c>
      <c r="C1058" s="2915" t="s">
        <v>3609</v>
      </c>
      <c r="D1058" s="1185"/>
      <c r="E1058" s="2916" t="s">
        <v>5819</v>
      </c>
      <c r="F1058" s="2915">
        <v>28</v>
      </c>
      <c r="G1058" s="2917" t="s">
        <v>5868</v>
      </c>
      <c r="H1058" s="2915" t="s">
        <v>987</v>
      </c>
      <c r="I1058" s="2915" t="s">
        <v>2549</v>
      </c>
      <c r="J1058" s="2915" t="s">
        <v>2570</v>
      </c>
      <c r="K1058" s="2918">
        <v>44985</v>
      </c>
      <c r="L1058" s="2919" t="s">
        <v>1045</v>
      </c>
      <c r="M1058" s="2920" t="s">
        <v>5818</v>
      </c>
      <c r="N1058" s="2915" t="s">
        <v>2320</v>
      </c>
      <c r="O1058" s="2915">
        <v>2023</v>
      </c>
      <c r="P1058" s="2915" t="s">
        <v>896</v>
      </c>
      <c r="Q1058" s="2915">
        <v>10</v>
      </c>
      <c r="R1058" s="2915"/>
      <c r="S1058" s="2915"/>
      <c r="T1058" s="2916" t="s">
        <v>4658</v>
      </c>
      <c r="U1058" s="2915" t="s">
        <v>4247</v>
      </c>
      <c r="V1058" s="2915" t="s">
        <v>5880</v>
      </c>
      <c r="W1058" s="2915" t="s">
        <v>3450</v>
      </c>
      <c r="X1058" s="2915"/>
      <c r="Y1058" s="2919"/>
      <c r="Z1058" s="2919" t="s">
        <v>5430</v>
      </c>
    </row>
    <row r="1059" spans="1:26" ht="27.6">
      <c r="A1059" s="1601"/>
      <c r="B1059" s="2915" t="s">
        <v>3202</v>
      </c>
      <c r="C1059" s="2915" t="s">
        <v>5814</v>
      </c>
      <c r="D1059" s="1185"/>
      <c r="E1059" s="2916" t="s">
        <v>5844</v>
      </c>
      <c r="F1059" s="2915">
        <v>49</v>
      </c>
      <c r="G1059" s="2917" t="s">
        <v>2956</v>
      </c>
      <c r="H1059" s="2915" t="s">
        <v>994</v>
      </c>
      <c r="I1059" s="2915" t="s">
        <v>2549</v>
      </c>
      <c r="J1059" s="2915" t="s">
        <v>2497</v>
      </c>
      <c r="K1059" s="2918">
        <v>44964</v>
      </c>
      <c r="L1059" s="2919" t="s">
        <v>1045</v>
      </c>
      <c r="M1059" s="2920" t="s">
        <v>5815</v>
      </c>
      <c r="N1059" s="2915" t="s">
        <v>913</v>
      </c>
      <c r="O1059" s="2915">
        <v>2023</v>
      </c>
      <c r="P1059" s="2915" t="s">
        <v>896</v>
      </c>
      <c r="Q1059" s="2915">
        <v>7</v>
      </c>
      <c r="R1059" s="2915"/>
      <c r="S1059" s="2915"/>
      <c r="T1059" s="2916" t="s">
        <v>5816</v>
      </c>
      <c r="U1059" s="2915" t="s">
        <v>4516</v>
      </c>
      <c r="V1059" s="2915" t="s">
        <v>5878</v>
      </c>
      <c r="W1059" s="2915" t="s">
        <v>3450</v>
      </c>
      <c r="X1059" s="2915"/>
      <c r="Y1059" s="2919"/>
      <c r="Z1059" s="2919"/>
    </row>
    <row r="1060" spans="1:26" ht="27.6">
      <c r="A1060" s="1601"/>
      <c r="B1060" s="2915" t="s">
        <v>2943</v>
      </c>
      <c r="C1060" s="2915" t="s">
        <v>5733</v>
      </c>
      <c r="D1060" s="1185"/>
      <c r="E1060" s="2916" t="s">
        <v>5841</v>
      </c>
      <c r="F1060" s="2915">
        <v>33</v>
      </c>
      <c r="G1060" s="2917" t="s">
        <v>5719</v>
      </c>
      <c r="H1060" s="2915" t="s">
        <v>987</v>
      </c>
      <c r="I1060" s="2915" t="s">
        <v>4808</v>
      </c>
      <c r="J1060" s="2915" t="s">
        <v>5842</v>
      </c>
      <c r="K1060" s="2918">
        <v>44964</v>
      </c>
      <c r="L1060" s="2919" t="s">
        <v>1045</v>
      </c>
      <c r="M1060" s="2920" t="s">
        <v>5812</v>
      </c>
      <c r="N1060" s="2915" t="s">
        <v>2320</v>
      </c>
      <c r="O1060" s="2915">
        <v>2023</v>
      </c>
      <c r="P1060" s="2915" t="s">
        <v>896</v>
      </c>
      <c r="Q1060" s="2915">
        <v>34</v>
      </c>
      <c r="R1060" s="2915"/>
      <c r="S1060" s="2915"/>
      <c r="T1060" s="2916" t="s">
        <v>5813</v>
      </c>
      <c r="U1060" s="2915" t="s">
        <v>4247</v>
      </c>
      <c r="V1060" s="2915" t="s">
        <v>5880</v>
      </c>
      <c r="W1060" s="2915" t="s">
        <v>2340</v>
      </c>
      <c r="X1060" s="2915"/>
      <c r="Y1060" s="2919"/>
      <c r="Z1060" s="2919"/>
    </row>
    <row r="1061" spans="1:26" ht="41.4">
      <c r="A1061" s="1601"/>
      <c r="B1061" s="2915" t="s">
        <v>2943</v>
      </c>
      <c r="C1061" s="2915" t="s">
        <v>5733</v>
      </c>
      <c r="E1061" s="2916" t="s">
        <v>5836</v>
      </c>
      <c r="F1061" s="2915">
        <v>58</v>
      </c>
      <c r="G1061" s="2917" t="s">
        <v>5837</v>
      </c>
      <c r="H1061" s="2915" t="s">
        <v>987</v>
      </c>
      <c r="I1061" s="2915" t="s">
        <v>2549</v>
      </c>
      <c r="J1061" s="2915" t="s">
        <v>2493</v>
      </c>
      <c r="K1061" s="2918">
        <v>44969</v>
      </c>
      <c r="L1061" s="2919" t="s">
        <v>1045</v>
      </c>
      <c r="M1061" s="2920" t="s">
        <v>5811</v>
      </c>
      <c r="N1061" s="2915" t="s">
        <v>913</v>
      </c>
      <c r="O1061" s="2915">
        <v>2023</v>
      </c>
      <c r="P1061" s="2915" t="s">
        <v>896</v>
      </c>
      <c r="Q1061" s="2915">
        <v>10</v>
      </c>
      <c r="R1061" s="2915"/>
      <c r="S1061" s="2915"/>
      <c r="T1061" s="2916" t="s">
        <v>2231</v>
      </c>
      <c r="U1061" s="2915" t="s">
        <v>4247</v>
      </c>
      <c r="V1061" s="2915" t="s">
        <v>5875</v>
      </c>
      <c r="W1061" s="2915" t="s">
        <v>2238</v>
      </c>
      <c r="X1061" s="2915"/>
      <c r="Y1061" s="2919"/>
      <c r="Z1061" s="2919"/>
    </row>
    <row r="1062" spans="1:26" ht="27.6" hidden="1">
      <c r="B1062" s="2921" t="s">
        <v>693</v>
      </c>
      <c r="C1062" s="2921" t="s">
        <v>453</v>
      </c>
      <c r="E1062" s="2923"/>
      <c r="F1062" s="2921"/>
      <c r="G1062" s="2924"/>
      <c r="H1062" s="2921"/>
      <c r="I1062" s="2921" t="s">
        <v>2549</v>
      </c>
      <c r="J1062" s="2921"/>
      <c r="K1062" s="2925">
        <v>44987</v>
      </c>
      <c r="L1062" s="2926" t="s">
        <v>5602</v>
      </c>
      <c r="M1062" s="2899" t="s">
        <v>5908</v>
      </c>
      <c r="N1062" s="2921"/>
      <c r="O1062" s="2921">
        <v>2023</v>
      </c>
      <c r="P1062" s="2921" t="s">
        <v>897</v>
      </c>
      <c r="Q1062" s="2921">
        <v>0</v>
      </c>
      <c r="R1062" s="2921"/>
      <c r="S1062" s="2921"/>
      <c r="T1062" s="2923" t="s">
        <v>4606</v>
      </c>
      <c r="U1062" s="2921" t="s">
        <v>4247</v>
      </c>
      <c r="V1062" s="2921"/>
      <c r="W1062" s="2921"/>
      <c r="X1062" s="2927" t="s">
        <v>2091</v>
      </c>
      <c r="Y1062" s="2928"/>
      <c r="Z1062" s="2926" t="s">
        <v>993</v>
      </c>
    </row>
    <row r="1063" spans="1:26" ht="41.4">
      <c r="A1063" s="1601"/>
      <c r="B1063" s="2922" t="s">
        <v>91</v>
      </c>
      <c r="C1063" s="2922" t="s">
        <v>3462</v>
      </c>
      <c r="E1063" s="2923" t="s">
        <v>5917</v>
      </c>
      <c r="F1063" s="2922">
        <v>24</v>
      </c>
      <c r="G1063" s="2899" t="s">
        <v>5918</v>
      </c>
      <c r="H1063" s="2922" t="s">
        <v>987</v>
      </c>
      <c r="I1063" s="2922" t="s">
        <v>2549</v>
      </c>
      <c r="J1063" s="2922" t="s">
        <v>5927</v>
      </c>
      <c r="K1063" s="2929">
        <v>44992</v>
      </c>
      <c r="L1063" s="2930" t="s">
        <v>1045</v>
      </c>
      <c r="M1063" s="2911" t="s">
        <v>5898</v>
      </c>
      <c r="N1063" s="2921" t="s">
        <v>2320</v>
      </c>
      <c r="O1063" s="2922">
        <v>2023</v>
      </c>
      <c r="P1063" s="2922" t="s">
        <v>897</v>
      </c>
      <c r="Q1063" s="2922">
        <v>6</v>
      </c>
      <c r="R1063" s="2922"/>
      <c r="S1063" s="2922"/>
      <c r="T1063" s="2931" t="s">
        <v>5901</v>
      </c>
      <c r="U1063" s="2922" t="s">
        <v>4247</v>
      </c>
      <c r="V1063" s="2922" t="s">
        <v>5875</v>
      </c>
      <c r="W1063" s="2922" t="s">
        <v>3450</v>
      </c>
      <c r="X1063" s="2932"/>
      <c r="Y1063" s="2926"/>
      <c r="Z1063" s="2926" t="s">
        <v>5430</v>
      </c>
    </row>
    <row r="1064" spans="1:26" ht="41.4">
      <c r="A1064" s="1601"/>
      <c r="B1064" s="2921" t="s">
        <v>429</v>
      </c>
      <c r="C1064" s="2921" t="s">
        <v>4841</v>
      </c>
      <c r="E1064" s="2923" t="s">
        <v>5919</v>
      </c>
      <c r="F1064" s="2921">
        <v>45</v>
      </c>
      <c r="G1064" s="2924" t="s">
        <v>3251</v>
      </c>
      <c r="H1064" s="2921" t="s">
        <v>987</v>
      </c>
      <c r="I1064" s="2921" t="s">
        <v>2549</v>
      </c>
      <c r="J1064" s="2921" t="s">
        <v>3384</v>
      </c>
      <c r="K1064" s="2925">
        <v>44992</v>
      </c>
      <c r="L1064" s="2926" t="s">
        <v>1045</v>
      </c>
      <c r="M1064" s="2899" t="s">
        <v>5899</v>
      </c>
      <c r="N1064" s="2921" t="s">
        <v>925</v>
      </c>
      <c r="O1064" s="2921">
        <v>2023</v>
      </c>
      <c r="P1064" s="2921" t="s">
        <v>897</v>
      </c>
      <c r="Q1064" s="2921">
        <v>12</v>
      </c>
      <c r="R1064" s="2921"/>
      <c r="S1064" s="2921"/>
      <c r="T1064" s="2923" t="s">
        <v>4586</v>
      </c>
      <c r="U1064" s="2921" t="s">
        <v>4247</v>
      </c>
      <c r="V1064" s="2921" t="s">
        <v>5875</v>
      </c>
      <c r="W1064" s="2921" t="s">
        <v>3450</v>
      </c>
      <c r="X1064" s="2927"/>
      <c r="Y1064" s="2926"/>
      <c r="Z1064" s="2926"/>
    </row>
    <row r="1065" spans="1:26" ht="55.2">
      <c r="A1065" s="1601"/>
      <c r="B1065" s="2921" t="s">
        <v>694</v>
      </c>
      <c r="C1065" s="2921" t="s">
        <v>5897</v>
      </c>
      <c r="E1065" s="2923" t="s">
        <v>5920</v>
      </c>
      <c r="F1065" s="2921">
        <v>45</v>
      </c>
      <c r="G1065" s="2924" t="s">
        <v>4171</v>
      </c>
      <c r="H1065" s="2921" t="s">
        <v>987</v>
      </c>
      <c r="I1065" s="2921" t="s">
        <v>2549</v>
      </c>
      <c r="J1065" s="2921" t="s">
        <v>5005</v>
      </c>
      <c r="K1065" s="2925">
        <v>44992</v>
      </c>
      <c r="L1065" s="2926" t="s">
        <v>1045</v>
      </c>
      <c r="M1065" s="2899" t="s">
        <v>5900</v>
      </c>
      <c r="N1065" s="2921" t="s">
        <v>2320</v>
      </c>
      <c r="O1065" s="2921">
        <v>2023</v>
      </c>
      <c r="P1065" s="2921" t="s">
        <v>897</v>
      </c>
      <c r="Q1065" s="2921">
        <v>8</v>
      </c>
      <c r="R1065" s="2921"/>
      <c r="S1065" s="2921"/>
      <c r="T1065" s="2923" t="s">
        <v>5902</v>
      </c>
      <c r="U1065" s="2921" t="s">
        <v>4247</v>
      </c>
      <c r="V1065" s="2921" t="s">
        <v>5880</v>
      </c>
      <c r="W1065" s="2921" t="s">
        <v>3450</v>
      </c>
      <c r="X1065" s="2927"/>
      <c r="Y1065" s="2926"/>
      <c r="Z1065" s="2926"/>
    </row>
    <row r="1066" spans="1:26" ht="41.4">
      <c r="A1066" s="1601"/>
      <c r="B1066" s="2921" t="s">
        <v>1053</v>
      </c>
      <c r="C1066" s="2921" t="s">
        <v>5903</v>
      </c>
      <c r="E1066" s="2923" t="s">
        <v>5921</v>
      </c>
      <c r="F1066" s="2921">
        <v>23</v>
      </c>
      <c r="G1066" s="2924" t="s">
        <v>5922</v>
      </c>
      <c r="H1066" s="2921" t="s">
        <v>994</v>
      </c>
      <c r="I1066" s="2921" t="s">
        <v>4808</v>
      </c>
      <c r="J1066" s="2921" t="s">
        <v>2602</v>
      </c>
      <c r="K1066" s="2925">
        <v>44995</v>
      </c>
      <c r="L1066" s="2926" t="s">
        <v>1045</v>
      </c>
      <c r="M1066" s="2899" t="s">
        <v>5904</v>
      </c>
      <c r="N1066" s="2921" t="s">
        <v>923</v>
      </c>
      <c r="O1066" s="2921">
        <v>2023</v>
      </c>
      <c r="P1066" s="2921" t="s">
        <v>897</v>
      </c>
      <c r="Q1066" s="2921">
        <v>2</v>
      </c>
      <c r="R1066" s="2921"/>
      <c r="S1066" s="2921"/>
      <c r="T1066" s="2923" t="s">
        <v>5905</v>
      </c>
      <c r="U1066" s="2921" t="s">
        <v>4247</v>
      </c>
      <c r="V1066" s="2921" t="s">
        <v>5875</v>
      </c>
      <c r="W1066" s="2921" t="s">
        <v>3634</v>
      </c>
      <c r="X1066" s="2927"/>
      <c r="Y1066" s="2926"/>
      <c r="Z1066" s="2926" t="s">
        <v>3035</v>
      </c>
    </row>
    <row r="1067" spans="1:26" ht="27.6">
      <c r="A1067" s="1601"/>
      <c r="B1067" s="2921" t="s">
        <v>790</v>
      </c>
      <c r="C1067" s="2921" t="s">
        <v>5594</v>
      </c>
      <c r="E1067" s="2923" t="s">
        <v>5923</v>
      </c>
      <c r="F1067" s="2921">
        <v>23</v>
      </c>
      <c r="G1067" s="2924" t="s">
        <v>2956</v>
      </c>
      <c r="H1067" s="2921" t="s">
        <v>987</v>
      </c>
      <c r="I1067" s="2921" t="s">
        <v>4808</v>
      </c>
      <c r="J1067" s="2921" t="s">
        <v>2706</v>
      </c>
      <c r="K1067" s="2925">
        <v>44996</v>
      </c>
      <c r="L1067" s="2926" t="s">
        <v>1045</v>
      </c>
      <c r="M1067" s="2899" t="s">
        <v>5906</v>
      </c>
      <c r="N1067" s="2921" t="s">
        <v>915</v>
      </c>
      <c r="O1067" s="2921">
        <v>2023</v>
      </c>
      <c r="P1067" s="2921" t="s">
        <v>897</v>
      </c>
      <c r="Q1067" s="2921">
        <v>7</v>
      </c>
      <c r="R1067" s="2921"/>
      <c r="S1067" s="2921"/>
      <c r="T1067" s="2923" t="s">
        <v>5916</v>
      </c>
      <c r="U1067" s="2921" t="s">
        <v>4516</v>
      </c>
      <c r="V1067" s="2921" t="s">
        <v>5878</v>
      </c>
      <c r="W1067" s="2921" t="s">
        <v>2607</v>
      </c>
      <c r="X1067" s="2927"/>
      <c r="Y1067" s="2926"/>
      <c r="Z1067" s="2926"/>
    </row>
    <row r="1068" spans="1:26" ht="41.4">
      <c r="A1068" s="1601"/>
      <c r="B1068" s="2921" t="s">
        <v>2943</v>
      </c>
      <c r="C1068" s="2921" t="s">
        <v>4289</v>
      </c>
      <c r="E1068" s="2923" t="s">
        <v>5924</v>
      </c>
      <c r="F1068" s="2921">
        <v>30</v>
      </c>
      <c r="G1068" s="2924" t="s">
        <v>5925</v>
      </c>
      <c r="H1068" s="2921" t="s">
        <v>987</v>
      </c>
      <c r="I1068" s="2921" t="s">
        <v>4808</v>
      </c>
      <c r="J1068" s="2921" t="s">
        <v>5926</v>
      </c>
      <c r="K1068" s="2925">
        <v>44997</v>
      </c>
      <c r="L1068" s="2926" t="s">
        <v>1045</v>
      </c>
      <c r="M1068" s="2899" t="s">
        <v>5914</v>
      </c>
      <c r="N1068" s="2921" t="s">
        <v>2320</v>
      </c>
      <c r="O1068" s="2921">
        <v>2023</v>
      </c>
      <c r="P1068" s="2921" t="s">
        <v>897</v>
      </c>
      <c r="Q1068" s="2921">
        <v>5</v>
      </c>
      <c r="R1068" s="2921"/>
      <c r="S1068" s="2921"/>
      <c r="T1068" s="2923" t="s">
        <v>5915</v>
      </c>
      <c r="U1068" s="2921" t="s">
        <v>4247</v>
      </c>
      <c r="V1068" s="2921" t="s">
        <v>5880</v>
      </c>
      <c r="W1068" s="2921" t="s">
        <v>3837</v>
      </c>
      <c r="X1068" s="2927"/>
      <c r="Y1068" s="2926"/>
      <c r="Z1068" s="2926" t="s">
        <v>5430</v>
      </c>
    </row>
    <row r="1069" spans="1:26" ht="41.4">
      <c r="A1069" s="1601"/>
      <c r="B1069" s="2921" t="s">
        <v>1006</v>
      </c>
      <c r="C1069" s="2921" t="s">
        <v>972</v>
      </c>
      <c r="E1069" s="2923" t="s">
        <v>5928</v>
      </c>
      <c r="F1069" s="2921">
        <v>60</v>
      </c>
      <c r="G1069" s="2924" t="s">
        <v>3382</v>
      </c>
      <c r="H1069" s="2921" t="s">
        <v>987</v>
      </c>
      <c r="I1069" s="2921" t="s">
        <v>4808</v>
      </c>
      <c r="J1069" s="2921" t="s">
        <v>4193</v>
      </c>
      <c r="K1069" s="2925">
        <v>45000</v>
      </c>
      <c r="L1069" s="2926" t="s">
        <v>1045</v>
      </c>
      <c r="M1069" s="2899" t="s">
        <v>5912</v>
      </c>
      <c r="N1069" s="2921" t="s">
        <v>2320</v>
      </c>
      <c r="O1069" s="2921">
        <v>2023</v>
      </c>
      <c r="P1069" s="2921" t="s">
        <v>897</v>
      </c>
      <c r="Q1069" s="2921">
        <v>30</v>
      </c>
      <c r="R1069" s="2921">
        <v>75</v>
      </c>
      <c r="S1069" s="2921">
        <v>105</v>
      </c>
      <c r="T1069" s="2923" t="s">
        <v>5913</v>
      </c>
      <c r="U1069" s="2921" t="s">
        <v>4247</v>
      </c>
      <c r="V1069" s="2921" t="s">
        <v>3978</v>
      </c>
      <c r="W1069" s="2921" t="s">
        <v>3978</v>
      </c>
      <c r="X1069" s="2927"/>
      <c r="Y1069" s="2926"/>
      <c r="Z1069" s="2926"/>
    </row>
    <row r="1070" spans="1:26" ht="55.2">
      <c r="A1070" s="1601"/>
      <c r="B1070" s="2921" t="s">
        <v>790</v>
      </c>
      <c r="C1070" s="2921" t="s">
        <v>5594</v>
      </c>
      <c r="E1070" s="2923" t="s">
        <v>5929</v>
      </c>
      <c r="F1070" s="2921">
        <v>43</v>
      </c>
      <c r="G1070" s="2924" t="s">
        <v>5930</v>
      </c>
      <c r="H1070" s="2921" t="s">
        <v>987</v>
      </c>
      <c r="I1070" s="2921" t="s">
        <v>2549</v>
      </c>
      <c r="J1070" s="2921" t="s">
        <v>3240</v>
      </c>
      <c r="K1070" s="2925">
        <v>45007</v>
      </c>
      <c r="L1070" s="2926" t="s">
        <v>1045</v>
      </c>
      <c r="M1070" s="2899" t="s">
        <v>5911</v>
      </c>
      <c r="N1070" s="2921" t="s">
        <v>925</v>
      </c>
      <c r="O1070" s="2921">
        <v>2023</v>
      </c>
      <c r="P1070" s="2921" t="s">
        <v>897</v>
      </c>
      <c r="Q1070" s="2921">
        <v>10</v>
      </c>
      <c r="R1070" s="2921"/>
      <c r="S1070" s="2921"/>
      <c r="T1070" s="2923" t="s">
        <v>2231</v>
      </c>
      <c r="U1070" s="2921" t="s">
        <v>4247</v>
      </c>
      <c r="V1070" s="2921" t="s">
        <v>5875</v>
      </c>
      <c r="W1070" s="2921" t="s">
        <v>2238</v>
      </c>
      <c r="X1070" s="2927"/>
      <c r="Y1070" s="2926"/>
      <c r="Z1070" s="2926"/>
    </row>
    <row r="1071" spans="1:26" ht="41.4" hidden="1">
      <c r="A1071" s="1601"/>
      <c r="B1071" s="2921" t="s">
        <v>5909</v>
      </c>
      <c r="C1071" s="2921" t="s">
        <v>5241</v>
      </c>
      <c r="E1071" s="2923" t="s">
        <v>5931</v>
      </c>
      <c r="F1071" s="2921">
        <v>24</v>
      </c>
      <c r="G1071" s="2924" t="s">
        <v>5932</v>
      </c>
      <c r="H1071" s="2921" t="s">
        <v>987</v>
      </c>
      <c r="I1071" s="2921" t="s">
        <v>2318</v>
      </c>
      <c r="J1071" s="2921" t="s">
        <v>3490</v>
      </c>
      <c r="K1071" s="2925">
        <v>45011</v>
      </c>
      <c r="L1071" s="2924" t="s">
        <v>5989</v>
      </c>
      <c r="M1071" s="2899" t="s">
        <v>5910</v>
      </c>
      <c r="N1071" s="2921" t="s">
        <v>5907</v>
      </c>
      <c r="O1071" s="2921">
        <v>2023</v>
      </c>
      <c r="P1071" s="2921" t="s">
        <v>897</v>
      </c>
      <c r="Q1071" s="2921">
        <v>19</v>
      </c>
      <c r="R1071" s="2921"/>
      <c r="S1071" s="2921"/>
      <c r="T1071" s="2923" t="s">
        <v>5916</v>
      </c>
      <c r="U1071" s="2921" t="s">
        <v>4516</v>
      </c>
      <c r="V1071" s="2921" t="s">
        <v>5878</v>
      </c>
      <c r="W1071" s="2921" t="s">
        <v>2607</v>
      </c>
      <c r="X1071" s="2927" t="s">
        <v>4991</v>
      </c>
      <c r="Y1071" s="2926"/>
      <c r="Z1071" s="2926" t="s">
        <v>993</v>
      </c>
    </row>
    <row r="1072" spans="1:26" ht="27.6">
      <c r="A1072" s="1601"/>
      <c r="B1072" s="2915" t="s">
        <v>693</v>
      </c>
      <c r="C1072" s="2915" t="s">
        <v>5951</v>
      </c>
      <c r="D1072" s="1605"/>
      <c r="E1072" s="2916" t="s">
        <v>5952</v>
      </c>
      <c r="F1072" s="2915">
        <v>30</v>
      </c>
      <c r="G1072" s="2916" t="s">
        <v>5953</v>
      </c>
      <c r="H1072" s="2915" t="s">
        <v>987</v>
      </c>
      <c r="I1072" s="2915" t="s">
        <v>4808</v>
      </c>
      <c r="J1072" s="2918" t="s">
        <v>5954</v>
      </c>
      <c r="K1072" s="2918">
        <v>45023</v>
      </c>
      <c r="L1072" s="2920" t="s">
        <v>1045</v>
      </c>
      <c r="M1072" s="2920" t="s">
        <v>5955</v>
      </c>
      <c r="N1072" s="2915" t="s">
        <v>923</v>
      </c>
      <c r="O1072" s="2915">
        <v>2023</v>
      </c>
      <c r="P1072" s="2915" t="s">
        <v>898</v>
      </c>
      <c r="Q1072" s="2915">
        <v>5</v>
      </c>
      <c r="R1072" s="2915"/>
      <c r="S1072" s="2915">
        <v>5</v>
      </c>
      <c r="T1072" s="2919" t="s">
        <v>5725</v>
      </c>
      <c r="U1072" s="2915" t="s">
        <v>558</v>
      </c>
      <c r="V1072" s="2915" t="s">
        <v>5875</v>
      </c>
      <c r="W1072" s="2915" t="s">
        <v>3837</v>
      </c>
      <c r="X1072" s="2940"/>
      <c r="Y1072" s="2919"/>
      <c r="Z1072" s="2919"/>
    </row>
    <row r="1073" spans="1:26" ht="27.6">
      <c r="A1073" s="1601"/>
      <c r="B1073" s="2915" t="s">
        <v>6075</v>
      </c>
      <c r="C1073" s="2915" t="s">
        <v>6076</v>
      </c>
      <c r="D1073" s="1604"/>
      <c r="E1073" s="2916"/>
      <c r="F1073" s="2915"/>
      <c r="G1073" s="2916" t="s">
        <v>2802</v>
      </c>
      <c r="H1073" s="2915" t="s">
        <v>987</v>
      </c>
      <c r="I1073" s="2918" t="s">
        <v>2549</v>
      </c>
      <c r="J1073" s="2918" t="s">
        <v>5956</v>
      </c>
      <c r="K1073" s="2918">
        <v>45026</v>
      </c>
      <c r="L1073" s="2920" t="s">
        <v>1045</v>
      </c>
      <c r="M1073" s="2920" t="s">
        <v>5957</v>
      </c>
      <c r="N1073" s="2915" t="s">
        <v>923</v>
      </c>
      <c r="O1073" s="2915">
        <v>2023</v>
      </c>
      <c r="P1073" s="2915" t="s">
        <v>898</v>
      </c>
      <c r="Q1073" s="2915">
        <v>1</v>
      </c>
      <c r="R1073" s="2915"/>
      <c r="S1073" s="2915">
        <v>1</v>
      </c>
      <c r="T1073" s="2916" t="s">
        <v>5969</v>
      </c>
      <c r="U1073" s="2915" t="s">
        <v>4247</v>
      </c>
      <c r="V1073" s="2915" t="s">
        <v>5875</v>
      </c>
      <c r="W1073" s="2915" t="s">
        <v>5089</v>
      </c>
      <c r="X1073" s="2940"/>
      <c r="Y1073" s="2919"/>
      <c r="Z1073" s="2919"/>
    </row>
    <row r="1074" spans="1:26">
      <c r="A1074" s="1601"/>
      <c r="B1074" s="2915" t="s">
        <v>598</v>
      </c>
      <c r="C1074" s="2915" t="s">
        <v>5960</v>
      </c>
      <c r="E1074" s="2916"/>
      <c r="F1074" s="2915"/>
      <c r="G1074" s="2917" t="s">
        <v>5968</v>
      </c>
      <c r="H1074" s="2915" t="s">
        <v>987</v>
      </c>
      <c r="I1074" s="2915" t="s">
        <v>2549</v>
      </c>
      <c r="J1074" s="2915" t="s">
        <v>5380</v>
      </c>
      <c r="K1074" s="2918">
        <v>45037</v>
      </c>
      <c r="L1074" s="2920" t="s">
        <v>1045</v>
      </c>
      <c r="M1074" s="2920" t="s">
        <v>5963</v>
      </c>
      <c r="N1074" s="2915" t="s">
        <v>915</v>
      </c>
      <c r="O1074" s="2915">
        <v>2023</v>
      </c>
      <c r="P1074" s="2915" t="s">
        <v>898</v>
      </c>
      <c r="Q1074" s="2915">
        <v>14</v>
      </c>
      <c r="R1074" s="2915"/>
      <c r="S1074" s="2915">
        <v>14</v>
      </c>
      <c r="T1074" s="2916" t="s">
        <v>3016</v>
      </c>
      <c r="U1074" s="2915" t="s">
        <v>4516</v>
      </c>
      <c r="V1074" s="2915" t="s">
        <v>5874</v>
      </c>
      <c r="W1074" s="2915" t="s">
        <v>2607</v>
      </c>
      <c r="X1074" s="2941"/>
      <c r="Y1074" s="2919"/>
      <c r="Z1074" s="2919"/>
    </row>
    <row r="1075" spans="1:26" ht="55.2" hidden="1">
      <c r="A1075" s="1601"/>
      <c r="B1075" s="2915" t="s">
        <v>4740</v>
      </c>
      <c r="C1075" s="2915" t="s">
        <v>4122</v>
      </c>
      <c r="E1075" s="2916" t="s">
        <v>5967</v>
      </c>
      <c r="F1075" s="2915"/>
      <c r="G1075" s="2947" t="s">
        <v>1157</v>
      </c>
      <c r="H1075" s="2915" t="s">
        <v>987</v>
      </c>
      <c r="I1075" s="2915" t="s">
        <v>2318</v>
      </c>
      <c r="J1075" s="2915" t="s">
        <v>5982</v>
      </c>
      <c r="K1075" s="2918">
        <v>45038</v>
      </c>
      <c r="L1075" s="2920" t="s">
        <v>5990</v>
      </c>
      <c r="M1075" s="2920" t="s">
        <v>5964</v>
      </c>
      <c r="N1075" s="2915" t="s">
        <v>925</v>
      </c>
      <c r="O1075" s="2915">
        <v>2023</v>
      </c>
      <c r="P1075" s="2915" t="s">
        <v>898</v>
      </c>
      <c r="Q1075" s="2915">
        <v>14</v>
      </c>
      <c r="R1075" s="2915"/>
      <c r="S1075" s="2915">
        <v>14</v>
      </c>
      <c r="T1075" s="2916" t="s">
        <v>5970</v>
      </c>
      <c r="U1075" s="2915" t="s">
        <v>4247</v>
      </c>
      <c r="V1075" s="2915" t="s">
        <v>5875</v>
      </c>
      <c r="W1075" s="2915" t="s">
        <v>3634</v>
      </c>
      <c r="X1075" s="2941"/>
      <c r="Y1075" s="2919"/>
      <c r="Z1075" s="2919" t="s">
        <v>5430</v>
      </c>
    </row>
    <row r="1076" spans="1:26" ht="27.6">
      <c r="A1076" s="1601"/>
      <c r="B1076" s="2915" t="s">
        <v>429</v>
      </c>
      <c r="C1076" s="2915" t="s">
        <v>5961</v>
      </c>
      <c r="E1076" s="2916"/>
      <c r="F1076" s="2915"/>
      <c r="G1076" s="2942" t="s">
        <v>2693</v>
      </c>
      <c r="H1076" s="2915" t="s">
        <v>987</v>
      </c>
      <c r="I1076" s="2915" t="s">
        <v>4808</v>
      </c>
      <c r="J1076" s="2915" t="s">
        <v>2706</v>
      </c>
      <c r="K1076" s="2918">
        <v>45041</v>
      </c>
      <c r="L1076" s="2920" t="s">
        <v>1045</v>
      </c>
      <c r="M1076" s="2920" t="s">
        <v>5965</v>
      </c>
      <c r="N1076" s="2943" t="s">
        <v>3416</v>
      </c>
      <c r="O1076" s="2915">
        <v>2023</v>
      </c>
      <c r="P1076" s="2915" t="s">
        <v>898</v>
      </c>
      <c r="Q1076" s="2915">
        <v>2</v>
      </c>
      <c r="R1076" s="2915"/>
      <c r="S1076" s="2915">
        <v>2</v>
      </c>
      <c r="T1076" s="2916" t="s">
        <v>5971</v>
      </c>
      <c r="U1076" s="2915" t="s">
        <v>4247</v>
      </c>
      <c r="V1076" s="2915" t="s">
        <v>5875</v>
      </c>
      <c r="W1076" s="2915" t="s">
        <v>5089</v>
      </c>
      <c r="X1076" s="2941"/>
      <c r="Y1076" s="2919"/>
      <c r="Z1076" s="2919"/>
    </row>
    <row r="1077" spans="1:26" ht="27.6">
      <c r="A1077" s="1601"/>
      <c r="B1077" s="2915" t="s">
        <v>1053</v>
      </c>
      <c r="C1077" s="2915" t="s">
        <v>5962</v>
      </c>
      <c r="E1077" s="2916"/>
      <c r="F1077" s="2915"/>
      <c r="G1077" s="2944" t="s">
        <v>5984</v>
      </c>
      <c r="H1077" s="2915" t="s">
        <v>987</v>
      </c>
      <c r="I1077" s="2915" t="s">
        <v>2318</v>
      </c>
      <c r="J1077" s="2915" t="s">
        <v>5389</v>
      </c>
      <c r="K1077" s="2918">
        <v>45041</v>
      </c>
      <c r="L1077" s="2920" t="s">
        <v>1045</v>
      </c>
      <c r="M1077" s="2920" t="s">
        <v>5966</v>
      </c>
      <c r="N1077" s="2915" t="s">
        <v>2320</v>
      </c>
      <c r="O1077" s="2915">
        <v>2023</v>
      </c>
      <c r="P1077" s="2915" t="s">
        <v>898</v>
      </c>
      <c r="Q1077" s="2915">
        <v>4</v>
      </c>
      <c r="R1077" s="2915"/>
      <c r="S1077" s="2915">
        <v>4</v>
      </c>
      <c r="T1077" s="2916" t="s">
        <v>2227</v>
      </c>
      <c r="U1077" s="2915" t="s">
        <v>4247</v>
      </c>
      <c r="V1077" s="2915" t="s">
        <v>5875</v>
      </c>
      <c r="W1077" s="2915" t="s">
        <v>3837</v>
      </c>
      <c r="X1077" s="2941"/>
      <c r="Y1077" s="2919"/>
      <c r="Z1077" s="2919" t="s">
        <v>5430</v>
      </c>
    </row>
    <row r="1078" spans="1:26" ht="27.6">
      <c r="A1078" s="1601"/>
      <c r="B1078" s="2915" t="s">
        <v>2943</v>
      </c>
      <c r="C1078" s="2939" t="s">
        <v>5959</v>
      </c>
      <c r="E1078" s="2945"/>
      <c r="F1078" s="2939"/>
      <c r="G1078" s="2946" t="s">
        <v>5983</v>
      </c>
      <c r="H1078" s="2939" t="s">
        <v>987</v>
      </c>
      <c r="I1078" s="2915" t="s">
        <v>2549</v>
      </c>
      <c r="J1078" s="2915" t="s">
        <v>2496</v>
      </c>
      <c r="K1078" s="2918">
        <v>45042</v>
      </c>
      <c r="L1078" s="2920" t="s">
        <v>1045</v>
      </c>
      <c r="M1078" s="2920" t="s">
        <v>5958</v>
      </c>
      <c r="N1078" s="2915" t="s">
        <v>917</v>
      </c>
      <c r="O1078" s="2915">
        <v>2023</v>
      </c>
      <c r="P1078" s="2915" t="s">
        <v>898</v>
      </c>
      <c r="Q1078" s="2915">
        <v>16</v>
      </c>
      <c r="R1078" s="2915"/>
      <c r="S1078" s="2915">
        <v>16</v>
      </c>
      <c r="T1078" s="2916" t="s">
        <v>5972</v>
      </c>
      <c r="U1078" s="2915" t="s">
        <v>4247</v>
      </c>
      <c r="V1078" s="2915" t="s">
        <v>2236</v>
      </c>
      <c r="W1078" s="2915" t="s">
        <v>5973</v>
      </c>
      <c r="X1078" s="2941"/>
      <c r="Y1078" s="2919"/>
      <c r="Z1078" s="2919"/>
    </row>
    <row r="1079" spans="1:26" ht="69">
      <c r="A1079" s="1601"/>
      <c r="B1079" s="2948" t="s">
        <v>1053</v>
      </c>
      <c r="C1079" s="2948" t="s">
        <v>998</v>
      </c>
      <c r="E1079" s="2949" t="s">
        <v>5995</v>
      </c>
      <c r="F1079" s="2948">
        <v>28</v>
      </c>
      <c r="G1079" s="2950" t="s">
        <v>5994</v>
      </c>
      <c r="H1079" s="2948" t="s">
        <v>987</v>
      </c>
      <c r="I1079" s="2948" t="s">
        <v>2318</v>
      </c>
      <c r="J1079" s="2951" t="s">
        <v>5993</v>
      </c>
      <c r="K1079" s="2951">
        <v>45048</v>
      </c>
      <c r="L1079" s="2952" t="s">
        <v>1045</v>
      </c>
      <c r="M1079" s="2952" t="s">
        <v>5992</v>
      </c>
      <c r="N1079" s="2948" t="s">
        <v>915</v>
      </c>
      <c r="O1079" s="2948">
        <v>2023</v>
      </c>
      <c r="P1079" s="2948" t="s">
        <v>899</v>
      </c>
      <c r="Q1079" s="2948">
        <v>6</v>
      </c>
      <c r="R1079" s="2948"/>
      <c r="S1079" s="2948">
        <v>6</v>
      </c>
      <c r="T1079" s="2949" t="s">
        <v>5996</v>
      </c>
      <c r="U1079" s="2948" t="s">
        <v>4247</v>
      </c>
      <c r="V1079" s="2948" t="s">
        <v>2951</v>
      </c>
      <c r="W1079" s="2948" t="s">
        <v>2607</v>
      </c>
      <c r="X1079" s="2948"/>
      <c r="Y1079" s="2953"/>
      <c r="Z1079" s="2953"/>
    </row>
    <row r="1080" spans="1:26" ht="82.8">
      <c r="A1080" s="1601"/>
      <c r="B1080" s="2948" t="s">
        <v>3202</v>
      </c>
      <c r="C1080" s="2948" t="s">
        <v>6009</v>
      </c>
      <c r="E1080" s="2949" t="s">
        <v>5997</v>
      </c>
      <c r="F1080" s="2948"/>
      <c r="G1080" s="2950" t="s">
        <v>5998</v>
      </c>
      <c r="H1080" s="2948" t="s">
        <v>994</v>
      </c>
      <c r="I1080" s="2948" t="s">
        <v>4808</v>
      </c>
      <c r="J1080" s="2948"/>
      <c r="K1080" s="2951">
        <v>45055</v>
      </c>
      <c r="L1080" s="2952" t="s">
        <v>1045</v>
      </c>
      <c r="M1080" s="2952" t="s">
        <v>6010</v>
      </c>
      <c r="N1080" s="2948" t="s">
        <v>2320</v>
      </c>
      <c r="O1080" s="2948">
        <v>2023</v>
      </c>
      <c r="P1080" s="2948" t="s">
        <v>899</v>
      </c>
      <c r="Q1080" s="2948">
        <v>8</v>
      </c>
      <c r="R1080" s="2948"/>
      <c r="S1080" s="2948">
        <v>8</v>
      </c>
      <c r="T1080" s="2949" t="s">
        <v>3275</v>
      </c>
      <c r="U1080" s="2948" t="s">
        <v>4247</v>
      </c>
      <c r="V1080" s="2948" t="s">
        <v>5876</v>
      </c>
      <c r="W1080" s="2948" t="s">
        <v>3590</v>
      </c>
      <c r="X1080" s="2948"/>
      <c r="Y1080" s="2953"/>
      <c r="Z1080" s="2953" t="s">
        <v>5430</v>
      </c>
    </row>
    <row r="1081" spans="1:26" ht="69">
      <c r="A1081" s="1601"/>
      <c r="B1081" s="2948" t="s">
        <v>918</v>
      </c>
      <c r="C1081" s="2948" t="s">
        <v>5241</v>
      </c>
      <c r="D1081" s="1604"/>
      <c r="E1081" s="2949" t="s">
        <v>6000</v>
      </c>
      <c r="F1081" s="2948"/>
      <c r="G1081" s="2953" t="s">
        <v>3592</v>
      </c>
      <c r="H1081" s="2948" t="s">
        <v>994</v>
      </c>
      <c r="I1081" s="2948" t="s">
        <v>4808</v>
      </c>
      <c r="J1081" s="2948" t="s">
        <v>5005</v>
      </c>
      <c r="K1081" s="2951">
        <v>45056</v>
      </c>
      <c r="L1081" s="2952" t="s">
        <v>1045</v>
      </c>
      <c r="M1081" s="2952" t="s">
        <v>5999</v>
      </c>
      <c r="N1081" s="2948" t="s">
        <v>925</v>
      </c>
      <c r="O1081" s="2948">
        <v>2023</v>
      </c>
      <c r="P1081" s="2948" t="s">
        <v>899</v>
      </c>
      <c r="Q1081" s="2948">
        <v>20</v>
      </c>
      <c r="R1081" s="2948"/>
      <c r="S1081" s="2948">
        <v>20</v>
      </c>
      <c r="T1081" s="2949" t="s">
        <v>2233</v>
      </c>
      <c r="U1081" s="2948" t="s">
        <v>4516</v>
      </c>
      <c r="V1081" s="2948" t="s">
        <v>5878</v>
      </c>
      <c r="W1081" s="2948" t="s">
        <v>3634</v>
      </c>
      <c r="X1081" s="2948"/>
      <c r="Y1081" s="2953"/>
      <c r="Z1081" s="2953"/>
    </row>
    <row r="1082" spans="1:26" ht="69">
      <c r="A1082" s="1601"/>
      <c r="B1082" s="2948" t="s">
        <v>693</v>
      </c>
      <c r="C1082" s="2948" t="s">
        <v>6001</v>
      </c>
      <c r="E1082" s="2949" t="s">
        <v>6002</v>
      </c>
      <c r="F1082" s="2948"/>
      <c r="G1082" s="2953" t="s">
        <v>3592</v>
      </c>
      <c r="H1082" s="2948" t="s">
        <v>994</v>
      </c>
      <c r="I1082" s="2948" t="s">
        <v>2549</v>
      </c>
      <c r="J1082" s="2948" t="s">
        <v>3384</v>
      </c>
      <c r="K1082" s="2951">
        <v>45064</v>
      </c>
      <c r="L1082" s="2952" t="s">
        <v>1045</v>
      </c>
      <c r="M1082" s="2952" t="s">
        <v>6003</v>
      </c>
      <c r="N1082" s="2948" t="s">
        <v>2320</v>
      </c>
      <c r="O1082" s="2948">
        <v>2023</v>
      </c>
      <c r="P1082" s="2948" t="s">
        <v>899</v>
      </c>
      <c r="Q1082" s="2948">
        <v>10</v>
      </c>
      <c r="R1082" s="2948"/>
      <c r="S1082" s="2948">
        <v>10</v>
      </c>
      <c r="T1082" s="2949" t="s">
        <v>6004</v>
      </c>
      <c r="U1082" s="2948" t="s">
        <v>4247</v>
      </c>
      <c r="V1082" s="2948" t="s">
        <v>5876</v>
      </c>
      <c r="W1082" s="2948" t="s">
        <v>3590</v>
      </c>
      <c r="X1082" s="2948"/>
      <c r="Y1082" s="2953"/>
      <c r="Z1082" s="2953"/>
    </row>
    <row r="1083" spans="1:26" ht="55.2">
      <c r="A1083" s="1680"/>
      <c r="B1083" s="2948" t="s">
        <v>6006</v>
      </c>
      <c r="C1083" s="2948" t="s">
        <v>6007</v>
      </c>
      <c r="E1083" s="2949" t="s">
        <v>6008</v>
      </c>
      <c r="F1083" s="2948"/>
      <c r="G1083" s="2950" t="s">
        <v>5268</v>
      </c>
      <c r="H1083" s="2948" t="s">
        <v>994</v>
      </c>
      <c r="I1083" s="2948" t="s">
        <v>4808</v>
      </c>
      <c r="J1083" s="2948"/>
      <c r="K1083" s="2951">
        <v>45069</v>
      </c>
      <c r="L1083" s="2952" t="s">
        <v>1045</v>
      </c>
      <c r="M1083" s="2952" t="s">
        <v>6005</v>
      </c>
      <c r="N1083" s="2948" t="s">
        <v>915</v>
      </c>
      <c r="O1083" s="2948">
        <v>2023</v>
      </c>
      <c r="P1083" s="2948" t="s">
        <v>899</v>
      </c>
      <c r="Q1083" s="2948">
        <v>17</v>
      </c>
      <c r="R1083" s="2948"/>
      <c r="S1083" s="2948">
        <v>17</v>
      </c>
      <c r="T1083" s="2949" t="s">
        <v>2234</v>
      </c>
      <c r="U1083" s="2948" t="s">
        <v>4247</v>
      </c>
      <c r="V1083" s="2948" t="s">
        <v>5874</v>
      </c>
      <c r="W1083" s="2948" t="s">
        <v>2607</v>
      </c>
      <c r="X1083" s="2954" t="s">
        <v>6024</v>
      </c>
      <c r="Y1083" s="2953"/>
      <c r="Z1083" s="2953" t="s">
        <v>993</v>
      </c>
    </row>
    <row r="1084" spans="1:26" ht="41.4">
      <c r="A1084" s="2981"/>
      <c r="B1084" s="2915" t="s">
        <v>918</v>
      </c>
      <c r="C1084" s="2915" t="s">
        <v>4806</v>
      </c>
      <c r="E1084" s="2916" t="s">
        <v>6023</v>
      </c>
      <c r="F1084" s="2915"/>
      <c r="G1084" s="2917" t="s">
        <v>4807</v>
      </c>
      <c r="H1084" s="2915" t="s">
        <v>994</v>
      </c>
      <c r="I1084" s="2939" t="s">
        <v>4808</v>
      </c>
      <c r="J1084" s="2915"/>
      <c r="K1084" s="2918">
        <v>45079</v>
      </c>
      <c r="L1084" s="2920" t="s">
        <v>1045</v>
      </c>
      <c r="M1084" s="2920" t="s">
        <v>6015</v>
      </c>
      <c r="N1084" s="2915" t="s">
        <v>2320</v>
      </c>
      <c r="O1084" s="2915">
        <v>2023</v>
      </c>
      <c r="P1084" s="2915" t="s">
        <v>900</v>
      </c>
      <c r="Q1084" s="2915">
        <v>10</v>
      </c>
      <c r="R1084" s="2915"/>
      <c r="S1084" s="2915">
        <v>10</v>
      </c>
      <c r="T1084" s="2916" t="s">
        <v>2247</v>
      </c>
      <c r="U1084" s="2939" t="s">
        <v>4247</v>
      </c>
      <c r="V1084" s="2915" t="s">
        <v>2275</v>
      </c>
      <c r="W1084" s="2915" t="s">
        <v>2275</v>
      </c>
      <c r="X1084" s="2941" t="s">
        <v>6025</v>
      </c>
      <c r="Y1084" s="2919"/>
      <c r="Z1084" s="2919" t="s">
        <v>993</v>
      </c>
    </row>
    <row r="1085" spans="1:26" ht="55.2">
      <c r="A1085" s="2981"/>
      <c r="B1085" s="2915" t="s">
        <v>693</v>
      </c>
      <c r="C1085" s="2915" t="s">
        <v>6026</v>
      </c>
      <c r="E1085" s="2916" t="s">
        <v>6027</v>
      </c>
      <c r="F1085" s="2915">
        <v>27</v>
      </c>
      <c r="G1085" s="2917" t="s">
        <v>2167</v>
      </c>
      <c r="H1085" s="2915" t="s">
        <v>987</v>
      </c>
      <c r="I1085" s="2915" t="s">
        <v>2549</v>
      </c>
      <c r="J1085" s="2915" t="s">
        <v>2748</v>
      </c>
      <c r="K1085" s="2918">
        <v>45081</v>
      </c>
      <c r="L1085" s="2920" t="s">
        <v>1045</v>
      </c>
      <c r="M1085" s="2920" t="s">
        <v>6016</v>
      </c>
      <c r="N1085" s="2915" t="s">
        <v>2320</v>
      </c>
      <c r="O1085" s="2915">
        <v>2023</v>
      </c>
      <c r="P1085" s="2915" t="s">
        <v>900</v>
      </c>
      <c r="Q1085" s="2915">
        <v>34</v>
      </c>
      <c r="R1085" s="2915"/>
      <c r="S1085" s="2915">
        <v>34</v>
      </c>
      <c r="T1085" s="2916" t="s">
        <v>6028</v>
      </c>
      <c r="U1085" s="2939" t="s">
        <v>4247</v>
      </c>
      <c r="V1085" s="2915" t="s">
        <v>5876</v>
      </c>
      <c r="W1085" s="2915" t="s">
        <v>3634</v>
      </c>
      <c r="X1085" s="2941"/>
      <c r="Y1085" s="2919"/>
      <c r="Z1085" s="2919"/>
    </row>
    <row r="1086" spans="1:26" ht="55.2">
      <c r="A1086" s="2981"/>
      <c r="B1086" s="2915" t="s">
        <v>91</v>
      </c>
      <c r="C1086" s="2915" t="s">
        <v>6029</v>
      </c>
      <c r="E1086" s="2916" t="s">
        <v>6030</v>
      </c>
      <c r="F1086" s="2915"/>
      <c r="G1086" s="2917" t="s">
        <v>2956</v>
      </c>
      <c r="H1086" s="2915" t="s">
        <v>987</v>
      </c>
      <c r="I1086" s="2915" t="s">
        <v>4808</v>
      </c>
      <c r="J1086" s="2915"/>
      <c r="K1086" s="2918">
        <v>45090</v>
      </c>
      <c r="L1086" s="2920" t="s">
        <v>1045</v>
      </c>
      <c r="M1086" s="2920" t="s">
        <v>6017</v>
      </c>
      <c r="N1086" s="2915" t="s">
        <v>2320</v>
      </c>
      <c r="O1086" s="2915">
        <v>2023</v>
      </c>
      <c r="P1086" s="2915" t="s">
        <v>900</v>
      </c>
      <c r="Q1086" s="2915">
        <v>30</v>
      </c>
      <c r="R1086" s="2915"/>
      <c r="S1086" s="2915">
        <v>30</v>
      </c>
      <c r="T1086" s="2916" t="s">
        <v>3200</v>
      </c>
      <c r="U1086" s="2939" t="s">
        <v>4247</v>
      </c>
      <c r="V1086" s="2915" t="s">
        <v>5876</v>
      </c>
      <c r="W1086" s="2915" t="s">
        <v>2340</v>
      </c>
      <c r="X1086" s="2941" t="s">
        <v>6031</v>
      </c>
      <c r="Y1086" s="2919"/>
      <c r="Z1086" s="2919" t="s">
        <v>993</v>
      </c>
    </row>
    <row r="1087" spans="1:26" ht="69">
      <c r="A1087" s="2981"/>
      <c r="B1087" s="2915" t="s">
        <v>6075</v>
      </c>
      <c r="C1087" s="2915" t="s">
        <v>6074</v>
      </c>
      <c r="E1087" s="2916" t="s">
        <v>6033</v>
      </c>
      <c r="F1087" s="2915">
        <v>31</v>
      </c>
      <c r="G1087" s="2917" t="s">
        <v>2802</v>
      </c>
      <c r="H1087" s="2915" t="s">
        <v>987</v>
      </c>
      <c r="I1087" s="2915" t="s">
        <v>4808</v>
      </c>
      <c r="J1087" s="2915" t="s">
        <v>6034</v>
      </c>
      <c r="K1087" s="2918">
        <v>45097</v>
      </c>
      <c r="L1087" s="2920" t="s">
        <v>1045</v>
      </c>
      <c r="M1087" s="2920" t="s">
        <v>6018</v>
      </c>
      <c r="N1087" s="2915" t="s">
        <v>917</v>
      </c>
      <c r="O1087" s="2915">
        <v>2023</v>
      </c>
      <c r="P1087" s="2915" t="s">
        <v>900</v>
      </c>
      <c r="Q1087" s="2915">
        <v>4</v>
      </c>
      <c r="R1087" s="2915"/>
      <c r="S1087" s="2915">
        <v>4</v>
      </c>
      <c r="T1087" s="2916" t="s">
        <v>6035</v>
      </c>
      <c r="U1087" s="2939" t="s">
        <v>4247</v>
      </c>
      <c r="V1087" s="2915" t="s">
        <v>6036</v>
      </c>
      <c r="W1087" s="2915" t="s">
        <v>2607</v>
      </c>
      <c r="X1087" s="2941"/>
      <c r="Y1087" s="2919"/>
      <c r="Z1087" s="2919"/>
    </row>
    <row r="1088" spans="1:26" ht="69">
      <c r="A1088" s="2981"/>
      <c r="B1088" s="2915" t="s">
        <v>91</v>
      </c>
      <c r="C1088" s="2915" t="s">
        <v>4080</v>
      </c>
      <c r="E1088" s="2916" t="s">
        <v>6037</v>
      </c>
      <c r="F1088" s="2915">
        <v>33</v>
      </c>
      <c r="G1088" s="2917" t="s">
        <v>3592</v>
      </c>
      <c r="H1088" s="2915" t="s">
        <v>987</v>
      </c>
      <c r="I1088" s="2915" t="s">
        <v>4808</v>
      </c>
      <c r="J1088" s="2915" t="s">
        <v>2748</v>
      </c>
      <c r="K1088" s="2918">
        <v>45105</v>
      </c>
      <c r="L1088" s="2920" t="s">
        <v>1045</v>
      </c>
      <c r="M1088" s="2920" t="s">
        <v>6019</v>
      </c>
      <c r="N1088" s="2915" t="s">
        <v>2320</v>
      </c>
      <c r="O1088" s="2915">
        <v>2023</v>
      </c>
      <c r="P1088" s="2915" t="s">
        <v>900</v>
      </c>
      <c r="Q1088" s="2915">
        <v>3</v>
      </c>
      <c r="R1088" s="2915"/>
      <c r="S1088" s="2915">
        <v>3</v>
      </c>
      <c r="T1088" s="2916" t="s">
        <v>6035</v>
      </c>
      <c r="U1088" s="2939" t="s">
        <v>4247</v>
      </c>
      <c r="V1088" s="2915" t="s">
        <v>6038</v>
      </c>
      <c r="W1088" s="2915" t="s">
        <v>6038</v>
      </c>
      <c r="X1088" s="2941"/>
      <c r="Y1088" s="2919"/>
      <c r="Z1088" s="2919" t="s">
        <v>5430</v>
      </c>
    </row>
    <row r="1089" spans="1:26" ht="27.6">
      <c r="A1089" s="2981"/>
      <c r="B1089" s="2915" t="s">
        <v>2943</v>
      </c>
      <c r="C1089" s="2915" t="s">
        <v>6073</v>
      </c>
      <c r="E1089" s="2916" t="s">
        <v>6048</v>
      </c>
      <c r="F1089" s="2915">
        <v>43</v>
      </c>
      <c r="G1089" s="2917" t="s">
        <v>5268</v>
      </c>
      <c r="H1089" s="2915" t="s">
        <v>994</v>
      </c>
      <c r="I1089" s="2915" t="s">
        <v>4808</v>
      </c>
      <c r="J1089" s="2915" t="s">
        <v>2496</v>
      </c>
      <c r="K1089" s="2918">
        <v>45090</v>
      </c>
      <c r="L1089" s="2920" t="s">
        <v>1045</v>
      </c>
      <c r="M1089" s="2920" t="s">
        <v>6020</v>
      </c>
      <c r="N1089" s="2915" t="s">
        <v>915</v>
      </c>
      <c r="O1089" s="2915">
        <v>2023</v>
      </c>
      <c r="P1089" s="2915" t="s">
        <v>900</v>
      </c>
      <c r="Q1089" s="2915">
        <v>7</v>
      </c>
      <c r="R1089" s="2915"/>
      <c r="S1089" s="2915">
        <v>7</v>
      </c>
      <c r="T1089" s="2916" t="s">
        <v>2233</v>
      </c>
      <c r="U1089" s="2939" t="s">
        <v>4247</v>
      </c>
      <c r="V1089" s="2915" t="s">
        <v>6036</v>
      </c>
      <c r="W1089" s="2915" t="s">
        <v>6036</v>
      </c>
      <c r="X1089" s="2941" t="s">
        <v>6049</v>
      </c>
      <c r="Y1089" s="2919"/>
      <c r="Z1089" s="2919" t="s">
        <v>993</v>
      </c>
    </row>
    <row r="1090" spans="1:26" ht="96.6">
      <c r="A1090" s="2981"/>
      <c r="B1090" s="2915" t="s">
        <v>789</v>
      </c>
      <c r="C1090" s="2915" t="s">
        <v>6039</v>
      </c>
      <c r="E1090" s="2916" t="s">
        <v>6043</v>
      </c>
      <c r="F1090" s="2915">
        <v>39</v>
      </c>
      <c r="G1090" s="2917" t="s">
        <v>6044</v>
      </c>
      <c r="H1090" s="2915" t="s">
        <v>987</v>
      </c>
      <c r="I1090" s="2915" t="s">
        <v>2549</v>
      </c>
      <c r="J1090" s="2915"/>
      <c r="K1090" s="2918">
        <v>45095</v>
      </c>
      <c r="L1090" s="2920" t="s">
        <v>1045</v>
      </c>
      <c r="M1090" s="2920" t="s">
        <v>6021</v>
      </c>
      <c r="N1090" s="2915" t="s">
        <v>917</v>
      </c>
      <c r="O1090" s="2915">
        <v>2023</v>
      </c>
      <c r="P1090" s="2915" t="s">
        <v>900</v>
      </c>
      <c r="Q1090" s="2915">
        <v>2</v>
      </c>
      <c r="R1090" s="2915"/>
      <c r="S1090" s="2915">
        <v>2</v>
      </c>
      <c r="T1090" s="2916" t="s">
        <v>6046</v>
      </c>
      <c r="U1090" s="2939" t="s">
        <v>4247</v>
      </c>
      <c r="V1090" s="2915" t="s">
        <v>6047</v>
      </c>
      <c r="W1090" s="2915" t="s">
        <v>6047</v>
      </c>
      <c r="X1090" s="2915" t="s">
        <v>6045</v>
      </c>
      <c r="Y1090" s="2919"/>
      <c r="Z1090" s="2919" t="s">
        <v>993</v>
      </c>
    </row>
    <row r="1091" spans="1:26" ht="40.950000000000003" customHeight="1">
      <c r="A1091" s="2981"/>
      <c r="B1091" s="2915" t="s">
        <v>2906</v>
      </c>
      <c r="C1091" s="2915" t="s">
        <v>6042</v>
      </c>
      <c r="E1091" s="2916" t="s">
        <v>6040</v>
      </c>
      <c r="F1091" s="2915">
        <v>45</v>
      </c>
      <c r="G1091" s="2917" t="s">
        <v>6041</v>
      </c>
      <c r="H1091" s="2915" t="s">
        <v>987</v>
      </c>
      <c r="I1091" s="2915" t="s">
        <v>4808</v>
      </c>
      <c r="J1091" s="2915" t="s">
        <v>4580</v>
      </c>
      <c r="K1091" s="2918">
        <v>45107</v>
      </c>
      <c r="L1091" s="2920" t="s">
        <v>1045</v>
      </c>
      <c r="M1091" s="2920" t="s">
        <v>6022</v>
      </c>
      <c r="N1091" s="2915" t="s">
        <v>2320</v>
      </c>
      <c r="O1091" s="2915">
        <v>2023</v>
      </c>
      <c r="P1091" s="2915" t="s">
        <v>900</v>
      </c>
      <c r="Q1091" s="2915">
        <v>21</v>
      </c>
      <c r="R1091" s="2915"/>
      <c r="S1091" s="2915">
        <v>21</v>
      </c>
      <c r="T1091" s="2916" t="s">
        <v>2234</v>
      </c>
      <c r="U1091" s="2915" t="s">
        <v>4247</v>
      </c>
      <c r="V1091" s="2915" t="s">
        <v>6032</v>
      </c>
      <c r="W1091" s="2915" t="s">
        <v>6032</v>
      </c>
      <c r="X1091" s="2915"/>
      <c r="Y1091" s="2919"/>
      <c r="Z1091" s="2919"/>
    </row>
    <row r="1092" spans="1:26" ht="27.6">
      <c r="A1092" s="2260"/>
      <c r="B1092" s="2948" t="s">
        <v>77</v>
      </c>
      <c r="C1092" s="2948"/>
      <c r="E1092" s="2949"/>
      <c r="F1092" s="2948"/>
      <c r="G1092" s="2950" t="s">
        <v>6090</v>
      </c>
      <c r="H1092" s="2948" t="s">
        <v>987</v>
      </c>
      <c r="I1092" s="2948" t="s">
        <v>4808</v>
      </c>
      <c r="J1092" s="2948" t="s">
        <v>4454</v>
      </c>
      <c r="K1092" s="2951">
        <v>45108</v>
      </c>
      <c r="L1092" s="2952" t="s">
        <v>1045</v>
      </c>
      <c r="M1092" s="2952" t="s">
        <v>6080</v>
      </c>
      <c r="N1092" s="2948" t="s">
        <v>2320</v>
      </c>
      <c r="O1092" s="2948">
        <v>2023</v>
      </c>
      <c r="P1092" s="2948" t="s">
        <v>901</v>
      </c>
      <c r="Q1092" s="2948">
        <v>5</v>
      </c>
      <c r="R1092" s="2948"/>
      <c r="S1092" s="2948">
        <v>5</v>
      </c>
      <c r="T1092" s="2949" t="s">
        <v>2227</v>
      </c>
      <c r="U1092" s="2948" t="s">
        <v>4247</v>
      </c>
      <c r="V1092" s="2948" t="s">
        <v>5875</v>
      </c>
      <c r="W1092" s="2948" t="s">
        <v>3837</v>
      </c>
      <c r="X1092" s="2948"/>
      <c r="Y1092" s="2953"/>
      <c r="Z1092" s="2953"/>
    </row>
    <row r="1093" spans="1:26" ht="55.2">
      <c r="A1093" s="2260"/>
      <c r="B1093" s="2948" t="s">
        <v>542</v>
      </c>
      <c r="C1093" s="2948"/>
      <c r="E1093" s="2963" t="s">
        <v>6091</v>
      </c>
      <c r="F1093" s="2948"/>
      <c r="G1093" s="2950" t="s">
        <v>2795</v>
      </c>
      <c r="H1093" s="2948" t="s">
        <v>987</v>
      </c>
      <c r="I1093" s="2948" t="s">
        <v>2549</v>
      </c>
      <c r="J1093" s="2948" t="s">
        <v>2254</v>
      </c>
      <c r="K1093" s="2951">
        <v>45110</v>
      </c>
      <c r="L1093" s="2952" t="s">
        <v>1045</v>
      </c>
      <c r="M1093" s="2952" t="s">
        <v>6081</v>
      </c>
      <c r="N1093" s="2948" t="s">
        <v>3416</v>
      </c>
      <c r="O1093" s="2948">
        <v>2023</v>
      </c>
      <c r="P1093" s="2948" t="s">
        <v>901</v>
      </c>
      <c r="Q1093" s="2948">
        <v>2</v>
      </c>
      <c r="R1093" s="2948"/>
      <c r="S1093" s="2948">
        <v>2</v>
      </c>
      <c r="T1093" s="2949" t="s">
        <v>3530</v>
      </c>
      <c r="U1093" s="2948" t="s">
        <v>4247</v>
      </c>
      <c r="V1093" s="2948" t="s">
        <v>5875</v>
      </c>
      <c r="W1093" s="2948" t="s">
        <v>6108</v>
      </c>
      <c r="X1093" s="2948"/>
      <c r="Y1093" s="2953"/>
      <c r="Z1093" s="2953"/>
    </row>
    <row r="1094" spans="1:26" ht="55.2">
      <c r="A1094" s="2260"/>
      <c r="B1094" s="2948" t="s">
        <v>1053</v>
      </c>
      <c r="C1094" s="2948"/>
      <c r="E1094" s="2949" t="s">
        <v>6105</v>
      </c>
      <c r="F1094" s="2948">
        <v>27</v>
      </c>
      <c r="G1094" s="2950" t="s">
        <v>5984</v>
      </c>
      <c r="H1094" s="2948" t="s">
        <v>987</v>
      </c>
      <c r="I1094" s="2948" t="s">
        <v>4808</v>
      </c>
      <c r="J1094" s="2948" t="s">
        <v>6104</v>
      </c>
      <c r="K1094" s="2951">
        <v>45110</v>
      </c>
      <c r="L1094" s="2952" t="s">
        <v>1045</v>
      </c>
      <c r="M1094" s="2952" t="s">
        <v>6082</v>
      </c>
      <c r="N1094" s="2948" t="s">
        <v>2320</v>
      </c>
      <c r="O1094" s="2948">
        <v>2023</v>
      </c>
      <c r="P1094" s="2948" t="s">
        <v>901</v>
      </c>
      <c r="Q1094" s="2948">
        <v>11</v>
      </c>
      <c r="R1094" s="2948"/>
      <c r="S1094" s="2948">
        <v>11</v>
      </c>
      <c r="T1094" s="2949" t="s">
        <v>2227</v>
      </c>
      <c r="U1094" s="2948" t="s">
        <v>4247</v>
      </c>
      <c r="V1094" s="2948" t="s">
        <v>5875</v>
      </c>
      <c r="W1094" s="2948" t="s">
        <v>2275</v>
      </c>
      <c r="X1094" s="2948"/>
      <c r="Y1094" s="2953"/>
      <c r="Z1094" s="2953" t="s">
        <v>5430</v>
      </c>
    </row>
    <row r="1095" spans="1:26" ht="55.2">
      <c r="A1095" s="2260"/>
      <c r="B1095" s="2948" t="s">
        <v>693</v>
      </c>
      <c r="C1095" s="2948"/>
      <c r="E1095" s="2949" t="s">
        <v>6092</v>
      </c>
      <c r="F1095" s="2948"/>
      <c r="G1095" s="2950" t="s">
        <v>1157</v>
      </c>
      <c r="H1095" s="2948" t="s">
        <v>987</v>
      </c>
      <c r="I1095" s="2948" t="s">
        <v>4808</v>
      </c>
      <c r="J1095" s="2948" t="s">
        <v>3490</v>
      </c>
      <c r="K1095" s="2951">
        <v>45111</v>
      </c>
      <c r="L1095" s="2952" t="s">
        <v>1045</v>
      </c>
      <c r="M1095" s="2952" t="s">
        <v>6083</v>
      </c>
      <c r="N1095" s="2948" t="s">
        <v>3416</v>
      </c>
      <c r="O1095" s="2948">
        <v>2023</v>
      </c>
      <c r="P1095" s="2948" t="s">
        <v>901</v>
      </c>
      <c r="Q1095" s="2948">
        <v>2</v>
      </c>
      <c r="R1095" s="2948"/>
      <c r="S1095" s="2948">
        <v>2</v>
      </c>
      <c r="T1095" s="2949" t="s">
        <v>6109</v>
      </c>
      <c r="U1095" s="2948" t="s">
        <v>4247</v>
      </c>
      <c r="V1095" s="2948" t="s">
        <v>5875</v>
      </c>
      <c r="W1095" s="2948" t="s">
        <v>6108</v>
      </c>
      <c r="X1095" s="2948"/>
      <c r="Y1095" s="2953"/>
      <c r="Z1095" s="2953"/>
    </row>
    <row r="1096" spans="1:26" ht="41.4">
      <c r="A1096" s="2260"/>
      <c r="B1096" s="2948" t="s">
        <v>3202</v>
      </c>
      <c r="C1096" s="2948" t="s">
        <v>6079</v>
      </c>
      <c r="E1096" s="2949" t="s">
        <v>6093</v>
      </c>
      <c r="F1096" s="2948">
        <v>40</v>
      </c>
      <c r="G1096" s="2950" t="s">
        <v>6094</v>
      </c>
      <c r="H1096" s="2948" t="s">
        <v>987</v>
      </c>
      <c r="I1096" s="2948" t="s">
        <v>2549</v>
      </c>
      <c r="J1096" s="2948" t="s">
        <v>1744</v>
      </c>
      <c r="K1096" s="2951">
        <v>45113</v>
      </c>
      <c r="L1096" s="2952" t="s">
        <v>1045</v>
      </c>
      <c r="M1096" s="2952" t="s">
        <v>6084</v>
      </c>
      <c r="N1096" s="2948" t="s">
        <v>923</v>
      </c>
      <c r="O1096" s="2948">
        <v>2023</v>
      </c>
      <c r="P1096" s="2948" t="s">
        <v>901</v>
      </c>
      <c r="Q1096" s="2948">
        <v>27</v>
      </c>
      <c r="R1096" s="2948"/>
      <c r="S1096" s="2948">
        <v>27</v>
      </c>
      <c r="T1096" s="2949" t="s">
        <v>6110</v>
      </c>
      <c r="U1096" s="2948" t="s">
        <v>4247</v>
      </c>
      <c r="V1096" s="2948" t="s">
        <v>5875</v>
      </c>
      <c r="W1096" s="2948" t="s">
        <v>2564</v>
      </c>
      <c r="X1096" s="2948"/>
      <c r="Y1096" s="2953"/>
      <c r="Z1096" s="2953"/>
    </row>
    <row r="1097" spans="1:26" ht="69">
      <c r="A1097" s="2260"/>
      <c r="B1097" s="2948" t="s">
        <v>693</v>
      </c>
      <c r="C1097" s="2948"/>
      <c r="E1097" s="2949" t="s">
        <v>6095</v>
      </c>
      <c r="F1097" s="2948"/>
      <c r="G1097" s="2950" t="s">
        <v>6096</v>
      </c>
      <c r="H1097" s="2948" t="s">
        <v>987</v>
      </c>
      <c r="I1097" s="2948" t="s">
        <v>2549</v>
      </c>
      <c r="J1097" s="2948" t="s">
        <v>2706</v>
      </c>
      <c r="K1097" s="2951">
        <v>45114</v>
      </c>
      <c r="L1097" s="2952" t="s">
        <v>1045</v>
      </c>
      <c r="M1097" s="2952" t="s">
        <v>6085</v>
      </c>
      <c r="N1097" s="2948" t="s">
        <v>2320</v>
      </c>
      <c r="O1097" s="2948">
        <v>2023</v>
      </c>
      <c r="P1097" s="2948" t="s">
        <v>901</v>
      </c>
      <c r="Q1097" s="2948">
        <v>49</v>
      </c>
      <c r="R1097" s="2948"/>
      <c r="S1097" s="2948">
        <v>49</v>
      </c>
      <c r="T1097" s="2949" t="s">
        <v>6111</v>
      </c>
      <c r="U1097" s="2948" t="s">
        <v>4247</v>
      </c>
      <c r="V1097" s="2948" t="s">
        <v>5875</v>
      </c>
      <c r="W1097" s="2948" t="s">
        <v>2340</v>
      </c>
      <c r="X1097" s="2948" t="s">
        <v>6097</v>
      </c>
      <c r="Y1097" s="2953"/>
      <c r="Z1097" s="2953" t="s">
        <v>993</v>
      </c>
    </row>
    <row r="1098" spans="1:26" ht="69">
      <c r="A1098" s="2260"/>
      <c r="B1098" s="2948" t="s">
        <v>542</v>
      </c>
      <c r="C1098" s="2948"/>
      <c r="E1098" s="2949" t="s">
        <v>6099</v>
      </c>
      <c r="F1098" s="2948"/>
      <c r="G1098" s="2950" t="s">
        <v>6100</v>
      </c>
      <c r="H1098" s="2948" t="s">
        <v>987</v>
      </c>
      <c r="I1098" s="2948" t="s">
        <v>4808</v>
      </c>
      <c r="J1098" s="2948" t="s">
        <v>2488</v>
      </c>
      <c r="K1098" s="2951">
        <v>45114</v>
      </c>
      <c r="L1098" s="2952" t="s">
        <v>1045</v>
      </c>
      <c r="M1098" s="2952" t="s">
        <v>6086</v>
      </c>
      <c r="N1098" s="2948" t="s">
        <v>917</v>
      </c>
      <c r="O1098" s="2948">
        <v>2023</v>
      </c>
      <c r="P1098" s="2948" t="s">
        <v>901</v>
      </c>
      <c r="Q1098" s="2948">
        <v>8</v>
      </c>
      <c r="R1098" s="2948"/>
      <c r="S1098" s="2948">
        <v>8</v>
      </c>
      <c r="T1098" s="2949" t="s">
        <v>3544</v>
      </c>
      <c r="U1098" s="2948" t="s">
        <v>4516</v>
      </c>
      <c r="V1098" s="2948" t="s">
        <v>5875</v>
      </c>
      <c r="W1098" s="2948" t="s">
        <v>2564</v>
      </c>
      <c r="X1098" s="2948"/>
      <c r="Y1098" s="2953"/>
      <c r="Z1098" s="2953"/>
    </row>
    <row r="1099" spans="1:26" ht="69">
      <c r="A1099" s="2260"/>
      <c r="B1099" s="2948" t="s">
        <v>694</v>
      </c>
      <c r="C1099" s="2962"/>
      <c r="E1099" s="2949" t="s">
        <v>6098</v>
      </c>
      <c r="F1099" s="2948"/>
      <c r="G1099" s="2950" t="s">
        <v>2167</v>
      </c>
      <c r="H1099" s="2948" t="s">
        <v>987</v>
      </c>
      <c r="I1099" s="2948" t="s">
        <v>2318</v>
      </c>
      <c r="J1099" s="2948" t="s">
        <v>4567</v>
      </c>
      <c r="K1099" s="2951">
        <v>45117</v>
      </c>
      <c r="L1099" s="2952" t="s">
        <v>1045</v>
      </c>
      <c r="M1099" s="2952" t="s">
        <v>6087</v>
      </c>
      <c r="N1099" s="2948" t="s">
        <v>2320</v>
      </c>
      <c r="O1099" s="2948">
        <v>2023</v>
      </c>
      <c r="P1099" s="2948" t="s">
        <v>901</v>
      </c>
      <c r="Q1099" s="2948">
        <v>30</v>
      </c>
      <c r="R1099" s="2948"/>
      <c r="S1099" s="2948">
        <v>30</v>
      </c>
      <c r="T1099" s="2949" t="s">
        <v>6112</v>
      </c>
      <c r="U1099" s="2948" t="s">
        <v>4247</v>
      </c>
      <c r="V1099" s="2948" t="s">
        <v>6038</v>
      </c>
      <c r="W1099" s="2948" t="s">
        <v>2340</v>
      </c>
      <c r="X1099" s="2948"/>
      <c r="Y1099" s="2953"/>
      <c r="Z1099" s="2953"/>
    </row>
    <row r="1100" spans="1:26" ht="55.2">
      <c r="A1100" s="2260"/>
      <c r="B1100" s="2948" t="s">
        <v>542</v>
      </c>
      <c r="C1100" s="2948"/>
      <c r="E1100" s="2949" t="s">
        <v>6106</v>
      </c>
      <c r="F1100" s="2948"/>
      <c r="G1100" s="2964" t="s">
        <v>6107</v>
      </c>
      <c r="H1100" s="2948" t="s">
        <v>987</v>
      </c>
      <c r="I1100" s="2948" t="s">
        <v>4808</v>
      </c>
      <c r="J1100" s="2965" t="s">
        <v>1381</v>
      </c>
      <c r="K1100" s="2951">
        <v>45122</v>
      </c>
      <c r="L1100" s="2952" t="s">
        <v>1045</v>
      </c>
      <c r="M1100" s="2952" t="s">
        <v>6088</v>
      </c>
      <c r="N1100" s="2948" t="s">
        <v>2320</v>
      </c>
      <c r="O1100" s="2948">
        <v>2023</v>
      </c>
      <c r="P1100" s="2948" t="s">
        <v>901</v>
      </c>
      <c r="Q1100" s="2948">
        <v>4</v>
      </c>
      <c r="R1100" s="2948"/>
      <c r="S1100" s="2948">
        <v>4</v>
      </c>
      <c r="T1100" s="2949" t="s">
        <v>6113</v>
      </c>
      <c r="U1100" s="2948" t="s">
        <v>4247</v>
      </c>
      <c r="V1100" s="2948" t="s">
        <v>5875</v>
      </c>
      <c r="W1100" s="2948" t="s">
        <v>3837</v>
      </c>
      <c r="X1100" s="2948"/>
      <c r="Y1100" s="2953"/>
      <c r="Z1100" s="2953"/>
    </row>
    <row r="1101" spans="1:26" ht="69">
      <c r="A1101" s="2260"/>
      <c r="B1101" s="2948" t="s">
        <v>6075</v>
      </c>
      <c r="C1101" s="2948" t="s">
        <v>3298</v>
      </c>
      <c r="E1101" s="2949" t="s">
        <v>6101</v>
      </c>
      <c r="F1101" s="2948"/>
      <c r="G1101" s="2950" t="s">
        <v>6102</v>
      </c>
      <c r="H1101" s="2948" t="s">
        <v>987</v>
      </c>
      <c r="I1101" s="2948" t="s">
        <v>4808</v>
      </c>
      <c r="J1101" s="2948" t="s">
        <v>6103</v>
      </c>
      <c r="K1101" s="2951">
        <v>45129</v>
      </c>
      <c r="L1101" s="2952" t="s">
        <v>1045</v>
      </c>
      <c r="M1101" s="2952" t="s">
        <v>6089</v>
      </c>
      <c r="N1101" s="2948" t="s">
        <v>2320</v>
      </c>
      <c r="O1101" s="2948">
        <v>2023</v>
      </c>
      <c r="P1101" s="2948" t="s">
        <v>901</v>
      </c>
      <c r="Q1101" s="2948">
        <v>3</v>
      </c>
      <c r="R1101" s="2948"/>
      <c r="S1101" s="2948">
        <v>3</v>
      </c>
      <c r="T1101" s="2949" t="s">
        <v>6114</v>
      </c>
      <c r="U1101" s="2948" t="s">
        <v>4247</v>
      </c>
      <c r="V1101" s="2948" t="s">
        <v>5875</v>
      </c>
      <c r="W1101" s="2948" t="s">
        <v>3837</v>
      </c>
      <c r="X1101" s="2948" t="s">
        <v>1105</v>
      </c>
      <c r="Y1101" s="2953"/>
      <c r="Z1101" s="2953" t="s">
        <v>993</v>
      </c>
    </row>
    <row r="1102" spans="1:26" ht="46.95" hidden="1" customHeight="1">
      <c r="A1102" s="2260"/>
      <c r="B1102" s="2948" t="s">
        <v>1006</v>
      </c>
      <c r="C1102" s="2948" t="s">
        <v>6116</v>
      </c>
      <c r="D1102" s="2961"/>
      <c r="E1102" s="2953" t="s">
        <v>6115</v>
      </c>
      <c r="F1102" s="2948"/>
      <c r="G1102" s="2953" t="s">
        <v>6117</v>
      </c>
      <c r="H1102" s="2948" t="s">
        <v>987</v>
      </c>
      <c r="I1102" s="2948" t="s">
        <v>4808</v>
      </c>
      <c r="J1102" s="2953"/>
      <c r="K1102" s="2951">
        <v>45124</v>
      </c>
      <c r="L1102" s="2952" t="s">
        <v>6119</v>
      </c>
      <c r="M1102" s="2953" t="s">
        <v>6118</v>
      </c>
      <c r="N1102" s="2948" t="s">
        <v>917</v>
      </c>
      <c r="O1102" s="2948">
        <v>2023</v>
      </c>
      <c r="P1102" s="2948" t="s">
        <v>901</v>
      </c>
      <c r="Q1102" s="2948">
        <v>0</v>
      </c>
      <c r="R1102" s="2948"/>
      <c r="S1102" s="2948">
        <v>0</v>
      </c>
      <c r="T1102" s="2953" t="s">
        <v>2233</v>
      </c>
      <c r="U1102" s="2948" t="s">
        <v>4516</v>
      </c>
      <c r="V1102" s="2948" t="s">
        <v>5875</v>
      </c>
      <c r="W1102" s="2953"/>
      <c r="X1102" s="2953"/>
      <c r="Y1102" s="2953"/>
      <c r="Z1102" s="2953"/>
    </row>
    <row r="1103" spans="1:26" ht="55.2">
      <c r="A1103" s="1601"/>
      <c r="B1103" s="2933" t="s">
        <v>694</v>
      </c>
      <c r="C1103" s="2933" t="s">
        <v>6123</v>
      </c>
      <c r="D1103" s="1820"/>
      <c r="E1103" s="2937" t="s">
        <v>6122</v>
      </c>
      <c r="F1103" s="2966">
        <v>45</v>
      </c>
      <c r="G1103" s="2937" t="s">
        <v>4171</v>
      </c>
      <c r="H1103" s="2933" t="s">
        <v>987</v>
      </c>
      <c r="I1103" s="2933" t="s">
        <v>2549</v>
      </c>
      <c r="J1103" s="2966" t="s">
        <v>2489</v>
      </c>
      <c r="K1103" s="2934">
        <v>45147</v>
      </c>
      <c r="L1103" s="2935" t="s">
        <v>1045</v>
      </c>
      <c r="M1103" s="2935" t="s">
        <v>6124</v>
      </c>
      <c r="N1103" s="2933" t="s">
        <v>2320</v>
      </c>
      <c r="O1103" s="2933">
        <v>2023</v>
      </c>
      <c r="P1103" s="2933" t="s">
        <v>902</v>
      </c>
      <c r="Q1103" s="2933">
        <v>1140</v>
      </c>
      <c r="R1103" s="2933"/>
      <c r="S1103" s="2933">
        <v>1140</v>
      </c>
      <c r="T1103" s="2937" t="s">
        <v>4765</v>
      </c>
      <c r="U1103" s="2933" t="s">
        <v>4247</v>
      </c>
      <c r="V1103" s="2933" t="s">
        <v>3978</v>
      </c>
      <c r="W1103" s="2933" t="s">
        <v>6038</v>
      </c>
      <c r="X1103" s="2933"/>
      <c r="Y1103" s="2936"/>
      <c r="Z1103" s="2933"/>
    </row>
    <row r="1104" spans="1:26" ht="55.2">
      <c r="A1104" s="1601"/>
      <c r="B1104" s="2933" t="s">
        <v>542</v>
      </c>
      <c r="C1104" s="2933" t="s">
        <v>6125</v>
      </c>
      <c r="D1104" s="1820"/>
      <c r="E1104" s="2937" t="s">
        <v>6126</v>
      </c>
      <c r="F1104" s="2966">
        <v>25</v>
      </c>
      <c r="G1104" s="2937" t="s">
        <v>3251</v>
      </c>
      <c r="H1104" s="2933" t="s">
        <v>987</v>
      </c>
      <c r="I1104" s="2933" t="s">
        <v>4808</v>
      </c>
      <c r="J1104" s="2966" t="s">
        <v>2644</v>
      </c>
      <c r="K1104" s="2934">
        <v>45153</v>
      </c>
      <c r="L1104" s="2935" t="s">
        <v>1045</v>
      </c>
      <c r="M1104" s="2935" t="s">
        <v>6127</v>
      </c>
      <c r="N1104" s="2933" t="s">
        <v>2320</v>
      </c>
      <c r="O1104" s="2933">
        <v>2023</v>
      </c>
      <c r="P1104" s="2933" t="s">
        <v>902</v>
      </c>
      <c r="Q1104" s="2933">
        <v>6</v>
      </c>
      <c r="R1104" s="2933"/>
      <c r="S1104" s="2933">
        <v>6</v>
      </c>
      <c r="T1104" s="2937" t="s">
        <v>6128</v>
      </c>
      <c r="U1104" s="2933" t="s">
        <v>4247</v>
      </c>
      <c r="V1104" s="2933" t="s">
        <v>5878</v>
      </c>
      <c r="W1104" s="2933" t="s">
        <v>6036</v>
      </c>
      <c r="X1104" s="2933"/>
      <c r="Y1104" s="2936"/>
      <c r="Z1104" s="2933"/>
    </row>
    <row r="1105" spans="1:26" ht="82.8">
      <c r="A1105" s="1601"/>
      <c r="B1105" s="2933" t="s">
        <v>693</v>
      </c>
      <c r="C1105" s="2933" t="s">
        <v>6131</v>
      </c>
      <c r="E1105" s="2937" t="s">
        <v>6130</v>
      </c>
      <c r="F1105" s="2966">
        <v>27</v>
      </c>
      <c r="G1105" s="2937" t="s">
        <v>2167</v>
      </c>
      <c r="H1105" s="2933" t="s">
        <v>987</v>
      </c>
      <c r="I1105" s="2933" t="s">
        <v>4808</v>
      </c>
      <c r="J1105" s="2966" t="s">
        <v>2301</v>
      </c>
      <c r="K1105" s="2934">
        <v>45163</v>
      </c>
      <c r="L1105" s="2935" t="s">
        <v>1045</v>
      </c>
      <c r="M1105" s="2935" t="s">
        <v>6129</v>
      </c>
      <c r="N1105" s="2933" t="s">
        <v>2320</v>
      </c>
      <c r="O1105" s="2933">
        <v>2023</v>
      </c>
      <c r="P1105" s="2933" t="s">
        <v>902</v>
      </c>
      <c r="Q1105" s="2933">
        <v>3</v>
      </c>
      <c r="R1105" s="2933"/>
      <c r="S1105" s="2933">
        <v>3</v>
      </c>
      <c r="T1105" s="2937" t="s">
        <v>6135</v>
      </c>
      <c r="U1105" s="2933" t="s">
        <v>4247</v>
      </c>
      <c r="V1105" s="2933" t="s">
        <v>3450</v>
      </c>
      <c r="W1105" s="2933" t="s">
        <v>3450</v>
      </c>
      <c r="X1105" s="2933"/>
      <c r="Y1105" s="2936"/>
      <c r="Z1105" s="2933"/>
    </row>
    <row r="1106" spans="1:26" ht="41.4">
      <c r="A1106" s="1601"/>
      <c r="B1106" s="2933" t="s">
        <v>542</v>
      </c>
      <c r="C1106" s="2933" t="s">
        <v>6133</v>
      </c>
      <c r="E1106" s="2937" t="s">
        <v>6134</v>
      </c>
      <c r="F1106" s="2966">
        <v>44</v>
      </c>
      <c r="G1106" s="2937" t="s">
        <v>3251</v>
      </c>
      <c r="H1106" s="2933" t="s">
        <v>987</v>
      </c>
      <c r="I1106" s="2933" t="s">
        <v>2318</v>
      </c>
      <c r="J1106" s="2966" t="s">
        <v>2489</v>
      </c>
      <c r="K1106" s="2934">
        <v>45167</v>
      </c>
      <c r="L1106" s="2935" t="s">
        <v>1045</v>
      </c>
      <c r="M1106" s="2935" t="s">
        <v>6132</v>
      </c>
      <c r="N1106" s="2933" t="s">
        <v>923</v>
      </c>
      <c r="O1106" s="2933">
        <v>2023</v>
      </c>
      <c r="P1106" s="2933" t="s">
        <v>902</v>
      </c>
      <c r="Q1106" s="2933">
        <v>3</v>
      </c>
      <c r="R1106" s="2933"/>
      <c r="S1106" s="2933">
        <v>3</v>
      </c>
      <c r="T1106" s="2937" t="s">
        <v>6136</v>
      </c>
      <c r="U1106" s="2933" t="s">
        <v>4247</v>
      </c>
      <c r="V1106" s="2933" t="s">
        <v>3634</v>
      </c>
      <c r="W1106" s="2933" t="s">
        <v>3634</v>
      </c>
      <c r="X1106" s="2933"/>
      <c r="Y1106" s="2936"/>
      <c r="Z1106" s="2933"/>
    </row>
    <row r="1107" spans="1:26" ht="69">
      <c r="A1107" s="1601"/>
      <c r="B1107" s="2933" t="s">
        <v>5196</v>
      </c>
      <c r="C1107" s="2933" t="s">
        <v>6141</v>
      </c>
      <c r="E1107" s="2937" t="s">
        <v>6158</v>
      </c>
      <c r="F1107" s="2966">
        <v>18</v>
      </c>
      <c r="G1107" s="2937" t="s">
        <v>3251</v>
      </c>
      <c r="H1107" s="2933" t="s">
        <v>987</v>
      </c>
      <c r="I1107" s="2933" t="s">
        <v>2549</v>
      </c>
      <c r="J1107" s="2966" t="s">
        <v>2523</v>
      </c>
      <c r="K1107" s="2934">
        <v>45140</v>
      </c>
      <c r="L1107" s="2935" t="s">
        <v>1045</v>
      </c>
      <c r="M1107" s="2935" t="s">
        <v>6138</v>
      </c>
      <c r="N1107" s="2933" t="s">
        <v>2320</v>
      </c>
      <c r="O1107" s="2933">
        <v>2023</v>
      </c>
      <c r="P1107" s="2933" t="s">
        <v>902</v>
      </c>
      <c r="Q1107" s="2933" t="s">
        <v>6142</v>
      </c>
      <c r="R1107" s="2933"/>
      <c r="S1107" s="2933" t="s">
        <v>6142</v>
      </c>
      <c r="T1107" s="2937" t="s">
        <v>6143</v>
      </c>
      <c r="U1107" s="2933" t="s">
        <v>4247</v>
      </c>
      <c r="V1107" s="2933" t="s">
        <v>3978</v>
      </c>
      <c r="W1107" s="2933" t="s">
        <v>3978</v>
      </c>
      <c r="X1107" s="2933" t="s">
        <v>5676</v>
      </c>
      <c r="Y1107" s="2936"/>
      <c r="Z1107" s="2933" t="s">
        <v>993</v>
      </c>
    </row>
    <row r="1108" spans="1:26" ht="41.4">
      <c r="A1108" s="1601"/>
      <c r="B1108" s="2933" t="s">
        <v>5196</v>
      </c>
      <c r="C1108" s="2933" t="s">
        <v>6144</v>
      </c>
      <c r="E1108" s="2937" t="s">
        <v>6145</v>
      </c>
      <c r="F1108" s="2966">
        <v>35</v>
      </c>
      <c r="G1108" s="2937" t="s">
        <v>6146</v>
      </c>
      <c r="H1108" s="2933" t="s">
        <v>987</v>
      </c>
      <c r="I1108" s="2933" t="s">
        <v>2549</v>
      </c>
      <c r="J1108" s="2966" t="s">
        <v>2493</v>
      </c>
      <c r="K1108" s="2934">
        <v>45160</v>
      </c>
      <c r="L1108" s="2935" t="s">
        <v>1045</v>
      </c>
      <c r="M1108" s="2935" t="s">
        <v>6139</v>
      </c>
      <c r="N1108" s="2933" t="s">
        <v>2320</v>
      </c>
      <c r="O1108" s="2933">
        <v>2023</v>
      </c>
      <c r="P1108" s="2933" t="s">
        <v>902</v>
      </c>
      <c r="Q1108" s="2933" t="s">
        <v>6142</v>
      </c>
      <c r="R1108" s="2933"/>
      <c r="S1108" s="2933" t="s">
        <v>6142</v>
      </c>
      <c r="T1108" s="2937" t="s">
        <v>6147</v>
      </c>
      <c r="U1108" s="2933" t="s">
        <v>4247</v>
      </c>
      <c r="V1108" s="2933" t="s">
        <v>6038</v>
      </c>
      <c r="W1108" s="2933" t="s">
        <v>6148</v>
      </c>
      <c r="X1108" s="2933"/>
      <c r="Y1108" s="2936"/>
      <c r="Z1108" s="2933"/>
    </row>
    <row r="1109" spans="1:26" ht="55.2">
      <c r="A1109" s="1601"/>
      <c r="B1109" s="2933" t="s">
        <v>5196</v>
      </c>
      <c r="C1109" s="2933" t="s">
        <v>6137</v>
      </c>
      <c r="E1109" s="2937" t="s">
        <v>6149</v>
      </c>
      <c r="F1109" s="2966">
        <v>41</v>
      </c>
      <c r="G1109" s="2937" t="s">
        <v>2218</v>
      </c>
      <c r="H1109" s="2933" t="s">
        <v>987</v>
      </c>
      <c r="I1109" s="2933" t="s">
        <v>2549</v>
      </c>
      <c r="J1109" s="2966" t="s">
        <v>2494</v>
      </c>
      <c r="K1109" s="2934">
        <v>45161</v>
      </c>
      <c r="L1109" s="2935" t="s">
        <v>1045</v>
      </c>
      <c r="M1109" s="2935" t="s">
        <v>6140</v>
      </c>
      <c r="N1109" s="2933" t="s">
        <v>2320</v>
      </c>
      <c r="O1109" s="2933">
        <v>2023</v>
      </c>
      <c r="P1109" s="2933" t="s">
        <v>902</v>
      </c>
      <c r="Q1109" s="2933" t="s">
        <v>6142</v>
      </c>
      <c r="R1109" s="2933"/>
      <c r="S1109" s="2933" t="s">
        <v>6142</v>
      </c>
      <c r="T1109" s="2937" t="s">
        <v>6150</v>
      </c>
      <c r="U1109" s="2933" t="s">
        <v>4247</v>
      </c>
      <c r="V1109" s="2933" t="s">
        <v>6038</v>
      </c>
      <c r="W1109" s="2933" t="s">
        <v>6151</v>
      </c>
      <c r="X1109" s="2933" t="s">
        <v>6166</v>
      </c>
      <c r="Y1109" s="2936"/>
      <c r="Z1109" s="2933" t="s">
        <v>993</v>
      </c>
    </row>
    <row r="1110" spans="1:26" ht="41.4">
      <c r="A1110" s="1601"/>
      <c r="B1110" s="2933" t="s">
        <v>6152</v>
      </c>
      <c r="C1110" s="2933" t="s">
        <v>6165</v>
      </c>
      <c r="D1110" s="1820"/>
      <c r="E1110" s="2936" t="s">
        <v>6156</v>
      </c>
      <c r="F1110" s="2933">
        <v>29</v>
      </c>
      <c r="G1110" s="2933"/>
      <c r="H1110" s="2933" t="s">
        <v>987</v>
      </c>
      <c r="I1110" s="2933" t="s">
        <v>2549</v>
      </c>
      <c r="J1110" s="2966" t="s">
        <v>6161</v>
      </c>
      <c r="K1110" s="2934">
        <v>45159</v>
      </c>
      <c r="L1110" s="2935" t="s">
        <v>1045</v>
      </c>
      <c r="M1110" s="2935" t="s">
        <v>6154</v>
      </c>
      <c r="N1110" s="2933" t="s">
        <v>923</v>
      </c>
      <c r="O1110" s="2933">
        <v>2023</v>
      </c>
      <c r="P1110" s="2933" t="s">
        <v>902</v>
      </c>
      <c r="Q1110" s="2933">
        <v>4</v>
      </c>
      <c r="R1110" s="2933"/>
      <c r="S1110" s="2933">
        <v>4</v>
      </c>
      <c r="T1110" s="2937" t="s">
        <v>6162</v>
      </c>
      <c r="U1110" s="2933" t="s">
        <v>4247</v>
      </c>
      <c r="V1110" s="2933" t="s">
        <v>2564</v>
      </c>
      <c r="W1110" s="2933" t="s">
        <v>3837</v>
      </c>
      <c r="X1110" s="2966" t="s">
        <v>6167</v>
      </c>
      <c r="Y1110" s="2936"/>
      <c r="Z1110" s="2933" t="s">
        <v>993</v>
      </c>
    </row>
    <row r="1111" spans="1:26" ht="55.2">
      <c r="A1111" s="1601"/>
      <c r="B1111" s="2933" t="s">
        <v>2943</v>
      </c>
      <c r="C1111" s="2933" t="s">
        <v>6153</v>
      </c>
      <c r="D1111" s="1820"/>
      <c r="E1111" s="2936" t="s">
        <v>6157</v>
      </c>
      <c r="F1111" s="2933">
        <v>28</v>
      </c>
      <c r="G1111" s="2933" t="s">
        <v>6159</v>
      </c>
      <c r="H1111" s="2933" t="s">
        <v>987</v>
      </c>
      <c r="I1111" s="2933" t="s">
        <v>2549</v>
      </c>
      <c r="J1111" s="2966" t="s">
        <v>6160</v>
      </c>
      <c r="K1111" s="2934">
        <v>45169</v>
      </c>
      <c r="L1111" s="2935" t="s">
        <v>1045</v>
      </c>
      <c r="M1111" s="2935" t="s">
        <v>6155</v>
      </c>
      <c r="N1111" s="2933" t="s">
        <v>2320</v>
      </c>
      <c r="O1111" s="2933">
        <v>2023</v>
      </c>
      <c r="P1111" s="2933" t="s">
        <v>902</v>
      </c>
      <c r="Q1111" s="2933" t="s">
        <v>6142</v>
      </c>
      <c r="R1111" s="2933"/>
      <c r="S1111" s="2933" t="s">
        <v>6142</v>
      </c>
      <c r="T1111" s="2937" t="s">
        <v>4665</v>
      </c>
      <c r="U1111" s="2933" t="s">
        <v>4247</v>
      </c>
      <c r="V1111" s="2933" t="s">
        <v>2340</v>
      </c>
      <c r="W1111" s="2933" t="s">
        <v>2340</v>
      </c>
      <c r="X1111" s="2933"/>
      <c r="Y1111" s="2936"/>
      <c r="Z1111" s="2933"/>
    </row>
    <row r="1112" spans="1:26" ht="41.4">
      <c r="A1112" s="1601"/>
      <c r="B1112" s="2955" t="s">
        <v>77</v>
      </c>
      <c r="C1112" s="2955" t="s">
        <v>879</v>
      </c>
      <c r="E1112" s="2956" t="s">
        <v>6192</v>
      </c>
      <c r="F1112" s="2955">
        <v>26</v>
      </c>
      <c r="G1112" s="2957" t="s">
        <v>6193</v>
      </c>
      <c r="H1112" s="2955" t="s">
        <v>987</v>
      </c>
      <c r="I1112" s="2955" t="s">
        <v>2318</v>
      </c>
      <c r="J1112" s="2955" t="s">
        <v>5491</v>
      </c>
      <c r="K1112" s="2958">
        <v>45170</v>
      </c>
      <c r="L1112" s="2959" t="s">
        <v>1045</v>
      </c>
      <c r="M1112" s="2959" t="s">
        <v>6194</v>
      </c>
      <c r="N1112" s="2955" t="s">
        <v>2320</v>
      </c>
      <c r="O1112" s="2955">
        <v>2023</v>
      </c>
      <c r="P1112" s="2955" t="s">
        <v>2426</v>
      </c>
      <c r="Q1112" s="2955">
        <v>32</v>
      </c>
      <c r="R1112" s="2955"/>
      <c r="S1112" s="2955">
        <v>32</v>
      </c>
      <c r="T1112" s="2956" t="s">
        <v>2626</v>
      </c>
      <c r="U1112" s="2955" t="s">
        <v>4247</v>
      </c>
      <c r="V1112" s="2955" t="s">
        <v>6032</v>
      </c>
      <c r="W1112" s="2955" t="s">
        <v>6032</v>
      </c>
      <c r="X1112" s="2955"/>
      <c r="Y1112" s="2960"/>
      <c r="Z1112" s="2960"/>
    </row>
    <row r="1113" spans="1:26" ht="55.2">
      <c r="A1113" s="1601"/>
      <c r="B1113" s="2955" t="s">
        <v>91</v>
      </c>
      <c r="C1113" s="2955" t="s">
        <v>4080</v>
      </c>
      <c r="E1113" s="2956" t="s">
        <v>6210</v>
      </c>
      <c r="F1113" s="2955">
        <v>26</v>
      </c>
      <c r="G1113" s="2957" t="s">
        <v>6211</v>
      </c>
      <c r="H1113" s="2955" t="s">
        <v>987</v>
      </c>
      <c r="I1113" s="2955" t="s">
        <v>4808</v>
      </c>
      <c r="J1113" s="2955" t="s">
        <v>2602</v>
      </c>
      <c r="K1113" s="2958">
        <v>45170</v>
      </c>
      <c r="L1113" s="2959" t="s">
        <v>1045</v>
      </c>
      <c r="M1113" s="2959" t="s">
        <v>6195</v>
      </c>
      <c r="N1113" s="2955" t="s">
        <v>923</v>
      </c>
      <c r="O1113" s="2955">
        <v>2023</v>
      </c>
      <c r="P1113" s="2955" t="s">
        <v>2426</v>
      </c>
      <c r="Q1113" s="2955">
        <v>3</v>
      </c>
      <c r="R1113" s="2955"/>
      <c r="S1113" s="2955">
        <v>3</v>
      </c>
      <c r="T1113" s="2956" t="s">
        <v>6212</v>
      </c>
      <c r="U1113" s="2955" t="s">
        <v>4247</v>
      </c>
      <c r="V1113" s="2955" t="s">
        <v>6213</v>
      </c>
      <c r="W1113" s="2955" t="s">
        <v>6213</v>
      </c>
      <c r="X1113" s="2955"/>
      <c r="Y1113" s="2960"/>
      <c r="Z1113" s="2960"/>
    </row>
    <row r="1114" spans="1:26" ht="55.2">
      <c r="A1114" s="1601"/>
      <c r="B1114" s="2955" t="s">
        <v>6075</v>
      </c>
      <c r="C1114" s="2955" t="s">
        <v>6209</v>
      </c>
      <c r="E1114" s="2956" t="s">
        <v>6214</v>
      </c>
      <c r="F1114" s="2955"/>
      <c r="G1114" s="2957"/>
      <c r="H1114" s="2955" t="s">
        <v>987</v>
      </c>
      <c r="I1114" s="2955" t="s">
        <v>2549</v>
      </c>
      <c r="J1114" s="2955" t="s">
        <v>6215</v>
      </c>
      <c r="K1114" s="2958">
        <v>45173</v>
      </c>
      <c r="L1114" s="2959" t="s">
        <v>1045</v>
      </c>
      <c r="M1114" s="2959" t="s">
        <v>6196</v>
      </c>
      <c r="N1114" s="2955" t="s">
        <v>915</v>
      </c>
      <c r="O1114" s="2955">
        <v>2023</v>
      </c>
      <c r="P1114" s="2955" t="s">
        <v>2426</v>
      </c>
      <c r="Q1114" s="2955">
        <v>5</v>
      </c>
      <c r="R1114" s="2955"/>
      <c r="S1114" s="2955">
        <v>5</v>
      </c>
      <c r="T1114" s="2956" t="s">
        <v>6216</v>
      </c>
      <c r="U1114" s="2955" t="s">
        <v>4247</v>
      </c>
      <c r="V1114" s="2955" t="s">
        <v>4174</v>
      </c>
      <c r="W1114" s="2955" t="s">
        <v>4174</v>
      </c>
      <c r="X1114" s="2955" t="s">
        <v>6217</v>
      </c>
      <c r="Y1114" s="2960"/>
      <c r="Z1114" s="2960"/>
    </row>
    <row r="1115" spans="1:26" ht="41.4">
      <c r="A1115" s="1601"/>
      <c r="B1115" s="2955" t="s">
        <v>6075</v>
      </c>
      <c r="C1115" s="2955" t="s">
        <v>6208</v>
      </c>
      <c r="E1115" s="2956"/>
      <c r="F1115" s="2955">
        <v>33</v>
      </c>
      <c r="G1115" s="2957" t="s">
        <v>6218</v>
      </c>
      <c r="H1115" s="2955" t="s">
        <v>987</v>
      </c>
      <c r="I1115" s="2955" t="s">
        <v>4808</v>
      </c>
      <c r="J1115" s="2955" t="s">
        <v>6215</v>
      </c>
      <c r="K1115" s="2958">
        <v>45184</v>
      </c>
      <c r="L1115" s="2959" t="s">
        <v>1045</v>
      </c>
      <c r="M1115" s="2959" t="s">
        <v>6197</v>
      </c>
      <c r="N1115" s="2955" t="s">
        <v>923</v>
      </c>
      <c r="O1115" s="2955">
        <v>2023</v>
      </c>
      <c r="P1115" s="2955" t="s">
        <v>2426</v>
      </c>
      <c r="Q1115" s="2955">
        <v>8</v>
      </c>
      <c r="R1115" s="2955"/>
      <c r="S1115" s="2955">
        <v>8</v>
      </c>
      <c r="T1115" s="2956" t="s">
        <v>6219</v>
      </c>
      <c r="U1115" s="2955" t="s">
        <v>4247</v>
      </c>
      <c r="V1115" s="2955" t="s">
        <v>6220</v>
      </c>
      <c r="W1115" s="2955" t="s">
        <v>6220</v>
      </c>
      <c r="X1115" s="2955"/>
      <c r="Y1115" s="2960"/>
      <c r="Z1115" s="2960"/>
    </row>
    <row r="1116" spans="1:26" ht="41.4">
      <c r="A1116" s="1601"/>
      <c r="B1116" s="2955" t="s">
        <v>6206</v>
      </c>
      <c r="C1116" s="2955" t="s">
        <v>6207</v>
      </c>
      <c r="E1116" s="2956" t="s">
        <v>6221</v>
      </c>
      <c r="F1116" s="2955"/>
      <c r="G1116" s="2957" t="s">
        <v>6222</v>
      </c>
      <c r="H1116" s="2955" t="s">
        <v>987</v>
      </c>
      <c r="I1116" s="2955" t="s">
        <v>4808</v>
      </c>
      <c r="J1116" s="2955" t="s">
        <v>2494</v>
      </c>
      <c r="K1116" s="2958">
        <v>45189</v>
      </c>
      <c r="L1116" s="2959" t="s">
        <v>1045</v>
      </c>
      <c r="M1116" s="2959" t="s">
        <v>6198</v>
      </c>
      <c r="N1116" s="2955" t="s">
        <v>2320</v>
      </c>
      <c r="O1116" s="2955">
        <v>2023</v>
      </c>
      <c r="P1116" s="2955" t="s">
        <v>2426</v>
      </c>
      <c r="Q1116" s="2955">
        <v>4</v>
      </c>
      <c r="R1116" s="2955"/>
      <c r="S1116" s="2955">
        <v>4</v>
      </c>
      <c r="T1116" s="2956" t="s">
        <v>6223</v>
      </c>
      <c r="U1116" s="2955" t="s">
        <v>4247</v>
      </c>
      <c r="V1116" s="2955" t="s">
        <v>6224</v>
      </c>
      <c r="W1116" s="2955" t="s">
        <v>6224</v>
      </c>
      <c r="X1116" s="2955" t="s">
        <v>6225</v>
      </c>
      <c r="Y1116" s="2960"/>
      <c r="Z1116" s="2960"/>
    </row>
    <row r="1117" spans="1:26" ht="69">
      <c r="A1117" s="1601"/>
      <c r="B1117" s="2955" t="s">
        <v>595</v>
      </c>
      <c r="C1117" s="2955" t="s">
        <v>6204</v>
      </c>
      <c r="E1117" s="2956" t="s">
        <v>6226</v>
      </c>
      <c r="F1117" s="2955">
        <v>43</v>
      </c>
      <c r="G1117" s="2957" t="s">
        <v>3382</v>
      </c>
      <c r="H1117" s="2955" t="s">
        <v>987</v>
      </c>
      <c r="I1117" s="2955" t="s">
        <v>2549</v>
      </c>
      <c r="J1117" s="2955"/>
      <c r="K1117" s="2958">
        <v>45198</v>
      </c>
      <c r="L1117" s="2959" t="s">
        <v>1045</v>
      </c>
      <c r="M1117" s="2959" t="s">
        <v>6199</v>
      </c>
      <c r="N1117" s="2955" t="s">
        <v>2320</v>
      </c>
      <c r="O1117" s="2955">
        <v>2023</v>
      </c>
      <c r="P1117" s="2955" t="s">
        <v>2426</v>
      </c>
      <c r="Q1117" s="2955">
        <v>30</v>
      </c>
      <c r="R1117" s="2955"/>
      <c r="S1117" s="2955">
        <v>30</v>
      </c>
      <c r="T1117" s="2956" t="s">
        <v>6228</v>
      </c>
      <c r="U1117" s="2955" t="s">
        <v>4247</v>
      </c>
      <c r="V1117" s="2955" t="s">
        <v>6227</v>
      </c>
      <c r="W1117" s="2967" t="s">
        <v>6227</v>
      </c>
      <c r="X1117" s="2955"/>
      <c r="Y1117" s="2960"/>
      <c r="Z1117" s="2960"/>
    </row>
    <row r="1118" spans="1:26" ht="55.2">
      <c r="A1118" s="1601"/>
      <c r="B1118" s="2955" t="s">
        <v>4974</v>
      </c>
      <c r="C1118" s="2955" t="s">
        <v>6205</v>
      </c>
      <c r="E1118" s="2956" t="s">
        <v>6229</v>
      </c>
      <c r="F1118" s="2955">
        <v>39</v>
      </c>
      <c r="G1118" s="2957" t="s">
        <v>6230</v>
      </c>
      <c r="H1118" s="2955" t="s">
        <v>987</v>
      </c>
      <c r="I1118" s="2955" t="s">
        <v>4808</v>
      </c>
      <c r="J1118" s="2955" t="s">
        <v>6231</v>
      </c>
      <c r="K1118" s="2958">
        <v>45173</v>
      </c>
      <c r="L1118" s="2959" t="s">
        <v>1045</v>
      </c>
      <c r="M1118" s="2959" t="s">
        <v>6200</v>
      </c>
      <c r="N1118" s="2955" t="s">
        <v>915</v>
      </c>
      <c r="O1118" s="2955">
        <v>2023</v>
      </c>
      <c r="P1118" s="2955" t="s">
        <v>2426</v>
      </c>
      <c r="Q1118" s="2955">
        <v>50</v>
      </c>
      <c r="R1118" s="2955"/>
      <c r="S1118" s="2955">
        <v>50</v>
      </c>
      <c r="T1118" s="2956" t="s">
        <v>6232</v>
      </c>
      <c r="U1118" s="2955" t="s">
        <v>4247</v>
      </c>
      <c r="V1118" s="2955" t="s">
        <v>6233</v>
      </c>
      <c r="W1118" s="2955" t="s">
        <v>6233</v>
      </c>
      <c r="X1118" s="2955"/>
      <c r="Y1118" s="2960"/>
      <c r="Z1118" s="2960"/>
    </row>
    <row r="1119" spans="1:26" ht="82.8">
      <c r="A1119" s="1601"/>
      <c r="B1119" s="2955" t="s">
        <v>4974</v>
      </c>
      <c r="C1119" s="2955" t="s">
        <v>6238</v>
      </c>
      <c r="E1119" s="2956" t="s">
        <v>6242</v>
      </c>
      <c r="F1119" s="2955">
        <v>20</v>
      </c>
      <c r="G1119" s="2957" t="s">
        <v>3592</v>
      </c>
      <c r="H1119" s="2955" t="s">
        <v>987</v>
      </c>
      <c r="I1119" s="2955" t="s">
        <v>4808</v>
      </c>
      <c r="J1119" s="2955" t="s">
        <v>6243</v>
      </c>
      <c r="K1119" s="2958">
        <v>45195</v>
      </c>
      <c r="L1119" s="2959" t="s">
        <v>1045</v>
      </c>
      <c r="M1119" s="2959" t="s">
        <v>6237</v>
      </c>
      <c r="N1119" s="2955" t="s">
        <v>915</v>
      </c>
      <c r="O1119" s="2955">
        <v>2023</v>
      </c>
      <c r="P1119" s="2955" t="s">
        <v>2426</v>
      </c>
      <c r="Q1119" s="2955">
        <v>20</v>
      </c>
      <c r="R1119" s="2955"/>
      <c r="S1119" s="2955">
        <v>20</v>
      </c>
      <c r="T1119" s="2956" t="s">
        <v>6239</v>
      </c>
      <c r="U1119" s="2955" t="s">
        <v>4247</v>
      </c>
      <c r="V1119" s="2955" t="s">
        <v>2238</v>
      </c>
      <c r="W1119" s="2955" t="s">
        <v>2238</v>
      </c>
      <c r="X1119" s="2955" t="s">
        <v>5676</v>
      </c>
      <c r="Y1119" s="2960"/>
      <c r="Z1119" s="2960"/>
    </row>
    <row r="1120" spans="1:26" ht="69">
      <c r="A1120" s="1601"/>
      <c r="B1120" s="2955" t="s">
        <v>6203</v>
      </c>
      <c r="C1120" s="2955" t="s">
        <v>6202</v>
      </c>
      <c r="E1120" s="2956" t="s">
        <v>6234</v>
      </c>
      <c r="F1120" s="2955">
        <v>39</v>
      </c>
      <c r="G1120" s="2957" t="s">
        <v>3251</v>
      </c>
      <c r="H1120" s="2955" t="s">
        <v>987</v>
      </c>
      <c r="I1120" s="2955" t="s">
        <v>4808</v>
      </c>
      <c r="J1120" s="2955" t="s">
        <v>2644</v>
      </c>
      <c r="K1120" s="2958">
        <v>45195</v>
      </c>
      <c r="L1120" s="2959" t="s">
        <v>1045</v>
      </c>
      <c r="M1120" s="2959" t="s">
        <v>6201</v>
      </c>
      <c r="N1120" s="2955" t="s">
        <v>2320</v>
      </c>
      <c r="O1120" s="2955">
        <v>2023</v>
      </c>
      <c r="P1120" s="2955" t="s">
        <v>2426</v>
      </c>
      <c r="Q1120" s="2955">
        <v>4</v>
      </c>
      <c r="R1120" s="2955"/>
      <c r="S1120" s="2955">
        <v>4</v>
      </c>
      <c r="T1120" s="2956" t="s">
        <v>6236</v>
      </c>
      <c r="U1120" s="2955" t="s">
        <v>4247</v>
      </c>
      <c r="V1120" s="2955" t="s">
        <v>6235</v>
      </c>
      <c r="W1120" s="2955" t="s">
        <v>6235</v>
      </c>
      <c r="X1120" s="2955"/>
      <c r="Y1120" s="2960"/>
      <c r="Z1120" s="2960"/>
    </row>
    <row r="1121" spans="1:26" ht="41.4">
      <c r="A1121" s="1601"/>
      <c r="B1121" s="2933" t="s">
        <v>1006</v>
      </c>
      <c r="C1121" s="2933" t="s">
        <v>6254</v>
      </c>
      <c r="E1121" s="2937" t="s">
        <v>6257</v>
      </c>
      <c r="F1121" s="2933">
        <v>25</v>
      </c>
      <c r="G1121" s="2938" t="s">
        <v>3251</v>
      </c>
      <c r="H1121" s="2933" t="s">
        <v>987</v>
      </c>
      <c r="I1121" s="2933" t="s">
        <v>4808</v>
      </c>
      <c r="J1121" s="2933" t="s">
        <v>6255</v>
      </c>
      <c r="K1121" s="2934">
        <v>45202</v>
      </c>
      <c r="L1121" s="2935" t="s">
        <v>1045</v>
      </c>
      <c r="M1121" s="2935" t="s">
        <v>6246</v>
      </c>
      <c r="N1121" s="2933" t="s">
        <v>2320</v>
      </c>
      <c r="O1121" s="2933">
        <v>2023</v>
      </c>
      <c r="P1121" s="2933" t="s">
        <v>904</v>
      </c>
      <c r="Q1121" s="2933">
        <v>4</v>
      </c>
      <c r="R1121" s="2933"/>
      <c r="S1121" s="2933">
        <v>4</v>
      </c>
      <c r="T1121" s="2937" t="s">
        <v>2689</v>
      </c>
      <c r="U1121" s="2933" t="s">
        <v>4247</v>
      </c>
      <c r="V1121" s="2933" t="s">
        <v>6256</v>
      </c>
      <c r="W1121" s="2933" t="s">
        <v>6258</v>
      </c>
      <c r="X1121" s="2933"/>
      <c r="Y1121" s="2936"/>
      <c r="Z1121" s="2936"/>
    </row>
    <row r="1122" spans="1:26" ht="41.4">
      <c r="A1122" s="1601"/>
      <c r="B1122" s="2933" t="s">
        <v>6206</v>
      </c>
      <c r="C1122" s="2933" t="s">
        <v>6260</v>
      </c>
      <c r="E1122" s="2937" t="s">
        <v>6259</v>
      </c>
      <c r="F1122" s="2933"/>
      <c r="G1122" s="2938" t="s">
        <v>6262</v>
      </c>
      <c r="H1122" s="2933" t="s">
        <v>987</v>
      </c>
      <c r="I1122" s="2933" t="s">
        <v>2549</v>
      </c>
      <c r="J1122" s="2933" t="s">
        <v>6261</v>
      </c>
      <c r="K1122" s="2934">
        <v>45206</v>
      </c>
      <c r="L1122" s="2935" t="s">
        <v>1045</v>
      </c>
      <c r="M1122" s="2935" t="s">
        <v>6247</v>
      </c>
      <c r="N1122" s="2933" t="s">
        <v>3416</v>
      </c>
      <c r="O1122" s="2933">
        <v>2023</v>
      </c>
      <c r="P1122" s="2933" t="s">
        <v>904</v>
      </c>
      <c r="Q1122" s="2933">
        <v>5</v>
      </c>
      <c r="R1122" s="2933"/>
      <c r="S1122" s="2933">
        <v>5</v>
      </c>
      <c r="T1122" s="2937" t="s">
        <v>4665</v>
      </c>
      <c r="U1122" s="2933" t="s">
        <v>4247</v>
      </c>
      <c r="V1122" s="2933" t="s">
        <v>6263</v>
      </c>
      <c r="W1122" s="2933" t="s">
        <v>2238</v>
      </c>
      <c r="X1122" s="2933"/>
      <c r="Y1122" s="2936"/>
      <c r="Z1122" s="2936"/>
    </row>
    <row r="1123" spans="1:26" ht="82.8">
      <c r="A1123" s="1601"/>
      <c r="B1123" s="2933" t="s">
        <v>693</v>
      </c>
      <c r="C1123" s="2933" t="s">
        <v>6264</v>
      </c>
      <c r="E1123" s="2937" t="s">
        <v>6265</v>
      </c>
      <c r="F1123" s="2933">
        <v>38</v>
      </c>
      <c r="G1123" s="2968" t="s">
        <v>4996</v>
      </c>
      <c r="H1123" s="2933" t="s">
        <v>987</v>
      </c>
      <c r="I1123" s="2933" t="s">
        <v>2549</v>
      </c>
      <c r="J1123" s="2933" t="s">
        <v>6266</v>
      </c>
      <c r="K1123" s="2934">
        <v>45210</v>
      </c>
      <c r="L1123" s="2935" t="s">
        <v>1045</v>
      </c>
      <c r="M1123" s="2935" t="s">
        <v>6248</v>
      </c>
      <c r="N1123" s="2933" t="s">
        <v>2320</v>
      </c>
      <c r="O1123" s="2933">
        <v>2023</v>
      </c>
      <c r="P1123" s="2933" t="s">
        <v>904</v>
      </c>
      <c r="Q1123" s="2933">
        <v>9</v>
      </c>
      <c r="R1123" s="2933"/>
      <c r="S1123" s="2933">
        <v>9</v>
      </c>
      <c r="T1123" s="2937" t="s">
        <v>6267</v>
      </c>
      <c r="U1123" s="2933" t="s">
        <v>4247</v>
      </c>
      <c r="V1123" s="2933" t="s">
        <v>6268</v>
      </c>
      <c r="W1123" s="2933" t="s">
        <v>3837</v>
      </c>
      <c r="X1123" s="2933"/>
      <c r="Y1123" s="2936"/>
      <c r="Z1123" s="2936"/>
    </row>
    <row r="1124" spans="1:26" ht="69">
      <c r="A1124" s="1601"/>
      <c r="B1124" s="2933" t="s">
        <v>1073</v>
      </c>
      <c r="C1124" s="2933" t="s">
        <v>6270</v>
      </c>
      <c r="E1124" s="2937" t="s">
        <v>6271</v>
      </c>
      <c r="F1124" s="2933">
        <v>42</v>
      </c>
      <c r="G1124" s="2938" t="s">
        <v>6272</v>
      </c>
      <c r="H1124" s="2933" t="s">
        <v>987</v>
      </c>
      <c r="I1124" s="2933" t="s">
        <v>4808</v>
      </c>
      <c r="J1124" s="2933"/>
      <c r="K1124" s="2934">
        <v>45210</v>
      </c>
      <c r="L1124" s="2935" t="s">
        <v>1045</v>
      </c>
      <c r="M1124" s="2935" t="s">
        <v>6269</v>
      </c>
      <c r="N1124" s="2933" t="s">
        <v>2320</v>
      </c>
      <c r="O1124" s="2933">
        <v>2023</v>
      </c>
      <c r="P1124" s="2933" t="s">
        <v>904</v>
      </c>
      <c r="Q1124" s="2933">
        <v>8</v>
      </c>
      <c r="R1124" s="2933"/>
      <c r="S1124" s="2933">
        <v>8</v>
      </c>
      <c r="T1124" s="2937" t="s">
        <v>6028</v>
      </c>
      <c r="U1124" s="2933" t="s">
        <v>4247</v>
      </c>
      <c r="V1124" s="2966" t="s">
        <v>6273</v>
      </c>
      <c r="W1124" s="2933" t="s">
        <v>3837</v>
      </c>
      <c r="X1124" s="2933"/>
      <c r="Y1124" s="2936"/>
      <c r="Z1124" s="2936"/>
    </row>
    <row r="1125" spans="1:26" ht="55.2">
      <c r="A1125" s="1601"/>
      <c r="B1125" s="2933" t="s">
        <v>6075</v>
      </c>
      <c r="C1125" s="2933" t="s">
        <v>6275</v>
      </c>
      <c r="E1125" s="2937" t="s">
        <v>6274</v>
      </c>
      <c r="F1125" s="2933">
        <v>38</v>
      </c>
      <c r="G1125" s="2938" t="s">
        <v>2802</v>
      </c>
      <c r="H1125" s="2933" t="s">
        <v>987</v>
      </c>
      <c r="I1125" s="2933" t="s">
        <v>4808</v>
      </c>
      <c r="J1125" s="2933" t="s">
        <v>5380</v>
      </c>
      <c r="K1125" s="2934">
        <v>45213</v>
      </c>
      <c r="L1125" s="2935" t="s">
        <v>1045</v>
      </c>
      <c r="M1125" s="2935" t="s">
        <v>6249</v>
      </c>
      <c r="N1125" s="2933" t="s">
        <v>925</v>
      </c>
      <c r="O1125" s="2933">
        <v>2023</v>
      </c>
      <c r="P1125" s="2933" t="s">
        <v>904</v>
      </c>
      <c r="Q1125" s="2933">
        <v>2</v>
      </c>
      <c r="R1125" s="2933"/>
      <c r="S1125" s="2933">
        <v>2</v>
      </c>
      <c r="T1125" s="2937" t="s">
        <v>6276</v>
      </c>
      <c r="U1125" s="2933" t="s">
        <v>4247</v>
      </c>
      <c r="V1125" s="2933" t="s">
        <v>6277</v>
      </c>
      <c r="W1125" s="2933" t="s">
        <v>3783</v>
      </c>
      <c r="X1125" s="2933"/>
      <c r="Y1125" s="2936"/>
      <c r="Z1125" s="2936"/>
    </row>
    <row r="1126" spans="1:26" ht="55.2">
      <c r="A1126" s="1601"/>
      <c r="B1126" s="2933" t="s">
        <v>6278</v>
      </c>
      <c r="C1126" s="2933" t="s">
        <v>879</v>
      </c>
      <c r="D1126" s="2890"/>
      <c r="E1126" s="2937" t="s">
        <v>6279</v>
      </c>
      <c r="F1126" s="2966">
        <v>30</v>
      </c>
      <c r="G1126" s="2937" t="s">
        <v>2167</v>
      </c>
      <c r="H1126" s="2933" t="s">
        <v>987</v>
      </c>
      <c r="I1126" s="2933" t="s">
        <v>4808</v>
      </c>
      <c r="J1126" s="2934" t="s">
        <v>5333</v>
      </c>
      <c r="K1126" s="2934">
        <v>45216</v>
      </c>
      <c r="L1126" s="2935" t="s">
        <v>1045</v>
      </c>
      <c r="M1126" s="2935" t="s">
        <v>6250</v>
      </c>
      <c r="N1126" s="2933" t="s">
        <v>3416</v>
      </c>
      <c r="O1126" s="2933">
        <v>2023</v>
      </c>
      <c r="P1126" s="2933" t="s">
        <v>904</v>
      </c>
      <c r="Q1126" s="2933">
        <v>3</v>
      </c>
      <c r="R1126" s="2933"/>
      <c r="S1126" s="2933">
        <v>3</v>
      </c>
      <c r="T1126" s="2937" t="s">
        <v>6028</v>
      </c>
      <c r="U1126" s="2933" t="s">
        <v>4247</v>
      </c>
      <c r="V1126" s="2933" t="s">
        <v>6280</v>
      </c>
      <c r="W1126" s="2933" t="s">
        <v>6281</v>
      </c>
      <c r="X1126" s="2936"/>
      <c r="Y1126" s="2936"/>
      <c r="Z1126" s="2936"/>
    </row>
    <row r="1127" spans="1:26" ht="55.2">
      <c r="A1127" s="1601"/>
      <c r="B1127" s="2933" t="s">
        <v>6282</v>
      </c>
      <c r="C1127" s="2933" t="s">
        <v>6283</v>
      </c>
      <c r="E1127" s="2937" t="s">
        <v>6284</v>
      </c>
      <c r="F1127" s="2933">
        <v>39</v>
      </c>
      <c r="G1127" s="2938" t="s">
        <v>6285</v>
      </c>
      <c r="H1127" s="2933" t="s">
        <v>987</v>
      </c>
      <c r="I1127" s="2933" t="s">
        <v>4808</v>
      </c>
      <c r="J1127" s="2934" t="s">
        <v>6286</v>
      </c>
      <c r="K1127" s="2934">
        <v>45217</v>
      </c>
      <c r="L1127" s="2935" t="s">
        <v>1045</v>
      </c>
      <c r="M1127" s="2935" t="s">
        <v>6253</v>
      </c>
      <c r="N1127" s="2933" t="s">
        <v>2320</v>
      </c>
      <c r="O1127" s="2933">
        <v>2023</v>
      </c>
      <c r="P1127" s="2933" t="s">
        <v>904</v>
      </c>
      <c r="Q1127" s="2933">
        <v>30</v>
      </c>
      <c r="R1127" s="2933"/>
      <c r="S1127" s="2933">
        <v>30</v>
      </c>
      <c r="T1127" s="2937" t="s">
        <v>6287</v>
      </c>
      <c r="U1127" s="2933" t="s">
        <v>4247</v>
      </c>
      <c r="V1127" s="2966" t="s">
        <v>6288</v>
      </c>
      <c r="W1127" s="2933" t="s">
        <v>3978</v>
      </c>
      <c r="X1127" s="2933" t="s">
        <v>6304</v>
      </c>
      <c r="Y1127" s="2936"/>
      <c r="Z1127" s="2933" t="s">
        <v>993</v>
      </c>
    </row>
    <row r="1128" spans="1:26" ht="55.2">
      <c r="A1128" s="1601"/>
      <c r="B1128" s="2933" t="s">
        <v>6075</v>
      </c>
      <c r="C1128" s="2933" t="s">
        <v>6208</v>
      </c>
      <c r="E1128" s="2937" t="s">
        <v>6289</v>
      </c>
      <c r="F1128" s="2933">
        <v>33</v>
      </c>
      <c r="G1128" s="2938" t="s">
        <v>6291</v>
      </c>
      <c r="H1128" s="2933" t="s">
        <v>987</v>
      </c>
      <c r="I1128" s="2933" t="s">
        <v>2549</v>
      </c>
      <c r="J1128" s="2933" t="s">
        <v>6290</v>
      </c>
      <c r="K1128" s="2934">
        <v>45219</v>
      </c>
      <c r="L1128" s="2969" t="s">
        <v>1045</v>
      </c>
      <c r="M1128" s="2935" t="s">
        <v>6251</v>
      </c>
      <c r="N1128" s="2933" t="s">
        <v>917</v>
      </c>
      <c r="O1128" s="2933">
        <v>2023</v>
      </c>
      <c r="P1128" s="2933" t="s">
        <v>904</v>
      </c>
      <c r="Q1128" s="2933"/>
      <c r="R1128" s="2933"/>
      <c r="S1128" s="2933"/>
      <c r="T1128" s="2937" t="s">
        <v>6292</v>
      </c>
      <c r="U1128" s="2933" t="s">
        <v>4247</v>
      </c>
      <c r="V1128" s="2933" t="s">
        <v>6293</v>
      </c>
      <c r="W1128" s="2933" t="s">
        <v>6294</v>
      </c>
      <c r="X1128" s="2933"/>
      <c r="Y1128" s="2936"/>
      <c r="Z1128" s="2891" t="s">
        <v>6302</v>
      </c>
    </row>
    <row r="1129" spans="1:26" ht="55.2">
      <c r="A1129" s="1601"/>
      <c r="B1129" s="2933" t="s">
        <v>6295</v>
      </c>
      <c r="C1129" s="2933" t="s">
        <v>6296</v>
      </c>
      <c r="E1129" s="2937" t="s">
        <v>6297</v>
      </c>
      <c r="F1129" s="2933">
        <v>34</v>
      </c>
      <c r="G1129" s="2938" t="s">
        <v>6298</v>
      </c>
      <c r="H1129" s="2933" t="s">
        <v>994</v>
      </c>
      <c r="I1129" s="2933" t="s">
        <v>4808</v>
      </c>
      <c r="J1129" s="2933" t="s">
        <v>6299</v>
      </c>
      <c r="K1129" s="2934">
        <v>45219</v>
      </c>
      <c r="L1129" s="2935" t="s">
        <v>1045</v>
      </c>
      <c r="M1129" s="2969" t="s">
        <v>6252</v>
      </c>
      <c r="N1129" s="2933" t="s">
        <v>917</v>
      </c>
      <c r="O1129" s="2933">
        <v>2023</v>
      </c>
      <c r="P1129" s="2933" t="s">
        <v>904</v>
      </c>
      <c r="Q1129" s="2933">
        <v>10</v>
      </c>
      <c r="R1129" s="2933"/>
      <c r="S1129" s="2933">
        <v>10</v>
      </c>
      <c r="T1129" s="2937" t="s">
        <v>6300</v>
      </c>
      <c r="U1129" s="2933" t="s">
        <v>4247</v>
      </c>
      <c r="V1129" s="2966" t="s">
        <v>6301</v>
      </c>
      <c r="W1129" s="2933" t="s">
        <v>3837</v>
      </c>
      <c r="X1129" s="2933" t="s">
        <v>6306</v>
      </c>
      <c r="Y1129" s="2936"/>
      <c r="Z1129" s="2936"/>
    </row>
    <row r="1130" spans="1:26" ht="55.2">
      <c r="A1130" s="2960"/>
      <c r="B1130" s="2955" t="s">
        <v>1223</v>
      </c>
      <c r="C1130" s="2955" t="s">
        <v>6315</v>
      </c>
      <c r="E1130" s="2956"/>
      <c r="F1130" s="2955"/>
      <c r="G1130" s="2957" t="s">
        <v>6316</v>
      </c>
      <c r="H1130" s="2955" t="s">
        <v>987</v>
      </c>
      <c r="I1130" s="2955" t="s">
        <v>4808</v>
      </c>
      <c r="J1130" s="2955" t="s">
        <v>6317</v>
      </c>
      <c r="K1130" s="2958">
        <v>45241</v>
      </c>
      <c r="L1130" s="2959" t="s">
        <v>1045</v>
      </c>
      <c r="M1130" s="2959" t="s">
        <v>6308</v>
      </c>
      <c r="N1130" s="2955" t="s">
        <v>2320</v>
      </c>
      <c r="O1130" s="2955">
        <v>2023</v>
      </c>
      <c r="P1130" s="2955" t="s">
        <v>905</v>
      </c>
      <c r="Q1130" s="2955">
        <v>2</v>
      </c>
      <c r="R1130" s="2955"/>
      <c r="S1130" s="2955">
        <v>2</v>
      </c>
      <c r="T1130" s="2956" t="s">
        <v>2294</v>
      </c>
      <c r="U1130" s="2955" t="s">
        <v>4247</v>
      </c>
      <c r="V1130" s="2955"/>
      <c r="W1130" s="2955" t="s">
        <v>3837</v>
      </c>
      <c r="X1130" s="2955" t="s">
        <v>5396</v>
      </c>
      <c r="Y1130" s="2960"/>
      <c r="Z1130" s="2955"/>
    </row>
    <row r="1131" spans="1:26" ht="69">
      <c r="A1131" s="2960"/>
      <c r="B1131" s="2955" t="s">
        <v>91</v>
      </c>
      <c r="C1131" s="2955" t="s">
        <v>3726</v>
      </c>
      <c r="E1131" s="2956" t="s">
        <v>6321</v>
      </c>
      <c r="F1131" s="2955">
        <v>41</v>
      </c>
      <c r="G1131" s="2957" t="s">
        <v>6320</v>
      </c>
      <c r="H1131" s="2955" t="s">
        <v>987</v>
      </c>
      <c r="I1131" s="2955" t="s">
        <v>2549</v>
      </c>
      <c r="J1131" s="2955" t="s">
        <v>5431</v>
      </c>
      <c r="K1131" s="2958">
        <v>45254</v>
      </c>
      <c r="L1131" s="2959" t="s">
        <v>1045</v>
      </c>
      <c r="M1131" s="2959" t="s">
        <v>6309</v>
      </c>
      <c r="N1131" s="2955" t="s">
        <v>913</v>
      </c>
      <c r="O1131" s="2955">
        <v>2023</v>
      </c>
      <c r="P1131" s="2955" t="s">
        <v>905</v>
      </c>
      <c r="Q1131" s="2955">
        <v>6</v>
      </c>
      <c r="R1131" s="2955"/>
      <c r="S1131" s="2955">
        <v>6</v>
      </c>
      <c r="T1131" s="2956" t="s">
        <v>6319</v>
      </c>
      <c r="U1131" s="2955" t="s">
        <v>4247</v>
      </c>
      <c r="V1131" s="2955"/>
      <c r="W1131" s="2955" t="s">
        <v>3837</v>
      </c>
      <c r="X1131" s="2955" t="s">
        <v>6318</v>
      </c>
      <c r="Y1131" s="2960"/>
      <c r="Z1131" s="2955"/>
    </row>
    <row r="1132" spans="1:26" ht="55.2">
      <c r="A1132" s="2960"/>
      <c r="B1132" s="2955" t="s">
        <v>431</v>
      </c>
      <c r="C1132" s="2955" t="s">
        <v>6208</v>
      </c>
      <c r="E1132" s="2956"/>
      <c r="F1132" s="2955">
        <v>27</v>
      </c>
      <c r="G1132" s="2957" t="s">
        <v>2802</v>
      </c>
      <c r="H1132" s="2955"/>
      <c r="I1132" s="2955" t="s">
        <v>2318</v>
      </c>
      <c r="J1132" s="2955" t="s">
        <v>6322</v>
      </c>
      <c r="K1132" s="2958">
        <v>45260</v>
      </c>
      <c r="L1132" s="2959" t="s">
        <v>1045</v>
      </c>
      <c r="M1132" s="2959" t="s">
        <v>6310</v>
      </c>
      <c r="N1132" s="2955" t="s">
        <v>917</v>
      </c>
      <c r="O1132" s="2955">
        <v>2023</v>
      </c>
      <c r="P1132" s="2955" t="s">
        <v>905</v>
      </c>
      <c r="Q1132" s="2955">
        <v>5</v>
      </c>
      <c r="R1132" s="2955"/>
      <c r="S1132" s="2955">
        <v>5</v>
      </c>
      <c r="T1132" s="2956" t="s">
        <v>2958</v>
      </c>
      <c r="U1132" s="2955" t="s">
        <v>4247</v>
      </c>
      <c r="V1132" s="2955"/>
      <c r="W1132" s="2955"/>
      <c r="X1132" s="2955"/>
      <c r="Y1132" s="2960"/>
      <c r="Z1132" s="2955"/>
    </row>
    <row r="1133" spans="1:26" ht="55.2">
      <c r="A1133" s="2960"/>
      <c r="B1133" s="2955" t="s">
        <v>6295</v>
      </c>
      <c r="C1133" s="2955" t="s">
        <v>6314</v>
      </c>
      <c r="E1133" s="2956" t="s">
        <v>6323</v>
      </c>
      <c r="F1133" s="2955">
        <v>42</v>
      </c>
      <c r="G1133" s="2957" t="s">
        <v>2956</v>
      </c>
      <c r="H1133" s="2955" t="s">
        <v>987</v>
      </c>
      <c r="I1133" s="2955" t="s">
        <v>2549</v>
      </c>
      <c r="J1133" s="2955" t="s">
        <v>6324</v>
      </c>
      <c r="K1133" s="2958">
        <v>45251</v>
      </c>
      <c r="L1133" s="2959" t="s">
        <v>1045</v>
      </c>
      <c r="M1133" s="2959" t="s">
        <v>6311</v>
      </c>
      <c r="N1133" s="2955" t="s">
        <v>913</v>
      </c>
      <c r="O1133" s="2955">
        <v>2023</v>
      </c>
      <c r="P1133" s="2955" t="s">
        <v>905</v>
      </c>
      <c r="Q1133" s="2955">
        <v>21</v>
      </c>
      <c r="R1133" s="2955"/>
      <c r="S1133" s="2955">
        <v>21</v>
      </c>
      <c r="T1133" s="2956" t="s">
        <v>2234</v>
      </c>
      <c r="U1133" s="2955" t="s">
        <v>4247</v>
      </c>
      <c r="V1133" s="2955"/>
      <c r="W1133" s="2955" t="s">
        <v>6258</v>
      </c>
      <c r="X1133" s="2955" t="s">
        <v>6325</v>
      </c>
      <c r="Y1133" s="2960"/>
      <c r="Z1133" s="2955"/>
    </row>
    <row r="1134" spans="1:26" ht="41.4">
      <c r="A1134" s="2960"/>
      <c r="B1134" s="2955" t="s">
        <v>5196</v>
      </c>
      <c r="C1134" s="2955" t="s">
        <v>5412</v>
      </c>
      <c r="E1134" s="2956" t="s">
        <v>6327</v>
      </c>
      <c r="F1134" s="2955">
        <v>40</v>
      </c>
      <c r="G1134" s="2957" t="s">
        <v>6330</v>
      </c>
      <c r="H1134" s="2955" t="s">
        <v>987</v>
      </c>
      <c r="I1134" s="2955" t="s">
        <v>2549</v>
      </c>
      <c r="J1134" s="2955" t="s">
        <v>6329</v>
      </c>
      <c r="K1134" s="2958">
        <v>45253</v>
      </c>
      <c r="L1134" s="2959" t="s">
        <v>1045</v>
      </c>
      <c r="M1134" s="2959" t="s">
        <v>6312</v>
      </c>
      <c r="N1134" s="2955" t="s">
        <v>913</v>
      </c>
      <c r="O1134" s="2955">
        <v>2023</v>
      </c>
      <c r="P1134" s="2955" t="s">
        <v>905</v>
      </c>
      <c r="Q1134" s="2955">
        <v>5</v>
      </c>
      <c r="R1134" s="2955"/>
      <c r="S1134" s="2955">
        <v>5</v>
      </c>
      <c r="T1134" s="2956" t="s">
        <v>4435</v>
      </c>
      <c r="U1134" s="2955" t="s">
        <v>4247</v>
      </c>
      <c r="V1134" s="2955"/>
      <c r="W1134" s="2955" t="s">
        <v>6258</v>
      </c>
      <c r="X1134" s="2955" t="s">
        <v>6328</v>
      </c>
      <c r="Y1134" s="2960"/>
      <c r="Z1134" s="2955"/>
    </row>
    <row r="1135" spans="1:26" ht="55.2">
      <c r="A1135" s="2960"/>
      <c r="B1135" s="2955" t="s">
        <v>6295</v>
      </c>
      <c r="C1135" s="2955" t="s">
        <v>6326</v>
      </c>
      <c r="E1135" s="2956" t="s">
        <v>6331</v>
      </c>
      <c r="F1135" s="2955">
        <v>39</v>
      </c>
      <c r="G1135" s="2957" t="s">
        <v>6094</v>
      </c>
      <c r="H1135" s="2955" t="s">
        <v>987</v>
      </c>
      <c r="I1135" s="2955" t="s">
        <v>2549</v>
      </c>
      <c r="J1135" s="2955" t="s">
        <v>2863</v>
      </c>
      <c r="K1135" s="2958">
        <v>45259</v>
      </c>
      <c r="L1135" s="2959" t="s">
        <v>1045</v>
      </c>
      <c r="M1135" s="2959" t="s">
        <v>6313</v>
      </c>
      <c r="N1135" s="2955" t="s">
        <v>923</v>
      </c>
      <c r="O1135" s="2955">
        <v>2023</v>
      </c>
      <c r="P1135" s="2955" t="s">
        <v>905</v>
      </c>
      <c r="Q1135" s="2955">
        <v>2</v>
      </c>
      <c r="R1135" s="2955"/>
      <c r="S1135" s="2955">
        <v>2</v>
      </c>
      <c r="T1135" s="2956" t="s">
        <v>6332</v>
      </c>
      <c r="U1135" s="2955" t="s">
        <v>4247</v>
      </c>
      <c r="V1135" s="2955"/>
      <c r="W1135" s="2955" t="s">
        <v>3837</v>
      </c>
      <c r="X1135" s="2955"/>
      <c r="Y1135" s="2960"/>
      <c r="Z1135" s="2955"/>
    </row>
    <row r="1136" spans="1:26" ht="69">
      <c r="A1136" s="2960"/>
      <c r="B1136" s="2955" t="s">
        <v>3324</v>
      </c>
      <c r="C1136" s="2955" t="s">
        <v>6333</v>
      </c>
      <c r="D1136" s="2956"/>
      <c r="E1136" s="2955" t="s">
        <v>6337</v>
      </c>
      <c r="F1136" s="2967">
        <v>33</v>
      </c>
      <c r="G1136" s="2956" t="s">
        <v>6041</v>
      </c>
      <c r="H1136" s="2955" t="s">
        <v>987</v>
      </c>
      <c r="I1136" s="2955" t="s">
        <v>4808</v>
      </c>
      <c r="J1136" s="2958" t="s">
        <v>6334</v>
      </c>
      <c r="K1136" s="2958">
        <v>45247</v>
      </c>
      <c r="L1136" s="2959" t="s">
        <v>1045</v>
      </c>
      <c r="M1136" s="2959" t="s">
        <v>6335</v>
      </c>
      <c r="N1136" s="2955" t="s">
        <v>923</v>
      </c>
      <c r="O1136" s="2955">
        <v>2023</v>
      </c>
      <c r="P1136" s="2955" t="s">
        <v>905</v>
      </c>
      <c r="Q1136" s="2955">
        <v>10</v>
      </c>
      <c r="R1136" s="2955"/>
      <c r="S1136" s="2955">
        <v>10</v>
      </c>
      <c r="T1136" s="2956" t="s">
        <v>6336</v>
      </c>
      <c r="U1136" s="2955" t="s">
        <v>4247</v>
      </c>
      <c r="V1136" s="2955"/>
      <c r="W1136" s="2955" t="s">
        <v>2238</v>
      </c>
      <c r="X1136" s="2960"/>
      <c r="Y1136" s="2955"/>
      <c r="Z1136" s="2960"/>
    </row>
    <row r="1137" spans="1:26" ht="69">
      <c r="A1137" s="2936"/>
      <c r="B1137" s="2933" t="s">
        <v>6359</v>
      </c>
      <c r="C1137" s="2933" t="s">
        <v>998</v>
      </c>
      <c r="E1137" s="2937" t="s">
        <v>6362</v>
      </c>
      <c r="F1137" s="2933">
        <v>34</v>
      </c>
      <c r="G1137" s="2938" t="s">
        <v>6360</v>
      </c>
      <c r="H1137" s="2933" t="s">
        <v>987</v>
      </c>
      <c r="I1137" s="2933" t="s">
        <v>4808</v>
      </c>
      <c r="J1137" s="2933"/>
      <c r="K1137" s="2934">
        <v>45272</v>
      </c>
      <c r="L1137" s="2935" t="s">
        <v>1045</v>
      </c>
      <c r="M1137" s="2935" t="s">
        <v>6350</v>
      </c>
      <c r="N1137" s="2933" t="s">
        <v>2320</v>
      </c>
      <c r="O1137" s="2933">
        <v>2023</v>
      </c>
      <c r="P1137" s="2933" t="s">
        <v>906</v>
      </c>
      <c r="Q1137" s="2933">
        <v>30</v>
      </c>
      <c r="R1137" s="2933"/>
      <c r="S1137" s="2933">
        <v>30</v>
      </c>
      <c r="T1137" s="2937" t="s">
        <v>6363</v>
      </c>
      <c r="U1137" s="2933" t="s">
        <v>4247</v>
      </c>
      <c r="V1137" s="2933"/>
      <c r="W1137" s="2933" t="s">
        <v>2340</v>
      </c>
      <c r="X1137" s="2933"/>
      <c r="Y1137" s="2936"/>
      <c r="Z1137" s="2933"/>
    </row>
    <row r="1138" spans="1:26" ht="69">
      <c r="A1138" s="2936"/>
      <c r="B1138" s="2933" t="s">
        <v>6359</v>
      </c>
      <c r="C1138" s="2933" t="s">
        <v>6365</v>
      </c>
      <c r="E1138" s="2937" t="s">
        <v>6361</v>
      </c>
      <c r="F1138" s="2933">
        <v>55</v>
      </c>
      <c r="G1138" s="2938" t="s">
        <v>6364</v>
      </c>
      <c r="H1138" s="2933" t="s">
        <v>987</v>
      </c>
      <c r="I1138" s="2933" t="s">
        <v>2549</v>
      </c>
      <c r="J1138" s="2933"/>
      <c r="K1138" s="2934">
        <v>45273</v>
      </c>
      <c r="L1138" s="2935" t="s">
        <v>1045</v>
      </c>
      <c r="M1138" s="2935" t="s">
        <v>6351</v>
      </c>
      <c r="N1138" s="2933" t="s">
        <v>2320</v>
      </c>
      <c r="O1138" s="2933">
        <v>2023</v>
      </c>
      <c r="P1138" s="2933" t="s">
        <v>906</v>
      </c>
      <c r="Q1138" s="2933">
        <v>51</v>
      </c>
      <c r="R1138" s="2933"/>
      <c r="S1138" s="2933">
        <v>51</v>
      </c>
      <c r="T1138" s="2937" t="s">
        <v>4082</v>
      </c>
      <c r="U1138" s="2933" t="s">
        <v>4247</v>
      </c>
      <c r="V1138" s="2933"/>
      <c r="W1138" s="2933" t="s">
        <v>3837</v>
      </c>
      <c r="X1138" s="2933" t="s">
        <v>6352</v>
      </c>
      <c r="Y1138" s="2936"/>
      <c r="Z1138" s="2933"/>
    </row>
    <row r="1139" spans="1:26" ht="69">
      <c r="A1139" s="2936"/>
      <c r="B1139" s="2933" t="s">
        <v>6359</v>
      </c>
      <c r="C1139" s="2933" t="s">
        <v>2705</v>
      </c>
      <c r="E1139" s="2937" t="s">
        <v>6366</v>
      </c>
      <c r="F1139" s="2933">
        <v>26</v>
      </c>
      <c r="G1139" s="2938" t="s">
        <v>6367</v>
      </c>
      <c r="H1139" s="2933" t="s">
        <v>987</v>
      </c>
      <c r="I1139" s="2933" t="s">
        <v>2549</v>
      </c>
      <c r="J1139" s="2933"/>
      <c r="K1139" s="2934">
        <v>45278</v>
      </c>
      <c r="L1139" s="2935" t="s">
        <v>1045</v>
      </c>
      <c r="M1139" s="2935" t="s">
        <v>6354</v>
      </c>
      <c r="N1139" s="2933" t="s">
        <v>923</v>
      </c>
      <c r="O1139" s="2933">
        <v>2023</v>
      </c>
      <c r="P1139" s="2933" t="s">
        <v>906</v>
      </c>
      <c r="Q1139" s="2933">
        <v>3</v>
      </c>
      <c r="R1139" s="2933"/>
      <c r="S1139" s="2933">
        <v>3</v>
      </c>
      <c r="T1139" s="2937" t="s">
        <v>6368</v>
      </c>
      <c r="U1139" s="2933" t="s">
        <v>4247</v>
      </c>
      <c r="V1139" s="2933"/>
      <c r="W1139" s="2933" t="s">
        <v>5723</v>
      </c>
      <c r="X1139" s="2933"/>
      <c r="Y1139" s="2936"/>
      <c r="Z1139" s="2933"/>
    </row>
    <row r="1140" spans="1:26" ht="55.2">
      <c r="A1140" s="2936"/>
      <c r="B1140" s="2933" t="s">
        <v>1223</v>
      </c>
      <c r="C1140" s="2933" t="s">
        <v>6369</v>
      </c>
      <c r="E1140" s="2937" t="s">
        <v>6370</v>
      </c>
      <c r="F1140" s="2933">
        <v>46</v>
      </c>
      <c r="G1140" s="2938" t="s">
        <v>6371</v>
      </c>
      <c r="H1140" s="2933" t="s">
        <v>987</v>
      </c>
      <c r="I1140" s="2933" t="s">
        <v>2549</v>
      </c>
      <c r="J1140" s="2933" t="s">
        <v>2849</v>
      </c>
      <c r="K1140" s="2934">
        <v>45280</v>
      </c>
      <c r="L1140" s="2935" t="s">
        <v>1045</v>
      </c>
      <c r="M1140" s="2935" t="s">
        <v>6355</v>
      </c>
      <c r="N1140" s="2933" t="s">
        <v>923</v>
      </c>
      <c r="O1140" s="2933">
        <v>2023</v>
      </c>
      <c r="P1140" s="2933" t="s">
        <v>906</v>
      </c>
      <c r="Q1140" s="2933">
        <v>22</v>
      </c>
      <c r="R1140" s="2933"/>
      <c r="S1140" s="2933">
        <v>22</v>
      </c>
      <c r="T1140" s="2937" t="s">
        <v>6372</v>
      </c>
      <c r="U1140" s="2933" t="s">
        <v>4247</v>
      </c>
      <c r="V1140" s="2933"/>
      <c r="W1140" s="2933" t="s">
        <v>3634</v>
      </c>
      <c r="X1140" s="2933" t="s">
        <v>6353</v>
      </c>
      <c r="Y1140" s="2936"/>
      <c r="Z1140" s="2933"/>
    </row>
    <row r="1141" spans="1:26" ht="82.8">
      <c r="A1141" s="2936"/>
      <c r="B1141" s="2933" t="s">
        <v>1223</v>
      </c>
      <c r="C1141" s="2933" t="s">
        <v>6373</v>
      </c>
      <c r="E1141" s="2937" t="s">
        <v>6374</v>
      </c>
      <c r="F1141" s="2933">
        <v>49</v>
      </c>
      <c r="G1141" s="2938" t="s">
        <v>5268</v>
      </c>
      <c r="H1141" s="2933" t="s">
        <v>994</v>
      </c>
      <c r="I1141" s="2933" t="s">
        <v>2549</v>
      </c>
      <c r="J1141" s="2933" t="s">
        <v>6375</v>
      </c>
      <c r="K1141" s="2934">
        <v>45281</v>
      </c>
      <c r="L1141" s="2935" t="s">
        <v>1045</v>
      </c>
      <c r="M1141" s="2935" t="s">
        <v>6356</v>
      </c>
      <c r="N1141" s="2933" t="s">
        <v>2320</v>
      </c>
      <c r="O1141" s="2933">
        <v>2023</v>
      </c>
      <c r="P1141" s="2933" t="s">
        <v>906</v>
      </c>
      <c r="Q1141" s="2933">
        <v>6</v>
      </c>
      <c r="R1141" s="2933"/>
      <c r="S1141" s="2933">
        <v>6</v>
      </c>
      <c r="T1141" s="2937" t="s">
        <v>2294</v>
      </c>
      <c r="U1141" s="2933" t="s">
        <v>4247</v>
      </c>
      <c r="V1141" s="2933"/>
      <c r="W1141" s="2933" t="s">
        <v>3634</v>
      </c>
      <c r="X1141" s="2966" t="s">
        <v>6379</v>
      </c>
      <c r="Y1141" s="2936"/>
      <c r="Z1141" s="2933"/>
    </row>
    <row r="1142" spans="1:26" ht="55.2">
      <c r="A1142" s="2936"/>
      <c r="B1142" s="2933" t="s">
        <v>6377</v>
      </c>
      <c r="C1142" s="2933" t="s">
        <v>6376</v>
      </c>
      <c r="E1142" s="2937" t="s">
        <v>6378</v>
      </c>
      <c r="F1142" s="2933">
        <v>18</v>
      </c>
      <c r="G1142" s="2938" t="s">
        <v>5268</v>
      </c>
      <c r="H1142" s="2933" t="s">
        <v>994</v>
      </c>
      <c r="I1142" s="2933" t="s">
        <v>4808</v>
      </c>
      <c r="J1142" s="2933" t="s">
        <v>2523</v>
      </c>
      <c r="K1142" s="2934">
        <v>45286</v>
      </c>
      <c r="L1142" s="2935" t="s">
        <v>1045</v>
      </c>
      <c r="M1142" s="2935" t="s">
        <v>6357</v>
      </c>
      <c r="N1142" s="2933" t="s">
        <v>913</v>
      </c>
      <c r="O1142" s="2933">
        <v>2023</v>
      </c>
      <c r="P1142" s="2933" t="s">
        <v>906</v>
      </c>
      <c r="Q1142" s="2933">
        <v>4</v>
      </c>
      <c r="R1142" s="2933"/>
      <c r="S1142" s="2933">
        <v>4</v>
      </c>
      <c r="T1142" s="2937" t="s">
        <v>2991</v>
      </c>
      <c r="U1142" s="2933" t="s">
        <v>4247</v>
      </c>
      <c r="V1142" s="2933"/>
      <c r="W1142" s="2933" t="s">
        <v>4093</v>
      </c>
      <c r="X1142" s="2966" t="s">
        <v>6379</v>
      </c>
      <c r="Y1142" s="2936"/>
      <c r="Z1142" s="2933"/>
    </row>
    <row r="1143" spans="1:26" ht="82.8">
      <c r="A1143" s="2936"/>
      <c r="B1143" s="2933" t="s">
        <v>6380</v>
      </c>
      <c r="C1143" s="2933" t="s">
        <v>77</v>
      </c>
      <c r="E1143" s="2937" t="s">
        <v>6381</v>
      </c>
      <c r="F1143" s="2933">
        <v>36</v>
      </c>
      <c r="G1143" s="2938" t="s">
        <v>3592</v>
      </c>
      <c r="H1143" s="2933" t="s">
        <v>987</v>
      </c>
      <c r="I1143" s="2933" t="s">
        <v>4808</v>
      </c>
      <c r="J1143" s="2933" t="s">
        <v>2602</v>
      </c>
      <c r="K1143" s="2934">
        <v>45282</v>
      </c>
      <c r="L1143" s="2935" t="s">
        <v>1045</v>
      </c>
      <c r="M1143" s="2935" t="s">
        <v>6358</v>
      </c>
      <c r="N1143" s="2933" t="s">
        <v>913</v>
      </c>
      <c r="O1143" s="2933">
        <v>2023</v>
      </c>
      <c r="P1143" s="2933" t="s">
        <v>906</v>
      </c>
      <c r="Q1143" s="2933">
        <v>12</v>
      </c>
      <c r="R1143" s="2933"/>
      <c r="S1143" s="2933">
        <v>12</v>
      </c>
      <c r="T1143" s="2937" t="s">
        <v>4269</v>
      </c>
      <c r="U1143" s="2933" t="s">
        <v>4247</v>
      </c>
      <c r="V1143" s="2933"/>
      <c r="W1143" s="2933" t="s">
        <v>3837</v>
      </c>
      <c r="X1143" s="2933"/>
      <c r="Y1143" s="2936"/>
      <c r="Z1143" s="2933"/>
    </row>
    <row r="1144" spans="1:26" ht="69">
      <c r="A1144" s="2936"/>
      <c r="B1144" s="2933" t="s">
        <v>6385</v>
      </c>
      <c r="C1144" s="2933" t="s">
        <v>6386</v>
      </c>
      <c r="D1144" s="2937"/>
      <c r="E1144" s="2933" t="s">
        <v>6388</v>
      </c>
      <c r="F1144" s="2966">
        <v>34</v>
      </c>
      <c r="G1144" s="2933" t="s">
        <v>5354</v>
      </c>
      <c r="H1144" s="2933" t="s">
        <v>987</v>
      </c>
      <c r="I1144" s="2933" t="s">
        <v>2549</v>
      </c>
      <c r="J1144" s="2933" t="s">
        <v>2644</v>
      </c>
      <c r="K1144" s="2933">
        <v>45277</v>
      </c>
      <c r="L1144" s="2933" t="s">
        <v>1045</v>
      </c>
      <c r="M1144" s="2935" t="s">
        <v>6387</v>
      </c>
      <c r="N1144" s="2933" t="s">
        <v>913</v>
      </c>
      <c r="O1144" s="2966">
        <v>2023</v>
      </c>
      <c r="P1144" s="2933" t="s">
        <v>906</v>
      </c>
      <c r="Q1144" s="2933">
        <v>84</v>
      </c>
      <c r="R1144" s="2933"/>
      <c r="S1144" s="2933">
        <v>84</v>
      </c>
      <c r="T1144" s="2933" t="s">
        <v>4606</v>
      </c>
      <c r="U1144" s="2933" t="s">
        <v>4247</v>
      </c>
      <c r="V1144" s="2933"/>
      <c r="W1144" s="2933" t="s">
        <v>2340</v>
      </c>
      <c r="X1144" s="2933" t="s">
        <v>6389</v>
      </c>
      <c r="Y1144" s="2936"/>
      <c r="Z1144" s="2933"/>
    </row>
    <row r="1048506" spans="11:11">
      <c r="K1048506" s="1606"/>
    </row>
  </sheetData>
  <autoFilter ref="A1:XDP1143" xr:uid="{00000000-0001-0000-0600-000000000000}">
    <filterColumn colId="1">
      <filters>
        <filter val="ADMINISTRACION"/>
        <filter val="ADMINISTRACIÓN"/>
        <filter val="BOLIVIA"/>
        <filter val="CHILE"/>
        <filter val="COPSA"/>
        <filter val="DESARROLLO"/>
        <filter val="DETERGENTES"/>
        <filter val="DETERGENTES CALLAO"/>
        <filter val="DISTRIBUCIÓN"/>
        <filter val="DISTRIBUCIÓN LIMA"/>
        <filter val="ECUADOR"/>
        <filter val="ECUADOR INBALNOR"/>
        <filter val="EDIFICIO MIRAFLORES"/>
        <filter val="GALLETERA"/>
        <filter val="GALLETERIA"/>
        <filter val="HONDURAS"/>
        <filter val="INTRADEVCO"/>
        <filter val="INTRADEVCO - CHORRILLOS"/>
        <filter val="INTRADEVCO - LURIN"/>
        <filter val="INTRADEVCO CHORRILLOS"/>
        <filter val="INTRADEVCO LURIN"/>
        <filter val="MOLINO CALLAO"/>
        <filter val="MOLINO CALLAO - APT"/>
        <filter val="MOLINO FAUCETT"/>
        <filter val="OTROS"/>
        <filter val="SIDSUR"/>
        <filter val="TEAL LIMA"/>
        <filter val="VITAPRO"/>
        <filter val="VITAPRO CHILE"/>
        <filter val="VITAPRO HONDURAS"/>
        <filter val="VITAPRO TRUJILLO"/>
      </filters>
    </filterColumn>
    <filterColumn colId="11">
      <filters>
        <filter val="Accidente Incapacitante"/>
      </filters>
    </filterColumn>
    <filterColumn colId="14">
      <filters>
        <filter val="2023"/>
      </filters>
    </filterColumn>
  </autoFilter>
  <pageMargins left="0.25" right="0.25" top="0.75" bottom="0.75" header="0.3" footer="0.3"/>
  <pageSetup paperSize="9" scale="23" fitToHeight="0" orientation="landscape" r:id="rId1"/>
  <customProperties>
    <customPr name="_pios_id" r:id="rId2"/>
  </customProperties>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FD184"/>
  <sheetViews>
    <sheetView showGridLines="0" zoomScale="85" zoomScaleNormal="85" workbookViewId="0">
      <pane xSplit="1" ySplit="1" topLeftCell="B2" activePane="bottomRight" state="frozen"/>
      <selection pane="topRight" activeCell="B1" sqref="B1"/>
      <selection pane="bottomLeft" activeCell="A2" sqref="A2"/>
      <selection pane="bottomRight" activeCell="A35" sqref="A35:M140"/>
    </sheetView>
  </sheetViews>
  <sheetFormatPr baseColWidth="10" defaultRowHeight="13.2"/>
  <cols>
    <col min="1" max="1" width="53.44140625" customWidth="1"/>
    <col min="2" max="2" width="10.44140625" style="8" customWidth="1"/>
    <col min="3" max="3" width="9.5546875" style="8" customWidth="1"/>
    <col min="4" max="6" width="9.44140625" style="8" customWidth="1"/>
    <col min="7" max="7" width="9.5546875" style="8" customWidth="1"/>
    <col min="8" max="13" width="9.44140625" style="8" customWidth="1"/>
    <col min="14" max="14" width="22.21875" customWidth="1"/>
  </cols>
  <sheetData>
    <row r="1" spans="1:14" s="836" customFormat="1" ht="24.6" customHeight="1" thickBot="1">
      <c r="A1" s="1417" t="s">
        <v>3086</v>
      </c>
      <c r="B1" s="1484" t="s">
        <v>102</v>
      </c>
      <c r="C1" s="1484" t="s">
        <v>103</v>
      </c>
      <c r="D1" s="1484" t="s">
        <v>104</v>
      </c>
      <c r="E1" s="1484" t="s">
        <v>105</v>
      </c>
      <c r="F1" s="1484" t="s">
        <v>106</v>
      </c>
      <c r="G1" s="1484" t="s">
        <v>107</v>
      </c>
      <c r="H1" s="1484" t="s">
        <v>108</v>
      </c>
      <c r="I1" s="1484" t="s">
        <v>109</v>
      </c>
      <c r="J1" s="1484" t="s">
        <v>544</v>
      </c>
      <c r="K1" s="1484" t="s">
        <v>111</v>
      </c>
      <c r="L1" s="1484" t="s">
        <v>112</v>
      </c>
      <c r="M1" s="1484" t="s">
        <v>113</v>
      </c>
    </row>
    <row r="2" spans="1:14">
      <c r="A2" s="1367" t="s">
        <v>3039</v>
      </c>
      <c r="B2" s="1371">
        <v>890</v>
      </c>
      <c r="C2" s="1368">
        <v>1020</v>
      </c>
      <c r="D2" s="1368">
        <v>960</v>
      </c>
      <c r="E2" s="1368">
        <v>916</v>
      </c>
      <c r="F2" s="1368">
        <v>924</v>
      </c>
      <c r="G2" s="1368">
        <v>0</v>
      </c>
      <c r="H2" s="1368">
        <v>0</v>
      </c>
      <c r="I2" s="1368">
        <v>0</v>
      </c>
      <c r="J2" s="1368">
        <v>0</v>
      </c>
      <c r="K2" s="1368">
        <v>0</v>
      </c>
      <c r="L2" s="1368">
        <v>0</v>
      </c>
      <c r="M2" s="1368">
        <v>0</v>
      </c>
      <c r="N2" s="3211" t="s">
        <v>6390</v>
      </c>
    </row>
    <row r="3" spans="1:14">
      <c r="A3" s="1383" t="s">
        <v>3040</v>
      </c>
      <c r="B3" s="1384">
        <v>182</v>
      </c>
      <c r="C3" s="1384">
        <v>168</v>
      </c>
      <c r="D3" s="1384">
        <v>182</v>
      </c>
      <c r="E3" s="1384">
        <v>632</v>
      </c>
      <c r="F3" s="1384">
        <v>650</v>
      </c>
      <c r="G3" s="1384">
        <v>0</v>
      </c>
      <c r="H3" s="1384">
        <v>0</v>
      </c>
      <c r="I3" s="1384">
        <v>0</v>
      </c>
      <c r="J3" s="1384">
        <v>0</v>
      </c>
      <c r="K3" s="1384">
        <v>0</v>
      </c>
      <c r="L3" s="1384">
        <v>0</v>
      </c>
      <c r="M3" s="1384">
        <v>0</v>
      </c>
      <c r="N3" s="3211"/>
    </row>
    <row r="4" spans="1:14">
      <c r="A4" s="1370" t="s">
        <v>3041</v>
      </c>
      <c r="B4" s="1199">
        <v>9918</v>
      </c>
      <c r="C4" s="1199">
        <v>8999</v>
      </c>
      <c r="D4" s="1199">
        <v>9772</v>
      </c>
      <c r="E4" s="1199">
        <v>9454</v>
      </c>
      <c r="F4" s="1199">
        <v>10090</v>
      </c>
      <c r="G4" s="1199">
        <v>9837</v>
      </c>
      <c r="H4" s="1199">
        <v>9550</v>
      </c>
      <c r="I4" s="1199">
        <v>9877</v>
      </c>
      <c r="J4" s="1199">
        <v>9877</v>
      </c>
      <c r="K4" s="1199">
        <v>9379</v>
      </c>
      <c r="L4" s="1199">
        <v>9487</v>
      </c>
      <c r="M4" s="2229">
        <v>9487</v>
      </c>
      <c r="N4" s="3211"/>
    </row>
    <row r="5" spans="1:14">
      <c r="A5" s="1383" t="s">
        <v>3042</v>
      </c>
      <c r="B5" s="1384">
        <v>6474</v>
      </c>
      <c r="C5" s="1384">
        <v>6148</v>
      </c>
      <c r="D5" s="1384">
        <v>6022</v>
      </c>
      <c r="E5" s="1384">
        <v>5357</v>
      </c>
      <c r="F5" s="1384">
        <v>5499</v>
      </c>
      <c r="G5" s="1384">
        <v>5297</v>
      </c>
      <c r="H5" s="1384">
        <v>5184</v>
      </c>
      <c r="I5" s="1384">
        <v>5456</v>
      </c>
      <c r="J5" s="1384">
        <v>5456</v>
      </c>
      <c r="K5" s="1384">
        <v>4796</v>
      </c>
      <c r="L5" s="1384">
        <v>4767</v>
      </c>
      <c r="M5" s="1384">
        <v>4537</v>
      </c>
      <c r="N5" s="3211"/>
    </row>
    <row r="6" spans="1:14">
      <c r="A6" s="1370" t="s">
        <v>3043</v>
      </c>
      <c r="B6" s="1199">
        <v>10000</v>
      </c>
      <c r="C6" s="1199">
        <v>12000</v>
      </c>
      <c r="D6" s="1199">
        <v>12200</v>
      </c>
      <c r="E6" s="2229">
        <v>12200</v>
      </c>
      <c r="F6" s="2229">
        <v>12200</v>
      </c>
      <c r="G6" s="2229">
        <v>12200</v>
      </c>
      <c r="H6" s="2229">
        <v>12200</v>
      </c>
      <c r="I6" s="2229">
        <v>12200</v>
      </c>
      <c r="J6" s="2229">
        <v>12200</v>
      </c>
      <c r="K6" s="2229">
        <v>12200</v>
      </c>
      <c r="L6" s="2229">
        <v>12200</v>
      </c>
      <c r="M6" s="1199">
        <v>11500</v>
      </c>
      <c r="N6" s="3211"/>
    </row>
    <row r="7" spans="1:14">
      <c r="A7" s="1383" t="s">
        <v>3044</v>
      </c>
      <c r="B7" s="1384">
        <v>0</v>
      </c>
      <c r="C7" s="1384">
        <v>0</v>
      </c>
      <c r="D7" s="1384">
        <v>0</v>
      </c>
      <c r="E7" s="1384">
        <v>0</v>
      </c>
      <c r="F7" s="1384">
        <v>0</v>
      </c>
      <c r="G7" s="1384">
        <v>0</v>
      </c>
      <c r="H7" s="1384">
        <v>0</v>
      </c>
      <c r="I7" s="1384">
        <v>0</v>
      </c>
      <c r="J7" s="1384">
        <v>0</v>
      </c>
      <c r="K7" s="1384">
        <v>0</v>
      </c>
      <c r="L7" s="1384">
        <v>0</v>
      </c>
      <c r="M7" s="1384">
        <v>0</v>
      </c>
      <c r="N7" s="3211"/>
    </row>
    <row r="8" spans="1:14">
      <c r="A8" s="1370" t="s">
        <v>3045</v>
      </c>
      <c r="B8" s="1371">
        <v>4542</v>
      </c>
      <c r="C8" s="1371">
        <v>4648</v>
      </c>
      <c r="D8" s="1371">
        <v>6003</v>
      </c>
      <c r="E8" s="1199">
        <v>4973</v>
      </c>
      <c r="F8" s="1199">
        <v>5729</v>
      </c>
      <c r="G8" s="1199">
        <v>6215</v>
      </c>
      <c r="H8" s="1199">
        <v>5937</v>
      </c>
      <c r="I8" s="1199">
        <v>6188</v>
      </c>
      <c r="J8" s="1199">
        <v>5997</v>
      </c>
      <c r="K8" s="1199">
        <v>6039</v>
      </c>
      <c r="L8" s="1199">
        <v>7641</v>
      </c>
      <c r="M8" s="1199">
        <v>6648</v>
      </c>
      <c r="N8" s="3211"/>
    </row>
    <row r="9" spans="1:14" ht="13.8" thickBot="1">
      <c r="A9" s="1383" t="s">
        <v>3046</v>
      </c>
      <c r="B9" s="1384">
        <v>584</v>
      </c>
      <c r="C9" s="1384">
        <v>645</v>
      </c>
      <c r="D9" s="1384">
        <v>540</v>
      </c>
      <c r="E9" s="1384">
        <v>584</v>
      </c>
      <c r="F9" s="1384">
        <v>610</v>
      </c>
      <c r="G9" s="1384">
        <v>610</v>
      </c>
      <c r="H9" s="1384">
        <v>610</v>
      </c>
      <c r="I9" s="1384">
        <v>0</v>
      </c>
      <c r="J9" s="1384">
        <v>0</v>
      </c>
      <c r="K9" s="1384">
        <v>0</v>
      </c>
      <c r="L9" s="1384">
        <v>0</v>
      </c>
      <c r="M9" s="1384"/>
    </row>
    <row r="10" spans="1:14">
      <c r="A10" s="1367" t="s">
        <v>3067</v>
      </c>
      <c r="B10" s="1368">
        <v>0</v>
      </c>
      <c r="C10" s="1368">
        <v>0</v>
      </c>
      <c r="D10" s="1368">
        <v>0</v>
      </c>
      <c r="E10" s="1368">
        <v>0</v>
      </c>
      <c r="F10" s="1368">
        <v>0</v>
      </c>
      <c r="G10" s="1368">
        <v>0</v>
      </c>
      <c r="H10" s="1368">
        <v>0</v>
      </c>
      <c r="I10" s="1368">
        <v>0</v>
      </c>
      <c r="J10" s="1368">
        <v>0</v>
      </c>
      <c r="K10" s="1368">
        <v>0</v>
      </c>
      <c r="L10" s="1368">
        <v>0</v>
      </c>
      <c r="M10" s="1368">
        <v>0</v>
      </c>
    </row>
    <row r="11" spans="1:14">
      <c r="A11" s="1369" t="s">
        <v>3068</v>
      </c>
      <c r="B11" s="1375">
        <v>0</v>
      </c>
      <c r="C11" s="1375">
        <v>0</v>
      </c>
      <c r="D11" s="1375">
        <v>0</v>
      </c>
      <c r="E11" s="1375">
        <v>0</v>
      </c>
      <c r="F11" s="1375">
        <v>0</v>
      </c>
      <c r="G11" s="1375">
        <v>0</v>
      </c>
      <c r="H11" s="1375">
        <v>0</v>
      </c>
      <c r="I11" s="1375">
        <v>0</v>
      </c>
      <c r="J11" s="1375">
        <v>0</v>
      </c>
      <c r="K11" s="1375">
        <v>0</v>
      </c>
      <c r="L11" s="1375">
        <v>0</v>
      </c>
      <c r="M11" s="1375">
        <v>0</v>
      </c>
    </row>
    <row r="12" spans="1:14">
      <c r="A12" s="1370" t="s">
        <v>3075</v>
      </c>
      <c r="B12" s="1199">
        <v>0</v>
      </c>
      <c r="C12" s="1199">
        <v>0</v>
      </c>
      <c r="D12" s="1199">
        <v>0</v>
      </c>
      <c r="E12" s="1199">
        <v>0</v>
      </c>
      <c r="F12" s="1199">
        <v>0</v>
      </c>
      <c r="G12" s="1199">
        <v>0</v>
      </c>
      <c r="H12" s="1199">
        <v>0</v>
      </c>
      <c r="I12" s="1199">
        <v>0</v>
      </c>
      <c r="J12" s="1199">
        <v>0</v>
      </c>
      <c r="K12" s="1199">
        <v>0</v>
      </c>
      <c r="L12" s="1199">
        <v>0</v>
      </c>
      <c r="M12" s="1199">
        <v>0</v>
      </c>
      <c r="N12" t="s">
        <v>3552</v>
      </c>
    </row>
    <row r="13" spans="1:14">
      <c r="A13" s="1369" t="s">
        <v>3069</v>
      </c>
      <c r="B13" s="1375">
        <v>0</v>
      </c>
      <c r="C13" s="1375">
        <v>0</v>
      </c>
      <c r="D13" s="1375">
        <v>0</v>
      </c>
      <c r="E13" s="1375">
        <v>0</v>
      </c>
      <c r="F13" s="1375">
        <v>0</v>
      </c>
      <c r="G13" s="1375">
        <v>0</v>
      </c>
      <c r="H13" s="1375">
        <v>0</v>
      </c>
      <c r="I13" s="1375">
        <v>0</v>
      </c>
      <c r="J13" s="1375">
        <v>0</v>
      </c>
      <c r="K13" s="1375">
        <v>0</v>
      </c>
      <c r="L13" s="1375">
        <v>0</v>
      </c>
      <c r="M13" s="1375">
        <v>0</v>
      </c>
    </row>
    <row r="14" spans="1:14" ht="13.8" thickBot="1">
      <c r="A14" s="1370" t="s">
        <v>3070</v>
      </c>
      <c r="B14" s="1199">
        <v>0</v>
      </c>
      <c r="C14" s="1199">
        <v>0</v>
      </c>
      <c r="D14" s="1199">
        <v>0</v>
      </c>
      <c r="E14" s="1199">
        <v>0</v>
      </c>
      <c r="F14" s="1199">
        <v>0</v>
      </c>
      <c r="G14" s="1199">
        <v>0</v>
      </c>
      <c r="H14" s="1199">
        <v>0</v>
      </c>
      <c r="I14" s="1199">
        <v>0</v>
      </c>
      <c r="J14" s="1199">
        <v>0</v>
      </c>
      <c r="K14" s="1199">
        <v>0</v>
      </c>
      <c r="L14" s="1199">
        <v>0</v>
      </c>
      <c r="M14" s="1199">
        <v>0</v>
      </c>
    </row>
    <row r="15" spans="1:14">
      <c r="A15" s="1378" t="s">
        <v>3071</v>
      </c>
      <c r="B15" s="1379">
        <v>35169.06</v>
      </c>
      <c r="C15" s="1379">
        <v>28920.71</v>
      </c>
      <c r="D15" s="1379">
        <v>33982.76</v>
      </c>
      <c r="E15" s="1379">
        <v>35523.339999999997</v>
      </c>
      <c r="F15" s="1379">
        <v>32470.82</v>
      </c>
      <c r="G15" s="1379">
        <v>44835.14</v>
      </c>
      <c r="H15" s="1379">
        <v>38872.76</v>
      </c>
      <c r="I15" s="1379">
        <v>45661.08</v>
      </c>
      <c r="J15" s="1379">
        <v>52570.61</v>
      </c>
      <c r="K15" s="1379">
        <v>56459.16</v>
      </c>
      <c r="L15" s="1379">
        <v>47023.81</v>
      </c>
      <c r="M15" s="1379">
        <f>22030.28+370+1097+726+7493</f>
        <v>31716.28</v>
      </c>
      <c r="N15" s="3211" t="s">
        <v>6392</v>
      </c>
    </row>
    <row r="16" spans="1:14">
      <c r="A16" s="1369" t="s">
        <v>3072</v>
      </c>
      <c r="B16" s="1375">
        <v>0</v>
      </c>
      <c r="C16" s="1375">
        <v>0</v>
      </c>
      <c r="D16" s="1375">
        <v>0</v>
      </c>
      <c r="E16" s="1375">
        <v>0</v>
      </c>
      <c r="F16" s="1375">
        <v>0</v>
      </c>
      <c r="G16" s="1375">
        <v>0</v>
      </c>
      <c r="H16" s="1375">
        <v>311.63</v>
      </c>
      <c r="I16" s="1375">
        <v>264.74</v>
      </c>
      <c r="J16" s="1375">
        <v>316.07</v>
      </c>
      <c r="K16" s="1375">
        <v>409.58</v>
      </c>
      <c r="L16" s="1375">
        <v>416.51</v>
      </c>
      <c r="M16" s="1375">
        <f>182.13+613</f>
        <v>795.13</v>
      </c>
      <c r="N16" s="3211"/>
    </row>
    <row r="17" spans="1:14">
      <c r="A17" s="1370" t="s">
        <v>3182</v>
      </c>
      <c r="B17" s="1199">
        <v>7892.81</v>
      </c>
      <c r="C17" s="1199">
        <v>7360.16</v>
      </c>
      <c r="D17" s="1199">
        <v>10810.17</v>
      </c>
      <c r="E17" s="1199">
        <v>10018.19</v>
      </c>
      <c r="F17" s="1199">
        <v>18201.05</v>
      </c>
      <c r="G17" s="1199">
        <v>17141.38</v>
      </c>
      <c r="H17" s="1199">
        <v>18601.79</v>
      </c>
      <c r="I17" s="1199">
        <v>16404.259999999998</v>
      </c>
      <c r="J17" s="1199">
        <v>10865.7</v>
      </c>
      <c r="K17" s="1199">
        <v>14501.42</v>
      </c>
      <c r="L17" s="1199">
        <v>9205.0400000000009</v>
      </c>
      <c r="M17" s="1199">
        <f>4767.36+2806</f>
        <v>7573.36</v>
      </c>
      <c r="N17" s="3211"/>
    </row>
    <row r="18" spans="1:14">
      <c r="A18" s="1369" t="s">
        <v>3187</v>
      </c>
      <c r="B18" s="1375">
        <v>7043.87</v>
      </c>
      <c r="C18" s="1375">
        <v>4818.6099999999997</v>
      </c>
      <c r="D18" s="1375">
        <v>5749.88</v>
      </c>
      <c r="E18" s="1375">
        <v>6576.86</v>
      </c>
      <c r="F18" s="1375">
        <v>9054.64</v>
      </c>
      <c r="G18" s="1375">
        <v>6909.47</v>
      </c>
      <c r="H18" s="1375">
        <v>14315.56</v>
      </c>
      <c r="I18" s="1375">
        <v>7197.9</v>
      </c>
      <c r="J18" s="1375">
        <v>19320.099999999999</v>
      </c>
      <c r="K18" s="1375">
        <v>4943.91</v>
      </c>
      <c r="L18" s="1375">
        <v>7161.62</v>
      </c>
      <c r="M18" s="1375">
        <f>3292.03+5423</f>
        <v>8715.0300000000007</v>
      </c>
      <c r="N18" s="3211"/>
    </row>
    <row r="19" spans="1:14">
      <c r="A19" s="1370" t="s">
        <v>3183</v>
      </c>
      <c r="B19" s="1199">
        <v>7565.71</v>
      </c>
      <c r="C19" s="1199">
        <v>11566.96</v>
      </c>
      <c r="D19" s="1199">
        <v>12050.61</v>
      </c>
      <c r="E19" s="1199">
        <v>13854.92</v>
      </c>
      <c r="F19" s="1199">
        <v>11464.27</v>
      </c>
      <c r="G19" s="1199">
        <v>15203.68</v>
      </c>
      <c r="H19" s="1199">
        <v>7712.79</v>
      </c>
      <c r="I19" s="1199">
        <v>10453.69</v>
      </c>
      <c r="J19" s="1199">
        <v>11299.53</v>
      </c>
      <c r="K19" s="1199">
        <v>7714.67</v>
      </c>
      <c r="L19" s="1199">
        <v>9828.2099999999991</v>
      </c>
      <c r="M19" s="1199">
        <f>4789.98+430</f>
        <v>5219.9799999999996</v>
      </c>
      <c r="N19" s="3211"/>
    </row>
    <row r="20" spans="1:14">
      <c r="A20" s="1369" t="s">
        <v>3184</v>
      </c>
      <c r="B20" s="1375">
        <v>39399.65</v>
      </c>
      <c r="C20" s="1375">
        <v>32294.81</v>
      </c>
      <c r="D20" s="1375">
        <v>30396.560000000001</v>
      </c>
      <c r="E20" s="1375">
        <v>33838.53</v>
      </c>
      <c r="F20" s="1375">
        <v>57060</v>
      </c>
      <c r="G20" s="1375">
        <v>19013.490000000002</v>
      </c>
      <c r="H20" s="1375">
        <v>27679.37</v>
      </c>
      <c r="I20" s="1375">
        <v>13181.85</v>
      </c>
      <c r="J20" s="1375">
        <v>12234.48</v>
      </c>
      <c r="K20" s="1375">
        <v>22938.93</v>
      </c>
      <c r="L20" s="1375">
        <v>17675.27</v>
      </c>
      <c r="M20" s="1375">
        <f>11911.9+11043</f>
        <v>22954.9</v>
      </c>
      <c r="N20" s="3211"/>
    </row>
    <row r="21" spans="1:14">
      <c r="A21" s="1370" t="s">
        <v>3185</v>
      </c>
      <c r="B21" s="1199">
        <v>7523.3</v>
      </c>
      <c r="C21" s="1199">
        <v>6719.16</v>
      </c>
      <c r="D21" s="1199">
        <v>7208.3</v>
      </c>
      <c r="E21" s="1199">
        <v>8325.64</v>
      </c>
      <c r="F21" s="1199">
        <v>8749.75</v>
      </c>
      <c r="G21" s="1199">
        <v>8639.7900000000009</v>
      </c>
      <c r="H21" s="1199">
        <v>6857.84</v>
      </c>
      <c r="I21" s="1199">
        <v>3682.37</v>
      </c>
      <c r="J21" s="1199">
        <v>5172.2299999999996</v>
      </c>
      <c r="K21" s="1199">
        <v>6811.89</v>
      </c>
      <c r="L21" s="1199">
        <v>3864.5</v>
      </c>
      <c r="M21" s="1199">
        <f>114.35+552</f>
        <v>666.35</v>
      </c>
      <c r="N21" s="3211"/>
    </row>
    <row r="22" spans="1:14">
      <c r="A22" s="1369" t="s">
        <v>3186</v>
      </c>
      <c r="B22" s="1375">
        <v>5.51</v>
      </c>
      <c r="C22" s="1375">
        <v>0</v>
      </c>
      <c r="D22" s="1375">
        <v>42.72</v>
      </c>
      <c r="E22" s="1375">
        <v>1963.45</v>
      </c>
      <c r="F22" s="1375">
        <v>44.65</v>
      </c>
      <c r="G22" s="1375">
        <v>64.16</v>
      </c>
      <c r="H22" s="1375">
        <v>2127.81</v>
      </c>
      <c r="I22" s="1375">
        <v>1831.15</v>
      </c>
      <c r="J22" s="1375">
        <v>30.31</v>
      </c>
      <c r="K22" s="1375">
        <v>48.68</v>
      </c>
      <c r="L22" s="1375">
        <v>1844.96</v>
      </c>
      <c r="M22" s="1375">
        <v>221.36</v>
      </c>
      <c r="N22" s="3211"/>
    </row>
    <row r="23" spans="1:14">
      <c r="A23" s="1370" t="s">
        <v>3073</v>
      </c>
      <c r="B23" s="1199">
        <v>32478.94</v>
      </c>
      <c r="C23" s="1199">
        <v>26241.3</v>
      </c>
      <c r="D23" s="1199">
        <v>33890.53</v>
      </c>
      <c r="E23" s="1199">
        <v>34188.980000000003</v>
      </c>
      <c r="F23" s="1199">
        <v>15053.48</v>
      </c>
      <c r="G23" s="1199">
        <v>38346.18</v>
      </c>
      <c r="H23" s="1199">
        <v>32240.63</v>
      </c>
      <c r="I23" s="1199">
        <v>39739.839999999997</v>
      </c>
      <c r="J23" s="1199">
        <v>46508.94</v>
      </c>
      <c r="K23" s="1199">
        <v>36744.199999999997</v>
      </c>
      <c r="L23" s="1199">
        <v>20489.599999999999</v>
      </c>
      <c r="M23" s="1199">
        <f>7906.31+90+5855+443+5890</f>
        <v>20184.310000000001</v>
      </c>
      <c r="N23" s="3211"/>
    </row>
    <row r="24" spans="1:14" ht="13.8" thickBot="1">
      <c r="A24" s="1380" t="s">
        <v>3074</v>
      </c>
      <c r="B24" s="1376">
        <v>9144.5</v>
      </c>
      <c r="C24" s="1376">
        <v>9921.1200000000008</v>
      </c>
      <c r="D24" s="1376">
        <v>12201.03</v>
      </c>
      <c r="E24" s="1376">
        <f>401.23+6262.15</f>
        <v>6663.3799999999992</v>
      </c>
      <c r="F24" s="1376">
        <f>220.03+8645.16</f>
        <v>8865.19</v>
      </c>
      <c r="G24" s="1376">
        <f>223.84+13964.81</f>
        <v>14188.65</v>
      </c>
      <c r="H24" s="1376">
        <f>351.75+9250.49</f>
        <v>9602.24</v>
      </c>
      <c r="I24" s="1376">
        <f>912.48+704.43</f>
        <v>1616.9099999999999</v>
      </c>
      <c r="J24" s="1376">
        <f>6514.44+435.27</f>
        <v>6949.7099999999991</v>
      </c>
      <c r="K24" s="1376">
        <f>5963.54+572.92</f>
        <v>6536.46</v>
      </c>
      <c r="L24" s="1376">
        <f>2009.61+8002.15</f>
        <v>10011.76</v>
      </c>
      <c r="M24" s="1376">
        <f>860.33+4753.57+105+365+87</f>
        <v>6170.9</v>
      </c>
      <c r="N24" s="3211"/>
    </row>
    <row r="25" spans="1:14">
      <c r="A25" s="1367" t="s">
        <v>3076</v>
      </c>
      <c r="B25" s="1472">
        <v>2591</v>
      </c>
      <c r="C25" s="1368">
        <v>3177.79</v>
      </c>
      <c r="D25" s="1368">
        <v>3598.47</v>
      </c>
      <c r="E25" s="1368">
        <v>3601.91</v>
      </c>
      <c r="F25" s="1368">
        <v>1968.56</v>
      </c>
      <c r="G25" s="1368">
        <v>5176.1499999999996</v>
      </c>
      <c r="H25" s="1368">
        <v>5704.97</v>
      </c>
      <c r="I25" s="1368">
        <v>4968.03</v>
      </c>
      <c r="J25" s="1368">
        <v>6161.68</v>
      </c>
      <c r="K25" s="1368">
        <v>6684.38</v>
      </c>
      <c r="L25" s="1368">
        <v>6229.86</v>
      </c>
      <c r="M25" s="1368">
        <f>3630.9+606</f>
        <v>4236.8999999999996</v>
      </c>
      <c r="N25" s="3211"/>
    </row>
    <row r="26" spans="1:14">
      <c r="A26" s="1369" t="s">
        <v>3077</v>
      </c>
      <c r="B26" s="1473">
        <v>0</v>
      </c>
      <c r="C26" s="1375">
        <v>0</v>
      </c>
      <c r="D26" s="1375">
        <v>0</v>
      </c>
      <c r="E26" s="1375">
        <v>0</v>
      </c>
      <c r="F26" s="1375">
        <v>0</v>
      </c>
      <c r="G26" s="1375">
        <v>0</v>
      </c>
      <c r="H26" s="1375">
        <v>0</v>
      </c>
      <c r="I26" s="1375">
        <v>0</v>
      </c>
      <c r="J26" s="1375">
        <v>0</v>
      </c>
      <c r="K26" s="1375">
        <v>0</v>
      </c>
      <c r="L26" s="1375">
        <v>0</v>
      </c>
      <c r="M26" s="1375">
        <v>0</v>
      </c>
      <c r="N26" s="3211"/>
    </row>
    <row r="27" spans="1:14">
      <c r="A27" s="1370" t="s">
        <v>3078</v>
      </c>
      <c r="B27" s="1474">
        <v>1930.57</v>
      </c>
      <c r="C27" s="1199">
        <v>1366.81</v>
      </c>
      <c r="D27" s="1199">
        <v>2341.9699999999998</v>
      </c>
      <c r="E27" s="1199">
        <v>2380.62</v>
      </c>
      <c r="F27" s="1199">
        <v>5314.12</v>
      </c>
      <c r="G27" s="1199">
        <v>1657.07</v>
      </c>
      <c r="H27" s="1199">
        <v>1023.12</v>
      </c>
      <c r="I27" s="1199">
        <v>1848.74</v>
      </c>
      <c r="J27" s="1199">
        <v>2275.66</v>
      </c>
      <c r="K27" s="1199">
        <v>1595.54</v>
      </c>
      <c r="L27" s="1199">
        <v>2410.88</v>
      </c>
      <c r="M27" s="1199">
        <f>1556.86+302</f>
        <v>1858.86</v>
      </c>
      <c r="N27" s="3211"/>
    </row>
    <row r="28" spans="1:14">
      <c r="A28" s="1369" t="s">
        <v>3079</v>
      </c>
      <c r="B28" s="1473">
        <v>0</v>
      </c>
      <c r="C28" s="1375">
        <v>1.66</v>
      </c>
      <c r="D28" s="1375">
        <v>20.05</v>
      </c>
      <c r="E28" s="1375">
        <v>6.1</v>
      </c>
      <c r="F28" s="1375">
        <v>56.05</v>
      </c>
      <c r="G28" s="1375">
        <v>0</v>
      </c>
      <c r="H28" s="1375">
        <v>61.99</v>
      </c>
      <c r="I28" s="1375">
        <v>15.61</v>
      </c>
      <c r="J28" s="1375">
        <v>0</v>
      </c>
      <c r="K28" s="1375">
        <v>2.09</v>
      </c>
      <c r="L28" s="1375">
        <v>0</v>
      </c>
      <c r="M28" s="1375">
        <v>768</v>
      </c>
      <c r="N28" s="3211"/>
    </row>
    <row r="29" spans="1:14" ht="13.8" thickBot="1">
      <c r="A29" s="1373" t="s">
        <v>3080</v>
      </c>
      <c r="B29" s="1475">
        <v>1090.71</v>
      </c>
      <c r="C29" s="1372">
        <v>1300.03</v>
      </c>
      <c r="D29" s="1372">
        <v>1582.41</v>
      </c>
      <c r="E29" s="1372">
        <v>1472.28</v>
      </c>
      <c r="F29" s="1372">
        <v>1221.0999999999999</v>
      </c>
      <c r="G29" s="1372">
        <v>1717.18</v>
      </c>
      <c r="H29" s="1372">
        <v>1405.66</v>
      </c>
      <c r="I29" s="1372">
        <v>1445.88</v>
      </c>
      <c r="J29" s="1372">
        <v>1577.69</v>
      </c>
      <c r="K29" s="1372">
        <v>1217.48</v>
      </c>
      <c r="L29" s="1372">
        <v>1333.9</v>
      </c>
      <c r="M29" s="1372">
        <f>804.78+48</f>
        <v>852.78</v>
      </c>
      <c r="N29" s="3211"/>
    </row>
    <row r="30" spans="1:14">
      <c r="A30" s="1378" t="s">
        <v>3081</v>
      </c>
      <c r="B30" s="1379">
        <v>4794.17</v>
      </c>
      <c r="C30" s="1379">
        <v>3879.2</v>
      </c>
      <c r="D30" s="1379">
        <v>5439.09</v>
      </c>
      <c r="E30" s="1379">
        <v>6893.39</v>
      </c>
      <c r="F30" s="1379">
        <v>5861.07</v>
      </c>
      <c r="G30" s="1379">
        <v>4418.82</v>
      </c>
      <c r="H30" s="1379">
        <v>7651.55</v>
      </c>
      <c r="I30" s="1379">
        <v>7611.89</v>
      </c>
      <c r="J30" s="1379">
        <v>8274.43</v>
      </c>
      <c r="K30" s="1379">
        <v>9274.2000000000007</v>
      </c>
      <c r="L30" s="1379">
        <v>8645.18</v>
      </c>
      <c r="M30" s="1379">
        <f>4650.06+3745</f>
        <v>8395.0600000000013</v>
      </c>
      <c r="N30" s="3211"/>
    </row>
    <row r="31" spans="1:14">
      <c r="A31" s="1370" t="s">
        <v>3082</v>
      </c>
      <c r="B31" s="1199">
        <v>0</v>
      </c>
      <c r="C31" s="8">
        <v>0</v>
      </c>
      <c r="D31" s="1199">
        <v>0</v>
      </c>
      <c r="E31" s="1199">
        <v>0</v>
      </c>
      <c r="F31" s="1199">
        <v>0</v>
      </c>
      <c r="G31" s="1199">
        <v>0</v>
      </c>
      <c r="H31" s="1199">
        <v>7.77</v>
      </c>
      <c r="I31" s="1199">
        <v>44.77</v>
      </c>
      <c r="J31" s="1199">
        <v>0</v>
      </c>
      <c r="K31" s="1199">
        <v>24.77</v>
      </c>
      <c r="L31" s="1199">
        <v>3.36</v>
      </c>
      <c r="M31" s="1199">
        <v>0</v>
      </c>
      <c r="N31" s="3211"/>
    </row>
    <row r="32" spans="1:14">
      <c r="A32" s="1369" t="s">
        <v>3083</v>
      </c>
      <c r="B32" s="1375">
        <v>10463.120000000001</v>
      </c>
      <c r="C32" s="1375">
        <v>10861.54</v>
      </c>
      <c r="D32" s="1375">
        <v>12978.18</v>
      </c>
      <c r="E32" s="1375">
        <v>15685.1</v>
      </c>
      <c r="F32" s="1375">
        <v>18397.810000000001</v>
      </c>
      <c r="G32" s="1375">
        <v>17706.45</v>
      </c>
      <c r="H32" s="1375">
        <v>13459.4</v>
      </c>
      <c r="I32" s="1375">
        <v>11426.02</v>
      </c>
      <c r="J32" s="1375">
        <v>7068.01</v>
      </c>
      <c r="K32" s="1375">
        <v>7468.44</v>
      </c>
      <c r="L32" s="1375">
        <v>8283.75</v>
      </c>
      <c r="M32" s="1375">
        <f>4529.43+5771</f>
        <v>10300.43</v>
      </c>
      <c r="N32" s="3211"/>
    </row>
    <row r="33" spans="1:14">
      <c r="A33" s="1370" t="s">
        <v>3084</v>
      </c>
      <c r="B33" s="1199">
        <v>6069.09</v>
      </c>
      <c r="C33" s="1199">
        <v>4636.2299999999996</v>
      </c>
      <c r="D33" s="1199">
        <v>4544.34</v>
      </c>
      <c r="E33" s="1199">
        <v>3706.49</v>
      </c>
      <c r="F33" s="1199">
        <v>6777.7</v>
      </c>
      <c r="G33" s="1199">
        <v>3253.68</v>
      </c>
      <c r="H33" s="1199">
        <v>3835.74</v>
      </c>
      <c r="I33" s="1199">
        <v>2450.92</v>
      </c>
      <c r="J33" s="1199">
        <v>4118.57</v>
      </c>
      <c r="K33" s="1199">
        <v>1795.41</v>
      </c>
      <c r="L33" s="1199">
        <v>5513.47</v>
      </c>
      <c r="M33" s="1199">
        <f>4467.77+3319</f>
        <v>7786.77</v>
      </c>
      <c r="N33" s="3211"/>
    </row>
    <row r="34" spans="1:14" ht="13.8" thickBot="1">
      <c r="A34" s="1380" t="s">
        <v>3085</v>
      </c>
      <c r="B34" s="1376">
        <v>5007.22</v>
      </c>
      <c r="C34" s="1376">
        <v>3836.94</v>
      </c>
      <c r="D34" s="1376">
        <v>5291.45</v>
      </c>
      <c r="E34" s="1376">
        <v>4330.09</v>
      </c>
      <c r="F34" s="1376">
        <v>5942.41</v>
      </c>
      <c r="G34" s="1376">
        <v>5865.25</v>
      </c>
      <c r="H34" s="1376">
        <v>5707.58</v>
      </c>
      <c r="I34" s="1376">
        <v>5243.12</v>
      </c>
      <c r="J34" s="1376">
        <v>6010.15</v>
      </c>
      <c r="K34" s="1376">
        <v>6246.08</v>
      </c>
      <c r="L34" s="1376">
        <v>4954.3</v>
      </c>
      <c r="M34" s="1376">
        <f>2586.24+186</f>
        <v>2772.24</v>
      </c>
      <c r="N34" s="3211"/>
    </row>
    <row r="35" spans="1:14">
      <c r="A35" s="1367" t="s">
        <v>3087</v>
      </c>
      <c r="B35" s="1368">
        <v>2316.15</v>
      </c>
      <c r="C35" s="1368">
        <v>7376.68</v>
      </c>
      <c r="D35" s="1368">
        <v>3536.29</v>
      </c>
      <c r="E35" s="1368">
        <v>6134.41</v>
      </c>
      <c r="F35" s="1368">
        <v>6224.01</v>
      </c>
      <c r="G35" s="1368">
        <v>7591.66</v>
      </c>
      <c r="H35" s="1368">
        <v>8726.02</v>
      </c>
      <c r="I35" s="1368">
        <v>8533.81</v>
      </c>
      <c r="J35" s="1368">
        <v>6980.84</v>
      </c>
      <c r="K35" s="1368">
        <v>7612.63</v>
      </c>
      <c r="L35" s="1368">
        <v>6329.11</v>
      </c>
      <c r="M35" s="1368">
        <v>4184.95</v>
      </c>
      <c r="N35" s="3211"/>
    </row>
    <row r="36" spans="1:14">
      <c r="A36" s="1369" t="s">
        <v>3090</v>
      </c>
      <c r="B36" s="1375">
        <v>0</v>
      </c>
      <c r="C36" s="1375">
        <v>0</v>
      </c>
      <c r="D36" s="1375">
        <v>0</v>
      </c>
      <c r="E36" s="1375">
        <v>0</v>
      </c>
      <c r="F36" s="1375">
        <v>0</v>
      </c>
      <c r="G36" s="1375">
        <v>0</v>
      </c>
      <c r="H36" s="1375">
        <v>0</v>
      </c>
      <c r="I36" s="1375">
        <v>46.27</v>
      </c>
      <c r="J36" s="1375">
        <v>0</v>
      </c>
      <c r="K36" s="1375">
        <v>0</v>
      </c>
      <c r="L36" s="1375">
        <v>0</v>
      </c>
      <c r="M36" s="1375">
        <v>0</v>
      </c>
      <c r="N36" s="3211"/>
    </row>
    <row r="37" spans="1:14">
      <c r="A37" s="1370" t="s">
        <v>3089</v>
      </c>
      <c r="B37" s="1199">
        <v>0</v>
      </c>
      <c r="C37" s="1199">
        <v>56.48</v>
      </c>
      <c r="D37" s="1199">
        <v>115.73</v>
      </c>
      <c r="E37" s="1199">
        <v>0</v>
      </c>
      <c r="F37" s="1199">
        <v>263.43</v>
      </c>
      <c r="G37" s="1199">
        <v>2882.59</v>
      </c>
      <c r="H37" s="1199">
        <v>207.07</v>
      </c>
      <c r="I37" s="1199">
        <v>0</v>
      </c>
      <c r="J37" s="1199">
        <v>12.64</v>
      </c>
      <c r="K37" s="1199">
        <v>629.54</v>
      </c>
      <c r="L37" s="1199">
        <v>159.4</v>
      </c>
      <c r="M37" s="1199">
        <v>0</v>
      </c>
      <c r="N37" s="3211"/>
    </row>
    <row r="38" spans="1:14">
      <c r="A38" s="1369" t="s">
        <v>3091</v>
      </c>
      <c r="B38" s="1375">
        <v>0</v>
      </c>
      <c r="C38" s="1375">
        <v>0</v>
      </c>
      <c r="D38" s="1375">
        <v>77.459999999999994</v>
      </c>
      <c r="E38" s="1375">
        <v>0</v>
      </c>
      <c r="F38" s="1375">
        <v>7.16</v>
      </c>
      <c r="G38" s="1375">
        <v>0</v>
      </c>
      <c r="H38" s="1375">
        <v>0</v>
      </c>
      <c r="I38" s="1375">
        <v>24.34</v>
      </c>
      <c r="J38" s="1375">
        <v>453.61</v>
      </c>
      <c r="K38" s="1375">
        <v>0</v>
      </c>
      <c r="L38" s="1375">
        <v>0</v>
      </c>
      <c r="M38" s="1375">
        <v>0</v>
      </c>
      <c r="N38" s="3211"/>
    </row>
    <row r="39" spans="1:14" ht="13.8" thickBot="1">
      <c r="A39" s="1373" t="s">
        <v>3088</v>
      </c>
      <c r="B39" s="1372">
        <v>3585.44</v>
      </c>
      <c r="C39" s="1372">
        <v>1088.24</v>
      </c>
      <c r="D39" s="1372">
        <v>3234.88</v>
      </c>
      <c r="E39" s="1372">
        <v>3723.64</v>
      </c>
      <c r="F39" s="1372">
        <v>3130.3</v>
      </c>
      <c r="G39" s="1372">
        <v>2624.08</v>
      </c>
      <c r="H39" s="1372">
        <v>6082.39</v>
      </c>
      <c r="I39" s="1372">
        <v>5159.91</v>
      </c>
      <c r="J39" s="1372">
        <v>9847.16</v>
      </c>
      <c r="K39" s="1372">
        <v>6869.38</v>
      </c>
      <c r="L39" s="1372">
        <v>7191.71</v>
      </c>
      <c r="M39" s="1372">
        <v>4557.62</v>
      </c>
      <c r="N39" s="3211"/>
    </row>
    <row r="40" spans="1:14">
      <c r="A40" s="1381" t="s">
        <v>3092</v>
      </c>
      <c r="B40" s="1382">
        <v>584</v>
      </c>
      <c r="C40" s="1382">
        <v>458</v>
      </c>
      <c r="D40" s="1382">
        <v>384</v>
      </c>
      <c r="E40" s="1382">
        <v>377</v>
      </c>
      <c r="F40" s="1382">
        <v>671</v>
      </c>
      <c r="G40" s="1382">
        <v>394</v>
      </c>
      <c r="H40" s="1382">
        <v>393</v>
      </c>
      <c r="I40" s="1382">
        <v>411</v>
      </c>
      <c r="J40" s="1382">
        <v>360</v>
      </c>
      <c r="K40" s="1382">
        <v>348</v>
      </c>
      <c r="L40" s="1382">
        <v>379</v>
      </c>
      <c r="M40" s="1382">
        <v>347</v>
      </c>
      <c r="N40" s="3211" t="s">
        <v>6393</v>
      </c>
    </row>
    <row r="41" spans="1:14">
      <c r="A41" s="1370" t="s">
        <v>3093</v>
      </c>
      <c r="B41" s="1199">
        <v>6097</v>
      </c>
      <c r="C41" s="1199">
        <v>6705</v>
      </c>
      <c r="D41" s="1199">
        <v>4465</v>
      </c>
      <c r="E41" s="1199">
        <v>3782</v>
      </c>
      <c r="F41" s="1199">
        <v>5579</v>
      </c>
      <c r="G41" s="1199">
        <v>4859</v>
      </c>
      <c r="H41" s="1199">
        <v>3523</v>
      </c>
      <c r="I41" s="1199">
        <v>6200</v>
      </c>
      <c r="J41" s="1199">
        <v>2767</v>
      </c>
      <c r="K41" s="1199">
        <v>2176</v>
      </c>
      <c r="L41" s="1199">
        <v>2333</v>
      </c>
      <c r="M41" s="1199">
        <v>4632</v>
      </c>
      <c r="N41" s="3211"/>
    </row>
    <row r="42" spans="1:14">
      <c r="A42" s="1383" t="s">
        <v>3094</v>
      </c>
      <c r="B42" s="1384">
        <v>3960</v>
      </c>
      <c r="C42" s="1384">
        <v>3708</v>
      </c>
      <c r="D42" s="1384">
        <v>4544</v>
      </c>
      <c r="E42" s="1384">
        <v>4196</v>
      </c>
      <c r="F42" s="1384">
        <v>4452</v>
      </c>
      <c r="G42" s="1384">
        <v>4320</v>
      </c>
      <c r="H42" s="1384">
        <v>4464</v>
      </c>
      <c r="I42" s="1384">
        <v>4464</v>
      </c>
      <c r="J42" s="1384">
        <v>4320</v>
      </c>
      <c r="K42" s="1384">
        <v>4464</v>
      </c>
      <c r="L42" s="1384">
        <v>4320</v>
      </c>
      <c r="M42" s="1384">
        <v>4524</v>
      </c>
      <c r="N42" s="3211"/>
    </row>
    <row r="43" spans="1:14">
      <c r="A43" s="1370" t="s">
        <v>3095</v>
      </c>
      <c r="B43" s="1199">
        <v>719</v>
      </c>
      <c r="C43" s="1199">
        <v>949</v>
      </c>
      <c r="D43" s="1199">
        <v>725</v>
      </c>
      <c r="E43" s="1199">
        <v>473</v>
      </c>
      <c r="F43" s="1199">
        <v>728</v>
      </c>
      <c r="G43" s="1199">
        <v>725</v>
      </c>
      <c r="H43" s="1199">
        <v>573</v>
      </c>
      <c r="I43" s="1199">
        <v>608</v>
      </c>
      <c r="J43" s="1199">
        <v>589</v>
      </c>
      <c r="K43" s="1199">
        <v>651</v>
      </c>
      <c r="L43" s="1199">
        <v>565</v>
      </c>
      <c r="M43" s="1199">
        <v>541</v>
      </c>
      <c r="N43" s="3211"/>
    </row>
    <row r="44" spans="1:14">
      <c r="A44" s="1383" t="s">
        <v>3096</v>
      </c>
      <c r="B44" s="1384">
        <v>622</v>
      </c>
      <c r="C44" s="1384">
        <v>639</v>
      </c>
      <c r="D44" s="1384">
        <v>797</v>
      </c>
      <c r="E44" s="1384">
        <v>228</v>
      </c>
      <c r="F44" s="1384">
        <v>877</v>
      </c>
      <c r="G44" s="1384">
        <v>484</v>
      </c>
      <c r="H44" s="1384">
        <v>329</v>
      </c>
      <c r="I44" s="1384">
        <v>1288</v>
      </c>
      <c r="J44" s="1384">
        <v>4951</v>
      </c>
      <c r="K44" s="1384">
        <v>180</v>
      </c>
      <c r="L44" s="1384">
        <v>344</v>
      </c>
      <c r="M44" s="1384">
        <v>654</v>
      </c>
      <c r="N44" s="3211"/>
    </row>
    <row r="45" spans="1:14" ht="13.8" thickBot="1">
      <c r="A45" s="1373" t="s">
        <v>3097</v>
      </c>
      <c r="B45" s="1372">
        <v>4271</v>
      </c>
      <c r="C45" s="1372">
        <v>3483</v>
      </c>
      <c r="D45" s="1372">
        <v>3873</v>
      </c>
      <c r="E45" s="1372">
        <v>3538</v>
      </c>
      <c r="F45" s="1372">
        <v>3872</v>
      </c>
      <c r="G45" s="1372">
        <v>5016</v>
      </c>
      <c r="H45" s="1372">
        <v>4140</v>
      </c>
      <c r="I45" s="1372">
        <v>4313</v>
      </c>
      <c r="J45" s="1372">
        <v>4313</v>
      </c>
      <c r="K45" s="1372">
        <v>4686</v>
      </c>
      <c r="L45" s="1372">
        <v>3512</v>
      </c>
      <c r="M45" s="1372">
        <v>3688</v>
      </c>
      <c r="N45" s="3211"/>
    </row>
    <row r="46" spans="1:14">
      <c r="A46" s="1381" t="s">
        <v>3098</v>
      </c>
      <c r="B46" s="1382">
        <v>13</v>
      </c>
      <c r="C46" s="1382">
        <v>5</v>
      </c>
      <c r="D46" s="1382">
        <v>2</v>
      </c>
      <c r="E46" s="1382">
        <v>0</v>
      </c>
      <c r="F46" s="1382">
        <v>18</v>
      </c>
      <c r="G46" s="1382">
        <v>33</v>
      </c>
      <c r="H46" s="1382">
        <v>21</v>
      </c>
      <c r="I46" s="1382">
        <v>69</v>
      </c>
      <c r="J46" s="1382">
        <v>69</v>
      </c>
      <c r="K46" s="1382">
        <v>69</v>
      </c>
      <c r="L46" s="1382">
        <v>27</v>
      </c>
      <c r="M46" s="1382">
        <v>32</v>
      </c>
      <c r="N46" s="3211"/>
    </row>
    <row r="47" spans="1:14">
      <c r="A47" s="1370" t="s">
        <v>3099</v>
      </c>
      <c r="B47" s="1199">
        <v>617</v>
      </c>
      <c r="C47" s="1199">
        <v>1050</v>
      </c>
      <c r="D47" s="1199">
        <v>485</v>
      </c>
      <c r="E47" s="1199">
        <v>484</v>
      </c>
      <c r="F47" s="1199">
        <v>262</v>
      </c>
      <c r="G47" s="1199">
        <v>160</v>
      </c>
      <c r="H47" s="1199">
        <v>173</v>
      </c>
      <c r="I47" s="1199">
        <v>169</v>
      </c>
      <c r="J47" s="1199">
        <v>169</v>
      </c>
      <c r="K47" s="1199">
        <v>169</v>
      </c>
      <c r="L47" s="1199">
        <v>343</v>
      </c>
      <c r="M47" s="1199">
        <v>273</v>
      </c>
      <c r="N47" s="3211"/>
    </row>
    <row r="48" spans="1:14">
      <c r="A48" s="1383" t="s">
        <v>3100</v>
      </c>
      <c r="B48" s="1384">
        <v>2232</v>
      </c>
      <c r="C48" s="1384">
        <v>1656</v>
      </c>
      <c r="D48" s="1384">
        <v>2423</v>
      </c>
      <c r="E48" s="1384">
        <v>2268</v>
      </c>
      <c r="F48" s="1384">
        <v>1428</v>
      </c>
      <c r="G48" s="1384">
        <v>1188</v>
      </c>
      <c r="H48" s="1384">
        <v>372</v>
      </c>
      <c r="I48" s="1384">
        <v>636</v>
      </c>
      <c r="J48" s="1384">
        <v>636</v>
      </c>
      <c r="K48" s="1384">
        <v>636</v>
      </c>
      <c r="L48" s="1384">
        <v>192</v>
      </c>
      <c r="M48" s="1384">
        <v>2214</v>
      </c>
      <c r="N48" s="3211"/>
    </row>
    <row r="49" spans="1:14">
      <c r="A49" s="1370" t="s">
        <v>3101</v>
      </c>
      <c r="B49" s="1199">
        <v>0</v>
      </c>
      <c r="C49" s="1199">
        <v>0</v>
      </c>
      <c r="D49" s="1199">
        <v>0</v>
      </c>
      <c r="E49" s="1199">
        <v>0</v>
      </c>
      <c r="F49" s="1199">
        <v>0</v>
      </c>
      <c r="G49" s="1199">
        <v>0</v>
      </c>
      <c r="H49" s="1199">
        <v>0</v>
      </c>
      <c r="I49" s="1199">
        <v>0</v>
      </c>
      <c r="J49" s="1199">
        <v>0</v>
      </c>
      <c r="K49" s="1199">
        <v>0</v>
      </c>
      <c r="L49" s="1199">
        <v>0</v>
      </c>
      <c r="M49" s="1199">
        <v>0</v>
      </c>
      <c r="N49" s="3211"/>
    </row>
    <row r="50" spans="1:14">
      <c r="A50" s="1383" t="s">
        <v>3102</v>
      </c>
      <c r="B50" s="1384">
        <v>0</v>
      </c>
      <c r="C50" s="1384">
        <v>0</v>
      </c>
      <c r="D50" s="1384">
        <v>0</v>
      </c>
      <c r="E50" s="1384">
        <v>0</v>
      </c>
      <c r="F50" s="1384">
        <v>0</v>
      </c>
      <c r="G50" s="1384">
        <v>0</v>
      </c>
      <c r="H50" s="1384">
        <v>0</v>
      </c>
      <c r="I50" s="1384">
        <v>0</v>
      </c>
      <c r="J50" s="1384">
        <v>0</v>
      </c>
      <c r="K50" s="1384">
        <v>0</v>
      </c>
      <c r="L50" s="1384">
        <v>0</v>
      </c>
      <c r="M50" s="1384">
        <v>0</v>
      </c>
      <c r="N50" s="3211"/>
    </row>
    <row r="51" spans="1:14" ht="13.8" thickBot="1">
      <c r="A51" s="1373" t="s">
        <v>3103</v>
      </c>
      <c r="B51" s="1372">
        <v>347</v>
      </c>
      <c r="C51" s="1372">
        <v>444</v>
      </c>
      <c r="D51" s="1372">
        <v>511</v>
      </c>
      <c r="E51" s="1372">
        <v>393</v>
      </c>
      <c r="F51" s="1372">
        <v>637</v>
      </c>
      <c r="G51" s="1372">
        <v>596</v>
      </c>
      <c r="H51" s="1372">
        <v>614</v>
      </c>
      <c r="I51" s="1372">
        <v>582</v>
      </c>
      <c r="J51" s="1372">
        <v>582</v>
      </c>
      <c r="K51" s="1372">
        <v>582</v>
      </c>
      <c r="L51" s="1372">
        <v>794</v>
      </c>
      <c r="M51" s="1372">
        <v>531</v>
      </c>
      <c r="N51" s="3211"/>
    </row>
    <row r="52" spans="1:14">
      <c r="A52" s="1381" t="s">
        <v>3104</v>
      </c>
      <c r="B52" s="1382">
        <v>0</v>
      </c>
      <c r="C52" s="1382">
        <v>0</v>
      </c>
      <c r="D52" s="1382">
        <v>0</v>
      </c>
      <c r="E52" s="1382">
        <v>0</v>
      </c>
      <c r="F52" s="1382">
        <v>0</v>
      </c>
      <c r="G52" s="1382">
        <v>0</v>
      </c>
      <c r="H52" s="1382">
        <v>0</v>
      </c>
      <c r="I52" s="1382">
        <v>0</v>
      </c>
      <c r="J52" s="1382">
        <v>0</v>
      </c>
      <c r="K52" s="1382">
        <v>0</v>
      </c>
      <c r="L52" s="1382">
        <v>0</v>
      </c>
      <c r="M52" s="1382">
        <v>0</v>
      </c>
      <c r="N52" s="3211"/>
    </row>
    <row r="53" spans="1:14">
      <c r="A53" s="1370" t="s">
        <v>3105</v>
      </c>
      <c r="B53" s="1199">
        <v>0</v>
      </c>
      <c r="C53" s="1199">
        <v>0</v>
      </c>
      <c r="D53" s="1199">
        <v>0</v>
      </c>
      <c r="E53" s="1199">
        <v>0</v>
      </c>
      <c r="F53" s="1199">
        <v>0</v>
      </c>
      <c r="G53" s="1199">
        <v>0</v>
      </c>
      <c r="H53" s="1199">
        <v>0</v>
      </c>
      <c r="I53" s="1199">
        <v>0</v>
      </c>
      <c r="J53" s="1199">
        <v>0</v>
      </c>
      <c r="K53" s="1199">
        <v>0</v>
      </c>
      <c r="L53" s="1199">
        <v>0</v>
      </c>
      <c r="M53" s="1199">
        <v>0</v>
      </c>
      <c r="N53" s="3211"/>
    </row>
    <row r="54" spans="1:14">
      <c r="A54" s="1383" t="s">
        <v>3106</v>
      </c>
      <c r="B54" s="1384">
        <v>0</v>
      </c>
      <c r="C54" s="1384">
        <v>0</v>
      </c>
      <c r="D54" s="1384">
        <v>0</v>
      </c>
      <c r="E54" s="1384">
        <v>0</v>
      </c>
      <c r="F54" s="1384">
        <v>0</v>
      </c>
      <c r="G54" s="1384">
        <v>0</v>
      </c>
      <c r="H54" s="1384">
        <v>0</v>
      </c>
      <c r="I54" s="1384">
        <v>0</v>
      </c>
      <c r="J54" s="1384">
        <v>0</v>
      </c>
      <c r="K54" s="1384">
        <v>0</v>
      </c>
      <c r="L54" s="1384">
        <v>0</v>
      </c>
      <c r="M54" s="1384">
        <v>0</v>
      </c>
      <c r="N54" s="3211"/>
    </row>
    <row r="55" spans="1:14">
      <c r="A55" s="1370" t="s">
        <v>3107</v>
      </c>
      <c r="B55" s="1199">
        <v>0</v>
      </c>
      <c r="C55" s="1199">
        <v>0</v>
      </c>
      <c r="D55" s="1199">
        <v>0</v>
      </c>
      <c r="E55" s="1199">
        <v>0</v>
      </c>
      <c r="F55" s="1199">
        <v>0</v>
      </c>
      <c r="G55" s="1199">
        <v>0</v>
      </c>
      <c r="H55" s="1199">
        <v>0</v>
      </c>
      <c r="I55" s="1199">
        <v>0</v>
      </c>
      <c r="J55" s="1199">
        <v>0</v>
      </c>
      <c r="K55" s="1199">
        <v>0</v>
      </c>
      <c r="L55" s="1199">
        <v>0</v>
      </c>
      <c r="M55" s="1199">
        <v>0</v>
      </c>
      <c r="N55" s="3211"/>
    </row>
    <row r="56" spans="1:14">
      <c r="A56" s="1383" t="s">
        <v>3108</v>
      </c>
      <c r="B56" s="1384">
        <v>0</v>
      </c>
      <c r="C56" s="1384">
        <v>0</v>
      </c>
      <c r="D56" s="1384">
        <v>0</v>
      </c>
      <c r="E56" s="1384">
        <v>0</v>
      </c>
      <c r="F56" s="1384">
        <v>0</v>
      </c>
      <c r="G56" s="1384">
        <v>0</v>
      </c>
      <c r="H56" s="1384">
        <v>0</v>
      </c>
      <c r="I56" s="1384">
        <v>0</v>
      </c>
      <c r="J56" s="1384">
        <v>0</v>
      </c>
      <c r="K56" s="1384">
        <v>0</v>
      </c>
      <c r="L56" s="1384">
        <v>0</v>
      </c>
      <c r="M56" s="1384">
        <v>0</v>
      </c>
      <c r="N56" s="3211"/>
    </row>
    <row r="57" spans="1:14" ht="13.8" thickBot="1">
      <c r="A57" s="1373" t="s">
        <v>3109</v>
      </c>
      <c r="B57" s="1372">
        <v>0</v>
      </c>
      <c r="C57" s="1372">
        <v>0</v>
      </c>
      <c r="D57" s="1372">
        <v>0</v>
      </c>
      <c r="E57" s="1372">
        <v>0</v>
      </c>
      <c r="F57" s="1372">
        <v>0</v>
      </c>
      <c r="G57" s="1372">
        <v>0</v>
      </c>
      <c r="H57" s="1372">
        <v>0</v>
      </c>
      <c r="I57" s="1372">
        <v>0</v>
      </c>
      <c r="J57" s="1372">
        <v>0</v>
      </c>
      <c r="K57" s="1372">
        <v>0</v>
      </c>
      <c r="L57" s="1372">
        <v>0</v>
      </c>
      <c r="M57" s="1372">
        <v>0</v>
      </c>
      <c r="N57" s="3211"/>
    </row>
    <row r="58" spans="1:14">
      <c r="A58" s="1381" t="s">
        <v>3110</v>
      </c>
      <c r="B58" s="1382">
        <v>0.17</v>
      </c>
      <c r="C58" s="1382">
        <v>0.54</v>
      </c>
      <c r="D58" s="1382">
        <v>0</v>
      </c>
      <c r="E58" s="1382">
        <v>0</v>
      </c>
      <c r="F58" s="1382">
        <v>0.66</v>
      </c>
      <c r="G58" s="1382">
        <v>0</v>
      </c>
      <c r="H58" s="1382">
        <v>0</v>
      </c>
      <c r="I58" s="1382">
        <v>0</v>
      </c>
      <c r="J58" s="1382">
        <v>0</v>
      </c>
      <c r="K58" s="1382">
        <v>2.69</v>
      </c>
      <c r="L58" s="1382">
        <v>12.08</v>
      </c>
      <c r="M58" s="1382">
        <v>12.87</v>
      </c>
      <c r="N58" s="3211"/>
    </row>
    <row r="59" spans="1:14">
      <c r="A59" s="1370" t="s">
        <v>3111</v>
      </c>
      <c r="B59" s="1199">
        <v>0</v>
      </c>
      <c r="C59" s="1199">
        <v>0</v>
      </c>
      <c r="D59" s="1199">
        <v>0</v>
      </c>
      <c r="E59" s="1199">
        <v>0</v>
      </c>
      <c r="F59" s="1199">
        <v>0</v>
      </c>
      <c r="G59" s="1199">
        <v>0</v>
      </c>
      <c r="H59" s="1199">
        <v>0</v>
      </c>
      <c r="I59" s="1199">
        <v>0</v>
      </c>
      <c r="J59" s="1199">
        <v>0</v>
      </c>
      <c r="K59" s="1199">
        <v>0</v>
      </c>
      <c r="L59" s="1199">
        <v>0</v>
      </c>
      <c r="M59" s="1199">
        <v>0</v>
      </c>
      <c r="N59" s="3211"/>
    </row>
    <row r="60" spans="1:14">
      <c r="A60" s="1383" t="s">
        <v>3112</v>
      </c>
      <c r="B60" s="1384">
        <v>2880</v>
      </c>
      <c r="C60" s="1384">
        <v>2688</v>
      </c>
      <c r="D60" s="1384">
        <v>2976</v>
      </c>
      <c r="E60" s="1384">
        <v>2880</v>
      </c>
      <c r="F60" s="1384">
        <v>2976</v>
      </c>
      <c r="G60" s="1384">
        <v>2880</v>
      </c>
      <c r="H60" s="1384">
        <v>2976</v>
      </c>
      <c r="I60" s="1384">
        <v>2976</v>
      </c>
      <c r="J60" s="1384">
        <v>2880</v>
      </c>
      <c r="K60" s="1384">
        <v>2976</v>
      </c>
      <c r="L60" s="1384">
        <v>2792</v>
      </c>
      <c r="M60" s="1384">
        <v>2784</v>
      </c>
      <c r="N60" s="3211"/>
    </row>
    <row r="61" spans="1:14">
      <c r="A61" s="1370" t="s">
        <v>3113</v>
      </c>
      <c r="B61" s="1199">
        <v>1440</v>
      </c>
      <c r="C61" s="1199">
        <v>1344</v>
      </c>
      <c r="D61" s="1199">
        <v>1488</v>
      </c>
      <c r="E61" s="1199">
        <v>1440</v>
      </c>
      <c r="F61" s="1199">
        <v>1488</v>
      </c>
      <c r="G61" s="1199">
        <v>1440</v>
      </c>
      <c r="H61" s="1199">
        <v>1488</v>
      </c>
      <c r="I61" s="1199">
        <v>1488</v>
      </c>
      <c r="J61" s="1199">
        <v>1440</v>
      </c>
      <c r="K61" s="1199">
        <v>1488</v>
      </c>
      <c r="L61" s="1199">
        <v>1440</v>
      </c>
      <c r="M61" s="1199">
        <v>1392</v>
      </c>
      <c r="N61" s="3211"/>
    </row>
    <row r="62" spans="1:14">
      <c r="A62" s="1383" t="s">
        <v>3114</v>
      </c>
      <c r="B62" s="1384">
        <v>960</v>
      </c>
      <c r="C62" s="1384">
        <v>896</v>
      </c>
      <c r="D62" s="1384">
        <v>992</v>
      </c>
      <c r="E62" s="1384">
        <v>960</v>
      </c>
      <c r="F62" s="1384">
        <v>992</v>
      </c>
      <c r="G62" s="1384">
        <v>960</v>
      </c>
      <c r="H62" s="1384">
        <v>992</v>
      </c>
      <c r="I62" s="1384">
        <v>992</v>
      </c>
      <c r="J62" s="1384">
        <v>960</v>
      </c>
      <c r="K62" s="1384">
        <v>992</v>
      </c>
      <c r="L62" s="1384">
        <v>960</v>
      </c>
      <c r="M62" s="1384">
        <v>928</v>
      </c>
      <c r="N62" s="3211"/>
    </row>
    <row r="63" spans="1:14" ht="13.8" thickBot="1">
      <c r="A63" s="1373" t="s">
        <v>3115</v>
      </c>
      <c r="B63" s="1372">
        <v>0</v>
      </c>
      <c r="C63" s="1372">
        <v>0</v>
      </c>
      <c r="D63" s="1372">
        <v>0</v>
      </c>
      <c r="E63" s="1372">
        <v>0</v>
      </c>
      <c r="F63" s="1372">
        <v>0</v>
      </c>
      <c r="G63" s="1372">
        <v>0</v>
      </c>
      <c r="H63" s="1372">
        <v>0</v>
      </c>
      <c r="I63" s="1372">
        <v>0</v>
      </c>
      <c r="J63" s="1372">
        <v>1</v>
      </c>
      <c r="K63" s="1372">
        <v>0</v>
      </c>
      <c r="L63" s="1372">
        <v>0</v>
      </c>
      <c r="M63" s="1372">
        <v>0</v>
      </c>
      <c r="N63" s="3211"/>
    </row>
    <row r="64" spans="1:14">
      <c r="A64" s="1383" t="s">
        <v>3118</v>
      </c>
      <c r="B64" s="1382">
        <v>0</v>
      </c>
      <c r="C64" s="1384">
        <v>0</v>
      </c>
      <c r="D64" s="1384">
        <v>0</v>
      </c>
      <c r="E64" s="1384">
        <v>0</v>
      </c>
      <c r="F64" s="1384">
        <v>0</v>
      </c>
      <c r="G64" s="1384">
        <v>0</v>
      </c>
      <c r="H64" s="1384">
        <v>0</v>
      </c>
      <c r="I64" s="1384">
        <v>1.45</v>
      </c>
      <c r="J64" s="1384">
        <v>0</v>
      </c>
      <c r="K64" s="1382">
        <v>0</v>
      </c>
      <c r="L64" s="1382">
        <v>1.1299999999999999</v>
      </c>
      <c r="M64" s="1382">
        <v>0</v>
      </c>
      <c r="N64" s="3211"/>
    </row>
    <row r="65" spans="1:14">
      <c r="A65" s="1370" t="s">
        <v>3117</v>
      </c>
      <c r="B65" s="1199">
        <v>0</v>
      </c>
      <c r="C65" s="1199">
        <v>0</v>
      </c>
      <c r="D65" s="1199">
        <v>0</v>
      </c>
      <c r="E65" s="1199">
        <v>0</v>
      </c>
      <c r="F65" s="1199">
        <v>0</v>
      </c>
      <c r="G65" s="1199">
        <v>0</v>
      </c>
      <c r="H65" s="1199">
        <v>0</v>
      </c>
      <c r="I65" s="1199">
        <v>0</v>
      </c>
      <c r="J65" s="1199">
        <v>0</v>
      </c>
      <c r="K65" s="1199">
        <v>0</v>
      </c>
      <c r="L65" s="1199">
        <v>0</v>
      </c>
      <c r="M65" s="1199">
        <v>0</v>
      </c>
      <c r="N65" s="3211"/>
    </row>
    <row r="66" spans="1:14">
      <c r="A66" s="1383" t="s">
        <v>3116</v>
      </c>
      <c r="B66" s="1384">
        <v>1440</v>
      </c>
      <c r="C66" s="1384">
        <v>1344</v>
      </c>
      <c r="D66" s="1384">
        <v>1488</v>
      </c>
      <c r="E66" s="1384">
        <v>1440</v>
      </c>
      <c r="F66" s="1384">
        <v>1488</v>
      </c>
      <c r="G66" s="1384">
        <v>1440</v>
      </c>
      <c r="H66" s="1384">
        <v>1488</v>
      </c>
      <c r="I66" s="1384">
        <v>1488</v>
      </c>
      <c r="J66" s="1384">
        <v>1440</v>
      </c>
      <c r="K66" s="1384">
        <v>1488</v>
      </c>
      <c r="L66" s="1384">
        <v>1440</v>
      </c>
      <c r="M66" s="1384">
        <v>1392</v>
      </c>
      <c r="N66" s="3211"/>
    </row>
    <row r="67" spans="1:14">
      <c r="A67" s="1370" t="s">
        <v>3119</v>
      </c>
      <c r="B67" s="1199">
        <v>960</v>
      </c>
      <c r="C67" s="1199">
        <v>896</v>
      </c>
      <c r="D67" s="1199">
        <v>992</v>
      </c>
      <c r="E67" s="1199">
        <v>960</v>
      </c>
      <c r="F67" s="1199">
        <v>992</v>
      </c>
      <c r="G67" s="1199">
        <v>960</v>
      </c>
      <c r="H67" s="1199">
        <v>992</v>
      </c>
      <c r="I67" s="1199">
        <v>992</v>
      </c>
      <c r="J67" s="1199">
        <v>177</v>
      </c>
      <c r="K67" s="1199">
        <v>93</v>
      </c>
      <c r="L67" s="1199">
        <v>90</v>
      </c>
      <c r="M67" s="1199">
        <v>928</v>
      </c>
      <c r="N67" s="3211"/>
    </row>
    <row r="68" spans="1:14">
      <c r="A68" s="1383" t="s">
        <v>3120</v>
      </c>
      <c r="B68" s="1384">
        <v>960</v>
      </c>
      <c r="C68" s="1384">
        <v>896</v>
      </c>
      <c r="D68" s="1384">
        <v>992</v>
      </c>
      <c r="E68" s="1384">
        <v>960</v>
      </c>
      <c r="F68" s="1384">
        <v>992</v>
      </c>
      <c r="G68" s="1384">
        <v>960</v>
      </c>
      <c r="H68" s="1384">
        <v>992</v>
      </c>
      <c r="I68" s="1384">
        <v>992</v>
      </c>
      <c r="J68" s="1384">
        <v>960</v>
      </c>
      <c r="K68" s="1384">
        <v>992</v>
      </c>
      <c r="L68" s="1384">
        <v>960</v>
      </c>
      <c r="M68" s="1384">
        <v>928</v>
      </c>
      <c r="N68" s="3211"/>
    </row>
    <row r="69" spans="1:14" ht="13.8" thickBot="1">
      <c r="A69" s="1373" t="s">
        <v>3121</v>
      </c>
      <c r="B69" s="1372">
        <v>0</v>
      </c>
      <c r="C69" s="1372">
        <v>0</v>
      </c>
      <c r="D69" s="1372">
        <v>0</v>
      </c>
      <c r="E69" s="1372">
        <v>0</v>
      </c>
      <c r="F69" s="1372">
        <v>0</v>
      </c>
      <c r="G69" s="1372">
        <v>0</v>
      </c>
      <c r="H69" s="1372">
        <v>0</v>
      </c>
      <c r="I69" s="1372">
        <v>0</v>
      </c>
      <c r="J69" s="1372">
        <v>0</v>
      </c>
      <c r="K69" s="1372">
        <v>0</v>
      </c>
      <c r="L69" s="1372">
        <v>0</v>
      </c>
      <c r="M69" s="1372">
        <v>0</v>
      </c>
      <c r="N69" s="3211"/>
    </row>
    <row r="70" spans="1:14">
      <c r="A70" s="1383" t="s">
        <v>3122</v>
      </c>
      <c r="B70" s="1382">
        <v>0</v>
      </c>
      <c r="C70" s="1384">
        <v>1.42</v>
      </c>
      <c r="D70" s="1384">
        <v>0</v>
      </c>
      <c r="E70" s="1384">
        <v>0.4</v>
      </c>
      <c r="F70" s="1384">
        <v>9.76</v>
      </c>
      <c r="G70" s="1384">
        <v>0</v>
      </c>
      <c r="H70" s="1384">
        <v>0</v>
      </c>
      <c r="I70" s="1384">
        <v>0</v>
      </c>
      <c r="J70" s="1384">
        <v>0</v>
      </c>
      <c r="K70" s="1382">
        <v>3.04</v>
      </c>
      <c r="L70" s="1382">
        <v>0</v>
      </c>
      <c r="M70" s="1382">
        <v>0</v>
      </c>
      <c r="N70" s="3211"/>
    </row>
    <row r="71" spans="1:14">
      <c r="A71" s="1370" t="s">
        <v>3123</v>
      </c>
      <c r="B71" s="1199">
        <v>0</v>
      </c>
      <c r="C71" s="1199">
        <v>0</v>
      </c>
      <c r="D71" s="1199">
        <v>0</v>
      </c>
      <c r="E71" s="1199">
        <v>0</v>
      </c>
      <c r="F71" s="1199">
        <v>0</v>
      </c>
      <c r="G71" s="1199">
        <v>0</v>
      </c>
      <c r="H71" s="1199">
        <v>0</v>
      </c>
      <c r="I71" s="1199">
        <v>0</v>
      </c>
      <c r="J71" s="1199">
        <v>0</v>
      </c>
      <c r="K71" s="1199">
        <v>0</v>
      </c>
      <c r="L71" s="1199">
        <v>0</v>
      </c>
      <c r="M71" s="1199">
        <v>0</v>
      </c>
      <c r="N71" s="3211"/>
    </row>
    <row r="72" spans="1:14">
      <c r="A72" s="1383" t="s">
        <v>3124</v>
      </c>
      <c r="B72" s="1384">
        <v>0</v>
      </c>
      <c r="C72" s="1384">
        <v>0</v>
      </c>
      <c r="D72" s="1384">
        <v>0</v>
      </c>
      <c r="E72" s="1384">
        <v>0</v>
      </c>
      <c r="F72" s="1384">
        <v>0</v>
      </c>
      <c r="G72" s="1384">
        <v>0</v>
      </c>
      <c r="H72" s="1384">
        <v>0</v>
      </c>
      <c r="I72" s="1384">
        <v>992</v>
      </c>
      <c r="J72" s="1384">
        <v>960</v>
      </c>
      <c r="K72" s="1384">
        <v>992</v>
      </c>
      <c r="L72" s="1384">
        <v>960</v>
      </c>
      <c r="M72" s="1384">
        <v>928</v>
      </c>
      <c r="N72" s="3211"/>
    </row>
    <row r="73" spans="1:14">
      <c r="A73" s="1370" t="s">
        <v>3125</v>
      </c>
      <c r="B73" s="1199">
        <v>1440</v>
      </c>
      <c r="C73" s="1199">
        <v>1344</v>
      </c>
      <c r="D73" s="1199">
        <v>1488</v>
      </c>
      <c r="E73" s="1199">
        <v>1440</v>
      </c>
      <c r="F73" s="1199">
        <v>1488</v>
      </c>
      <c r="G73" s="1199">
        <v>1440</v>
      </c>
      <c r="H73" s="1199">
        <v>1488</v>
      </c>
      <c r="I73" s="1199">
        <v>2356</v>
      </c>
      <c r="J73" s="1199">
        <v>2280</v>
      </c>
      <c r="K73" s="1199">
        <v>2356</v>
      </c>
      <c r="L73" s="1199">
        <v>2280</v>
      </c>
      <c r="M73" s="1199">
        <v>2204</v>
      </c>
      <c r="N73" s="3211"/>
    </row>
    <row r="74" spans="1:14">
      <c r="A74" s="1383" t="s">
        <v>3126</v>
      </c>
      <c r="B74" s="1384">
        <v>960</v>
      </c>
      <c r="C74" s="1384">
        <v>896</v>
      </c>
      <c r="D74" s="1384">
        <v>992</v>
      </c>
      <c r="E74" s="1384">
        <v>960</v>
      </c>
      <c r="F74" s="1384">
        <v>992</v>
      </c>
      <c r="G74" s="1384">
        <v>960</v>
      </c>
      <c r="H74" s="1384">
        <v>992</v>
      </c>
      <c r="I74" s="1384">
        <v>1984</v>
      </c>
      <c r="J74" s="1384">
        <v>1920</v>
      </c>
      <c r="K74" s="1384">
        <v>1984</v>
      </c>
      <c r="L74" s="1384">
        <v>1920</v>
      </c>
      <c r="M74" s="1384">
        <v>1856</v>
      </c>
      <c r="N74" s="3211"/>
    </row>
    <row r="75" spans="1:14" ht="13.8" thickBot="1">
      <c r="A75" s="1373" t="s">
        <v>3127</v>
      </c>
      <c r="B75" s="1372">
        <v>0</v>
      </c>
      <c r="C75" s="1372">
        <v>0</v>
      </c>
      <c r="D75" s="1372">
        <v>0</v>
      </c>
      <c r="E75" s="1372">
        <v>0</v>
      </c>
      <c r="F75" s="1372">
        <v>0</v>
      </c>
      <c r="G75" s="1372">
        <v>0</v>
      </c>
      <c r="H75" s="1372">
        <v>0</v>
      </c>
      <c r="I75" s="1372">
        <v>0</v>
      </c>
      <c r="J75" s="1372">
        <v>0</v>
      </c>
      <c r="K75" s="1372">
        <v>9</v>
      </c>
      <c r="L75" s="1372">
        <v>0</v>
      </c>
      <c r="M75" s="1372">
        <v>0</v>
      </c>
      <c r="N75" s="3211"/>
    </row>
    <row r="76" spans="1:14">
      <c r="A76" s="1381" t="s">
        <v>3128</v>
      </c>
      <c r="B76" s="1382">
        <v>51.76</v>
      </c>
      <c r="C76" s="1382">
        <v>75.45</v>
      </c>
      <c r="D76" s="1382">
        <v>63.5</v>
      </c>
      <c r="E76" s="1382">
        <v>50.38</v>
      </c>
      <c r="F76" s="1382">
        <v>90.54</v>
      </c>
      <c r="G76" s="1384">
        <v>4689</v>
      </c>
      <c r="H76" s="1384">
        <v>60</v>
      </c>
      <c r="I76" s="1382">
        <v>51.73</v>
      </c>
      <c r="J76" s="1382">
        <v>56.440000000000012</v>
      </c>
      <c r="K76" s="1382">
        <v>53.877916666666664</v>
      </c>
      <c r="L76" s="1382">
        <v>54.17</v>
      </c>
      <c r="M76" s="1382">
        <v>50.85</v>
      </c>
      <c r="N76" s="3211"/>
    </row>
    <row r="77" spans="1:14">
      <c r="A77" s="1370" t="s">
        <v>3129</v>
      </c>
      <c r="B77" s="1199">
        <v>0</v>
      </c>
      <c r="C77" s="1199">
        <v>0</v>
      </c>
      <c r="D77" s="1199">
        <v>0</v>
      </c>
      <c r="E77" s="1199">
        <v>0</v>
      </c>
      <c r="F77" s="1199">
        <v>0</v>
      </c>
      <c r="G77" s="1199">
        <v>0</v>
      </c>
      <c r="H77" s="1199">
        <v>0</v>
      </c>
      <c r="I77" s="1199">
        <v>0</v>
      </c>
      <c r="J77" s="1199">
        <v>0</v>
      </c>
      <c r="K77" s="1199">
        <v>0</v>
      </c>
      <c r="L77" s="1199">
        <v>0</v>
      </c>
      <c r="M77" s="1199">
        <v>0</v>
      </c>
      <c r="N77" s="3211"/>
    </row>
    <row r="78" spans="1:14">
      <c r="A78" s="1383" t="s">
        <v>3130</v>
      </c>
      <c r="B78" s="1384">
        <v>0</v>
      </c>
      <c r="C78" s="1384">
        <v>0</v>
      </c>
      <c r="D78" s="1384">
        <v>0</v>
      </c>
      <c r="E78" s="1384">
        <v>0</v>
      </c>
      <c r="F78" s="1384">
        <v>0</v>
      </c>
      <c r="G78" s="1384">
        <v>0</v>
      </c>
      <c r="H78" s="1384">
        <v>992</v>
      </c>
      <c r="I78" s="1384">
        <v>1488</v>
      </c>
      <c r="J78" s="1384">
        <v>1440</v>
      </c>
      <c r="K78" s="1384">
        <v>1488</v>
      </c>
      <c r="L78" s="1384">
        <v>1440</v>
      </c>
      <c r="M78" s="1384">
        <v>1392</v>
      </c>
      <c r="N78" s="3211"/>
    </row>
    <row r="79" spans="1:14">
      <c r="A79" s="1370" t="s">
        <v>3131</v>
      </c>
      <c r="B79" s="1199">
        <v>1440</v>
      </c>
      <c r="C79" s="1199">
        <v>1344</v>
      </c>
      <c r="D79" s="1199">
        <v>1488</v>
      </c>
      <c r="E79" s="1199">
        <v>1440</v>
      </c>
      <c r="F79" s="1199">
        <v>1488</v>
      </c>
      <c r="G79" s="1199">
        <v>1440</v>
      </c>
      <c r="H79" s="1199">
        <v>2356</v>
      </c>
      <c r="I79" s="1199">
        <v>992</v>
      </c>
      <c r="J79" s="1199">
        <v>960</v>
      </c>
      <c r="K79" s="1199">
        <v>992</v>
      </c>
      <c r="L79" s="1199">
        <v>960</v>
      </c>
      <c r="M79" s="1199">
        <v>928</v>
      </c>
      <c r="N79" s="3211"/>
    </row>
    <row r="80" spans="1:14">
      <c r="A80" s="1383" t="s">
        <v>3132</v>
      </c>
      <c r="B80" s="1384">
        <v>960</v>
      </c>
      <c r="C80" s="1384">
        <v>896</v>
      </c>
      <c r="D80" s="1384">
        <v>992</v>
      </c>
      <c r="E80" s="1384">
        <v>960</v>
      </c>
      <c r="F80" s="1384">
        <v>992</v>
      </c>
      <c r="G80" s="1384">
        <v>960</v>
      </c>
      <c r="H80" s="1384">
        <v>1984</v>
      </c>
      <c r="I80" s="1384">
        <v>992</v>
      </c>
      <c r="J80" s="1384">
        <v>960</v>
      </c>
      <c r="K80" s="1384">
        <v>992</v>
      </c>
      <c r="L80" s="1384">
        <v>960</v>
      </c>
      <c r="M80" s="1384">
        <v>928</v>
      </c>
      <c r="N80" s="3211"/>
    </row>
    <row r="81" spans="1:14" ht="13.8" thickBot="1">
      <c r="A81" s="1373" t="s">
        <v>3133</v>
      </c>
      <c r="B81" s="1372">
        <v>0</v>
      </c>
      <c r="C81" s="1372">
        <v>0</v>
      </c>
      <c r="D81" s="1372">
        <v>0</v>
      </c>
      <c r="E81" s="1372">
        <v>0</v>
      </c>
      <c r="F81" s="1372">
        <v>0</v>
      </c>
      <c r="G81" s="1372">
        <v>0</v>
      </c>
      <c r="H81" s="1372">
        <v>0</v>
      </c>
      <c r="I81" s="1372">
        <v>0</v>
      </c>
      <c r="J81" s="1372">
        <v>0</v>
      </c>
      <c r="K81" s="1372">
        <v>0</v>
      </c>
      <c r="L81" s="1372">
        <v>0</v>
      </c>
      <c r="M81" s="1372">
        <v>0</v>
      </c>
      <c r="N81" s="3211"/>
    </row>
    <row r="82" spans="1:14">
      <c r="A82" s="1381" t="s">
        <v>3134</v>
      </c>
      <c r="B82" s="1382">
        <v>0.22</v>
      </c>
      <c r="C82" s="1382">
        <v>7.67</v>
      </c>
      <c r="D82" s="1382">
        <v>0.37</v>
      </c>
      <c r="E82" s="1382">
        <v>0</v>
      </c>
      <c r="F82" s="1382">
        <v>0</v>
      </c>
      <c r="G82" s="1384">
        <v>0.22</v>
      </c>
      <c r="H82" s="1384">
        <v>6.55</v>
      </c>
      <c r="I82" s="1382">
        <v>0</v>
      </c>
      <c r="J82" s="1382">
        <v>0</v>
      </c>
      <c r="K82" s="1382">
        <v>0</v>
      </c>
      <c r="L82" s="1382">
        <v>0</v>
      </c>
      <c r="M82" s="1382">
        <v>17.61</v>
      </c>
      <c r="N82" s="3211"/>
    </row>
    <row r="83" spans="1:14">
      <c r="A83" s="1370" t="s">
        <v>3135</v>
      </c>
      <c r="B83" s="1199">
        <v>0</v>
      </c>
      <c r="C83" s="1199">
        <v>0</v>
      </c>
      <c r="D83" s="1199">
        <v>0</v>
      </c>
      <c r="E83" s="1199">
        <v>0</v>
      </c>
      <c r="F83" s="1199">
        <v>0</v>
      </c>
      <c r="G83" s="1199">
        <v>0</v>
      </c>
      <c r="H83" s="1199">
        <v>0</v>
      </c>
      <c r="I83" s="1199">
        <v>0</v>
      </c>
      <c r="J83" s="1199">
        <v>0</v>
      </c>
      <c r="K83" s="1199">
        <v>0</v>
      </c>
      <c r="L83" s="1199">
        <v>0</v>
      </c>
      <c r="M83" s="1199">
        <v>0</v>
      </c>
      <c r="N83" s="3211"/>
    </row>
    <row r="84" spans="1:14">
      <c r="A84" s="1383" t="s">
        <v>3136</v>
      </c>
      <c r="B84" s="1384">
        <v>720</v>
      </c>
      <c r="C84" s="1384">
        <v>672</v>
      </c>
      <c r="D84" s="1384">
        <v>744</v>
      </c>
      <c r="E84" s="1384">
        <v>720</v>
      </c>
      <c r="F84" s="1384">
        <v>744</v>
      </c>
      <c r="G84" s="1384">
        <v>720</v>
      </c>
      <c r="H84" s="1384">
        <v>992</v>
      </c>
      <c r="I84" s="1384">
        <v>0</v>
      </c>
      <c r="J84" s="1384">
        <v>0</v>
      </c>
      <c r="K84" s="1384">
        <v>0</v>
      </c>
      <c r="L84" s="1384">
        <v>0</v>
      </c>
      <c r="M84" s="1384">
        <v>0</v>
      </c>
      <c r="N84" s="3211"/>
    </row>
    <row r="85" spans="1:14">
      <c r="A85" s="1370" t="s">
        <v>3137</v>
      </c>
      <c r="B85" s="1199">
        <v>1440</v>
      </c>
      <c r="C85" s="1199">
        <v>1344</v>
      </c>
      <c r="D85" s="1199">
        <v>1488</v>
      </c>
      <c r="E85" s="1199">
        <v>1440</v>
      </c>
      <c r="F85" s="1199">
        <v>1488</v>
      </c>
      <c r="G85" s="1199">
        <v>1440</v>
      </c>
      <c r="H85" s="1199">
        <v>2356</v>
      </c>
      <c r="I85" s="1199">
        <v>1488</v>
      </c>
      <c r="J85" s="1199">
        <v>1440</v>
      </c>
      <c r="K85" s="1199">
        <v>1488</v>
      </c>
      <c r="L85" s="1199">
        <v>1440</v>
      </c>
      <c r="M85" s="1199">
        <v>1392</v>
      </c>
      <c r="N85" s="3211"/>
    </row>
    <row r="86" spans="1:14">
      <c r="A86" s="1383" t="s">
        <v>3138</v>
      </c>
      <c r="B86" s="1384">
        <v>960</v>
      </c>
      <c r="C86" s="1384">
        <v>896</v>
      </c>
      <c r="D86" s="1384">
        <v>992</v>
      </c>
      <c r="E86" s="1384">
        <v>960</v>
      </c>
      <c r="F86" s="1384">
        <v>992</v>
      </c>
      <c r="G86" s="1384">
        <v>960</v>
      </c>
      <c r="H86" s="1384">
        <v>1984</v>
      </c>
      <c r="I86" s="1384">
        <v>992</v>
      </c>
      <c r="J86" s="1384">
        <v>960</v>
      </c>
      <c r="K86" s="1384">
        <v>992</v>
      </c>
      <c r="L86" s="1384">
        <v>960</v>
      </c>
      <c r="M86" s="1384">
        <v>928</v>
      </c>
      <c r="N86" s="3211"/>
    </row>
    <row r="87" spans="1:14" ht="13.8" thickBot="1">
      <c r="A87" s="1373" t="s">
        <v>3139</v>
      </c>
      <c r="B87" s="1372">
        <v>0</v>
      </c>
      <c r="C87" s="1372">
        <v>0</v>
      </c>
      <c r="D87" s="1372">
        <v>0</v>
      </c>
      <c r="E87" s="1372">
        <v>0</v>
      </c>
      <c r="F87" s="1372">
        <v>0</v>
      </c>
      <c r="G87" s="1372">
        <v>0</v>
      </c>
      <c r="H87" s="1372">
        <v>0</v>
      </c>
      <c r="I87" s="1372">
        <v>0</v>
      </c>
      <c r="J87" s="1372">
        <v>0</v>
      </c>
      <c r="K87" s="1372">
        <v>0</v>
      </c>
      <c r="L87" s="1372">
        <v>0</v>
      </c>
      <c r="M87" s="1372">
        <v>0</v>
      </c>
      <c r="N87" s="3211"/>
    </row>
    <row r="88" spans="1:14">
      <c r="A88" s="1381" t="s">
        <v>3140</v>
      </c>
      <c r="B88" s="1382">
        <v>0</v>
      </c>
      <c r="C88" s="1382">
        <v>0</v>
      </c>
      <c r="D88" s="1382">
        <v>0</v>
      </c>
      <c r="E88" s="1382">
        <v>0</v>
      </c>
      <c r="F88" s="1382">
        <v>0</v>
      </c>
      <c r="G88" s="1384">
        <v>0</v>
      </c>
      <c r="H88" s="1384">
        <v>0</v>
      </c>
      <c r="I88" s="1382">
        <v>0</v>
      </c>
      <c r="J88" s="1382">
        <v>0</v>
      </c>
      <c r="K88" s="1382">
        <v>0</v>
      </c>
      <c r="L88" s="1382">
        <v>0</v>
      </c>
      <c r="M88" s="1382">
        <v>0</v>
      </c>
      <c r="N88" s="3211"/>
    </row>
    <row r="89" spans="1:14">
      <c r="A89" s="1370" t="s">
        <v>3141</v>
      </c>
      <c r="B89" s="1199">
        <v>0</v>
      </c>
      <c r="C89" s="1199">
        <v>0</v>
      </c>
      <c r="D89" s="1199">
        <v>0</v>
      </c>
      <c r="E89" s="1199">
        <v>0</v>
      </c>
      <c r="F89" s="1199">
        <v>0</v>
      </c>
      <c r="G89" s="1199">
        <v>0</v>
      </c>
      <c r="H89" s="1199">
        <v>0</v>
      </c>
      <c r="I89" s="1199">
        <v>0</v>
      </c>
      <c r="J89" s="1199">
        <v>0</v>
      </c>
      <c r="K89" s="1199">
        <v>0</v>
      </c>
      <c r="L89" s="1199">
        <v>0</v>
      </c>
      <c r="M89" s="1199">
        <v>0</v>
      </c>
      <c r="N89" s="3211"/>
    </row>
    <row r="90" spans="1:14">
      <c r="A90" s="1383" t="s">
        <v>3142</v>
      </c>
      <c r="B90" s="1384">
        <v>960</v>
      </c>
      <c r="C90" s="1384">
        <v>896</v>
      </c>
      <c r="D90" s="1384">
        <v>992</v>
      </c>
      <c r="E90" s="1384">
        <v>960</v>
      </c>
      <c r="F90" s="1384">
        <v>992</v>
      </c>
      <c r="G90" s="1384">
        <v>960</v>
      </c>
      <c r="H90" s="1384">
        <v>992</v>
      </c>
      <c r="I90" s="1384">
        <v>992</v>
      </c>
      <c r="J90" s="1384">
        <v>960</v>
      </c>
      <c r="K90" s="1384">
        <v>992</v>
      </c>
      <c r="L90" s="1384">
        <v>960</v>
      </c>
      <c r="M90" s="1384">
        <v>928</v>
      </c>
      <c r="N90" s="3211"/>
    </row>
    <row r="91" spans="1:14">
      <c r="A91" s="1370" t="s">
        <v>3143</v>
      </c>
      <c r="B91" s="1199">
        <v>2280</v>
      </c>
      <c r="C91" s="1199">
        <v>2128</v>
      </c>
      <c r="D91" s="1199">
        <v>2356</v>
      </c>
      <c r="E91" s="1199">
        <v>2280</v>
      </c>
      <c r="F91" s="1199">
        <v>2356</v>
      </c>
      <c r="G91" s="1199">
        <v>2280</v>
      </c>
      <c r="H91" s="1199">
        <v>2356</v>
      </c>
      <c r="I91" s="1199">
        <v>2356</v>
      </c>
      <c r="J91" s="1199">
        <v>2280</v>
      </c>
      <c r="K91" s="1199">
        <v>2356</v>
      </c>
      <c r="L91" s="1199">
        <v>2280</v>
      </c>
      <c r="M91" s="1199">
        <v>2204</v>
      </c>
      <c r="N91" s="3211"/>
    </row>
    <row r="92" spans="1:14">
      <c r="A92" s="1383" t="s">
        <v>3144</v>
      </c>
      <c r="B92" s="1384">
        <v>1920</v>
      </c>
      <c r="C92" s="1384">
        <v>1792</v>
      </c>
      <c r="D92" s="1384">
        <v>1984</v>
      </c>
      <c r="E92" s="1384">
        <v>1920</v>
      </c>
      <c r="F92" s="1384">
        <v>1714</v>
      </c>
      <c r="G92" s="1384">
        <v>1920</v>
      </c>
      <c r="H92" s="1384">
        <v>1984</v>
      </c>
      <c r="I92" s="1384">
        <v>1984</v>
      </c>
      <c r="J92" s="1384">
        <v>1920</v>
      </c>
      <c r="K92" s="1384">
        <v>1984</v>
      </c>
      <c r="L92" s="1384">
        <v>1920</v>
      </c>
      <c r="M92" s="1384">
        <v>1856</v>
      </c>
      <c r="N92" s="3211"/>
    </row>
    <row r="93" spans="1:14" ht="13.8" thickBot="1">
      <c r="A93" s="1373" t="s">
        <v>3145</v>
      </c>
      <c r="B93" s="1372">
        <v>0</v>
      </c>
      <c r="C93" s="1372">
        <v>0</v>
      </c>
      <c r="D93" s="1372">
        <v>0</v>
      </c>
      <c r="E93" s="1372">
        <v>0</v>
      </c>
      <c r="F93" s="1372">
        <v>0</v>
      </c>
      <c r="G93" s="1372">
        <v>0</v>
      </c>
      <c r="H93" s="1372">
        <v>0</v>
      </c>
      <c r="I93" s="1372">
        <v>0</v>
      </c>
      <c r="J93" s="1372">
        <v>0</v>
      </c>
      <c r="K93" s="1372">
        <v>0</v>
      </c>
      <c r="L93" s="1372">
        <v>0</v>
      </c>
      <c r="M93" s="1372">
        <v>0</v>
      </c>
      <c r="N93" s="3211"/>
    </row>
    <row r="94" spans="1:14">
      <c r="A94" s="1381" t="s">
        <v>3146</v>
      </c>
      <c r="B94" s="1382">
        <v>180.64</v>
      </c>
      <c r="C94" s="1382">
        <v>211.16</v>
      </c>
      <c r="D94" s="1382">
        <v>248.8</v>
      </c>
      <c r="E94" s="1382">
        <v>256.85000000000002</v>
      </c>
      <c r="F94" s="1382">
        <v>328.84</v>
      </c>
      <c r="G94" s="1382">
        <v>284.11</v>
      </c>
      <c r="H94" s="1382">
        <v>281.18</v>
      </c>
      <c r="I94" s="1382">
        <v>114.25</v>
      </c>
      <c r="J94" s="1382">
        <v>119.92</v>
      </c>
      <c r="K94" s="1382">
        <v>161.73000000000002</v>
      </c>
      <c r="L94" s="1382">
        <v>154.06</v>
      </c>
      <c r="M94" s="1382">
        <v>251.49</v>
      </c>
      <c r="N94" s="3211"/>
    </row>
    <row r="95" spans="1:14">
      <c r="A95" s="1370" t="s">
        <v>3147</v>
      </c>
      <c r="B95" s="1199">
        <v>275</v>
      </c>
      <c r="C95" s="1199">
        <v>184.2</v>
      </c>
      <c r="D95" s="1199">
        <v>620.25</v>
      </c>
      <c r="E95" s="1199">
        <v>389.85</v>
      </c>
      <c r="F95" s="1199">
        <v>187.24</v>
      </c>
      <c r="G95" s="1199">
        <v>222.2</v>
      </c>
      <c r="H95" s="1199">
        <v>257.36</v>
      </c>
      <c r="I95" s="1199">
        <v>161.25</v>
      </c>
      <c r="J95" s="1199">
        <v>109.39999999999999</v>
      </c>
      <c r="K95" s="1199">
        <v>78.650000000000006</v>
      </c>
      <c r="L95" s="1199">
        <v>124.80000000000001</v>
      </c>
      <c r="M95" s="1199">
        <v>177.35</v>
      </c>
      <c r="N95" s="3211"/>
    </row>
    <row r="96" spans="1:14">
      <c r="A96" s="1383" t="s">
        <v>3148</v>
      </c>
      <c r="B96" s="1384">
        <v>1488</v>
      </c>
      <c r="C96" s="1384">
        <v>1344</v>
      </c>
      <c r="D96" s="1384">
        <v>1488</v>
      </c>
      <c r="E96" s="1384">
        <v>1488</v>
      </c>
      <c r="F96" s="1384">
        <v>1488</v>
      </c>
      <c r="G96" s="1384">
        <v>1440</v>
      </c>
      <c r="H96" s="1384">
        <v>1500</v>
      </c>
      <c r="I96" s="1384">
        <v>1488</v>
      </c>
      <c r="J96" s="1384">
        <v>1440</v>
      </c>
      <c r="K96" s="1384">
        <v>1488</v>
      </c>
      <c r="L96" s="1384">
        <v>1440</v>
      </c>
      <c r="M96" s="1384">
        <v>1488</v>
      </c>
      <c r="N96" s="3211"/>
    </row>
    <row r="97" spans="1:14">
      <c r="A97" s="1370" t="s">
        <v>3149</v>
      </c>
      <c r="B97" s="1199">
        <v>992</v>
      </c>
      <c r="C97" s="1199">
        <v>896</v>
      </c>
      <c r="D97" s="1199">
        <v>992</v>
      </c>
      <c r="E97" s="1199">
        <v>1120</v>
      </c>
      <c r="F97" s="1199">
        <v>992</v>
      </c>
      <c r="G97" s="1199">
        <v>960</v>
      </c>
      <c r="H97" s="1199">
        <v>1052</v>
      </c>
      <c r="I97" s="1199">
        <v>992</v>
      </c>
      <c r="J97" s="1199">
        <v>960</v>
      </c>
      <c r="K97" s="1199">
        <v>992</v>
      </c>
      <c r="L97" s="1199">
        <v>960</v>
      </c>
      <c r="M97" s="1199">
        <v>992</v>
      </c>
      <c r="N97" s="3211"/>
    </row>
    <row r="98" spans="1:14">
      <c r="A98" s="1383" t="s">
        <v>3150</v>
      </c>
      <c r="B98" s="1384">
        <v>992</v>
      </c>
      <c r="C98" s="1384">
        <v>896</v>
      </c>
      <c r="D98" s="1384">
        <v>992</v>
      </c>
      <c r="E98" s="1384">
        <v>1152</v>
      </c>
      <c r="F98" s="1384">
        <v>992</v>
      </c>
      <c r="G98" s="1384">
        <v>43.44</v>
      </c>
      <c r="H98" s="1384">
        <v>1040</v>
      </c>
      <c r="I98" s="1384">
        <v>992</v>
      </c>
      <c r="J98" s="1384">
        <v>960</v>
      </c>
      <c r="K98" s="1384">
        <v>1712</v>
      </c>
      <c r="L98" s="1384">
        <v>2400</v>
      </c>
      <c r="M98" s="1384">
        <v>2480</v>
      </c>
      <c r="N98" s="3211"/>
    </row>
    <row r="99" spans="1:14" ht="13.8" thickBot="1">
      <c r="A99" s="1373" t="s">
        <v>3151</v>
      </c>
      <c r="B99" s="1372">
        <v>18.7</v>
      </c>
      <c r="C99" s="1372">
        <v>4</v>
      </c>
      <c r="D99" s="1372">
        <v>16.45</v>
      </c>
      <c r="E99" s="1372">
        <v>2.5</v>
      </c>
      <c r="F99" s="1372">
        <v>42.25</v>
      </c>
      <c r="G99" s="1372">
        <v>42.25</v>
      </c>
      <c r="H99" s="1372">
        <v>46</v>
      </c>
      <c r="I99" s="1372">
        <v>41.5</v>
      </c>
      <c r="J99" s="1372">
        <v>37.299999999999997</v>
      </c>
      <c r="K99" s="1372">
        <v>42.5</v>
      </c>
      <c r="L99" s="1372">
        <v>81</v>
      </c>
      <c r="M99" s="1372">
        <v>41</v>
      </c>
      <c r="N99" s="3211"/>
    </row>
    <row r="100" spans="1:14">
      <c r="A100" s="1367" t="s">
        <v>3152</v>
      </c>
      <c r="B100" s="1368">
        <v>229.9</v>
      </c>
      <c r="C100" s="1368">
        <v>192.3</v>
      </c>
      <c r="D100" s="1368">
        <v>238.4</v>
      </c>
      <c r="E100" s="1368">
        <v>120.5</v>
      </c>
      <c r="F100" s="1368">
        <v>110.49</v>
      </c>
      <c r="G100" s="1368">
        <v>90.15</v>
      </c>
      <c r="H100" s="1368">
        <v>188.85</v>
      </c>
      <c r="I100" s="1368">
        <v>130</v>
      </c>
      <c r="J100" s="1368">
        <v>104.3</v>
      </c>
      <c r="K100" s="1199">
        <v>112.904</v>
      </c>
      <c r="L100" s="1199">
        <v>53.95</v>
      </c>
      <c r="M100" s="1199">
        <v>111.63000000000001</v>
      </c>
      <c r="N100" s="3211"/>
    </row>
    <row r="101" spans="1:14">
      <c r="A101" s="1383" t="s">
        <v>3153</v>
      </c>
      <c r="B101" s="1384">
        <v>313.25</v>
      </c>
      <c r="C101" s="1384">
        <v>175.6</v>
      </c>
      <c r="D101" s="1384">
        <v>338.09</v>
      </c>
      <c r="E101" s="1384">
        <v>515.99</v>
      </c>
      <c r="F101" s="1384">
        <v>291.57</v>
      </c>
      <c r="G101" s="1384">
        <v>310.27000000000004</v>
      </c>
      <c r="H101" s="1384">
        <v>252.29</v>
      </c>
      <c r="I101" s="1384">
        <v>224.7</v>
      </c>
      <c r="J101" s="1384">
        <v>390.01</v>
      </c>
      <c r="K101" s="1384">
        <v>182.1</v>
      </c>
      <c r="L101" s="1384">
        <v>257.61</v>
      </c>
      <c r="M101" s="1384">
        <v>262.62</v>
      </c>
      <c r="N101" s="3211"/>
    </row>
    <row r="102" spans="1:14">
      <c r="A102" s="1370" t="s">
        <v>3154</v>
      </c>
      <c r="B102" s="1199">
        <v>1488</v>
      </c>
      <c r="C102" s="1199">
        <v>1344</v>
      </c>
      <c r="D102" s="1199">
        <v>1488</v>
      </c>
      <c r="E102" s="1199">
        <v>1440</v>
      </c>
      <c r="F102" s="1199">
        <v>1488</v>
      </c>
      <c r="G102" s="1199">
        <v>1440</v>
      </c>
      <c r="H102" s="1199">
        <v>1488</v>
      </c>
      <c r="I102" s="1199">
        <v>1488</v>
      </c>
      <c r="J102" s="1199">
        <v>1440</v>
      </c>
      <c r="K102" s="1199">
        <v>1488</v>
      </c>
      <c r="L102" s="1199">
        <v>1296</v>
      </c>
      <c r="M102" s="1199">
        <v>1488</v>
      </c>
      <c r="N102" s="3211"/>
    </row>
    <row r="103" spans="1:14">
      <c r="A103" s="1383" t="s">
        <v>3155</v>
      </c>
      <c r="B103" s="1384">
        <v>992</v>
      </c>
      <c r="C103" s="1384">
        <v>896</v>
      </c>
      <c r="D103" s="1384">
        <v>992</v>
      </c>
      <c r="E103" s="1384">
        <v>960</v>
      </c>
      <c r="F103" s="1384">
        <v>992</v>
      </c>
      <c r="G103" s="1384">
        <v>960</v>
      </c>
      <c r="H103" s="1384">
        <v>992</v>
      </c>
      <c r="I103" s="1384">
        <v>992</v>
      </c>
      <c r="J103" s="1384">
        <v>1152</v>
      </c>
      <c r="K103" s="1384">
        <v>992</v>
      </c>
      <c r="L103" s="1384">
        <v>960</v>
      </c>
      <c r="M103" s="1384">
        <v>992</v>
      </c>
      <c r="N103" s="3211"/>
    </row>
    <row r="104" spans="1:14">
      <c r="A104" s="1370" t="s">
        <v>3156</v>
      </c>
      <c r="B104" s="1199">
        <v>992</v>
      </c>
      <c r="C104" s="1199">
        <v>896</v>
      </c>
      <c r="D104" s="1199">
        <v>992</v>
      </c>
      <c r="E104" s="1199">
        <v>960</v>
      </c>
      <c r="F104" s="1199">
        <v>992</v>
      </c>
      <c r="G104" s="1199">
        <v>960</v>
      </c>
      <c r="H104" s="1199">
        <v>992</v>
      </c>
      <c r="I104" s="1199">
        <v>992</v>
      </c>
      <c r="J104" s="1199">
        <v>960</v>
      </c>
      <c r="K104" s="1199">
        <v>992</v>
      </c>
      <c r="L104" s="1199">
        <v>960</v>
      </c>
      <c r="M104" s="1199">
        <v>992</v>
      </c>
      <c r="N104" s="3211"/>
    </row>
    <row r="105" spans="1:14" ht="13.8" thickBot="1">
      <c r="A105" s="1385" t="s">
        <v>3157</v>
      </c>
      <c r="B105" s="1386">
        <v>5</v>
      </c>
      <c r="C105" s="1386">
        <v>9</v>
      </c>
      <c r="D105" s="1386">
        <v>17.3</v>
      </c>
      <c r="E105" s="1386">
        <v>20</v>
      </c>
      <c r="F105" s="1386">
        <v>2</v>
      </c>
      <c r="G105" s="1386">
        <v>2</v>
      </c>
      <c r="H105" s="1386">
        <v>31.71</v>
      </c>
      <c r="I105" s="1386">
        <v>29.6</v>
      </c>
      <c r="J105" s="1386">
        <v>34.96</v>
      </c>
      <c r="K105" s="1386">
        <v>33</v>
      </c>
      <c r="L105" s="1386">
        <v>31.3</v>
      </c>
      <c r="M105" s="1386">
        <v>23</v>
      </c>
      <c r="N105" s="3211"/>
    </row>
    <row r="106" spans="1:14">
      <c r="A106" s="1367" t="s">
        <v>3158</v>
      </c>
      <c r="B106" s="1368">
        <v>255.52</v>
      </c>
      <c r="C106" s="1368">
        <v>259.2</v>
      </c>
      <c r="D106" s="1368">
        <v>205.6</v>
      </c>
      <c r="E106" s="1368">
        <v>253.1</v>
      </c>
      <c r="F106" s="1368">
        <v>204.44</v>
      </c>
      <c r="G106" s="1368">
        <v>375.25000000000006</v>
      </c>
      <c r="H106" s="1368">
        <v>345.36</v>
      </c>
      <c r="I106" s="1368">
        <v>285.2</v>
      </c>
      <c r="J106" s="1368">
        <v>275.25</v>
      </c>
      <c r="K106" s="1199">
        <v>283.09999999999997</v>
      </c>
      <c r="L106" s="1199">
        <v>195.96</v>
      </c>
      <c r="M106" s="1199">
        <v>202.19000000000003</v>
      </c>
      <c r="N106" s="3211"/>
    </row>
    <row r="107" spans="1:14">
      <c r="A107" s="1383" t="s">
        <v>3159</v>
      </c>
      <c r="B107" s="1384">
        <v>156.71</v>
      </c>
      <c r="C107" s="1384">
        <v>100.85</v>
      </c>
      <c r="D107" s="1384">
        <v>128.80000000000001</v>
      </c>
      <c r="E107" s="1384">
        <v>365.84</v>
      </c>
      <c r="F107" s="1384">
        <v>240.95</v>
      </c>
      <c r="G107" s="1384">
        <v>346.69</v>
      </c>
      <c r="H107" s="1384">
        <v>453.35</v>
      </c>
      <c r="I107" s="1384">
        <v>333.65</v>
      </c>
      <c r="J107" s="1384">
        <v>172.09</v>
      </c>
      <c r="K107" s="1384">
        <v>92.7</v>
      </c>
      <c r="L107" s="1384">
        <v>82.02</v>
      </c>
      <c r="M107" s="1384">
        <v>119.53999999999999</v>
      </c>
      <c r="N107" s="3211"/>
    </row>
    <row r="108" spans="1:14">
      <c r="A108" s="1370" t="s">
        <v>3160</v>
      </c>
      <c r="B108" s="1199">
        <v>1488</v>
      </c>
      <c r="C108" s="1199">
        <v>1344</v>
      </c>
      <c r="D108" s="1199">
        <v>1488</v>
      </c>
      <c r="E108" s="1199">
        <v>1800</v>
      </c>
      <c r="F108" s="1199">
        <v>1860</v>
      </c>
      <c r="G108" s="1199">
        <v>1800</v>
      </c>
      <c r="H108" s="1199">
        <v>1860</v>
      </c>
      <c r="I108" s="1199">
        <v>1524</v>
      </c>
      <c r="J108" s="1199">
        <v>1440</v>
      </c>
      <c r="K108" s="1199">
        <v>1488</v>
      </c>
      <c r="L108" s="1199">
        <v>1440</v>
      </c>
      <c r="M108" s="1199">
        <v>1488</v>
      </c>
      <c r="N108" s="3211"/>
    </row>
    <row r="109" spans="1:14">
      <c r="A109" s="1383" t="s">
        <v>3162</v>
      </c>
      <c r="B109" s="1384">
        <v>992</v>
      </c>
      <c r="C109" s="1384">
        <v>896</v>
      </c>
      <c r="D109" s="1384">
        <v>1488</v>
      </c>
      <c r="E109" s="1384">
        <v>1800</v>
      </c>
      <c r="F109" s="1384">
        <v>1860</v>
      </c>
      <c r="G109" s="1384">
        <v>1800</v>
      </c>
      <c r="H109" s="1384">
        <v>1860</v>
      </c>
      <c r="I109" s="1384">
        <v>1076</v>
      </c>
      <c r="J109" s="1384">
        <v>960</v>
      </c>
      <c r="K109" s="1384">
        <v>992</v>
      </c>
      <c r="L109" s="1384">
        <v>960</v>
      </c>
      <c r="M109" s="1384">
        <v>992</v>
      </c>
      <c r="N109" s="3211"/>
    </row>
    <row r="110" spans="1:14">
      <c r="A110" s="1370" t="s">
        <v>3163</v>
      </c>
      <c r="B110" s="1199">
        <v>1240</v>
      </c>
      <c r="C110" s="1199">
        <v>1120</v>
      </c>
      <c r="D110" s="1199">
        <v>1240</v>
      </c>
      <c r="E110" s="1199">
        <v>2400</v>
      </c>
      <c r="F110" s="1199">
        <v>2480</v>
      </c>
      <c r="G110" s="1199">
        <v>2400</v>
      </c>
      <c r="H110" s="1199">
        <v>2480</v>
      </c>
      <c r="I110" s="1199">
        <v>1136</v>
      </c>
      <c r="J110" s="1199">
        <v>132.65</v>
      </c>
      <c r="K110" s="1199">
        <v>986</v>
      </c>
      <c r="L110" s="1199">
        <v>960</v>
      </c>
      <c r="M110" s="1199">
        <v>992</v>
      </c>
      <c r="N110" s="3211"/>
    </row>
    <row r="111" spans="1:14" ht="13.8" thickBot="1">
      <c r="A111" s="1383" t="s">
        <v>3164</v>
      </c>
      <c r="B111" s="1384">
        <v>39.299999999999997</v>
      </c>
      <c r="C111" s="1384">
        <v>60.1</v>
      </c>
      <c r="D111" s="1384">
        <v>47.8</v>
      </c>
      <c r="E111" s="1384">
        <v>4192</v>
      </c>
      <c r="F111" s="1384">
        <v>130.88999999999999</v>
      </c>
      <c r="G111" s="1384">
        <v>138.97999999999999</v>
      </c>
      <c r="H111" s="1384">
        <v>167.47</v>
      </c>
      <c r="I111" s="1384">
        <v>204.64</v>
      </c>
      <c r="J111" s="1384">
        <v>204.64</v>
      </c>
      <c r="K111" s="1384">
        <v>135.45999999999998</v>
      </c>
      <c r="L111" s="1384">
        <v>151</v>
      </c>
      <c r="M111" s="1384">
        <v>134.32999999999998</v>
      </c>
      <c r="N111" s="3211"/>
    </row>
    <row r="112" spans="1:14">
      <c r="A112" s="1367" t="s">
        <v>3165</v>
      </c>
      <c r="B112" s="1368">
        <v>5</v>
      </c>
      <c r="C112" s="1368">
        <v>16</v>
      </c>
      <c r="D112" s="1368">
        <v>33.020000000000003</v>
      </c>
      <c r="E112" s="1368">
        <v>23.37</v>
      </c>
      <c r="F112" s="1368">
        <v>27.07</v>
      </c>
      <c r="G112" s="1368">
        <v>48.55</v>
      </c>
      <c r="H112" s="1368">
        <v>42.730000000000004</v>
      </c>
      <c r="I112" s="1368">
        <v>33.299999999999997</v>
      </c>
      <c r="J112" s="1368">
        <v>88.3</v>
      </c>
      <c r="K112" s="1368">
        <v>3.3</v>
      </c>
      <c r="L112" s="1368">
        <v>11</v>
      </c>
      <c r="M112" s="1368">
        <v>47.66</v>
      </c>
      <c r="N112" s="3211"/>
    </row>
    <row r="113" spans="1:15">
      <c r="A113" s="1383" t="s">
        <v>3166</v>
      </c>
      <c r="B113" s="1384">
        <v>14</v>
      </c>
      <c r="C113" s="1384">
        <v>8</v>
      </c>
      <c r="D113" s="1384">
        <v>16</v>
      </c>
      <c r="E113" s="1384">
        <v>9</v>
      </c>
      <c r="F113" s="1384">
        <v>3</v>
      </c>
      <c r="G113" s="1384">
        <v>0</v>
      </c>
      <c r="H113" s="1384">
        <v>10</v>
      </c>
      <c r="I113" s="1384">
        <v>7</v>
      </c>
      <c r="J113" s="1384">
        <v>0</v>
      </c>
      <c r="K113" s="1384">
        <v>7.3</v>
      </c>
      <c r="L113" s="1384">
        <v>0</v>
      </c>
      <c r="M113" s="1384">
        <v>0</v>
      </c>
      <c r="N113" s="3211"/>
    </row>
    <row r="114" spans="1:15">
      <c r="A114" s="1370" t="s">
        <v>3167</v>
      </c>
      <c r="B114" s="1199">
        <v>0</v>
      </c>
      <c r="C114" s="1199">
        <v>0</v>
      </c>
      <c r="D114" s="1199">
        <v>0</v>
      </c>
      <c r="E114" s="1199">
        <v>0</v>
      </c>
      <c r="F114" s="1199">
        <v>0</v>
      </c>
      <c r="G114" s="1199">
        <v>0</v>
      </c>
      <c r="H114" s="1199">
        <v>0</v>
      </c>
      <c r="I114" s="1199">
        <v>0</v>
      </c>
      <c r="J114" s="1199">
        <v>0</v>
      </c>
      <c r="K114" s="1199">
        <v>0</v>
      </c>
      <c r="L114" s="1199">
        <v>0</v>
      </c>
      <c r="M114" s="1199">
        <v>0</v>
      </c>
      <c r="N114" s="3211"/>
    </row>
    <row r="115" spans="1:15">
      <c r="A115" s="1383" t="s">
        <v>3168</v>
      </c>
      <c r="B115" s="1384">
        <v>0</v>
      </c>
      <c r="C115" s="1384">
        <v>0</v>
      </c>
      <c r="D115" s="1384">
        <v>0</v>
      </c>
      <c r="E115" s="1384">
        <v>0</v>
      </c>
      <c r="F115" s="1384">
        <v>0</v>
      </c>
      <c r="G115" s="1384">
        <v>0</v>
      </c>
      <c r="H115" s="1384">
        <v>0</v>
      </c>
      <c r="I115" s="1384">
        <v>0</v>
      </c>
      <c r="J115" s="1384">
        <v>0</v>
      </c>
      <c r="K115" s="1384">
        <v>0</v>
      </c>
      <c r="L115" s="1384">
        <v>0</v>
      </c>
      <c r="M115" s="1384">
        <v>0</v>
      </c>
      <c r="N115" s="3211"/>
    </row>
    <row r="116" spans="1:15">
      <c r="A116" s="1370" t="s">
        <v>3169</v>
      </c>
      <c r="B116" s="1199">
        <v>800</v>
      </c>
      <c r="C116" s="1199">
        <v>896</v>
      </c>
      <c r="D116" s="1199">
        <v>992</v>
      </c>
      <c r="E116" s="1199">
        <v>960</v>
      </c>
      <c r="F116" s="1199">
        <v>992</v>
      </c>
      <c r="G116" s="1199">
        <v>960</v>
      </c>
      <c r="H116" s="1199">
        <v>992</v>
      </c>
      <c r="I116" s="1199">
        <v>992</v>
      </c>
      <c r="J116" s="1199">
        <v>960</v>
      </c>
      <c r="K116" s="1199">
        <v>992</v>
      </c>
      <c r="L116" s="1199">
        <v>960</v>
      </c>
      <c r="M116" s="1199">
        <v>928</v>
      </c>
      <c r="N116" s="3211"/>
    </row>
    <row r="117" spans="1:15" ht="13.8" thickBot="1">
      <c r="A117" s="1383" t="s">
        <v>3170</v>
      </c>
      <c r="B117" s="1384">
        <v>0</v>
      </c>
      <c r="C117" s="1384">
        <v>0</v>
      </c>
      <c r="D117" s="1384">
        <v>1</v>
      </c>
      <c r="E117" s="1384">
        <v>0</v>
      </c>
      <c r="F117" s="1384">
        <v>0</v>
      </c>
      <c r="G117" s="1384">
        <v>0</v>
      </c>
      <c r="H117" s="1384">
        <v>1</v>
      </c>
      <c r="I117" s="1384">
        <v>4</v>
      </c>
      <c r="J117" s="1384">
        <v>22</v>
      </c>
      <c r="K117" s="1384">
        <v>10</v>
      </c>
      <c r="L117" s="1384">
        <v>15</v>
      </c>
      <c r="M117" s="1384">
        <v>0</v>
      </c>
      <c r="N117" s="3211"/>
    </row>
    <row r="118" spans="1:15">
      <c r="A118" s="1367" t="s">
        <v>3171</v>
      </c>
      <c r="B118" s="1368">
        <v>1675.4</v>
      </c>
      <c r="C118" s="1368">
        <v>1488.8</v>
      </c>
      <c r="D118" s="1368">
        <v>1777.9</v>
      </c>
      <c r="E118" s="1368">
        <v>1576.16</v>
      </c>
      <c r="F118" s="1368">
        <v>1807</v>
      </c>
      <c r="G118" s="1368">
        <v>1503.94</v>
      </c>
      <c r="H118" s="1368">
        <v>1555.8</v>
      </c>
      <c r="I118" s="1368">
        <v>1367</v>
      </c>
      <c r="J118" s="1368">
        <v>1762.1</v>
      </c>
      <c r="K118" s="1368">
        <v>2048.5500000000002</v>
      </c>
      <c r="L118" s="1368">
        <v>1543.2</v>
      </c>
      <c r="M118" s="1368">
        <v>1306.4000000000001</v>
      </c>
      <c r="N118" s="3211"/>
    </row>
    <row r="119" spans="1:15">
      <c r="A119" s="1383" t="s">
        <v>3172</v>
      </c>
      <c r="B119" s="1384">
        <v>1269</v>
      </c>
      <c r="C119" s="1384">
        <v>1026.8</v>
      </c>
      <c r="D119" s="1384">
        <v>1089.5</v>
      </c>
      <c r="E119" s="1384">
        <v>1008.3</v>
      </c>
      <c r="F119" s="1384">
        <v>598.83000000000004</v>
      </c>
      <c r="G119" s="1384">
        <v>726.44</v>
      </c>
      <c r="H119" s="1384">
        <v>864.80000000000007</v>
      </c>
      <c r="I119" s="1384">
        <v>544.70000000000005</v>
      </c>
      <c r="J119" s="1384">
        <v>693.05</v>
      </c>
      <c r="K119" s="1384">
        <v>585.95000000000005</v>
      </c>
      <c r="L119" s="1384">
        <v>412.47</v>
      </c>
      <c r="M119" s="1384">
        <v>521.55999999999995</v>
      </c>
      <c r="N119" s="3211"/>
    </row>
    <row r="120" spans="1:15">
      <c r="A120" s="1370" t="s">
        <v>3173</v>
      </c>
      <c r="B120" s="1199">
        <v>1860</v>
      </c>
      <c r="C120" s="1199">
        <v>1680</v>
      </c>
      <c r="D120" s="1199">
        <v>1860</v>
      </c>
      <c r="E120" s="1199">
        <v>1800</v>
      </c>
      <c r="F120" s="1199">
        <v>1860</v>
      </c>
      <c r="G120" s="1199">
        <v>1800</v>
      </c>
      <c r="H120" s="1199">
        <v>2700</v>
      </c>
      <c r="I120" s="1199">
        <v>1860</v>
      </c>
      <c r="J120" s="1199">
        <v>1800</v>
      </c>
      <c r="K120" s="1199">
        <v>1860</v>
      </c>
      <c r="L120" s="1199">
        <v>1800</v>
      </c>
      <c r="M120" s="1199">
        <v>1860</v>
      </c>
      <c r="N120" s="3211"/>
    </row>
    <row r="121" spans="1:15">
      <c r="A121" s="1383" t="s">
        <v>3174</v>
      </c>
      <c r="B121" s="1384">
        <v>2232</v>
      </c>
      <c r="C121" s="1384">
        <v>2016</v>
      </c>
      <c r="D121" s="1384">
        <v>2232</v>
      </c>
      <c r="E121" s="1384">
        <v>2160</v>
      </c>
      <c r="F121" s="1384">
        <v>2016</v>
      </c>
      <c r="G121" s="1384">
        <v>2160</v>
      </c>
      <c r="H121" s="1384">
        <v>2772</v>
      </c>
      <c r="I121" s="1384">
        <v>2772</v>
      </c>
      <c r="J121" s="1384">
        <v>1800</v>
      </c>
      <c r="K121" s="1384">
        <v>1860</v>
      </c>
      <c r="L121" s="1384">
        <v>1800</v>
      </c>
      <c r="M121" s="1384">
        <v>1860</v>
      </c>
      <c r="N121" s="3211"/>
    </row>
    <row r="122" spans="1:15">
      <c r="A122" s="1370" t="s">
        <v>3175</v>
      </c>
      <c r="B122" s="1199">
        <v>2480</v>
      </c>
      <c r="C122" s="1199">
        <v>2240</v>
      </c>
      <c r="D122" s="1199">
        <v>2480</v>
      </c>
      <c r="E122" s="1199">
        <v>2400</v>
      </c>
      <c r="F122" s="1199">
        <v>2480</v>
      </c>
      <c r="G122" s="1199">
        <v>2400</v>
      </c>
      <c r="H122" s="1199">
        <v>3600</v>
      </c>
      <c r="I122" s="1199">
        <v>2480</v>
      </c>
      <c r="J122" s="1199">
        <v>2400</v>
      </c>
      <c r="K122" s="1199">
        <v>2480</v>
      </c>
      <c r="L122" s="1199">
        <v>2400</v>
      </c>
      <c r="M122" s="1199">
        <v>2480</v>
      </c>
      <c r="N122" s="3211"/>
    </row>
    <row r="123" spans="1:15" ht="13.8" thickBot="1">
      <c r="A123" s="1383" t="s">
        <v>3176</v>
      </c>
      <c r="B123" s="1384">
        <v>1256.9000000000001</v>
      </c>
      <c r="C123" s="1384">
        <v>1154.5999999999999</v>
      </c>
      <c r="D123" s="1384">
        <v>1176.3</v>
      </c>
      <c r="E123" s="1384">
        <v>1011.5</v>
      </c>
      <c r="F123" s="1384">
        <v>1346</v>
      </c>
      <c r="G123" s="1384">
        <v>916.75</v>
      </c>
      <c r="H123" s="1384">
        <v>1543.65</v>
      </c>
      <c r="I123" s="1384">
        <v>1052</v>
      </c>
      <c r="J123" s="1384">
        <v>1263.75</v>
      </c>
      <c r="K123" s="1384">
        <v>1237.0500000000002</v>
      </c>
      <c r="L123" s="1384">
        <v>1044.5</v>
      </c>
      <c r="M123" s="1384">
        <v>1070.53</v>
      </c>
      <c r="N123" s="3211"/>
    </row>
    <row r="124" spans="1:15">
      <c r="A124" s="1367" t="s">
        <v>3177</v>
      </c>
      <c r="B124" s="1368">
        <v>106.6</v>
      </c>
      <c r="C124" s="1368">
        <v>128.4</v>
      </c>
      <c r="D124" s="1368">
        <v>43.15</v>
      </c>
      <c r="E124" s="1368">
        <v>31.27</v>
      </c>
      <c r="F124" s="1368">
        <v>42.24</v>
      </c>
      <c r="G124" s="1368">
        <v>75.66</v>
      </c>
      <c r="H124" s="1368">
        <v>77.05</v>
      </c>
      <c r="I124" s="1368">
        <v>86.75</v>
      </c>
      <c r="J124" s="1368">
        <v>49.9</v>
      </c>
      <c r="K124" s="1368">
        <v>67.599999999999994</v>
      </c>
      <c r="L124" s="1368">
        <v>79.78</v>
      </c>
      <c r="M124" s="1368">
        <v>28.009999999999998</v>
      </c>
      <c r="N124" s="3211"/>
    </row>
    <row r="125" spans="1:15">
      <c r="A125" s="1383" t="s">
        <v>3178</v>
      </c>
      <c r="B125" s="1384">
        <v>44</v>
      </c>
      <c r="C125" s="1384">
        <v>140.69999999999999</v>
      </c>
      <c r="D125" s="1384">
        <v>52</v>
      </c>
      <c r="E125" s="1384">
        <v>35.479999999999997</v>
      </c>
      <c r="F125" s="1384">
        <v>12</v>
      </c>
      <c r="G125" s="1384">
        <v>14</v>
      </c>
      <c r="H125" s="1384">
        <v>6.04</v>
      </c>
      <c r="I125" s="1384">
        <v>15</v>
      </c>
      <c r="J125" s="1384">
        <v>35.28</v>
      </c>
      <c r="K125" s="1384">
        <v>18.34</v>
      </c>
      <c r="L125" s="1384">
        <v>19</v>
      </c>
      <c r="M125" s="1384">
        <v>0</v>
      </c>
      <c r="N125" s="3211"/>
    </row>
    <row r="126" spans="1:15">
      <c r="A126" s="1370" t="s">
        <v>3179</v>
      </c>
      <c r="B126" s="1199">
        <v>1860</v>
      </c>
      <c r="C126" s="1199">
        <v>1680</v>
      </c>
      <c r="D126" s="1199">
        <v>1860</v>
      </c>
      <c r="E126" s="1199">
        <v>1800</v>
      </c>
      <c r="F126" s="1199">
        <v>1644</v>
      </c>
      <c r="G126" s="1199">
        <v>1800</v>
      </c>
      <c r="H126" s="1199">
        <v>1860</v>
      </c>
      <c r="I126" s="1199">
        <v>1860</v>
      </c>
      <c r="J126" s="1199">
        <v>1800</v>
      </c>
      <c r="K126" s="1199">
        <v>1860</v>
      </c>
      <c r="L126" s="1199">
        <v>1800</v>
      </c>
      <c r="M126" s="1199">
        <v>1860</v>
      </c>
      <c r="N126" s="3211"/>
      <c r="O126" s="1199"/>
    </row>
    <row r="127" spans="1:15">
      <c r="A127" s="1383" t="s">
        <v>3180</v>
      </c>
      <c r="B127" s="1384">
        <v>1860</v>
      </c>
      <c r="C127" s="1384">
        <v>1680</v>
      </c>
      <c r="D127" s="1384">
        <v>1860</v>
      </c>
      <c r="E127" s="1384">
        <v>1800</v>
      </c>
      <c r="F127" s="1384">
        <v>1860</v>
      </c>
      <c r="G127" s="1384">
        <v>1800</v>
      </c>
      <c r="H127" s="1384">
        <v>1860</v>
      </c>
      <c r="I127" s="1384">
        <v>1860</v>
      </c>
      <c r="J127" s="1384">
        <v>1800</v>
      </c>
      <c r="K127" s="1384">
        <v>1860</v>
      </c>
      <c r="L127" s="1384">
        <v>1740</v>
      </c>
      <c r="M127" s="1384">
        <v>1860</v>
      </c>
      <c r="N127" s="3211"/>
      <c r="O127" s="1199"/>
    </row>
    <row r="128" spans="1:15">
      <c r="A128" s="1370" t="s">
        <v>3181</v>
      </c>
      <c r="B128" s="1199">
        <v>2480</v>
      </c>
      <c r="C128" s="1199">
        <v>2240</v>
      </c>
      <c r="D128" s="1199">
        <v>2480</v>
      </c>
      <c r="E128" s="1199">
        <v>2400</v>
      </c>
      <c r="F128" s="1199">
        <v>2480</v>
      </c>
      <c r="G128" s="1199">
        <v>2400</v>
      </c>
      <c r="H128" s="1199">
        <v>2480</v>
      </c>
      <c r="I128" s="1199">
        <v>2480</v>
      </c>
      <c r="J128" s="1199">
        <v>2400</v>
      </c>
      <c r="K128" s="1199">
        <v>2480</v>
      </c>
      <c r="L128" s="1199">
        <v>2400</v>
      </c>
      <c r="M128" s="1199">
        <v>2480</v>
      </c>
      <c r="N128" s="3211"/>
      <c r="O128" s="358"/>
    </row>
    <row r="129" spans="1:18" ht="13.8" thickBot="1">
      <c r="A129" s="1383" t="s">
        <v>3161</v>
      </c>
      <c r="B129" s="1384">
        <v>73.400000000000006</v>
      </c>
      <c r="C129" s="1384">
        <v>55.55</v>
      </c>
      <c r="D129" s="1384">
        <v>68.900000000000006</v>
      </c>
      <c r="E129" s="1384">
        <v>83.4</v>
      </c>
      <c r="F129" s="1384">
        <v>82.72</v>
      </c>
      <c r="G129" s="1384">
        <v>93.169999999999987</v>
      </c>
      <c r="H129" s="1384">
        <v>64</v>
      </c>
      <c r="I129" s="1384">
        <v>71.239999999999995</v>
      </c>
      <c r="J129" s="1384">
        <v>45.77</v>
      </c>
      <c r="K129" s="1384">
        <v>42.17</v>
      </c>
      <c r="L129" s="1384">
        <v>46.57</v>
      </c>
      <c r="M129" s="1384">
        <v>75.98</v>
      </c>
      <c r="N129" s="3211"/>
      <c r="O129" s="1199"/>
    </row>
    <row r="130" spans="1:18">
      <c r="A130" s="1367" t="s">
        <v>3189</v>
      </c>
      <c r="B130" s="1368">
        <v>1</v>
      </c>
      <c r="C130" s="1368">
        <v>7</v>
      </c>
      <c r="D130" s="1368">
        <v>2</v>
      </c>
      <c r="E130" s="1368">
        <v>0</v>
      </c>
      <c r="F130" s="1368">
        <v>0</v>
      </c>
      <c r="G130" s="1368">
        <v>0</v>
      </c>
      <c r="H130" s="1368">
        <v>0</v>
      </c>
      <c r="I130" s="1368">
        <v>2</v>
      </c>
      <c r="J130" s="1368">
        <v>1</v>
      </c>
      <c r="K130" s="1368">
        <v>0</v>
      </c>
      <c r="L130" s="1368">
        <v>0</v>
      </c>
      <c r="M130" s="1368">
        <v>5</v>
      </c>
      <c r="N130" s="3211"/>
      <c r="O130" s="242"/>
    </row>
    <row r="131" spans="1:18" ht="14.4">
      <c r="A131" s="1383" t="s">
        <v>3190</v>
      </c>
      <c r="B131" s="1384">
        <v>16</v>
      </c>
      <c r="C131" s="1384">
        <v>66</v>
      </c>
      <c r="D131" s="1384">
        <v>135</v>
      </c>
      <c r="E131" s="1384">
        <v>59</v>
      </c>
      <c r="F131" s="1384">
        <v>2</v>
      </c>
      <c r="G131" s="1384">
        <v>5</v>
      </c>
      <c r="H131" s="1384">
        <v>48</v>
      </c>
      <c r="I131" s="1384">
        <v>27</v>
      </c>
      <c r="J131" s="1384">
        <v>116</v>
      </c>
      <c r="K131" s="1384">
        <v>329</v>
      </c>
      <c r="L131" s="1384">
        <v>41</v>
      </c>
      <c r="M131" s="1384">
        <v>53</v>
      </c>
      <c r="N131" s="3211"/>
      <c r="O131" s="1528"/>
      <c r="P131" s="1528"/>
      <c r="Q131" s="1528"/>
      <c r="R131" s="1528"/>
    </row>
    <row r="132" spans="1:18" ht="14.4">
      <c r="A132" s="1370" t="s">
        <v>3191</v>
      </c>
      <c r="B132" s="1199">
        <v>1488</v>
      </c>
      <c r="C132" s="1199">
        <v>1344</v>
      </c>
      <c r="D132" s="1199">
        <v>1488</v>
      </c>
      <c r="E132" s="1199">
        <v>1440</v>
      </c>
      <c r="F132" s="1199">
        <v>1488</v>
      </c>
      <c r="G132" s="1199">
        <v>1440</v>
      </c>
      <c r="H132" s="1199">
        <v>1488</v>
      </c>
      <c r="I132" s="1199">
        <v>1488</v>
      </c>
      <c r="J132" s="1199">
        <v>1440</v>
      </c>
      <c r="K132" s="1199">
        <v>1392</v>
      </c>
      <c r="L132" s="1199">
        <v>1440</v>
      </c>
      <c r="M132" s="1199">
        <v>1488</v>
      </c>
      <c r="N132" s="3211"/>
      <c r="O132" s="1528"/>
      <c r="P132" s="1528"/>
      <c r="Q132" s="1528"/>
      <c r="R132" s="1528"/>
    </row>
    <row r="133" spans="1:18" ht="14.4">
      <c r="A133" s="1383" t="s">
        <v>3192</v>
      </c>
      <c r="B133" s="1384">
        <v>0</v>
      </c>
      <c r="C133" s="1384">
        <v>0</v>
      </c>
      <c r="D133" s="1384">
        <v>0</v>
      </c>
      <c r="E133" s="1384">
        <v>0</v>
      </c>
      <c r="F133" s="1384">
        <v>0</v>
      </c>
      <c r="G133" s="1384">
        <v>0</v>
      </c>
      <c r="H133" s="1384">
        <v>0</v>
      </c>
      <c r="I133" s="1384">
        <v>0</v>
      </c>
      <c r="J133" s="1384">
        <v>0</v>
      </c>
      <c r="K133" s="1384">
        <v>0</v>
      </c>
      <c r="L133" s="1384">
        <v>0</v>
      </c>
      <c r="M133" s="1384">
        <v>0</v>
      </c>
      <c r="N133" s="3211"/>
      <c r="O133" s="1528"/>
      <c r="P133" s="1528"/>
      <c r="Q133" s="1528"/>
      <c r="R133" s="1528"/>
    </row>
    <row r="134" spans="1:18" ht="14.4">
      <c r="A134" s="1370" t="s">
        <v>3193</v>
      </c>
      <c r="B134" s="1199">
        <v>108</v>
      </c>
      <c r="C134" s="1199">
        <v>96</v>
      </c>
      <c r="D134" s="1199">
        <v>108</v>
      </c>
      <c r="E134" s="1199">
        <v>92</v>
      </c>
      <c r="F134" s="1199">
        <v>104</v>
      </c>
      <c r="G134" s="1199">
        <v>100</v>
      </c>
      <c r="H134" s="1199">
        <v>96</v>
      </c>
      <c r="I134" s="1199">
        <v>104</v>
      </c>
      <c r="J134" s="1199">
        <v>104</v>
      </c>
      <c r="K134" s="1199">
        <v>96</v>
      </c>
      <c r="L134" s="1199">
        <v>100</v>
      </c>
      <c r="M134" s="1199">
        <v>92</v>
      </c>
      <c r="N134" s="3211"/>
      <c r="O134" s="1528"/>
      <c r="P134" s="1528"/>
      <c r="Q134" s="1528"/>
      <c r="R134" s="1528"/>
    </row>
    <row r="135" spans="1:18" ht="15" thickBot="1">
      <c r="A135" s="1385" t="s">
        <v>3194</v>
      </c>
      <c r="B135" s="1386">
        <v>6</v>
      </c>
      <c r="C135" s="1386">
        <v>9</v>
      </c>
      <c r="D135" s="1386">
        <v>16</v>
      </c>
      <c r="E135" s="1386">
        <v>8</v>
      </c>
      <c r="F135" s="1386">
        <v>0</v>
      </c>
      <c r="G135" s="1384">
        <v>0</v>
      </c>
      <c r="H135" s="1384">
        <v>2</v>
      </c>
      <c r="I135" s="1386">
        <v>3</v>
      </c>
      <c r="J135" s="1386">
        <v>18</v>
      </c>
      <c r="K135" s="1386">
        <v>13</v>
      </c>
      <c r="L135" s="1386">
        <v>3</v>
      </c>
      <c r="M135" s="1386">
        <v>2</v>
      </c>
      <c r="N135" s="3211"/>
      <c r="O135" s="1528"/>
      <c r="P135" s="1528"/>
      <c r="Q135" s="1528"/>
      <c r="R135" s="1528"/>
    </row>
    <row r="136" spans="1:18" ht="14.4">
      <c r="A136" s="1381" t="s">
        <v>3961</v>
      </c>
      <c r="B136" s="1382">
        <v>12893.99</v>
      </c>
      <c r="C136" s="1382">
        <v>17586.16</v>
      </c>
      <c r="D136" s="1382">
        <v>19033.32</v>
      </c>
      <c r="E136" s="1382">
        <v>10738.13</v>
      </c>
      <c r="F136" s="1382">
        <v>9894.0499999999993</v>
      </c>
      <c r="G136" s="1382">
        <v>15345.56</v>
      </c>
      <c r="H136" s="1382">
        <v>15055.4</v>
      </c>
      <c r="I136" s="1382">
        <v>16509.189999999999</v>
      </c>
      <c r="J136" s="1382">
        <v>13377.25</v>
      </c>
      <c r="K136" s="1382">
        <v>14300.24</v>
      </c>
      <c r="L136" s="1382">
        <v>14903.1</v>
      </c>
      <c r="M136" s="1382">
        <v>17471.46</v>
      </c>
      <c r="N136" s="3212" t="s">
        <v>6391</v>
      </c>
      <c r="O136" s="1528"/>
      <c r="P136" s="1528"/>
      <c r="Q136" s="1528"/>
      <c r="R136" s="1528"/>
    </row>
    <row r="137" spans="1:18" ht="14.4">
      <c r="A137" s="1370" t="s">
        <v>3964</v>
      </c>
      <c r="B137" s="1199">
        <v>1761.03</v>
      </c>
      <c r="C137" s="1199">
        <v>2423.09</v>
      </c>
      <c r="D137" s="1199">
        <v>2144.61</v>
      </c>
      <c r="E137" s="1199">
        <v>2926.22</v>
      </c>
      <c r="F137" s="1199">
        <v>3853.13</v>
      </c>
      <c r="G137" s="1199">
        <v>2142.3200000000002</v>
      </c>
      <c r="H137" s="1199">
        <v>1645.46</v>
      </c>
      <c r="I137" s="1199">
        <v>2448.81</v>
      </c>
      <c r="J137" s="1199">
        <v>1761.1</v>
      </c>
      <c r="K137" s="1199">
        <v>1670</v>
      </c>
      <c r="L137" s="1199">
        <v>2031.3</v>
      </c>
      <c r="M137" s="1199">
        <v>786.52</v>
      </c>
      <c r="N137" s="3212"/>
      <c r="O137" s="1528"/>
      <c r="P137" s="1528"/>
      <c r="Q137" s="1528"/>
      <c r="R137" s="1528"/>
    </row>
    <row r="138" spans="1:18" ht="14.4">
      <c r="A138" s="1370" t="s">
        <v>5675</v>
      </c>
      <c r="B138" s="1199">
        <v>11625.55</v>
      </c>
      <c r="C138" s="1199">
        <v>14723.13</v>
      </c>
      <c r="D138" s="1199">
        <v>16454</v>
      </c>
      <c r="E138" s="1199">
        <v>10025</v>
      </c>
      <c r="F138" s="1199">
        <v>9020.7099999999991</v>
      </c>
      <c r="G138" s="1199">
        <v>12654.41</v>
      </c>
      <c r="H138" s="1199">
        <v>12736.65</v>
      </c>
      <c r="I138" s="1199">
        <v>13936.61</v>
      </c>
      <c r="J138" s="1199">
        <v>15642.6</v>
      </c>
      <c r="K138" s="1199">
        <v>16000</v>
      </c>
      <c r="L138" s="1199">
        <v>15850.15</v>
      </c>
      <c r="M138" s="1199">
        <v>16030.14</v>
      </c>
      <c r="N138" s="3212"/>
      <c r="O138" s="3024">
        <v>15313.66</v>
      </c>
      <c r="P138" s="1528"/>
      <c r="Q138" s="1528"/>
      <c r="R138" s="1528"/>
    </row>
    <row r="139" spans="1:18" ht="13.8" thickBot="1">
      <c r="A139" s="1373" t="s">
        <v>3963</v>
      </c>
      <c r="B139" s="1372">
        <v>0</v>
      </c>
      <c r="C139" s="1372">
        <v>0</v>
      </c>
      <c r="D139" s="1372">
        <v>0</v>
      </c>
      <c r="E139" s="1372">
        <v>0</v>
      </c>
      <c r="F139" s="1372">
        <v>0</v>
      </c>
      <c r="G139" s="1372">
        <v>0</v>
      </c>
      <c r="H139" s="1372">
        <v>0</v>
      </c>
      <c r="I139" s="1372">
        <v>0</v>
      </c>
      <c r="J139" s="1372">
        <v>0</v>
      </c>
      <c r="K139" s="1372">
        <v>0</v>
      </c>
      <c r="L139" s="1372">
        <v>0</v>
      </c>
      <c r="M139" s="1372">
        <v>0</v>
      </c>
      <c r="N139" s="358"/>
      <c r="O139" s="358">
        <v>716.48</v>
      </c>
    </row>
    <row r="140" spans="1:18">
      <c r="A140" s="1381" t="s">
        <v>3962</v>
      </c>
      <c r="B140" s="1382">
        <v>14134</v>
      </c>
      <c r="C140" s="1382">
        <v>13236</v>
      </c>
      <c r="D140" s="2228">
        <v>13236</v>
      </c>
      <c r="E140" s="2228">
        <v>13236</v>
      </c>
      <c r="F140" s="2228">
        <v>13236</v>
      </c>
      <c r="G140" s="2228">
        <v>13236</v>
      </c>
      <c r="H140" s="2228">
        <v>13236</v>
      </c>
      <c r="I140" s="2228">
        <v>13236</v>
      </c>
      <c r="J140" s="2228">
        <v>13236</v>
      </c>
      <c r="K140" s="2228">
        <v>13236</v>
      </c>
      <c r="L140" s="2228">
        <v>13236</v>
      </c>
      <c r="M140" s="2228">
        <v>13236</v>
      </c>
    </row>
    <row r="141" spans="1:18">
      <c r="A141" s="1478" t="s">
        <v>3965</v>
      </c>
      <c r="B141" s="1532"/>
      <c r="C141" s="1532"/>
      <c r="D141" s="1532"/>
      <c r="E141" s="1532"/>
      <c r="F141" s="1532"/>
      <c r="G141" s="1532"/>
      <c r="H141" s="1532"/>
      <c r="I141" s="1532"/>
      <c r="J141" s="1532"/>
      <c r="K141" s="1532"/>
      <c r="L141" s="1532"/>
      <c r="M141" s="1533"/>
    </row>
    <row r="142" spans="1:18">
      <c r="A142" s="1478" t="s">
        <v>3966</v>
      </c>
      <c r="B142" s="1532"/>
      <c r="C142" s="1532"/>
      <c r="D142" s="1532"/>
      <c r="E142" s="1532"/>
      <c r="F142" s="1532"/>
      <c r="G142" s="1532"/>
      <c r="H142" s="1532"/>
      <c r="I142" s="1532"/>
      <c r="J142" s="1532"/>
      <c r="K142" s="1532"/>
      <c r="L142" s="1532"/>
      <c r="M142" s="1533"/>
    </row>
    <row r="143" spans="1:18">
      <c r="A143" s="1478" t="s">
        <v>3967</v>
      </c>
      <c r="B143" s="1532"/>
      <c r="C143" s="1532"/>
      <c r="D143" s="1532"/>
      <c r="E143" s="1532"/>
      <c r="F143" s="1532"/>
      <c r="G143" s="1532"/>
      <c r="H143" s="1532"/>
      <c r="I143" s="1532"/>
      <c r="J143" s="1532"/>
      <c r="K143" s="1532"/>
      <c r="L143" s="1532"/>
      <c r="M143" s="1533"/>
    </row>
    <row r="144" spans="1:18">
      <c r="A144" s="1478" t="s">
        <v>3968</v>
      </c>
      <c r="B144" s="1532"/>
      <c r="C144" s="1532"/>
      <c r="D144" s="1532"/>
      <c r="E144" s="1532"/>
      <c r="F144" s="1532"/>
      <c r="G144" s="1532"/>
      <c r="H144" s="1532"/>
      <c r="I144" s="1532"/>
      <c r="J144" s="1532"/>
      <c r="K144" s="1532"/>
      <c r="L144" s="1532"/>
      <c r="M144" s="1533"/>
    </row>
    <row r="145" spans="1:15">
      <c r="A145" s="1478" t="s">
        <v>3969</v>
      </c>
      <c r="B145" s="1532"/>
      <c r="C145" s="1532"/>
      <c r="D145" s="1532"/>
      <c r="E145" s="1532"/>
      <c r="F145" s="1532"/>
      <c r="G145" s="1532"/>
      <c r="H145" s="1532"/>
      <c r="I145" s="1532"/>
      <c r="J145" s="1532"/>
      <c r="K145" s="1532"/>
      <c r="L145" s="1532"/>
      <c r="M145" s="1533"/>
    </row>
    <row r="146" spans="1:15">
      <c r="A146" s="1478" t="s">
        <v>3970</v>
      </c>
      <c r="B146" s="1532"/>
      <c r="C146" s="1532"/>
      <c r="D146" s="1532"/>
      <c r="E146" s="1532"/>
      <c r="F146" s="1532"/>
      <c r="G146" s="1532"/>
      <c r="H146" s="1532"/>
      <c r="I146" s="1532"/>
      <c r="J146" s="1532"/>
      <c r="K146" s="1532"/>
      <c r="L146" s="1532"/>
      <c r="M146" s="1533"/>
    </row>
    <row r="147" spans="1:15">
      <c r="A147" s="1478" t="s">
        <v>3971</v>
      </c>
      <c r="B147" s="1532"/>
      <c r="C147" s="1532"/>
      <c r="D147" s="1532"/>
      <c r="E147" s="1532"/>
      <c r="F147" s="1532"/>
      <c r="G147" s="1532"/>
      <c r="H147" s="1532"/>
      <c r="I147" s="1532"/>
      <c r="J147" s="1532"/>
      <c r="K147" s="1532"/>
      <c r="L147" s="1532"/>
      <c r="M147" s="1533"/>
    </row>
    <row r="148" spans="1:15" ht="13.8" thickBot="1">
      <c r="A148" s="1479" t="s">
        <v>3972</v>
      </c>
      <c r="B148" s="1534"/>
      <c r="C148" s="1534"/>
      <c r="D148" s="1534"/>
      <c r="E148" s="1534"/>
      <c r="F148" s="1534"/>
      <c r="G148" s="1534"/>
      <c r="H148" s="1534"/>
      <c r="I148" s="1534"/>
      <c r="J148" s="1534"/>
      <c r="K148" s="1534"/>
      <c r="L148" s="1534"/>
      <c r="M148" s="1535"/>
    </row>
    <row r="149" spans="1:15">
      <c r="A149" s="645" t="s">
        <v>55</v>
      </c>
      <c r="B149" s="1477">
        <f>SUM(B2:B140)</f>
        <v>330082.86000000016</v>
      </c>
      <c r="C149" s="1477">
        <f t="shared" ref="C149:I149" si="0">SUM(C2:C140)</f>
        <v>315276.15000000008</v>
      </c>
      <c r="D149" s="1477">
        <f t="shared" si="0"/>
        <v>349148.94000000006</v>
      </c>
      <c r="E149" s="1477">
        <f t="shared" si="0"/>
        <v>345372.55999999994</v>
      </c>
      <c r="F149" s="1477">
        <f t="shared" si="0"/>
        <v>362159.95000000007</v>
      </c>
      <c r="G149" s="1477">
        <f t="shared" si="0"/>
        <v>370815.22999999992</v>
      </c>
      <c r="H149" s="1477">
        <f t="shared" si="0"/>
        <v>367773.37999999983</v>
      </c>
      <c r="I149" s="1477">
        <f t="shared" si="0"/>
        <v>344355.67000000004</v>
      </c>
      <c r="J149" s="1477">
        <f>SUM(J2:J140)</f>
        <v>367837.18000000005</v>
      </c>
      <c r="K149" s="1477">
        <f>SUM(K2:K140)</f>
        <v>354318.09191666666</v>
      </c>
      <c r="L149" s="1477">
        <f>SUM(L2:L140)</f>
        <v>325493.34999999992</v>
      </c>
      <c r="M149" s="1477">
        <f>SUM(M2:M140)</f>
        <v>302285.95</v>
      </c>
      <c r="N149" s="358">
        <f>SUM(B149:M149)</f>
        <v>4134919.3119166675</v>
      </c>
    </row>
    <row r="150" spans="1:15" ht="13.8" thickBot="1"/>
    <row r="151" spans="1:15">
      <c r="A151" s="1377" t="s">
        <v>3195</v>
      </c>
      <c r="B151" s="1468"/>
      <c r="C151" s="576"/>
      <c r="D151" s="576"/>
      <c r="E151" s="576"/>
      <c r="F151" s="576"/>
      <c r="G151" s="576"/>
      <c r="H151" s="576"/>
      <c r="I151" s="576"/>
      <c r="J151" s="576"/>
      <c r="K151" s="576"/>
      <c r="L151" s="576"/>
      <c r="M151" s="1374"/>
    </row>
    <row r="152" spans="1:15">
      <c r="A152" s="1369" t="s">
        <v>592</v>
      </c>
      <c r="B152" s="1469">
        <f>+B27+B46+B47</f>
        <v>2560.5699999999997</v>
      </c>
      <c r="C152" s="1470">
        <f>+C27+C46+C47</f>
        <v>2421.81</v>
      </c>
      <c r="D152" s="1470">
        <f>+D27+D46+D47</f>
        <v>2828.97</v>
      </c>
      <c r="E152" s="1470">
        <f>+E27+E46+E47</f>
        <v>2864.62</v>
      </c>
      <c r="F152" s="1470">
        <f>+F27+F46+F47</f>
        <v>5594.12</v>
      </c>
      <c r="G152" s="1470">
        <f t="shared" ref="G152:M152" si="1">+G27+G46+G47</f>
        <v>1850.07</v>
      </c>
      <c r="H152" s="1470">
        <f>+H27+H46+H47</f>
        <v>1217.1199999999999</v>
      </c>
      <c r="I152" s="1470">
        <f t="shared" si="1"/>
        <v>2086.7399999999998</v>
      </c>
      <c r="J152" s="1470">
        <f t="shared" si="1"/>
        <v>2513.66</v>
      </c>
      <c r="K152" s="1470">
        <f t="shared" si="1"/>
        <v>1833.54</v>
      </c>
      <c r="L152" s="1470">
        <f t="shared" si="1"/>
        <v>2780.88</v>
      </c>
      <c r="M152" s="1470">
        <f t="shared" si="1"/>
        <v>2163.8599999999997</v>
      </c>
      <c r="N152" s="358">
        <f>SUM(B152:M152)</f>
        <v>30715.96</v>
      </c>
      <c r="O152" s="8" t="s">
        <v>3552</v>
      </c>
    </row>
    <row r="153" spans="1:15">
      <c r="A153" s="1370" t="s">
        <v>586</v>
      </c>
      <c r="B153" s="1471">
        <f>+B18+B64+B65+B100+B101</f>
        <v>7587.0199999999995</v>
      </c>
      <c r="C153" s="262">
        <f>+C18+C64+C65+C100+C101</f>
        <v>5186.51</v>
      </c>
      <c r="D153" s="262">
        <f>+D18+D64+D65+D100+D101</f>
        <v>6326.37</v>
      </c>
      <c r="E153" s="262">
        <f>+E18+E64+E65+E100+E101</f>
        <v>7213.3499999999995</v>
      </c>
      <c r="F153" s="262">
        <f>+F18+F64+F65+F100+F101</f>
        <v>9456.6999999999989</v>
      </c>
      <c r="G153" s="262">
        <f t="shared" ref="G153:M153" si="2">+G18+G64+G65+G100+G101</f>
        <v>7309.89</v>
      </c>
      <c r="H153" s="262">
        <f>+H18+H64+H65+H100+H101</f>
        <v>14756.7</v>
      </c>
      <c r="I153" s="262">
        <f t="shared" si="2"/>
        <v>7554.0499999999993</v>
      </c>
      <c r="J153" s="262">
        <f t="shared" si="2"/>
        <v>19814.409999999996</v>
      </c>
      <c r="K153" s="262">
        <f t="shared" si="2"/>
        <v>5238.9140000000007</v>
      </c>
      <c r="L153" s="262">
        <f t="shared" si="2"/>
        <v>7474.3099999999995</v>
      </c>
      <c r="M153" s="262">
        <f t="shared" si="2"/>
        <v>9089.2800000000007</v>
      </c>
      <c r="N153" s="358">
        <f t="shared" ref="N153:N165" si="3">SUM(B153:M153)</f>
        <v>107007.504</v>
      </c>
      <c r="O153" s="8" t="s">
        <v>3552</v>
      </c>
    </row>
    <row r="154" spans="1:15">
      <c r="A154" s="1369" t="s">
        <v>593</v>
      </c>
      <c r="B154" s="1469">
        <f>+B32+B40+B41</f>
        <v>17144.120000000003</v>
      </c>
      <c r="C154" s="1470">
        <f>+C32+C40+C41</f>
        <v>18024.54</v>
      </c>
      <c r="D154" s="1470">
        <f>+D32+D40+D41</f>
        <v>17827.18</v>
      </c>
      <c r="E154" s="1470">
        <f>+E32+E40+E41</f>
        <v>19844.099999999999</v>
      </c>
      <c r="F154" s="1470">
        <f>+F32+F40+F41</f>
        <v>24647.81</v>
      </c>
      <c r="G154" s="1470">
        <f t="shared" ref="G154:M154" si="4">+G32+G40+G41</f>
        <v>22959.45</v>
      </c>
      <c r="H154" s="1470">
        <f>+H32+H40+H41</f>
        <v>17375.400000000001</v>
      </c>
      <c r="I154" s="1470">
        <f t="shared" si="4"/>
        <v>18037.02</v>
      </c>
      <c r="J154" s="1470">
        <f t="shared" si="4"/>
        <v>10195.01</v>
      </c>
      <c r="K154" s="1470">
        <f t="shared" si="4"/>
        <v>9992.4399999999987</v>
      </c>
      <c r="L154" s="1470">
        <f t="shared" si="4"/>
        <v>10995.75</v>
      </c>
      <c r="M154" s="1470">
        <f t="shared" si="4"/>
        <v>15279.43</v>
      </c>
      <c r="N154" s="358">
        <f t="shared" si="3"/>
        <v>202322.25</v>
      </c>
      <c r="O154" s="8" t="s">
        <v>3552</v>
      </c>
    </row>
    <row r="155" spans="1:15">
      <c r="A155" s="1370" t="s">
        <v>2907</v>
      </c>
      <c r="B155" s="1471">
        <f>+B17+B70+B71+B106+B107</f>
        <v>8305.0400000000009</v>
      </c>
      <c r="C155" s="262">
        <f>+C17+C70+C71+C106+C107</f>
        <v>7721.63</v>
      </c>
      <c r="D155" s="262">
        <f>+D17+D70+D71+D106+D107</f>
        <v>11144.57</v>
      </c>
      <c r="E155" s="262">
        <f>+E17+E70+E71+E106+E107</f>
        <v>10637.53</v>
      </c>
      <c r="F155" s="262">
        <f>+F17+F70+F71+F106+F107</f>
        <v>18656.199999999997</v>
      </c>
      <c r="G155" s="262">
        <f t="shared" ref="G155:M155" si="5">+G17+G70+G71+G106+G107</f>
        <v>17863.32</v>
      </c>
      <c r="H155" s="262">
        <f>+H17+H70+H71+H106+H107</f>
        <v>19400.5</v>
      </c>
      <c r="I155" s="262">
        <f t="shared" si="5"/>
        <v>17023.11</v>
      </c>
      <c r="J155" s="262">
        <f t="shared" si="5"/>
        <v>11313.04</v>
      </c>
      <c r="K155" s="262">
        <f t="shared" si="5"/>
        <v>14880.260000000002</v>
      </c>
      <c r="L155" s="262">
        <f t="shared" si="5"/>
        <v>9483.02</v>
      </c>
      <c r="M155" s="262">
        <f t="shared" si="5"/>
        <v>7895.0899999999992</v>
      </c>
      <c r="N155" s="358">
        <f t="shared" si="3"/>
        <v>154323.31</v>
      </c>
      <c r="O155" s="8" t="s">
        <v>3552</v>
      </c>
    </row>
    <row r="156" spans="1:15">
      <c r="A156" s="1369" t="s">
        <v>588</v>
      </c>
      <c r="B156" s="1469">
        <f>+B19+B52+B53+B58+B59+B94+B95</f>
        <v>8021.52</v>
      </c>
      <c r="C156" s="1470">
        <f>+C19+C52+C53+C58+C59+C94+C95</f>
        <v>11962.86</v>
      </c>
      <c r="D156" s="1470">
        <f>+D19+D52+D53+D58+D59+D94+D95</f>
        <v>12919.66</v>
      </c>
      <c r="E156" s="1470">
        <f>+E19+E52+E53+E58+E59+E94+E95</f>
        <v>14501.62</v>
      </c>
      <c r="F156" s="1470">
        <f>+F19+F52+F53+F58+F59+F94+F95</f>
        <v>11981.01</v>
      </c>
      <c r="G156" s="1470">
        <f>+G19+G52+G53+G58+G59++G94+G95</f>
        <v>15709.990000000002</v>
      </c>
      <c r="H156" s="1470">
        <f>+H19+H52+H53+H58+H59+H94+H95</f>
        <v>8251.33</v>
      </c>
      <c r="I156" s="1470">
        <f t="shared" ref="I156:M156" si="6">+I19+I52+I53+I58+I59+I94+I95</f>
        <v>10729.19</v>
      </c>
      <c r="J156" s="1470">
        <f t="shared" si="6"/>
        <v>11528.85</v>
      </c>
      <c r="K156" s="1470">
        <f t="shared" si="6"/>
        <v>7957.74</v>
      </c>
      <c r="L156" s="1470">
        <f t="shared" si="6"/>
        <v>10119.149999999998</v>
      </c>
      <c r="M156" s="1470">
        <f t="shared" si="6"/>
        <v>5661.69</v>
      </c>
      <c r="N156" s="358">
        <f t="shared" si="3"/>
        <v>129344.61000000002</v>
      </c>
      <c r="O156" s="8" t="s">
        <v>3552</v>
      </c>
    </row>
    <row r="157" spans="1:15">
      <c r="A157" s="1370" t="s">
        <v>91</v>
      </c>
      <c r="B157" s="1471">
        <f>+B20+B82+B83+B118+B119</f>
        <v>42344.270000000004</v>
      </c>
      <c r="C157" s="262">
        <f>+C20+C82+C83+C118+C119</f>
        <v>34818.080000000002</v>
      </c>
      <c r="D157" s="262">
        <f>+D20+D82+D83+D118+D119</f>
        <v>33264.33</v>
      </c>
      <c r="E157" s="262">
        <f>+E20+E82+E83+E118+E119</f>
        <v>36422.990000000005</v>
      </c>
      <c r="F157" s="262">
        <f>+F20+F82+F83+F118+F119</f>
        <v>59465.83</v>
      </c>
      <c r="G157" s="262">
        <f t="shared" ref="G157:M157" si="7">+G20+G82+G83+G118+G119</f>
        <v>21244.09</v>
      </c>
      <c r="H157" s="262">
        <f>+H20+H82+H83+H118+H119</f>
        <v>30106.519999999997</v>
      </c>
      <c r="I157" s="262">
        <f t="shared" si="7"/>
        <v>15093.550000000001</v>
      </c>
      <c r="J157" s="262">
        <f t="shared" si="7"/>
        <v>14689.63</v>
      </c>
      <c r="K157" s="262">
        <f t="shared" si="7"/>
        <v>25573.43</v>
      </c>
      <c r="L157" s="262">
        <f t="shared" si="7"/>
        <v>19630.940000000002</v>
      </c>
      <c r="M157" s="262">
        <f t="shared" si="7"/>
        <v>24800.470000000005</v>
      </c>
      <c r="N157" s="358">
        <f t="shared" si="3"/>
        <v>357454.13</v>
      </c>
      <c r="O157" s="8" t="s">
        <v>3552</v>
      </c>
    </row>
    <row r="158" spans="1:15">
      <c r="A158" s="1369" t="s">
        <v>893</v>
      </c>
      <c r="B158" s="1469">
        <f>+B22</f>
        <v>5.51</v>
      </c>
      <c r="C158" s="1470">
        <f>+C22</f>
        <v>0</v>
      </c>
      <c r="D158" s="1470">
        <f>+D22</f>
        <v>42.72</v>
      </c>
      <c r="E158" s="1470">
        <f>+E22</f>
        <v>1963.45</v>
      </c>
      <c r="F158" s="1470">
        <f>+F22</f>
        <v>44.65</v>
      </c>
      <c r="G158" s="1470">
        <f t="shared" ref="G158:M158" si="8">+G22</f>
        <v>64.16</v>
      </c>
      <c r="H158" s="1470">
        <f>+H22</f>
        <v>2127.81</v>
      </c>
      <c r="I158" s="1470">
        <f t="shared" si="8"/>
        <v>1831.15</v>
      </c>
      <c r="J158" s="1470">
        <f t="shared" si="8"/>
        <v>30.31</v>
      </c>
      <c r="K158" s="1470">
        <f t="shared" si="8"/>
        <v>48.68</v>
      </c>
      <c r="L158" s="1470">
        <f t="shared" si="8"/>
        <v>1844.96</v>
      </c>
      <c r="M158" s="1470">
        <f t="shared" si="8"/>
        <v>221.36</v>
      </c>
      <c r="N158" s="358">
        <f t="shared" si="3"/>
        <v>8224.76</v>
      </c>
      <c r="O158" s="8" t="s">
        <v>3552</v>
      </c>
    </row>
    <row r="159" spans="1:15">
      <c r="A159" s="1370" t="s">
        <v>77</v>
      </c>
      <c r="B159" s="1471">
        <f>+B21</f>
        <v>7523.3</v>
      </c>
      <c r="C159" s="262">
        <f>+C21</f>
        <v>6719.16</v>
      </c>
      <c r="D159" s="262">
        <f>+D21</f>
        <v>7208.3</v>
      </c>
      <c r="E159" s="262">
        <f>+E21</f>
        <v>8325.64</v>
      </c>
      <c r="F159" s="262">
        <f>+F21</f>
        <v>8749.75</v>
      </c>
      <c r="G159" s="262">
        <f t="shared" ref="G159:M159" si="9">+G21</f>
        <v>8639.7900000000009</v>
      </c>
      <c r="H159" s="262">
        <f>+H22</f>
        <v>2127.81</v>
      </c>
      <c r="I159" s="262">
        <f t="shared" si="9"/>
        <v>3682.37</v>
      </c>
      <c r="J159" s="262">
        <f t="shared" si="9"/>
        <v>5172.2299999999996</v>
      </c>
      <c r="K159" s="262">
        <f t="shared" si="9"/>
        <v>6811.89</v>
      </c>
      <c r="L159" s="262">
        <f t="shared" si="9"/>
        <v>3864.5</v>
      </c>
      <c r="M159" s="262">
        <f t="shared" si="9"/>
        <v>666.35</v>
      </c>
      <c r="N159" s="358">
        <f t="shared" si="3"/>
        <v>69491.09</v>
      </c>
      <c r="O159" s="8" t="s">
        <v>3552</v>
      </c>
    </row>
    <row r="160" spans="1:15">
      <c r="A160" s="1369" t="s">
        <v>595</v>
      </c>
      <c r="B160" s="1469">
        <f>+B12+B136+B137</f>
        <v>14655.02</v>
      </c>
      <c r="C160" s="1470">
        <f>+C12+C136+C137</f>
        <v>20009.25</v>
      </c>
      <c r="D160" s="1470">
        <f>+D12+D136+D137</f>
        <v>21177.93</v>
      </c>
      <c r="E160" s="1470">
        <f>+E12+E136+E137</f>
        <v>13664.349999999999</v>
      </c>
      <c r="F160" s="1470">
        <f>+F12+F136+F137</f>
        <v>13747.18</v>
      </c>
      <c r="G160" s="1470">
        <f t="shared" ref="G160:M160" si="10">+G12+G136+G137</f>
        <v>17487.88</v>
      </c>
      <c r="H160" s="1470">
        <f>+H12+H136+H137</f>
        <v>16700.86</v>
      </c>
      <c r="I160" s="1470">
        <f>+I12+I136+I137</f>
        <v>18958</v>
      </c>
      <c r="J160" s="1470">
        <f t="shared" si="10"/>
        <v>15138.35</v>
      </c>
      <c r="K160" s="1470">
        <f>+K12+K136+K137</f>
        <v>15970.24</v>
      </c>
      <c r="L160" s="1470">
        <f t="shared" si="10"/>
        <v>16934.400000000001</v>
      </c>
      <c r="M160" s="1470">
        <f t="shared" si="10"/>
        <v>18257.98</v>
      </c>
      <c r="N160" s="358">
        <f t="shared" si="3"/>
        <v>202701.44000000003</v>
      </c>
      <c r="O160" s="8" t="s">
        <v>3552</v>
      </c>
    </row>
    <row r="161" spans="1:20 16384:16384">
      <c r="A161" s="1370" t="s">
        <v>602</v>
      </c>
      <c r="B161" s="1471">
        <f>+B24+B29+B34+B37+B39+B45+B51+B57+B63+B69+B75+B87+B88+B89+B93+B99+B105+B111+B117+B123+B124+B125+B129+B135+B140+B139</f>
        <v>39129.770000000004</v>
      </c>
      <c r="C161" s="262">
        <f>+C24+C29+C34+C37+C39+C45+C51+C57+C63+C69+C75+C87+C88+C89+C93+C99+C105+C111+C117+C123+C124+C125+C129+C135+C140+C139</f>
        <v>34927.160000000003</v>
      </c>
      <c r="D161" s="262">
        <f>+D24+D29+D34+D37+D39+D45+D51+D57+D63+D69+D75+D87+D88+D89+D93+D99+D105+D111+D117+D123+D124+D125+D129+D135+D140+D139</f>
        <v>41484.400000000001</v>
      </c>
      <c r="E161" s="262">
        <f>+E24+E29+E34+E37+E39+E45+E51+E57+E63+E69+E75+E87+E88+E89+E93+E99+E105+E111+E117+E123+E124+E125+E129+E135+E140+E139</f>
        <v>38740.54</v>
      </c>
      <c r="F161" s="262">
        <f>+F24+F29+F34+F37+F39+F45+F51+F57+F63+F69+F75+F87+F88+F89+F93+F99+F105+F111+F117+F123+F124+F125+F129+F135+F140+F139</f>
        <v>38825.53</v>
      </c>
      <c r="G161" s="262">
        <f t="shared" ref="G161:M161" si="11">+G24+G29+G34+G37+G39+G45+G51+G57+G63+G69+G75+G87+G88+G89+G93+G99+G105+G111+G117+G123+G124+G125+G129+G135+G140+G139</f>
        <v>47408.560000000005</v>
      </c>
      <c r="H161" s="262">
        <f t="shared" si="11"/>
        <v>42933.86</v>
      </c>
      <c r="I161" s="262">
        <f t="shared" si="11"/>
        <v>33104.550000000003</v>
      </c>
      <c r="J161" s="262">
        <f>+J24+J29+J34+J37+J39+J45+J51+J57+J63+J69+J75+J87+J88+J89+J93+J99+J105+J111+J117+J123+J124+J125+J129+J135+J140+J139</f>
        <v>44240.95</v>
      </c>
      <c r="K161" s="262">
        <f>+K24+K29+K34+K37+K39+K45+K51+K57+K63+K69+K75+K87+K88+K89+K93+K99+K105+K111+K117+K123+K124+K125+K129+K135+K140+K139</f>
        <v>41611.06</v>
      </c>
      <c r="L161" s="262">
        <f t="shared" si="11"/>
        <v>42664.22</v>
      </c>
      <c r="M161" s="262">
        <f t="shared" si="11"/>
        <v>33183.39</v>
      </c>
      <c r="N161" s="358">
        <f t="shared" si="3"/>
        <v>478253.99</v>
      </c>
      <c r="O161" s="8" t="s">
        <v>3552</v>
      </c>
    </row>
    <row r="162" spans="1:20 16384:16384">
      <c r="A162" s="1369" t="s">
        <v>603</v>
      </c>
      <c r="B162" s="1469">
        <f>SUM(B2:B9)+B14+B138</f>
        <v>44215.55</v>
      </c>
      <c r="C162" s="1470">
        <f>SUM(C2:C9)+C14+C138</f>
        <v>48351.13</v>
      </c>
      <c r="D162" s="1470">
        <f t="shared" ref="D162:M162" si="12">SUM(D2:D9)+D14+D138</f>
        <v>52133</v>
      </c>
      <c r="E162" s="1470">
        <f t="shared" si="12"/>
        <v>44141</v>
      </c>
      <c r="F162" s="1470">
        <f t="shared" si="12"/>
        <v>44722.71</v>
      </c>
      <c r="G162" s="1470">
        <f t="shared" si="12"/>
        <v>46813.41</v>
      </c>
      <c r="H162" s="1470">
        <f>SUM(H2:H9)+H14+H138</f>
        <v>46217.65</v>
      </c>
      <c r="I162" s="1470">
        <f>SUM(I2:I9)+I14+I138</f>
        <v>47657.61</v>
      </c>
      <c r="J162" s="1470">
        <f t="shared" si="12"/>
        <v>49172.6</v>
      </c>
      <c r="K162" s="1470">
        <f>SUM(K2:K9)+K14+K138</f>
        <v>48414</v>
      </c>
      <c r="L162" s="1470">
        <f t="shared" si="12"/>
        <v>49945.15</v>
      </c>
      <c r="M162" s="1470">
        <f t="shared" si="12"/>
        <v>48202.14</v>
      </c>
      <c r="N162" s="358">
        <f t="shared" si="3"/>
        <v>569985.94999999995</v>
      </c>
      <c r="O162" s="8" t="s">
        <v>3552</v>
      </c>
    </row>
    <row r="163" spans="1:20 16384:16384">
      <c r="A163" s="1370" t="s">
        <v>3188</v>
      </c>
      <c r="B163" s="1471">
        <f>+B10+B15+B25+B30+B35+B42+B44+B48+B50+B54+B56+B60+B62+B66+B68+B72+B74++B76+B77+B78++B80+B81+B84+B86+B90+B92+B96+B98+B102+B104+B108+B110+B112++B113+B114+B116+B117+B120+B122+B126+B128+B130+B131+B132+B133+B134+B135</f>
        <v>83262.14</v>
      </c>
      <c r="C163" s="262">
        <f>+C10+C15+C25+C30+C35+C42+C44+C48+C50+C54+C56+C60+C62+C66+C68+C72+C74++C76+C77+C78++C80+C81+C84+C86+C90+C92+C96+C98+C102+C104+C108+C110+C112++C113+C114+C116+C117+C120+C122+C126+C128+C130+C131+C132+C133+C134+C135</f>
        <v>78530.829999999987</v>
      </c>
      <c r="D163" s="262">
        <f>+D10+D15+D25+D30+D35+D42+D44+D48+D50+D54+D56+D60+D62+D66+D68+D72+D74++D76+D77+D78++D80+D81+D84+D86+D90+D92+D96+D98+D102+D104+D108+D110+D112++D113+D114+D116+D117+D120+D122+D126+D128+D130+D131+D132+D133+D134+D135</f>
        <v>86687.130000000019</v>
      </c>
      <c r="E163" s="262">
        <f>+E10+E15+E25+E30+E35+E42+E44+E48+E50+E54+E56+E60+E62+E66+E68+E72+E74++E76+E77+E78++E80+E81+E84+E86+E90+E92+E96+E98+E102+E104+E108+E110+E112++E113+E114+E116+E117+E120+E122+E126+E128+E130+E131+E132+E133+E134+E135</f>
        <v>91846.8</v>
      </c>
      <c r="F163" s="262">
        <f>+F10+F15+F25+F30+F35+F42+F44+F48+F50+F54+F56+F60+F62+F66+F68+F72+F74++F76+F77+F78++F80+F81+F84+F86+F90+F92+F96+F98+F102+F104+F108+F110+F112++F113+F114+F116+F117+F120+F122+F126+F128+F130+F131+F132+F133+F134+F135</f>
        <v>86626.07</v>
      </c>
      <c r="G163" s="262">
        <f t="shared" ref="G163:M163" si="13">+G10+G15+G25+G30+G35+G42+G44+G48+G50+G54+G56+G60+G62+G66+G68+G72+G74++G76+G77+G78++G80+G81+G84+G86+G90+G92+G96+G98+G102+G104+G108+G110+G112++G113+G114+G116+G117+G120+G122+G126+G128+G130+G131+G132+G133+G134+G135</f>
        <v>104459.76000000001</v>
      </c>
      <c r="H163" s="262">
        <f>+H10+H15+H25+H30+H35+H42+H44+H48+H50+H54+H56+H60+H62+H66+H68+H72+H74++H76+H77+H78++H80+H81+H84+H86+H90+H92+H96+H98+H102+H104+H108+H110+H112++H113+H114+H116+H117+H120+H122+H126+H128+H130+H131+H132+H133+H134+H135</f>
        <v>105228.03</v>
      </c>
      <c r="I163" s="262">
        <f>+I10+I15+I25+I30+I35+I42+I44+I48+I50+I54+I56+I60+I62+I66+I68+I72+I74++I76+I77+I78++I80+I81+I84+I86+I90+I92+I96+I98+I102+I104+I108+I110+I112++I113+I114+I116+I117+I120+I122+I126+I128+I130+I131+I132+I133+I134+I135</f>
        <v>108046.84</v>
      </c>
      <c r="J163" s="262">
        <f t="shared" si="13"/>
        <v>116832.95</v>
      </c>
      <c r="K163" s="262">
        <f t="shared" si="13"/>
        <v>120912.84791666668</v>
      </c>
      <c r="L163" s="262">
        <f t="shared" si="13"/>
        <v>107876.12999999999</v>
      </c>
      <c r="M163" s="262">
        <f t="shared" si="13"/>
        <v>91047.700000000012</v>
      </c>
      <c r="N163" s="358">
        <f t="shared" si="3"/>
        <v>1181357.2279166665</v>
      </c>
      <c r="O163" s="8" t="s">
        <v>3552</v>
      </c>
    </row>
    <row r="164" spans="1:20 16384:16384">
      <c r="A164" s="1369" t="s">
        <v>1993</v>
      </c>
      <c r="B164" s="1469">
        <f>+B11+B16+B26+B31+B36+B43+B49+B55+B61+B67+B73+B79+B85+B91+B97+B103+B109+B115+B121+B127+B133</f>
        <v>16787</v>
      </c>
      <c r="C164" s="1470">
        <f t="shared" ref="C164:M164" si="14">+C11+C16+C26+C31+C36+C43+C49+C55+C61+C67+C73+C85+C91+C97+C103+C109+C115+C121+C127+C133+C79</f>
        <v>15733</v>
      </c>
      <c r="D164" s="1470">
        <f t="shared" si="14"/>
        <v>17589</v>
      </c>
      <c r="E164" s="1470">
        <f t="shared" si="14"/>
        <v>17313</v>
      </c>
      <c r="F164" s="1470">
        <f t="shared" si="14"/>
        <v>17748</v>
      </c>
      <c r="G164" s="1470">
        <f t="shared" si="14"/>
        <v>17405</v>
      </c>
      <c r="H164" s="1470">
        <f>+H11+H16+H26+H31+H36+H43+H49+H55+H61+H67+H73+H85+H91+H97+H103+H109+H115+H121+H127+H133+H79</f>
        <v>20464.400000000001</v>
      </c>
      <c r="I164" s="1470">
        <f>+I11+I16+I26+I31+I36+I43+I49+I55+I61+I67+I73+I85+I91+I97+I103+I109+I115+I121+I127+I133+I79</f>
        <v>18327.78</v>
      </c>
      <c r="J164" s="1470">
        <f t="shared" si="14"/>
        <v>16154.07</v>
      </c>
      <c r="K164" s="1470">
        <f t="shared" si="14"/>
        <v>16554.349999999999</v>
      </c>
      <c r="L164" s="1470">
        <f t="shared" si="14"/>
        <v>15894.869999999999</v>
      </c>
      <c r="M164" s="1470">
        <f t="shared" si="14"/>
        <v>17080.13</v>
      </c>
      <c r="N164" s="358">
        <f t="shared" si="3"/>
        <v>207050.6</v>
      </c>
      <c r="O164" s="8" t="s">
        <v>3552</v>
      </c>
    </row>
    <row r="165" spans="1:20 16384:16384" ht="13.8" thickBot="1">
      <c r="A165" s="1373" t="s">
        <v>1057</v>
      </c>
      <c r="B165" s="1475">
        <f>+B13+B23+B28+B33+B38</f>
        <v>38548.03</v>
      </c>
      <c r="C165" s="1372">
        <f>+C13+C23+C28+C33+C38</f>
        <v>30879.19</v>
      </c>
      <c r="D165" s="1307">
        <f>+D13+D23+D28+D33+D38</f>
        <v>38532.379999999997</v>
      </c>
      <c r="E165" s="1307">
        <f>+E13+E23+E28+E33+E38</f>
        <v>37901.57</v>
      </c>
      <c r="F165" s="1307">
        <f>+F13+F23+F28+F33+F38</f>
        <v>21894.39</v>
      </c>
      <c r="G165" s="1307">
        <f t="shared" ref="G165:M165" si="15">+G13+G23+G28+G33+G38</f>
        <v>41599.86</v>
      </c>
      <c r="H165" s="1307">
        <f>+H13+H23+H28+H33+H38</f>
        <v>36138.36</v>
      </c>
      <c r="I165" s="1307">
        <f>+I13+I23+I28+I33+I38</f>
        <v>42230.709999999992</v>
      </c>
      <c r="J165" s="1307">
        <f t="shared" si="15"/>
        <v>51081.120000000003</v>
      </c>
      <c r="K165" s="1307">
        <f t="shared" si="15"/>
        <v>38541.699999999997</v>
      </c>
      <c r="L165" s="1307">
        <f t="shared" si="15"/>
        <v>26003.07</v>
      </c>
      <c r="M165" s="1307">
        <f t="shared" si="15"/>
        <v>28739.08</v>
      </c>
      <c r="N165" s="358">
        <f t="shared" si="3"/>
        <v>432089.46</v>
      </c>
      <c r="O165" s="8" t="s">
        <v>3552</v>
      </c>
      <c r="P165" s="358">
        <f>+H166-H149</f>
        <v>-4727.0299999998533</v>
      </c>
    </row>
    <row r="166" spans="1:20 16384:16384">
      <c r="B166" s="262">
        <f>SUM(B152:B165)</f>
        <v>330088.86</v>
      </c>
      <c r="C166" s="262">
        <f>SUM(C152:C165)</f>
        <v>315285.14999999997</v>
      </c>
      <c r="D166" s="262">
        <f>SUM(D152:D165)</f>
        <v>349165.94</v>
      </c>
      <c r="E166" s="262">
        <f>SUM(E152:E165)</f>
        <v>345380.56</v>
      </c>
      <c r="F166" s="262">
        <f>SUM(F152:F165)</f>
        <v>362159.95</v>
      </c>
      <c r="G166" s="262">
        <f t="shared" ref="G166:N166" si="16">SUM(G152:G165)</f>
        <v>370815.23</v>
      </c>
      <c r="H166" s="262">
        <f t="shared" si="16"/>
        <v>363046.35</v>
      </c>
      <c r="I166" s="262">
        <f t="shared" si="16"/>
        <v>344362.66999999993</v>
      </c>
      <c r="J166" s="262">
        <f>SUM(J152:J165)</f>
        <v>367877.18</v>
      </c>
      <c r="K166" s="262">
        <f>SUM(K152:K165)</f>
        <v>354341.09191666666</v>
      </c>
      <c r="L166" s="262">
        <f>SUM(L152:L165)</f>
        <v>325511.34999999998</v>
      </c>
      <c r="M166" s="262">
        <f>SUM(M152:M165)</f>
        <v>302287.95</v>
      </c>
      <c r="N166" s="358">
        <f t="shared" si="16"/>
        <v>4130322.2819166663</v>
      </c>
      <c r="O166" s="358"/>
      <c r="Q166" s="358">
        <f>+I166-I149</f>
        <v>6.9999999998835847</v>
      </c>
    </row>
    <row r="167" spans="1:20 16384:16384">
      <c r="C167" s="262"/>
      <c r="D167" s="262"/>
      <c r="E167" s="262"/>
      <c r="F167" s="262"/>
    </row>
    <row r="168" spans="1:20 16384:16384" ht="13.8" thickBot="1">
      <c r="A168" s="1265" t="s">
        <v>3989</v>
      </c>
      <c r="B168" s="1968">
        <f>SUM(B169:B173)</f>
        <v>6348</v>
      </c>
      <c r="C168" s="1968">
        <f t="shared" ref="C168:L168" si="17">SUM(C169:C173)</f>
        <v>6348</v>
      </c>
      <c r="D168" s="1968">
        <f t="shared" si="17"/>
        <v>6348</v>
      </c>
      <c r="E168" s="1968">
        <f t="shared" si="17"/>
        <v>6348</v>
      </c>
      <c r="F168" s="1968">
        <f t="shared" si="17"/>
        <v>6348</v>
      </c>
      <c r="G168" s="1968">
        <f t="shared" si="17"/>
        <v>3744</v>
      </c>
      <c r="H168" s="1968">
        <f t="shared" si="17"/>
        <v>3744</v>
      </c>
      <c r="I168" s="1968">
        <f t="shared" si="17"/>
        <v>3744</v>
      </c>
      <c r="J168" s="1968">
        <f t="shared" si="17"/>
        <v>3744</v>
      </c>
      <c r="K168" s="1968">
        <f>SUM(K169:K173)</f>
        <v>3744</v>
      </c>
      <c r="L168" s="1968">
        <f t="shared" si="17"/>
        <v>3744</v>
      </c>
      <c r="M168" s="1968">
        <f>SUM(M169:M173)</f>
        <v>3744</v>
      </c>
      <c r="N168" s="358">
        <f>SUM(B168:M168)</f>
        <v>57948</v>
      </c>
    </row>
    <row r="169" spans="1:20 16384:16384">
      <c r="A169" s="1965" t="s">
        <v>6245</v>
      </c>
      <c r="B169" s="1969">
        <v>1488</v>
      </c>
      <c r="C169" s="1969">
        <v>1488</v>
      </c>
      <c r="D169" s="1969">
        <v>1488</v>
      </c>
      <c r="E169" s="1969">
        <v>1488</v>
      </c>
      <c r="F169" s="1969">
        <v>1488</v>
      </c>
      <c r="G169" s="1969">
        <v>1488</v>
      </c>
      <c r="H169" s="2076">
        <v>1488</v>
      </c>
      <c r="I169" s="2076">
        <v>1488</v>
      </c>
      <c r="J169" s="1969">
        <v>1488</v>
      </c>
      <c r="K169" s="1969">
        <v>1488</v>
      </c>
      <c r="L169" s="1969">
        <v>1488</v>
      </c>
      <c r="M169" s="1969">
        <v>1488</v>
      </c>
    </row>
    <row r="170" spans="1:20 16384:16384">
      <c r="A170" s="1966" t="s">
        <v>3997</v>
      </c>
      <c r="B170" s="1864">
        <v>2080</v>
      </c>
      <c r="C170" s="1864">
        <v>2080</v>
      </c>
      <c r="D170" s="1864">
        <v>2080</v>
      </c>
      <c r="E170" s="1864">
        <v>2080</v>
      </c>
      <c r="F170" s="1864">
        <v>2080</v>
      </c>
      <c r="G170" s="1864">
        <v>2080</v>
      </c>
      <c r="H170" s="2077">
        <v>2080</v>
      </c>
      <c r="I170" s="2077">
        <v>2080</v>
      </c>
      <c r="J170" s="1864">
        <v>2080</v>
      </c>
      <c r="K170" s="1864">
        <v>2080</v>
      </c>
      <c r="L170" s="1864">
        <v>2080</v>
      </c>
      <c r="M170" s="1864">
        <v>2080</v>
      </c>
      <c r="XFD170" s="675"/>
    </row>
    <row r="171" spans="1:20 16384:16384">
      <c r="A171" s="1966" t="s">
        <v>3987</v>
      </c>
      <c r="B171" s="1864"/>
      <c r="C171" s="1864"/>
      <c r="D171" s="1864"/>
      <c r="E171" s="692"/>
      <c r="F171" s="692"/>
      <c r="G171" s="692"/>
      <c r="H171" s="692"/>
      <c r="I171" s="911"/>
      <c r="J171" s="692"/>
      <c r="K171" s="911"/>
      <c r="L171" s="911"/>
      <c r="M171" s="911"/>
    </row>
    <row r="172" spans="1:20 16384:16384">
      <c r="A172" s="1966" t="s">
        <v>3988</v>
      </c>
      <c r="B172" s="1864">
        <v>176</v>
      </c>
      <c r="C172" s="1864">
        <v>176</v>
      </c>
      <c r="D172" s="1864">
        <v>176</v>
      </c>
      <c r="E172" s="1864">
        <v>176</v>
      </c>
      <c r="F172" s="1864">
        <v>176</v>
      </c>
      <c r="G172" s="1864">
        <v>176</v>
      </c>
      <c r="H172" s="1864">
        <v>176</v>
      </c>
      <c r="I172" s="2077">
        <v>176</v>
      </c>
      <c r="J172" s="1864">
        <v>176</v>
      </c>
      <c r="K172" s="2077">
        <v>176</v>
      </c>
      <c r="L172" s="2077">
        <v>176</v>
      </c>
      <c r="M172" s="2077">
        <v>176</v>
      </c>
      <c r="N172" s="358"/>
    </row>
    <row r="173" spans="1:20 16384:16384" ht="15" thickBot="1">
      <c r="A173" s="1967" t="s">
        <v>5224</v>
      </c>
      <c r="B173" s="1964">
        <v>2604</v>
      </c>
      <c r="C173" s="1964">
        <v>2604</v>
      </c>
      <c r="D173" s="1964">
        <v>2604</v>
      </c>
      <c r="E173" s="1964">
        <v>2604</v>
      </c>
      <c r="F173" s="1964">
        <v>2604</v>
      </c>
      <c r="G173" s="1964">
        <v>0</v>
      </c>
      <c r="H173" s="1964">
        <v>0</v>
      </c>
      <c r="I173" s="2288">
        <v>0</v>
      </c>
      <c r="J173" s="1964">
        <v>0</v>
      </c>
      <c r="K173" s="1964">
        <v>0</v>
      </c>
      <c r="L173" s="1964">
        <v>0</v>
      </c>
      <c r="M173" s="1964">
        <v>0</v>
      </c>
      <c r="N173" s="691" t="s">
        <v>6011</v>
      </c>
      <c r="R173" s="2282">
        <v>4.4000000000000004</v>
      </c>
      <c r="S173" s="2282">
        <v>1538.77</v>
      </c>
      <c r="T173">
        <f>+S173+R173</f>
        <v>1543.17</v>
      </c>
    </row>
    <row r="174" spans="1:20 16384:16384" ht="15" thickBot="1">
      <c r="A174" s="556"/>
      <c r="R174" s="2282">
        <v>0</v>
      </c>
      <c r="S174" s="2282">
        <v>1330.67</v>
      </c>
      <c r="T174">
        <f t="shared" ref="T174:T179" si="18">+S174+R174</f>
        <v>1330.67</v>
      </c>
    </row>
    <row r="175" spans="1:20 16384:16384" ht="15" thickBot="1">
      <c r="A175" s="1965" t="s">
        <v>4160</v>
      </c>
      <c r="B175" s="2207">
        <v>2788</v>
      </c>
      <c r="C175" s="2208">
        <v>2299</v>
      </c>
      <c r="D175" s="2208">
        <v>1556</v>
      </c>
      <c r="E175" s="2208">
        <v>454</v>
      </c>
      <c r="F175" s="1996">
        <v>27</v>
      </c>
      <c r="G175" s="1996">
        <v>51</v>
      </c>
      <c r="H175" s="1996">
        <v>0</v>
      </c>
      <c r="I175" s="2867">
        <v>104</v>
      </c>
      <c r="J175" s="2867">
        <v>177</v>
      </c>
      <c r="K175" s="1996">
        <v>159</v>
      </c>
      <c r="L175" s="1996">
        <v>0</v>
      </c>
      <c r="M175" s="3017">
        <v>0</v>
      </c>
      <c r="N175" s="358">
        <f t="shared" ref="N175:N183" si="19">SUM(B175:M175)</f>
        <v>7615</v>
      </c>
      <c r="O175" s="242" t="s">
        <v>6012</v>
      </c>
      <c r="R175" s="2282">
        <v>7.38</v>
      </c>
      <c r="S175" s="2282">
        <v>1585.32</v>
      </c>
      <c r="T175">
        <f t="shared" si="18"/>
        <v>1592.7</v>
      </c>
    </row>
    <row r="176" spans="1:20 16384:16384" ht="15" thickBot="1">
      <c r="A176" s="1966" t="s">
        <v>4161</v>
      </c>
      <c r="B176" s="2253">
        <v>1732</v>
      </c>
      <c r="C176" s="911">
        <v>451</v>
      </c>
      <c r="D176" s="911">
        <v>449</v>
      </c>
      <c r="E176" s="911">
        <v>34</v>
      </c>
      <c r="F176" s="1015">
        <v>1143</v>
      </c>
      <c r="G176" s="1015">
        <v>2394</v>
      </c>
      <c r="H176" s="1015">
        <v>1073</v>
      </c>
      <c r="I176" s="543">
        <v>0</v>
      </c>
      <c r="J176" s="543">
        <v>0</v>
      </c>
      <c r="K176" s="1015">
        <v>0</v>
      </c>
      <c r="L176" s="1015">
        <v>0</v>
      </c>
      <c r="M176" s="1040">
        <v>0</v>
      </c>
      <c r="N176" s="358">
        <f t="shared" si="19"/>
        <v>7276</v>
      </c>
      <c r="O176" s="242" t="s">
        <v>6012</v>
      </c>
      <c r="R176" s="2282">
        <v>5</v>
      </c>
      <c r="S176" s="2282">
        <v>1398.93</v>
      </c>
      <c r="T176">
        <f t="shared" si="18"/>
        <v>1403.93</v>
      </c>
    </row>
    <row r="177" spans="1:20" ht="15" thickBot="1">
      <c r="A177" s="1966" t="s">
        <v>4384</v>
      </c>
      <c r="B177" s="93"/>
      <c r="C177" s="543"/>
      <c r="D177" s="543"/>
      <c r="E177" s="543"/>
      <c r="F177" s="543"/>
      <c r="G177" s="543"/>
      <c r="H177" s="543"/>
      <c r="I177" s="543"/>
      <c r="J177" s="543"/>
      <c r="K177" s="543"/>
      <c r="L177" s="543"/>
      <c r="M177" s="1040"/>
      <c r="N177" s="358">
        <f t="shared" si="19"/>
        <v>0</v>
      </c>
      <c r="R177" s="2282">
        <v>2.5499999999999998</v>
      </c>
      <c r="S177" s="2282">
        <v>1598.28</v>
      </c>
      <c r="T177">
        <f t="shared" si="18"/>
        <v>1600.83</v>
      </c>
    </row>
    <row r="178" spans="1:20" ht="15" thickBot="1">
      <c r="A178" s="1966" t="s">
        <v>4162</v>
      </c>
      <c r="B178" s="2173">
        <v>2359.15</v>
      </c>
      <c r="C178" s="1995">
        <v>2028.97</v>
      </c>
      <c r="D178" s="1995">
        <v>2341.17</v>
      </c>
      <c r="E178" s="771">
        <v>2026.38</v>
      </c>
      <c r="F178" s="771">
        <v>2427.9499999999998</v>
      </c>
      <c r="G178" s="771">
        <v>2234.27</v>
      </c>
      <c r="H178" s="771">
        <v>2376.6</v>
      </c>
      <c r="I178" s="771">
        <v>2662.67</v>
      </c>
      <c r="J178" s="771">
        <v>2288.8000000000002</v>
      </c>
      <c r="K178" s="771">
        <v>2038.45</v>
      </c>
      <c r="L178" s="1995">
        <v>2155.42</v>
      </c>
      <c r="M178" s="1995">
        <v>2197.0500000000002</v>
      </c>
      <c r="N178" s="358">
        <f t="shared" si="19"/>
        <v>27136.880000000001</v>
      </c>
      <c r="O178" t="s">
        <v>6120</v>
      </c>
      <c r="P178" s="358"/>
      <c r="R178" s="2282">
        <v>8.52</v>
      </c>
      <c r="S178" s="2282">
        <v>1716.95</v>
      </c>
      <c r="T178">
        <f t="shared" si="18"/>
        <v>1725.47</v>
      </c>
    </row>
    <row r="179" spans="1:20" ht="15" thickBot="1">
      <c r="A179" s="1966" t="s">
        <v>4526</v>
      </c>
      <c r="B179" s="1328">
        <v>4418</v>
      </c>
      <c r="C179" s="1015">
        <v>4324</v>
      </c>
      <c r="D179" s="1015">
        <v>4753</v>
      </c>
      <c r="E179" s="1015">
        <v>4700</v>
      </c>
      <c r="F179" s="1015">
        <v>1352</v>
      </c>
      <c r="G179" s="1015">
        <v>1216</v>
      </c>
      <c r="H179" s="1015">
        <v>1384</v>
      </c>
      <c r="I179" s="1015">
        <v>1120</v>
      </c>
      <c r="J179" s="1015">
        <v>976</v>
      </c>
      <c r="K179" s="1015">
        <v>979</v>
      </c>
      <c r="L179" s="1015">
        <v>951</v>
      </c>
      <c r="M179" s="1040">
        <v>951</v>
      </c>
      <c r="N179" s="358">
        <f t="shared" si="19"/>
        <v>27124</v>
      </c>
      <c r="O179" t="s">
        <v>6121</v>
      </c>
      <c r="R179" s="2282">
        <v>0</v>
      </c>
      <c r="S179" s="2282">
        <v>1538.83</v>
      </c>
      <c r="T179">
        <f t="shared" si="18"/>
        <v>1538.83</v>
      </c>
    </row>
    <row r="180" spans="1:20">
      <c r="A180" s="2174" t="s">
        <v>5854</v>
      </c>
      <c r="B180" s="2235">
        <v>62489</v>
      </c>
      <c r="C180" s="2175">
        <v>58919</v>
      </c>
      <c r="D180" s="2175">
        <v>40624</v>
      </c>
      <c r="E180" s="2230">
        <v>40624</v>
      </c>
      <c r="F180" s="2230">
        <v>40624</v>
      </c>
      <c r="G180" s="2230">
        <v>40624</v>
      </c>
      <c r="H180" s="2230">
        <v>40624</v>
      </c>
      <c r="I180" s="2230">
        <v>40624</v>
      </c>
      <c r="J180" s="2230">
        <v>40624</v>
      </c>
      <c r="K180" s="2230">
        <v>40624</v>
      </c>
      <c r="L180" s="2230">
        <v>40624</v>
      </c>
      <c r="M180" s="2230">
        <v>40624</v>
      </c>
      <c r="N180" s="358">
        <f t="shared" si="19"/>
        <v>527648</v>
      </c>
    </row>
    <row r="181" spans="1:20">
      <c r="A181" s="2192" t="s">
        <v>5857</v>
      </c>
      <c r="B181" s="2211">
        <v>19420</v>
      </c>
      <c r="C181" s="2212">
        <v>16435</v>
      </c>
      <c r="D181" s="2191">
        <v>12715</v>
      </c>
      <c r="E181" s="2191">
        <v>12412</v>
      </c>
      <c r="F181" s="2191">
        <v>15960</v>
      </c>
      <c r="G181" s="2191">
        <v>13015</v>
      </c>
      <c r="H181" s="2191">
        <v>2703</v>
      </c>
      <c r="I181" s="2289">
        <v>2703</v>
      </c>
      <c r="J181" s="2289">
        <v>2703</v>
      </c>
      <c r="K181" s="2289">
        <v>2703</v>
      </c>
      <c r="L181" s="2289">
        <v>2703</v>
      </c>
      <c r="M181" s="2289">
        <v>2703</v>
      </c>
      <c r="N181" s="358">
        <f t="shared" si="19"/>
        <v>106175</v>
      </c>
      <c r="O181" s="242" t="s">
        <v>6012</v>
      </c>
    </row>
    <row r="182" spans="1:20">
      <c r="A182" s="2190" t="s">
        <v>5866</v>
      </c>
      <c r="B182" s="2206">
        <v>20598</v>
      </c>
      <c r="C182" s="2206">
        <v>20909</v>
      </c>
      <c r="D182" s="1040">
        <v>20909</v>
      </c>
      <c r="E182" s="1040">
        <v>20909</v>
      </c>
      <c r="F182" s="1040">
        <v>20909</v>
      </c>
      <c r="G182" s="1040">
        <v>20909</v>
      </c>
      <c r="H182" s="1040">
        <v>20909</v>
      </c>
      <c r="I182" s="1040">
        <v>20909</v>
      </c>
      <c r="J182" s="1040">
        <v>20909</v>
      </c>
      <c r="K182" s="1040">
        <v>20909</v>
      </c>
      <c r="L182" s="1040">
        <v>20909</v>
      </c>
      <c r="M182" s="1040">
        <v>20909</v>
      </c>
      <c r="N182" s="358">
        <f t="shared" si="19"/>
        <v>250597</v>
      </c>
    </row>
    <row r="183" spans="1:20">
      <c r="A183" s="2190" t="s">
        <v>5893</v>
      </c>
      <c r="B183" s="911">
        <v>6408</v>
      </c>
      <c r="C183" s="911">
        <v>4753</v>
      </c>
      <c r="D183" s="1015">
        <v>1640</v>
      </c>
      <c r="E183" s="1015">
        <v>0</v>
      </c>
      <c r="F183" s="1015">
        <v>0</v>
      </c>
      <c r="G183" s="1015">
        <v>0</v>
      </c>
      <c r="H183" s="1015">
        <v>0</v>
      </c>
      <c r="I183" s="1015">
        <v>0</v>
      </c>
      <c r="J183" s="1015">
        <v>0</v>
      </c>
      <c r="K183" s="1015">
        <v>0</v>
      </c>
      <c r="L183" s="1015">
        <v>0</v>
      </c>
      <c r="M183" s="1040">
        <v>0</v>
      </c>
      <c r="N183" s="358">
        <f t="shared" si="19"/>
        <v>12801</v>
      </c>
      <c r="O183" s="242" t="s">
        <v>6012</v>
      </c>
    </row>
    <row r="184" spans="1:20">
      <c r="A184" s="2197" t="s">
        <v>5451</v>
      </c>
      <c r="B184" s="543">
        <v>34615</v>
      </c>
      <c r="C184" s="543">
        <v>34615</v>
      </c>
      <c r="D184" s="543">
        <v>34615</v>
      </c>
      <c r="E184" s="1040">
        <v>34615</v>
      </c>
      <c r="F184" s="1040">
        <v>34615</v>
      </c>
      <c r="G184" s="1040">
        <v>34615</v>
      </c>
      <c r="H184" s="1040">
        <v>34615</v>
      </c>
      <c r="I184" s="1040">
        <v>34615</v>
      </c>
      <c r="J184" s="1040">
        <v>34615</v>
      </c>
      <c r="K184" s="1040">
        <v>34615</v>
      </c>
      <c r="L184" s="1040">
        <v>34615</v>
      </c>
      <c r="M184" s="1040">
        <v>34615</v>
      </c>
      <c r="N184" s="358">
        <f>SUM(B184:M184)</f>
        <v>415380</v>
      </c>
    </row>
  </sheetData>
  <autoFilter ref="A1:M149" xr:uid="{00000000-0009-0000-0000-000007000000}"/>
  <mergeCells count="4">
    <mergeCell ref="N2:N8"/>
    <mergeCell ref="N136:N138"/>
    <mergeCell ref="N15:N39"/>
    <mergeCell ref="N40:N135"/>
  </mergeCells>
  <pageMargins left="0.7" right="0.7" top="0.75" bottom="0.75" header="0.3" footer="0.3"/>
  <pageSetup paperSize="9" orientation="portrait"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45"/>
  <sheetViews>
    <sheetView showGridLines="0" zoomScale="80" zoomScaleNormal="80" workbookViewId="0">
      <pane xSplit="1" ySplit="2" topLeftCell="B3" activePane="bottomRight" state="frozen"/>
      <selection pane="topRight" activeCell="B1" sqref="B1"/>
      <selection pane="bottomLeft" activeCell="A3" sqref="A3"/>
      <selection pane="bottomRight" activeCell="N3" sqref="N3:N24"/>
    </sheetView>
  </sheetViews>
  <sheetFormatPr baseColWidth="10" defaultRowHeight="13.2"/>
  <cols>
    <col min="1" max="1" width="30.5546875" bestFit="1" customWidth="1"/>
    <col min="2" max="2" width="11.5546875" style="8"/>
    <col min="14" max="14" width="21.33203125" customWidth="1"/>
  </cols>
  <sheetData>
    <row r="1" spans="1:19" ht="13.8" thickBot="1"/>
    <row r="2" spans="1:19" ht="13.8" thickBot="1">
      <c r="A2" s="1402" t="s">
        <v>3277</v>
      </c>
      <c r="B2" s="1403" t="s">
        <v>992</v>
      </c>
      <c r="C2" s="1404" t="s">
        <v>1009</v>
      </c>
      <c r="D2" s="1405" t="s">
        <v>1034</v>
      </c>
      <c r="E2" s="1405" t="s">
        <v>1031</v>
      </c>
      <c r="F2" s="1405" t="s">
        <v>1061</v>
      </c>
      <c r="G2" s="1405" t="s">
        <v>1240</v>
      </c>
      <c r="H2" s="1405" t="s">
        <v>1144</v>
      </c>
      <c r="I2" s="1405" t="s">
        <v>1110</v>
      </c>
      <c r="J2" s="1405" t="s">
        <v>1086</v>
      </c>
      <c r="K2" s="1405" t="s">
        <v>653</v>
      </c>
      <c r="L2" s="1405" t="s">
        <v>1102</v>
      </c>
      <c r="M2" s="1405" t="s">
        <v>1154</v>
      </c>
      <c r="N2" s="8"/>
    </row>
    <row r="3" spans="1:19">
      <c r="A3" s="1407" t="s">
        <v>3278</v>
      </c>
      <c r="B3" s="1547"/>
      <c r="C3" s="1548"/>
      <c r="D3" s="1400"/>
      <c r="E3" s="1400"/>
      <c r="F3" s="1400"/>
      <c r="G3" s="1400"/>
      <c r="H3" s="1400"/>
      <c r="I3" s="1400"/>
      <c r="J3" s="1400"/>
      <c r="K3" s="1401"/>
      <c r="L3" s="1401"/>
      <c r="M3" s="1401"/>
      <c r="N3" s="3213" t="s">
        <v>6394</v>
      </c>
    </row>
    <row r="4" spans="1:19">
      <c r="A4" s="1408" t="s">
        <v>586</v>
      </c>
      <c r="B4" s="1548">
        <v>24796.5</v>
      </c>
      <c r="C4" s="1548">
        <v>24634.5</v>
      </c>
      <c r="D4" s="1401">
        <v>26511</v>
      </c>
      <c r="E4" s="1401">
        <v>24890</v>
      </c>
      <c r="F4" s="1401">
        <v>27204</v>
      </c>
      <c r="G4" s="1401">
        <v>27075.5</v>
      </c>
      <c r="H4" s="1401">
        <v>23368.5</v>
      </c>
      <c r="I4" s="1401">
        <v>25739</v>
      </c>
      <c r="J4" s="1401">
        <v>25870.5</v>
      </c>
      <c r="K4" s="1401">
        <v>25839</v>
      </c>
      <c r="L4" s="1401">
        <v>25207</v>
      </c>
      <c r="M4" s="1401">
        <v>25286</v>
      </c>
      <c r="N4" s="3213"/>
    </row>
    <row r="5" spans="1:19">
      <c r="A5" s="1408" t="s">
        <v>587</v>
      </c>
      <c r="B5" s="1548">
        <v>28198.5</v>
      </c>
      <c r="C5" s="1548">
        <v>25303.33</v>
      </c>
      <c r="D5" s="1401">
        <v>30074</v>
      </c>
      <c r="E5" s="1401">
        <v>29095</v>
      </c>
      <c r="F5" s="1401">
        <v>31260</v>
      </c>
      <c r="G5" s="1401">
        <v>29938</v>
      </c>
      <c r="H5" s="1401">
        <v>27813.95</v>
      </c>
      <c r="I5" s="1401">
        <v>29947.35</v>
      </c>
      <c r="J5" s="1401">
        <v>28619.769999999997</v>
      </c>
      <c r="K5" s="1401">
        <v>27409</v>
      </c>
      <c r="L5" s="1401">
        <v>26309</v>
      </c>
      <c r="M5" s="1401">
        <v>26620</v>
      </c>
      <c r="N5" s="3213"/>
      <c r="S5" s="358"/>
    </row>
    <row r="6" spans="1:19">
      <c r="A6" s="1408" t="s">
        <v>3279</v>
      </c>
      <c r="B6" s="1548">
        <v>23226</v>
      </c>
      <c r="C6" s="1548">
        <v>21309.5</v>
      </c>
      <c r="D6" s="1401">
        <v>23675.5</v>
      </c>
      <c r="E6" s="1401">
        <v>21809</v>
      </c>
      <c r="F6" s="1401">
        <v>23963.5</v>
      </c>
      <c r="G6" s="1401">
        <v>24721.5</v>
      </c>
      <c r="H6" s="1401">
        <v>21160</v>
      </c>
      <c r="I6" s="1401">
        <v>23829</v>
      </c>
      <c r="J6" s="1401">
        <v>23275</v>
      </c>
      <c r="K6" s="1401">
        <v>22075</v>
      </c>
      <c r="L6" s="1401">
        <v>23900</v>
      </c>
      <c r="M6" s="1401">
        <v>22458</v>
      </c>
      <c r="N6" s="3213"/>
      <c r="S6" s="358"/>
    </row>
    <row r="7" spans="1:19">
      <c r="A7" s="1408" t="s">
        <v>589</v>
      </c>
      <c r="B7" s="1485"/>
      <c r="C7" s="1548"/>
      <c r="D7" s="1401"/>
      <c r="E7" s="1401"/>
      <c r="F7" s="1401"/>
      <c r="G7" s="1401"/>
      <c r="H7" s="1401"/>
      <c r="I7" s="1401"/>
      <c r="J7" s="1401"/>
      <c r="K7" s="1401"/>
      <c r="L7" s="1401"/>
      <c r="M7" s="1401"/>
      <c r="N7" s="3213"/>
      <c r="S7" s="358"/>
    </row>
    <row r="8" spans="1:19">
      <c r="A8" s="1409" t="s">
        <v>77</v>
      </c>
      <c r="B8" s="1549">
        <v>26353</v>
      </c>
      <c r="C8" s="1548">
        <v>21935</v>
      </c>
      <c r="D8" s="1401">
        <v>27289</v>
      </c>
      <c r="E8" s="1401">
        <v>23576</v>
      </c>
      <c r="F8" s="1401">
        <v>26466</v>
      </c>
      <c r="G8" s="1401">
        <v>27811</v>
      </c>
      <c r="H8" s="1401">
        <v>26207.5</v>
      </c>
      <c r="I8" s="1401">
        <v>27985</v>
      </c>
      <c r="J8" s="1401">
        <v>25943</v>
      </c>
      <c r="K8" s="1401">
        <v>26693</v>
      </c>
      <c r="L8" s="1401">
        <v>25683</v>
      </c>
      <c r="M8" s="1401">
        <v>26078</v>
      </c>
      <c r="N8" s="3213"/>
    </row>
    <row r="9" spans="1:19">
      <c r="A9" s="1410" t="s">
        <v>1006</v>
      </c>
      <c r="B9" s="1548">
        <v>37583.5</v>
      </c>
      <c r="C9" s="1548">
        <v>30917.5</v>
      </c>
      <c r="D9" s="1401">
        <v>40576</v>
      </c>
      <c r="E9" s="1401">
        <v>36556.5</v>
      </c>
      <c r="F9" s="1401">
        <v>42297.5</v>
      </c>
      <c r="G9" s="1401">
        <v>41371.300000000003</v>
      </c>
      <c r="H9" s="1401">
        <v>45526</v>
      </c>
      <c r="I9" s="1401">
        <v>47979</v>
      </c>
      <c r="J9" s="1401">
        <v>47529</v>
      </c>
      <c r="K9" s="1401">
        <v>46601</v>
      </c>
      <c r="L9" s="1401">
        <v>44652</v>
      </c>
      <c r="M9" s="1401">
        <v>46791</v>
      </c>
      <c r="N9" s="3213"/>
      <c r="S9" s="358"/>
    </row>
    <row r="10" spans="1:19">
      <c r="A10" s="1410" t="s">
        <v>2983</v>
      </c>
      <c r="B10" s="1548">
        <v>68717.600000000006</v>
      </c>
      <c r="C10" s="1548">
        <v>52553.65</v>
      </c>
      <c r="D10" s="1401">
        <v>69514.02</v>
      </c>
      <c r="E10" s="1401">
        <v>53527</v>
      </c>
      <c r="F10" s="1401">
        <v>70541.05</v>
      </c>
      <c r="G10" s="1401">
        <v>61611.740000000005</v>
      </c>
      <c r="H10" s="1401">
        <v>66082.5</v>
      </c>
      <c r="I10" s="1401">
        <v>83672</v>
      </c>
      <c r="J10" s="1401">
        <v>80963.41</v>
      </c>
      <c r="K10" s="1401">
        <v>79662</v>
      </c>
      <c r="L10" s="1401">
        <v>75868</v>
      </c>
      <c r="M10" s="1401">
        <v>65877</v>
      </c>
      <c r="N10" s="3213"/>
      <c r="S10" s="358"/>
    </row>
    <row r="11" spans="1:19">
      <c r="A11" s="1410" t="s">
        <v>3280</v>
      </c>
      <c r="B11" s="1485"/>
      <c r="C11" s="1548"/>
      <c r="D11" s="1401"/>
      <c r="E11" s="1401"/>
      <c r="F11" s="1401"/>
      <c r="G11" s="1401"/>
      <c r="H11" s="1401"/>
      <c r="I11" s="1401"/>
      <c r="J11" s="1401"/>
      <c r="K11" s="1401"/>
      <c r="L11" s="1401"/>
      <c r="M11" s="1401"/>
      <c r="N11" s="3213"/>
      <c r="S11" s="358"/>
    </row>
    <row r="12" spans="1:19">
      <c r="A12" s="1410" t="s">
        <v>3281</v>
      </c>
      <c r="B12" s="1485"/>
      <c r="C12" s="1548"/>
      <c r="D12" s="1401"/>
      <c r="E12" s="1401"/>
      <c r="F12" s="1401"/>
      <c r="G12" s="1401"/>
      <c r="H12" s="1401"/>
      <c r="I12" s="1401"/>
      <c r="J12" s="1401"/>
      <c r="K12" s="1401"/>
      <c r="L12" s="1401"/>
      <c r="M12" s="1401"/>
      <c r="N12" s="3213"/>
    </row>
    <row r="13" spans="1:19">
      <c r="A13" s="1410" t="s">
        <v>3282</v>
      </c>
      <c r="B13" s="1485"/>
      <c r="C13" s="1548"/>
      <c r="D13" s="1401"/>
      <c r="E13" s="1401"/>
      <c r="F13" s="1401"/>
      <c r="G13" s="1401"/>
      <c r="H13" s="1401"/>
      <c r="I13" s="1401"/>
      <c r="J13" s="1401"/>
      <c r="K13" s="1401"/>
      <c r="L13" s="1401"/>
      <c r="M13" s="1401"/>
      <c r="N13" s="3213"/>
    </row>
    <row r="14" spans="1:19">
      <c r="A14" s="1408" t="s">
        <v>91</v>
      </c>
      <c r="B14" s="1548">
        <v>156121.91999999998</v>
      </c>
      <c r="C14" s="1548">
        <v>144662.85</v>
      </c>
      <c r="D14" s="1401">
        <v>166573.29999999999</v>
      </c>
      <c r="E14" s="2069">
        <v>149238.45000000001</v>
      </c>
      <c r="F14" s="2069">
        <v>167711.35</v>
      </c>
      <c r="G14" s="2069">
        <v>160490.54999999999</v>
      </c>
      <c r="H14" s="2069">
        <v>147957.95000000001</v>
      </c>
      <c r="I14" s="2069">
        <v>148480.25</v>
      </c>
      <c r="J14" s="2069">
        <v>156737.72</v>
      </c>
      <c r="K14" s="1401">
        <v>150586</v>
      </c>
      <c r="L14" s="1401">
        <v>149171</v>
      </c>
      <c r="M14" s="1401">
        <v>152542</v>
      </c>
      <c r="N14" s="3213"/>
      <c r="S14" s="358"/>
    </row>
    <row r="15" spans="1:19">
      <c r="A15" s="1410" t="s">
        <v>93</v>
      </c>
      <c r="B15" s="1548">
        <v>120873.32</v>
      </c>
      <c r="C15" s="1548">
        <v>111404.67</v>
      </c>
      <c r="D15" s="1401">
        <v>123690</v>
      </c>
      <c r="E15" s="1401">
        <v>116773</v>
      </c>
      <c r="F15" s="1401">
        <v>126212.58</v>
      </c>
      <c r="G15" s="1401">
        <v>109746.01</v>
      </c>
      <c r="H15" s="1401">
        <v>114328.75</v>
      </c>
      <c r="I15" s="1401">
        <v>119207.67000000001</v>
      </c>
      <c r="J15" s="1401">
        <v>124279.01999999999</v>
      </c>
      <c r="K15" s="1401">
        <v>125367</v>
      </c>
      <c r="L15" s="1401">
        <v>124519</v>
      </c>
      <c r="M15" s="1401">
        <v>125180</v>
      </c>
      <c r="N15" s="3213"/>
      <c r="S15" s="358"/>
    </row>
    <row r="16" spans="1:19">
      <c r="A16" s="1410" t="s">
        <v>3283</v>
      </c>
      <c r="B16" s="1548">
        <v>19316.3</v>
      </c>
      <c r="C16" s="1548">
        <v>18066</v>
      </c>
      <c r="D16" s="1401">
        <v>19160.25</v>
      </c>
      <c r="E16" s="1401">
        <v>16959</v>
      </c>
      <c r="F16" s="1401">
        <v>18965.25</v>
      </c>
      <c r="G16" s="1401">
        <v>18928.5</v>
      </c>
      <c r="H16" s="1401">
        <v>17740.5</v>
      </c>
      <c r="I16" s="1401">
        <v>18109</v>
      </c>
      <c r="J16" s="1401">
        <v>17948</v>
      </c>
      <c r="K16" s="1401">
        <v>17546</v>
      </c>
      <c r="L16" s="1401">
        <v>17237</v>
      </c>
      <c r="M16" s="1401">
        <v>17108</v>
      </c>
      <c r="N16" s="3213"/>
      <c r="S16" s="358"/>
    </row>
    <row r="17" spans="1:19">
      <c r="A17" s="1410" t="s">
        <v>3284</v>
      </c>
      <c r="B17" s="1548">
        <v>4520</v>
      </c>
      <c r="C17" s="1548">
        <v>4510</v>
      </c>
      <c r="D17" s="1401">
        <v>4797</v>
      </c>
      <c r="E17" s="1401">
        <v>4707</v>
      </c>
      <c r="F17" s="1401">
        <v>4822</v>
      </c>
      <c r="G17" s="1401">
        <v>4754</v>
      </c>
      <c r="H17" s="1401">
        <v>4674</v>
      </c>
      <c r="I17" s="1401">
        <v>5239</v>
      </c>
      <c r="J17" s="1401">
        <v>2466</v>
      </c>
      <c r="K17" s="1401">
        <v>4556</v>
      </c>
      <c r="L17" s="1401">
        <v>4410</v>
      </c>
      <c r="M17" s="1401">
        <v>4990</v>
      </c>
      <c r="N17" s="3213"/>
      <c r="S17" s="358"/>
    </row>
    <row r="18" spans="1:19">
      <c r="A18" s="1410" t="s">
        <v>3285</v>
      </c>
      <c r="B18" s="1548">
        <v>7192</v>
      </c>
      <c r="C18" s="1548">
        <v>6730</v>
      </c>
      <c r="D18" s="1401">
        <v>7020</v>
      </c>
      <c r="E18" s="1401">
        <v>6217</v>
      </c>
      <c r="F18" s="1401">
        <v>6762</v>
      </c>
      <c r="G18" s="1401">
        <v>6857</v>
      </c>
      <c r="H18" s="1401">
        <v>6635</v>
      </c>
      <c r="I18" s="1401">
        <v>6742</v>
      </c>
      <c r="J18" s="1401">
        <v>7010</v>
      </c>
      <c r="K18" s="1401">
        <v>7099</v>
      </c>
      <c r="L18" s="1401">
        <v>6461</v>
      </c>
      <c r="M18" s="1401">
        <v>6761</v>
      </c>
      <c r="N18" s="3213"/>
      <c r="S18" s="358"/>
    </row>
    <row r="19" spans="1:19">
      <c r="A19" s="1410" t="s">
        <v>3286</v>
      </c>
      <c r="B19" s="1548">
        <v>19850.5</v>
      </c>
      <c r="C19" s="1548">
        <v>18348</v>
      </c>
      <c r="D19" s="1401">
        <v>19551</v>
      </c>
      <c r="E19" s="1401">
        <v>19217</v>
      </c>
      <c r="F19" s="1401">
        <v>18783.5</v>
      </c>
      <c r="G19" s="1401">
        <v>19022</v>
      </c>
      <c r="H19" s="1401">
        <v>18391.099999999999</v>
      </c>
      <c r="I19" s="1401">
        <v>17915</v>
      </c>
      <c r="J19" s="1401">
        <v>18336.55</v>
      </c>
      <c r="K19" s="1401">
        <v>17739</v>
      </c>
      <c r="L19" s="1401">
        <v>17363</v>
      </c>
      <c r="M19" s="1401">
        <v>18279</v>
      </c>
      <c r="N19" s="3213"/>
    </row>
    <row r="20" spans="1:19">
      <c r="A20" s="1410" t="s">
        <v>565</v>
      </c>
      <c r="B20" s="1548">
        <v>1064</v>
      </c>
      <c r="C20" s="1548">
        <v>1064</v>
      </c>
      <c r="D20" s="1401">
        <v>1064</v>
      </c>
      <c r="E20" s="1401">
        <v>864</v>
      </c>
      <c r="F20" s="1401">
        <v>864</v>
      </c>
      <c r="G20" s="1401">
        <v>1064</v>
      </c>
      <c r="H20" s="1401">
        <v>1196</v>
      </c>
      <c r="I20" s="1401">
        <v>1064</v>
      </c>
      <c r="J20" s="1401">
        <v>1064</v>
      </c>
      <c r="K20" s="1401">
        <v>1064</v>
      </c>
      <c r="L20" s="1401">
        <v>1064</v>
      </c>
      <c r="M20" s="1401">
        <v>1064</v>
      </c>
      <c r="N20" s="3213"/>
      <c r="S20" s="358"/>
    </row>
    <row r="21" spans="1:19">
      <c r="A21" s="1408" t="s">
        <v>3287</v>
      </c>
      <c r="B21" s="1548">
        <v>1800</v>
      </c>
      <c r="C21" s="1548">
        <v>1600</v>
      </c>
      <c r="D21" s="1401">
        <v>2200</v>
      </c>
      <c r="E21" s="1401">
        <v>2000</v>
      </c>
      <c r="F21" s="1401">
        <v>2000</v>
      </c>
      <c r="G21" s="1401"/>
      <c r="H21" s="1401">
        <v>1800</v>
      </c>
      <c r="I21" s="1401">
        <v>1932</v>
      </c>
      <c r="J21" s="1401">
        <v>1732</v>
      </c>
      <c r="K21" s="1401">
        <v>1732</v>
      </c>
      <c r="L21" s="1401">
        <v>1732</v>
      </c>
      <c r="M21" s="1401">
        <v>1732</v>
      </c>
      <c r="N21" s="3213"/>
    </row>
    <row r="22" spans="1:19">
      <c r="A22" s="1409" t="s">
        <v>3288</v>
      </c>
      <c r="B22" s="1548">
        <v>276508</v>
      </c>
      <c r="C22" s="1548">
        <v>277368</v>
      </c>
      <c r="D22" s="1401">
        <v>279628</v>
      </c>
      <c r="E22" s="1401">
        <v>281424</v>
      </c>
      <c r="F22" s="1401">
        <v>284956</v>
      </c>
      <c r="G22" s="1401">
        <v>289488</v>
      </c>
      <c r="H22" s="1401">
        <v>288680</v>
      </c>
      <c r="I22" s="1401">
        <v>288148</v>
      </c>
      <c r="J22" s="1401">
        <v>289820</v>
      </c>
      <c r="K22" s="1401">
        <v>288330</v>
      </c>
      <c r="L22" s="1401">
        <v>274740</v>
      </c>
      <c r="M22" s="1401">
        <v>276857</v>
      </c>
      <c r="N22" s="3213"/>
    </row>
    <row r="23" spans="1:19">
      <c r="A23" s="1513"/>
      <c r="B23" s="1514"/>
      <c r="C23" s="1548"/>
      <c r="D23" s="1514"/>
      <c r="E23" s="1514"/>
      <c r="F23" s="1514"/>
      <c r="G23" s="1514"/>
      <c r="H23" s="1514"/>
      <c r="I23" s="1514"/>
      <c r="J23" s="1514"/>
      <c r="K23" s="1401"/>
      <c r="L23" s="1401"/>
      <c r="M23" s="1401"/>
      <c r="N23" s="3213"/>
    </row>
    <row r="24" spans="1:19" ht="13.8" thickBot="1">
      <c r="A24" s="1411"/>
      <c r="B24" s="1514"/>
      <c r="C24" s="1548"/>
      <c r="D24" s="1485"/>
      <c r="E24" s="1485"/>
      <c r="F24" s="1485"/>
      <c r="G24" s="1485"/>
      <c r="H24" s="1485"/>
      <c r="I24" s="1485"/>
      <c r="J24" s="1485"/>
      <c r="K24" s="1401"/>
      <c r="L24" s="1401"/>
      <c r="M24" s="1401"/>
      <c r="N24" s="3213"/>
    </row>
    <row r="25" spans="1:19" ht="13.8" thickBot="1">
      <c r="A25" s="1406" t="s">
        <v>98</v>
      </c>
      <c r="B25" s="1550">
        <f>SUM(B3:B24)</f>
        <v>816121.14</v>
      </c>
      <c r="C25" s="1406">
        <f t="shared" ref="C25:D25" si="0">SUM(C3:C24)</f>
        <v>760407</v>
      </c>
      <c r="D25" s="1406">
        <f t="shared" si="0"/>
        <v>841323.07000000007</v>
      </c>
      <c r="E25" s="1406">
        <f t="shared" ref="E25:K25" si="1">SUM(E3:E24)</f>
        <v>786852.95</v>
      </c>
      <c r="F25" s="1406">
        <f t="shared" si="1"/>
        <v>852808.73</v>
      </c>
      <c r="G25" s="1406">
        <f t="shared" si="1"/>
        <v>822879.1</v>
      </c>
      <c r="H25" s="1406">
        <f>SUM(H3:H24)</f>
        <v>811561.75</v>
      </c>
      <c r="I25" s="1406">
        <f t="shared" si="1"/>
        <v>845988.27</v>
      </c>
      <c r="J25" s="1406">
        <f t="shared" ref="J25" si="2">SUM(J3:J24)</f>
        <v>851593.97000000009</v>
      </c>
      <c r="K25" s="1406">
        <f t="shared" si="1"/>
        <v>842298</v>
      </c>
      <c r="L25" s="1406">
        <f>SUM(L3:L24)</f>
        <v>818316</v>
      </c>
      <c r="M25" s="1406">
        <f>SUM(M3:M24)</f>
        <v>817623</v>
      </c>
      <c r="N25" s="1090" t="s">
        <v>3550</v>
      </c>
    </row>
    <row r="26" spans="1:19" ht="13.8" thickBot="1"/>
    <row r="27" spans="1:19" ht="13.8" thickBot="1">
      <c r="A27" s="1397" t="s">
        <v>3289</v>
      </c>
      <c r="B27" s="1486">
        <v>8353</v>
      </c>
      <c r="C27" s="1486">
        <v>8353</v>
      </c>
      <c r="D27" s="1486">
        <v>8353</v>
      </c>
      <c r="E27" s="1486">
        <v>8353</v>
      </c>
      <c r="F27" s="1486">
        <v>8353</v>
      </c>
      <c r="G27" s="1486">
        <v>8353</v>
      </c>
      <c r="H27" s="1486">
        <v>8353</v>
      </c>
      <c r="I27" s="1486">
        <v>8353</v>
      </c>
      <c r="J27" s="1486">
        <v>8353</v>
      </c>
      <c r="K27" s="1486">
        <v>8353</v>
      </c>
      <c r="L27" s="1486">
        <v>8353</v>
      </c>
      <c r="M27" s="1486">
        <v>8353</v>
      </c>
    </row>
    <row r="28" spans="1:19" ht="13.8" thickBot="1">
      <c r="A28" s="1397" t="s">
        <v>4678</v>
      </c>
      <c r="B28" s="1486">
        <v>15371.25</v>
      </c>
      <c r="C28" s="1486">
        <v>13784.75</v>
      </c>
      <c r="D28" s="1486">
        <v>16963.099999999999</v>
      </c>
      <c r="E28" s="1486">
        <v>14391</v>
      </c>
      <c r="F28" s="1486">
        <v>16481.5</v>
      </c>
      <c r="G28" s="1486">
        <v>15582</v>
      </c>
      <c r="H28" s="1486">
        <v>14164.6</v>
      </c>
      <c r="I28" s="1486">
        <v>14618</v>
      </c>
      <c r="J28" s="1486">
        <v>14872.8</v>
      </c>
      <c r="K28" s="2101">
        <v>14872.8</v>
      </c>
      <c r="L28" s="2101">
        <v>13569</v>
      </c>
      <c r="M28" s="2101">
        <v>14970</v>
      </c>
      <c r="N28" s="1674">
        <f>SUM(B28:M28)</f>
        <v>179640.8</v>
      </c>
    </row>
    <row r="29" spans="1:19">
      <c r="N29" s="8" t="s">
        <v>4000</v>
      </c>
    </row>
    <row r="30" spans="1:19">
      <c r="A30" s="1480" t="s">
        <v>3999</v>
      </c>
      <c r="B30" s="1551"/>
      <c r="C30" s="1481"/>
      <c r="D30" s="1481"/>
      <c r="E30" s="1481"/>
      <c r="F30" s="1481"/>
      <c r="G30" s="1481"/>
      <c r="H30" s="1481"/>
      <c r="I30" s="1481"/>
      <c r="J30" s="1481"/>
      <c r="K30" s="1481"/>
      <c r="L30" s="1481"/>
      <c r="M30" s="1481"/>
      <c r="N30" s="8">
        <f>SUM(B30:M30)</f>
        <v>0</v>
      </c>
      <c r="P30" s="358"/>
    </row>
    <row r="31" spans="1:19">
      <c r="N31" s="8" t="s">
        <v>4000</v>
      </c>
    </row>
    <row r="32" spans="1:19">
      <c r="A32" s="1962" t="s">
        <v>4294</v>
      </c>
      <c r="B32" s="2210">
        <v>1543.17</v>
      </c>
      <c r="C32" s="2210">
        <v>1330.67</v>
      </c>
      <c r="D32" s="2210">
        <v>1592.7</v>
      </c>
      <c r="E32" s="2210">
        <v>1403.93</v>
      </c>
      <c r="F32" s="2210">
        <v>1600.83</v>
      </c>
      <c r="G32" s="2210">
        <v>1725.47</v>
      </c>
      <c r="H32" s="2210">
        <v>1538.83</v>
      </c>
      <c r="I32" s="2210">
        <v>1547.15</v>
      </c>
      <c r="J32" s="2210">
        <v>1448.66</v>
      </c>
      <c r="K32" s="2210">
        <v>1393.2</v>
      </c>
      <c r="L32" s="2210">
        <v>1492.9399999999998</v>
      </c>
      <c r="M32" s="2210">
        <v>1516.8</v>
      </c>
      <c r="N32" s="1674">
        <f>SUM(B32:M32)</f>
        <v>18134.349999999999</v>
      </c>
    </row>
    <row r="33" spans="1:16" ht="14.4">
      <c r="I33" s="1462"/>
      <c r="J33" s="1462"/>
      <c r="N33" s="8"/>
    </row>
    <row r="34" spans="1:16">
      <c r="A34" s="1962" t="s">
        <v>5787</v>
      </c>
      <c r="B34" s="1984">
        <v>230</v>
      </c>
      <c r="C34" s="1984">
        <v>202</v>
      </c>
      <c r="D34" s="1984">
        <v>216</v>
      </c>
      <c r="E34" s="1984">
        <v>216</v>
      </c>
      <c r="F34" s="1984">
        <v>0</v>
      </c>
      <c r="G34" s="1984">
        <v>0</v>
      </c>
      <c r="H34" s="1984">
        <v>0</v>
      </c>
      <c r="I34" s="1984">
        <v>0</v>
      </c>
      <c r="J34" s="1984">
        <v>0</v>
      </c>
      <c r="K34" s="1984">
        <v>0</v>
      </c>
      <c r="L34" s="1984">
        <v>0</v>
      </c>
      <c r="M34" s="1984">
        <v>0</v>
      </c>
      <c r="N34" s="1477">
        <f t="shared" ref="N34:N39" si="3">SUM(B34:M34)</f>
        <v>864</v>
      </c>
      <c r="O34" s="358">
        <f>+N34+N35</f>
        <v>21479.040000000001</v>
      </c>
      <c r="P34">
        <f>+O34*6</f>
        <v>128874.24000000001</v>
      </c>
    </row>
    <row r="35" spans="1:16">
      <c r="A35" s="1962" t="s">
        <v>5786</v>
      </c>
      <c r="B35" s="886">
        <v>1714.48</v>
      </c>
      <c r="C35" s="886">
        <v>1445.83</v>
      </c>
      <c r="D35" s="886">
        <v>145.5</v>
      </c>
      <c r="E35" s="886">
        <v>1165.3799999999999</v>
      </c>
      <c r="F35" s="886">
        <v>1736.08</v>
      </c>
      <c r="G35" s="886">
        <v>2263.3000000000002</v>
      </c>
      <c r="H35" s="886">
        <v>2171.73</v>
      </c>
      <c r="I35" s="886">
        <v>2263.3000000000002</v>
      </c>
      <c r="J35" s="886">
        <v>1948.78</v>
      </c>
      <c r="K35" s="886">
        <v>2023.07</v>
      </c>
      <c r="L35" s="886">
        <v>1869</v>
      </c>
      <c r="M35" s="886">
        <v>1868.59</v>
      </c>
      <c r="N35" s="1477">
        <f t="shared" si="3"/>
        <v>20615.04</v>
      </c>
    </row>
    <row r="36" spans="1:16">
      <c r="A36" s="1962" t="s">
        <v>4384</v>
      </c>
      <c r="B36" s="886">
        <v>3623.77</v>
      </c>
      <c r="C36" s="886">
        <v>2663.25</v>
      </c>
      <c r="D36" s="886">
        <v>205.51999999999998</v>
      </c>
      <c r="E36" s="886">
        <v>2102.61</v>
      </c>
      <c r="F36" s="886">
        <v>3133.3700000000003</v>
      </c>
      <c r="G36" s="886">
        <v>2906.52</v>
      </c>
      <c r="H36" s="886">
        <v>2442.8200000000002</v>
      </c>
      <c r="I36" s="886">
        <v>2906.52</v>
      </c>
      <c r="J36" s="886">
        <v>2609.15</v>
      </c>
      <c r="K36" s="886">
        <v>2719.16</v>
      </c>
      <c r="L36" s="886">
        <v>1687</v>
      </c>
      <c r="M36" s="886">
        <v>1687</v>
      </c>
      <c r="N36" s="1477">
        <f t="shared" si="3"/>
        <v>28686.690000000006</v>
      </c>
      <c r="O36">
        <f>+N36*6</f>
        <v>172120.14000000004</v>
      </c>
    </row>
    <row r="37" spans="1:16">
      <c r="A37" s="2172" t="s">
        <v>5855</v>
      </c>
      <c r="B37" s="1984">
        <v>6252</v>
      </c>
      <c r="C37" s="1984">
        <v>6252</v>
      </c>
      <c r="D37" s="886">
        <v>6872</v>
      </c>
      <c r="E37" s="2029">
        <v>6872</v>
      </c>
      <c r="F37" s="2029">
        <v>6872</v>
      </c>
      <c r="G37" s="2029">
        <v>6872</v>
      </c>
      <c r="H37" s="2029">
        <v>6872</v>
      </c>
      <c r="I37" s="2029">
        <v>6872</v>
      </c>
      <c r="J37" s="2029">
        <v>6872</v>
      </c>
      <c r="K37" s="2029">
        <v>6872</v>
      </c>
      <c r="L37" s="2029">
        <v>6872</v>
      </c>
      <c r="M37" s="2029">
        <v>6872</v>
      </c>
      <c r="N37" s="1477">
        <f t="shared" si="3"/>
        <v>81224</v>
      </c>
    </row>
    <row r="38" spans="1:16">
      <c r="A38" s="2172" t="s">
        <v>5856</v>
      </c>
      <c r="B38" s="886">
        <v>41054.930000003675</v>
      </c>
      <c r="C38" s="886">
        <v>40646.930000003675</v>
      </c>
      <c r="D38" s="886">
        <v>39913.200000007324</v>
      </c>
      <c r="E38" s="2029">
        <v>39913.200000007324</v>
      </c>
      <c r="F38" s="2029">
        <v>39913.200000007324</v>
      </c>
      <c r="G38" s="2029">
        <v>39913.200000007324</v>
      </c>
      <c r="H38" s="2029">
        <v>39913.200000007324</v>
      </c>
      <c r="I38" s="2029">
        <v>39913.200000007324</v>
      </c>
      <c r="J38" s="2029">
        <v>39913.200000007324</v>
      </c>
      <c r="K38" s="2029">
        <v>39913.200000007324</v>
      </c>
      <c r="L38" s="2029">
        <v>39913.200000007324</v>
      </c>
      <c r="M38" s="2029">
        <v>39913.200000007324</v>
      </c>
      <c r="N38" s="1477">
        <f t="shared" si="3"/>
        <v>480833.86000008066</v>
      </c>
    </row>
    <row r="39" spans="1:16">
      <c r="A39" s="2196" t="s">
        <v>5451</v>
      </c>
      <c r="B39" s="543">
        <v>14984</v>
      </c>
      <c r="C39" s="543">
        <v>15689</v>
      </c>
      <c r="D39" s="1040">
        <v>15689</v>
      </c>
      <c r="E39" s="1040">
        <v>15689</v>
      </c>
      <c r="F39" s="1040">
        <v>15689</v>
      </c>
      <c r="G39" s="1040">
        <v>15689</v>
      </c>
      <c r="H39" s="1040">
        <v>15689</v>
      </c>
      <c r="I39" s="1040">
        <v>15689</v>
      </c>
      <c r="J39" s="1040">
        <v>15689</v>
      </c>
      <c r="K39" s="1040">
        <v>15689</v>
      </c>
      <c r="L39" s="1040">
        <v>15689</v>
      </c>
      <c r="M39" s="1040">
        <v>15689</v>
      </c>
      <c r="N39" s="1477">
        <f t="shared" si="3"/>
        <v>187563</v>
      </c>
    </row>
    <row r="40" spans="1:16">
      <c r="B40"/>
    </row>
    <row r="41" spans="1:16">
      <c r="B41"/>
      <c r="J41" s="262"/>
    </row>
    <row r="42" spans="1:16">
      <c r="B42"/>
      <c r="J42" s="262"/>
    </row>
    <row r="43" spans="1:16">
      <c r="B43"/>
      <c r="J43" s="358"/>
    </row>
    <row r="44" spans="1:16">
      <c r="B44"/>
      <c r="J44" s="358"/>
    </row>
    <row r="45" spans="1:16">
      <c r="B45"/>
    </row>
  </sheetData>
  <mergeCells count="1">
    <mergeCell ref="N3:N24"/>
  </mergeCells>
  <pageMargins left="0.7" right="0.7" top="0.75" bottom="0.75" header="0.3" footer="0.3"/>
  <pageSetup orientation="portrait" r:id="rId1"/>
  <customProperties>
    <customPr name="_pios_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39997558519241921"/>
  </sheetPr>
  <dimension ref="A1:CZ156"/>
  <sheetViews>
    <sheetView showGridLines="0" zoomScale="70" zoomScaleNormal="70" workbookViewId="0">
      <pane xSplit="1" ySplit="62" topLeftCell="B63" activePane="bottomRight" state="frozen"/>
      <selection pane="topRight" activeCell="B1" sqref="B1"/>
      <selection pane="bottomLeft" activeCell="A63" sqref="A63"/>
      <selection pane="bottomRight" activeCell="R63" sqref="R63:R74"/>
    </sheetView>
  </sheetViews>
  <sheetFormatPr baseColWidth="10" defaultRowHeight="13.2"/>
  <cols>
    <col min="1" max="1" width="9.44140625" style="11" customWidth="1"/>
    <col min="2" max="17" width="9.5546875" style="8" customWidth="1"/>
    <col min="18" max="18" width="17.6640625" style="8" customWidth="1"/>
    <col min="19" max="23" width="9.5546875" style="8" customWidth="1"/>
    <col min="24" max="24" width="11.77734375" style="8" customWidth="1"/>
    <col min="25" max="34" width="9.5546875" style="8" customWidth="1"/>
    <col min="35" max="37" width="8.44140625" customWidth="1"/>
    <col min="38" max="38" width="8.77734375" customWidth="1"/>
    <col min="39" max="50" width="8.44140625" customWidth="1"/>
    <col min="51" max="51" width="9.44140625" customWidth="1"/>
    <col min="52" max="52" width="9.77734375" customWidth="1"/>
    <col min="53" max="55" width="8.44140625" customWidth="1"/>
    <col min="56" max="56" width="9.77734375" customWidth="1"/>
    <col min="57" max="57" width="8.44140625" customWidth="1"/>
    <col min="58" max="58" width="10.5546875" customWidth="1"/>
    <col min="59" max="67" width="8.44140625" customWidth="1"/>
    <col min="68" max="68" width="12" customWidth="1"/>
    <col min="69" max="75" width="8.44140625" customWidth="1"/>
    <col min="76" max="76" width="10.6640625" customWidth="1"/>
    <col min="77" max="77" width="9.21875" customWidth="1"/>
    <col min="78" max="78" width="11.44140625" customWidth="1"/>
    <col min="79" max="79" width="8.44140625" customWidth="1"/>
    <col min="80" max="81" width="10" customWidth="1"/>
    <col min="82" max="83" width="8.44140625" customWidth="1"/>
    <col min="84" max="84" width="10.77734375" customWidth="1"/>
    <col min="85" max="85" width="12.21875" customWidth="1"/>
    <col min="86" max="87" width="8.44140625" customWidth="1"/>
    <col min="88" max="88" width="11.77734375" bestFit="1" customWidth="1"/>
    <col min="89" max="89" width="10.21875" bestFit="1" customWidth="1"/>
    <col min="90" max="90" width="12.44140625" customWidth="1"/>
    <col min="91" max="92" width="8.44140625" customWidth="1"/>
    <col min="93" max="93" width="12.77734375" customWidth="1"/>
    <col min="94" max="95" width="8.44140625" customWidth="1"/>
    <col min="96" max="96" width="11.21875" bestFit="1" customWidth="1"/>
    <col min="97" max="98" width="8.44140625" customWidth="1"/>
  </cols>
  <sheetData>
    <row r="1" spans="1:104" ht="20.85" customHeight="1" thickBot="1">
      <c r="B1" s="3214" t="s">
        <v>2909</v>
      </c>
      <c r="C1" s="3214"/>
      <c r="D1" s="3214"/>
      <c r="E1" s="3214"/>
      <c r="F1" s="3214"/>
      <c r="G1" s="3214"/>
      <c r="H1" s="3214"/>
      <c r="I1" s="3214"/>
      <c r="J1" s="3214"/>
      <c r="K1" s="3214"/>
      <c r="L1" s="3214"/>
      <c r="M1" s="3214"/>
      <c r="N1" s="3214"/>
      <c r="O1" s="3214"/>
      <c r="P1" s="3214"/>
      <c r="Q1" s="3214"/>
      <c r="R1" s="3214"/>
      <c r="S1" s="3214"/>
      <c r="T1" s="3214"/>
      <c r="U1" s="3214"/>
      <c r="V1" s="3214"/>
      <c r="W1" s="3214"/>
      <c r="X1" s="3214"/>
      <c r="Y1" s="3214"/>
      <c r="Z1" s="3214"/>
      <c r="AA1" s="3214"/>
      <c r="AB1" s="3214"/>
      <c r="AC1" s="3214"/>
      <c r="AD1" s="3214"/>
      <c r="AE1" s="3214"/>
      <c r="AF1" s="3214"/>
      <c r="AG1" s="3214"/>
      <c r="AH1" s="3214"/>
      <c r="AI1" s="3215" t="s">
        <v>4298</v>
      </c>
      <c r="AJ1" s="3215"/>
      <c r="AK1" s="3215"/>
      <c r="AL1" s="3215"/>
      <c r="AM1" s="3215"/>
      <c r="AN1" s="3215"/>
      <c r="AO1" s="3215"/>
      <c r="AP1" s="3215"/>
      <c r="AQ1" s="3215"/>
      <c r="AR1" s="3215"/>
      <c r="AS1" s="3215"/>
      <c r="AT1" s="3215"/>
      <c r="AU1" s="3215"/>
      <c r="AV1" s="3215"/>
      <c r="AW1" s="3215"/>
      <c r="AX1" s="3215"/>
      <c r="AY1" s="3215"/>
      <c r="AZ1" s="3215"/>
      <c r="BA1" s="3215"/>
      <c r="BB1" s="3215"/>
      <c r="BC1" s="3215"/>
      <c r="BD1" s="3215"/>
      <c r="BE1" s="3215"/>
      <c r="BF1" s="3215"/>
      <c r="BG1" s="3215"/>
      <c r="BH1" s="3215"/>
      <c r="BI1" s="3215"/>
      <c r="BJ1" s="3215"/>
      <c r="BK1" s="3215"/>
      <c r="BL1" s="3215"/>
      <c r="BM1" s="3215"/>
      <c r="BN1" s="3215"/>
      <c r="BO1" s="3216" t="s">
        <v>2931</v>
      </c>
      <c r="BP1" s="3217"/>
      <c r="BQ1" s="3217"/>
      <c r="BR1" s="3217"/>
      <c r="BS1" s="3217"/>
      <c r="BT1" s="3217"/>
      <c r="BU1" s="3217"/>
      <c r="BV1" s="3217"/>
      <c r="BW1" s="3217"/>
      <c r="BX1" s="3217"/>
      <c r="BY1" s="3217"/>
      <c r="BZ1" s="3217"/>
      <c r="CA1" s="3217"/>
      <c r="CB1" s="3217"/>
      <c r="CC1" s="3217"/>
      <c r="CD1" s="3217"/>
      <c r="CE1" s="3217"/>
      <c r="CF1" s="3217"/>
      <c r="CG1" s="3217"/>
      <c r="CH1" s="3217"/>
      <c r="CI1" s="3217"/>
      <c r="CJ1" s="3217"/>
      <c r="CK1" s="3217"/>
      <c r="CL1" s="3217"/>
      <c r="CM1" s="3217"/>
      <c r="CN1" s="3217"/>
      <c r="CO1" s="3217"/>
      <c r="CP1" s="3217"/>
      <c r="CQ1" s="3217"/>
      <c r="CR1" s="3217"/>
      <c r="CS1" s="3217"/>
      <c r="CT1" s="3218"/>
    </row>
    <row r="2" spans="1:104" s="1308" customFormat="1" ht="168" thickBot="1">
      <c r="A2" s="535" t="s">
        <v>4298</v>
      </c>
      <c r="B2" s="1792" t="s">
        <v>592</v>
      </c>
      <c r="C2" s="1792" t="s">
        <v>586</v>
      </c>
      <c r="D2" s="1792" t="s">
        <v>593</v>
      </c>
      <c r="E2" s="1792" t="s">
        <v>2907</v>
      </c>
      <c r="F2" s="1792" t="s">
        <v>588</v>
      </c>
      <c r="G2" s="1792" t="s">
        <v>91</v>
      </c>
      <c r="H2" s="1792" t="s">
        <v>893</v>
      </c>
      <c r="I2" s="1792" t="s">
        <v>77</v>
      </c>
      <c r="J2" s="1792" t="s">
        <v>595</v>
      </c>
      <c r="K2" s="1792" t="s">
        <v>602</v>
      </c>
      <c r="L2" s="1792" t="s">
        <v>1931</v>
      </c>
      <c r="M2" s="1792" t="s">
        <v>598</v>
      </c>
      <c r="N2" s="1792" t="s">
        <v>596</v>
      </c>
      <c r="O2" s="1792" t="s">
        <v>1057</v>
      </c>
      <c r="P2" s="1792" t="s">
        <v>4712</v>
      </c>
      <c r="Q2" s="1792" t="s">
        <v>918</v>
      </c>
      <c r="R2" s="1792" t="s">
        <v>6402</v>
      </c>
      <c r="S2" s="1792" t="s">
        <v>384</v>
      </c>
      <c r="T2" s="1792" t="s">
        <v>591</v>
      </c>
      <c r="U2" s="1792" t="s">
        <v>1053</v>
      </c>
      <c r="V2" s="1792" t="s">
        <v>1958</v>
      </c>
      <c r="W2" s="1792" t="s">
        <v>938</v>
      </c>
      <c r="X2" s="1792" t="s">
        <v>3202</v>
      </c>
      <c r="Y2" s="1792" t="s">
        <v>789</v>
      </c>
      <c r="Z2" s="1792" t="s">
        <v>952</v>
      </c>
      <c r="AA2" s="1792" t="s">
        <v>1955</v>
      </c>
      <c r="AB2" s="1792" t="s">
        <v>1956</v>
      </c>
      <c r="AC2" s="1792" t="s">
        <v>1957</v>
      </c>
      <c r="AD2" s="1792" t="s">
        <v>790</v>
      </c>
      <c r="AE2" s="1792" t="s">
        <v>2912</v>
      </c>
      <c r="AF2" s="1792" t="s">
        <v>2905</v>
      </c>
      <c r="AG2" s="1792" t="s">
        <v>2754</v>
      </c>
      <c r="AH2" s="1793" t="s">
        <v>2906</v>
      </c>
      <c r="AI2" s="1879" t="s">
        <v>592</v>
      </c>
      <c r="AJ2" s="1880" t="s">
        <v>586</v>
      </c>
      <c r="AK2" s="1880" t="s">
        <v>593</v>
      </c>
      <c r="AL2" s="1880" t="s">
        <v>2907</v>
      </c>
      <c r="AM2" s="1880" t="s">
        <v>588</v>
      </c>
      <c r="AN2" s="1880" t="s">
        <v>91</v>
      </c>
      <c r="AO2" s="1880" t="s">
        <v>893</v>
      </c>
      <c r="AP2" s="1880" t="s">
        <v>77</v>
      </c>
      <c r="AQ2" s="1880" t="s">
        <v>595</v>
      </c>
      <c r="AR2" s="1880" t="s">
        <v>602</v>
      </c>
      <c r="AS2" s="1880" t="s">
        <v>1931</v>
      </c>
      <c r="AT2" s="1880" t="s">
        <v>598</v>
      </c>
      <c r="AU2" s="1880" t="s">
        <v>596</v>
      </c>
      <c r="AV2" s="1880" t="s">
        <v>1057</v>
      </c>
      <c r="AW2" s="1880" t="s">
        <v>4712</v>
      </c>
      <c r="AX2" s="1943" t="s">
        <v>918</v>
      </c>
      <c r="AY2" s="1955" t="s">
        <v>2913</v>
      </c>
      <c r="AZ2" s="1956" t="s">
        <v>591</v>
      </c>
      <c r="BA2" s="1956" t="s">
        <v>1053</v>
      </c>
      <c r="BB2" s="1956" t="s">
        <v>1958</v>
      </c>
      <c r="BC2" s="1956" t="s">
        <v>938</v>
      </c>
      <c r="BD2" s="1957" t="s">
        <v>3202</v>
      </c>
      <c r="BE2" s="1959" t="s">
        <v>5975</v>
      </c>
      <c r="BF2" s="1960" t="s">
        <v>952</v>
      </c>
      <c r="BG2" s="1960" t="s">
        <v>1955</v>
      </c>
      <c r="BH2" s="1960" t="s">
        <v>1956</v>
      </c>
      <c r="BI2" s="1960" t="s">
        <v>1957</v>
      </c>
      <c r="BJ2" s="1960" t="s">
        <v>790</v>
      </c>
      <c r="BK2" s="1960" t="s">
        <v>4569</v>
      </c>
      <c r="BL2" s="1960" t="s">
        <v>4673</v>
      </c>
      <c r="BM2" s="1960" t="s">
        <v>4570</v>
      </c>
      <c r="BN2" s="1961" t="s">
        <v>2906</v>
      </c>
      <c r="BO2" s="1839" t="s">
        <v>592</v>
      </c>
      <c r="BP2" s="1840" t="s">
        <v>586</v>
      </c>
      <c r="BQ2" s="1840" t="s">
        <v>593</v>
      </c>
      <c r="BR2" s="1840" t="s">
        <v>2907</v>
      </c>
      <c r="BS2" s="1840" t="s">
        <v>588</v>
      </c>
      <c r="BT2" s="1840" t="s">
        <v>91</v>
      </c>
      <c r="BU2" s="1840" t="s">
        <v>893</v>
      </c>
      <c r="BV2" s="1840" t="s">
        <v>77</v>
      </c>
      <c r="BW2" s="1840" t="s">
        <v>595</v>
      </c>
      <c r="BX2" s="1840" t="s">
        <v>602</v>
      </c>
      <c r="BY2" s="1840" t="s">
        <v>1931</v>
      </c>
      <c r="BZ2" s="1840" t="s">
        <v>598</v>
      </c>
      <c r="CA2" s="1840" t="s">
        <v>596</v>
      </c>
      <c r="CB2" s="1840" t="s">
        <v>1057</v>
      </c>
      <c r="CC2" s="1841" t="s">
        <v>4712</v>
      </c>
      <c r="CD2" s="1842" t="s">
        <v>5225</v>
      </c>
      <c r="CE2" s="1843" t="s">
        <v>2913</v>
      </c>
      <c r="CF2" s="1844" t="s">
        <v>591</v>
      </c>
      <c r="CG2" s="1844" t="s">
        <v>1053</v>
      </c>
      <c r="CH2" s="1844" t="s">
        <v>1958</v>
      </c>
      <c r="CI2" s="1925" t="s">
        <v>3413</v>
      </c>
      <c r="CJ2" s="1926" t="s">
        <v>3202</v>
      </c>
      <c r="CK2" s="1922" t="s">
        <v>5974</v>
      </c>
      <c r="CL2" s="1923" t="s">
        <v>952</v>
      </c>
      <c r="CM2" s="1923" t="s">
        <v>1955</v>
      </c>
      <c r="CN2" s="1923" t="s">
        <v>1956</v>
      </c>
      <c r="CO2" s="1923" t="s">
        <v>1957</v>
      </c>
      <c r="CP2" s="1923" t="s">
        <v>790</v>
      </c>
      <c r="CQ2" s="1923" t="s">
        <v>4569</v>
      </c>
      <c r="CR2" s="1923" t="s">
        <v>4673</v>
      </c>
      <c r="CS2" s="1923" t="s">
        <v>4570</v>
      </c>
      <c r="CT2" s="1924" t="s">
        <v>2906</v>
      </c>
      <c r="CU2" s="1308" t="s">
        <v>768</v>
      </c>
      <c r="CV2" s="1308" t="s">
        <v>4295</v>
      </c>
      <c r="CW2" s="1308" t="s">
        <v>659</v>
      </c>
      <c r="CX2" s="1308" t="s">
        <v>4338</v>
      </c>
      <c r="CY2" s="1308" t="s">
        <v>5371</v>
      </c>
      <c r="CZ2" s="11" t="s">
        <v>4342</v>
      </c>
    </row>
    <row r="3" spans="1:104" ht="13.2" hidden="1" customHeight="1">
      <c r="A3" s="1309">
        <v>43101</v>
      </c>
      <c r="B3" s="1311">
        <f t="shared" ref="B3:B14" si="0">+AI3+BO3</f>
        <v>15675.76</v>
      </c>
      <c r="C3" s="1311">
        <f t="shared" ref="C3:C14" si="1">+AJ3+BP3</f>
        <v>53402.66</v>
      </c>
      <c r="D3" s="1311">
        <f t="shared" ref="D3:D14" si="2">+AK3+BQ3</f>
        <v>29679.079999999998</v>
      </c>
      <c r="E3" s="1311">
        <f t="shared" ref="E3:E14" si="3">+AL3+BR3</f>
        <v>82048.429999999993</v>
      </c>
      <c r="F3" s="1311">
        <f t="shared" ref="F3:F14" si="4">+AM3+BS3</f>
        <v>29198.82</v>
      </c>
      <c r="G3" s="1311">
        <f t="shared" ref="G3:G14" si="5">+AN3+BT3</f>
        <v>176351.3</v>
      </c>
      <c r="H3" s="1311">
        <f t="shared" ref="H3:H14" si="6">+AO3+BU3</f>
        <v>8003.57</v>
      </c>
      <c r="I3" s="1311">
        <f t="shared" ref="I3:I14" si="7">+AP3+BV3</f>
        <v>26817.9</v>
      </c>
      <c r="J3" s="1311">
        <f t="shared" ref="J3:J14" si="8">+AQ3+BW3</f>
        <v>41384.25</v>
      </c>
      <c r="K3" s="1311">
        <f t="shared" ref="K3:K14" si="9">+AR3+BX3</f>
        <v>103527.22</v>
      </c>
      <c r="L3" s="1311">
        <f t="shared" ref="L3:L14" si="10">+AS3+BY3</f>
        <v>121757.5</v>
      </c>
      <c r="M3" s="1311">
        <f t="shared" ref="M3:M14" si="11">+AT3+BZ3</f>
        <v>214015.88</v>
      </c>
      <c r="N3" s="1311">
        <f t="shared" ref="N3:N14" si="12">+AU3+CA3</f>
        <v>19538.62</v>
      </c>
      <c r="O3" s="1311">
        <f t="shared" ref="O3:O14" si="13">+AV3+CB3</f>
        <v>30155.32</v>
      </c>
      <c r="P3" s="1311">
        <f t="shared" ref="P3:P14" si="14">+AW3+CD3</f>
        <v>0</v>
      </c>
      <c r="Q3" s="1311"/>
      <c r="R3" s="1311"/>
      <c r="S3" s="1311">
        <f t="shared" ref="S3:S14" si="15">+AY3+CE3</f>
        <v>12062.130000000001</v>
      </c>
      <c r="T3" s="1311">
        <f t="shared" ref="T3:T14" si="16">+AZ3+CF3</f>
        <v>109699.44</v>
      </c>
      <c r="U3" s="1311">
        <f t="shared" ref="U3:U14" si="17">+BA3+CG3</f>
        <v>91073.3</v>
      </c>
      <c r="V3" s="1311">
        <f t="shared" ref="V3:V14" si="18">+BB3+CH3</f>
        <v>7620</v>
      </c>
      <c r="W3" s="1311">
        <f t="shared" ref="W3:W14" si="19">+BC3+CI3</f>
        <v>66589</v>
      </c>
      <c r="X3" s="1311">
        <f t="shared" ref="X3:X14" si="20">+BD3+CJ3</f>
        <v>375762.81833333336</v>
      </c>
      <c r="Y3" s="1311">
        <f t="shared" ref="Y3:Y14" si="21">+BE3+CK3</f>
        <v>44220</v>
      </c>
      <c r="Z3" s="1311">
        <f t="shared" ref="Z3:Z14" si="22">+BF3+CL3</f>
        <v>137229.32</v>
      </c>
      <c r="AA3" s="1311">
        <f t="shared" ref="AA3:AA14" si="23">+BG3+CM3</f>
        <v>84866</v>
      </c>
      <c r="AB3" s="1311">
        <f t="shared" ref="AB3:AB14" si="24">+BH3+CN3</f>
        <v>11806</v>
      </c>
      <c r="AC3" s="1311">
        <f t="shared" ref="AC3:AC14" si="25">+BI3+CO3</f>
        <v>32707</v>
      </c>
      <c r="AD3" s="1311">
        <f t="shared" ref="AD3:AD14" si="26">+BJ3+CP3</f>
        <v>48423</v>
      </c>
      <c r="AE3" s="1311">
        <f t="shared" ref="AE3:AE14" si="27">+BK3+CQ3</f>
        <v>48097.73</v>
      </c>
      <c r="AF3" s="1311">
        <f t="shared" ref="AF3:AF14" si="28">+BL3+CR3</f>
        <v>45443.38</v>
      </c>
      <c r="AG3" s="1311">
        <f t="shared" ref="AG3:AG14" si="29">+BM3+CS3</f>
        <v>123650</v>
      </c>
      <c r="AH3" s="1694">
        <f t="shared" ref="AH3:AH14" si="30">+BN3+CT3</f>
        <v>13217</v>
      </c>
      <c r="AI3" s="1942">
        <v>10106.16</v>
      </c>
      <c r="AJ3" s="1942">
        <v>43561.89</v>
      </c>
      <c r="AK3" s="1942">
        <v>23869.919999999998</v>
      </c>
      <c r="AL3" s="1942">
        <v>67423.61</v>
      </c>
      <c r="AM3" s="1942">
        <v>22271.65</v>
      </c>
      <c r="AN3" s="1942">
        <v>148019.29999999999</v>
      </c>
      <c r="AO3" s="1942">
        <v>7186.09</v>
      </c>
      <c r="AP3" s="1942">
        <v>24931</v>
      </c>
      <c r="AQ3" s="1942">
        <v>36318.5</v>
      </c>
      <c r="AR3" s="1942">
        <v>74971.64</v>
      </c>
      <c r="AS3" s="1942">
        <v>49134.5</v>
      </c>
      <c r="AT3" s="1942">
        <v>122968</v>
      </c>
      <c r="AU3" s="1942"/>
      <c r="AV3" s="1942"/>
      <c r="AW3" s="1942"/>
      <c r="AX3" s="1944"/>
      <c r="AY3" s="1942">
        <v>8376.1</v>
      </c>
      <c r="AZ3" s="1953">
        <v>84966.44</v>
      </c>
      <c r="BA3" s="1953">
        <v>61632.3</v>
      </c>
      <c r="BB3" s="1953">
        <v>7620</v>
      </c>
      <c r="BC3" s="1953">
        <v>22550</v>
      </c>
      <c r="BD3" s="1954">
        <f t="shared" ref="BD3:BD14" si="31">1706909.82/12</f>
        <v>142242.48500000002</v>
      </c>
      <c r="BE3" s="1958">
        <v>44220</v>
      </c>
      <c r="BF3" s="1942">
        <v>137229.32</v>
      </c>
      <c r="BG3" s="1942">
        <v>77966</v>
      </c>
      <c r="BH3" s="1942">
        <v>7242</v>
      </c>
      <c r="BI3" s="1942">
        <v>23054</v>
      </c>
      <c r="BJ3" s="1942">
        <v>48423</v>
      </c>
      <c r="BK3" s="1942">
        <v>48097.73</v>
      </c>
      <c r="BL3" s="1942">
        <v>45443.38</v>
      </c>
      <c r="BM3" s="1942">
        <v>123650</v>
      </c>
      <c r="BN3" s="1942">
        <f t="shared" ref="BN3:BN14" si="32">158604/12</f>
        <v>13217</v>
      </c>
      <c r="BO3" s="1487">
        <v>5569.6</v>
      </c>
      <c r="BP3" s="1487">
        <v>9840.77</v>
      </c>
      <c r="BQ3" s="1487">
        <v>5809.16</v>
      </c>
      <c r="BR3" s="1487">
        <v>14624.82</v>
      </c>
      <c r="BS3" s="1487">
        <v>6927.17</v>
      </c>
      <c r="BT3" s="1487">
        <v>28332</v>
      </c>
      <c r="BU3" s="1487">
        <v>817.48</v>
      </c>
      <c r="BV3" s="1487">
        <v>1886.9</v>
      </c>
      <c r="BW3" s="1487">
        <v>5065.75</v>
      </c>
      <c r="BX3" s="1487">
        <v>28555.58</v>
      </c>
      <c r="BY3" s="1487">
        <v>72623</v>
      </c>
      <c r="BZ3" s="1487">
        <v>91047.88</v>
      </c>
      <c r="CA3" s="1487">
        <v>19538.62</v>
      </c>
      <c r="CB3" s="1487">
        <v>30155.32</v>
      </c>
      <c r="CC3" s="1487"/>
      <c r="CD3" s="1487"/>
      <c r="CE3" s="1921">
        <v>3686.0299999999997</v>
      </c>
      <c r="CF3" s="1921">
        <v>24733</v>
      </c>
      <c r="CG3" s="1921">
        <v>29441</v>
      </c>
      <c r="CH3" s="1921"/>
      <c r="CI3" s="1921">
        <v>44039</v>
      </c>
      <c r="CJ3" s="1921">
        <f t="shared" ref="CJ3:CJ14" si="33">2802244/12</f>
        <v>233520.33333333334</v>
      </c>
      <c r="CK3" s="1921"/>
      <c r="CL3" s="1921"/>
      <c r="CM3" s="1921">
        <v>6900</v>
      </c>
      <c r="CN3" s="1921">
        <v>4564</v>
      </c>
      <c r="CO3" s="1921">
        <v>9653</v>
      </c>
      <c r="CP3" s="1921"/>
      <c r="CQ3" s="1921"/>
      <c r="CR3" s="1921"/>
      <c r="CS3" s="1921"/>
      <c r="CT3" s="1921"/>
    </row>
    <row r="4" spans="1:104" hidden="1">
      <c r="A4" s="1309">
        <v>43132</v>
      </c>
      <c r="B4" s="1311">
        <f t="shared" si="0"/>
        <v>16061.25</v>
      </c>
      <c r="C4" s="1311">
        <f t="shared" si="1"/>
        <v>56472.729999999996</v>
      </c>
      <c r="D4" s="1311">
        <f t="shared" si="2"/>
        <v>27895.51</v>
      </c>
      <c r="E4" s="1311">
        <f t="shared" si="3"/>
        <v>96726.9</v>
      </c>
      <c r="F4" s="1311">
        <f t="shared" si="4"/>
        <v>27555.61</v>
      </c>
      <c r="G4" s="1311">
        <f t="shared" si="5"/>
        <v>171298.87</v>
      </c>
      <c r="H4" s="1311">
        <f t="shared" si="6"/>
        <v>7999.7199999999993</v>
      </c>
      <c r="I4" s="1311">
        <f t="shared" si="7"/>
        <v>31737.72</v>
      </c>
      <c r="J4" s="1311">
        <f t="shared" si="8"/>
        <v>41290.86</v>
      </c>
      <c r="K4" s="1311">
        <f t="shared" si="9"/>
        <v>131217.85</v>
      </c>
      <c r="L4" s="1311">
        <f t="shared" si="10"/>
        <v>120917.5</v>
      </c>
      <c r="M4" s="1311">
        <f t="shared" si="11"/>
        <v>217466</v>
      </c>
      <c r="N4" s="1311">
        <f t="shared" si="12"/>
        <v>24970.047222222223</v>
      </c>
      <c r="O4" s="1311">
        <f t="shared" si="13"/>
        <v>27213.750000000004</v>
      </c>
      <c r="P4" s="1311">
        <f t="shared" si="14"/>
        <v>0</v>
      </c>
      <c r="Q4" s="1311"/>
      <c r="R4" s="1311"/>
      <c r="S4" s="1311">
        <f t="shared" si="15"/>
        <v>11741.699999999999</v>
      </c>
      <c r="T4" s="1311">
        <f t="shared" si="16"/>
        <v>98361.881290322577</v>
      </c>
      <c r="U4" s="1311">
        <f t="shared" si="17"/>
        <v>91394.75</v>
      </c>
      <c r="V4" s="1311">
        <f t="shared" si="18"/>
        <v>7084</v>
      </c>
      <c r="W4" s="1311">
        <f t="shared" si="19"/>
        <v>68210</v>
      </c>
      <c r="X4" s="1311">
        <f t="shared" si="20"/>
        <v>375762.81833333336</v>
      </c>
      <c r="Y4" s="1311">
        <f t="shared" si="21"/>
        <v>39709</v>
      </c>
      <c r="Z4" s="1311">
        <f t="shared" si="22"/>
        <v>150948.32999999999</v>
      </c>
      <c r="AA4" s="1311">
        <f t="shared" si="23"/>
        <v>71962</v>
      </c>
      <c r="AB4" s="1311">
        <f t="shared" si="24"/>
        <v>20921.5</v>
      </c>
      <c r="AC4" s="1311">
        <f t="shared" si="25"/>
        <v>32757.059999999998</v>
      </c>
      <c r="AD4" s="1311">
        <f t="shared" si="26"/>
        <v>48423</v>
      </c>
      <c r="AE4" s="1311">
        <f t="shared" si="27"/>
        <v>35915.339999999997</v>
      </c>
      <c r="AF4" s="1311">
        <f t="shared" si="28"/>
        <v>57732.49</v>
      </c>
      <c r="AG4" s="1311">
        <f t="shared" si="29"/>
        <v>141275</v>
      </c>
      <c r="AH4" s="1694">
        <f t="shared" si="30"/>
        <v>13217</v>
      </c>
      <c r="AI4" s="1689">
        <v>9970.49</v>
      </c>
      <c r="AJ4" s="1689">
        <v>47338.64</v>
      </c>
      <c r="AK4" s="1689">
        <v>24638.53</v>
      </c>
      <c r="AL4" s="1689">
        <v>81240.679999999993</v>
      </c>
      <c r="AM4" s="1689">
        <v>22923.599999999999</v>
      </c>
      <c r="AN4" s="1689">
        <v>146921.5</v>
      </c>
      <c r="AO4" s="1689">
        <v>7182.24</v>
      </c>
      <c r="AP4" s="1689">
        <v>29468</v>
      </c>
      <c r="AQ4" s="1689">
        <v>37985.5</v>
      </c>
      <c r="AR4" s="1689">
        <v>102000.64</v>
      </c>
      <c r="AS4" s="1689">
        <v>49015.5</v>
      </c>
      <c r="AT4" s="1689">
        <v>122968</v>
      </c>
      <c r="AU4" s="1689"/>
      <c r="AV4" s="1689"/>
      <c r="AW4" s="1689"/>
      <c r="AX4" s="1945"/>
      <c r="AY4" s="1689">
        <v>7694.19</v>
      </c>
      <c r="AZ4" s="1950">
        <v>76743.881290322577</v>
      </c>
      <c r="BA4" s="1950">
        <v>60603.75</v>
      </c>
      <c r="BB4" s="1950">
        <v>7084</v>
      </c>
      <c r="BC4" s="1950">
        <v>27963</v>
      </c>
      <c r="BD4" s="1952">
        <f t="shared" si="31"/>
        <v>142242.48500000002</v>
      </c>
      <c r="BE4" s="1949">
        <v>39709</v>
      </c>
      <c r="BF4" s="1689">
        <v>150948.32999999999</v>
      </c>
      <c r="BG4" s="1689">
        <v>65062</v>
      </c>
      <c r="BH4" s="1689">
        <v>16993</v>
      </c>
      <c r="BI4" s="1689">
        <v>19635</v>
      </c>
      <c r="BJ4" s="1689">
        <v>48423</v>
      </c>
      <c r="BK4" s="1689">
        <v>35915.339999999997</v>
      </c>
      <c r="BL4" s="1689">
        <v>57732.49</v>
      </c>
      <c r="BM4" s="1689">
        <v>141275</v>
      </c>
      <c r="BN4" s="1689">
        <f t="shared" si="32"/>
        <v>13217</v>
      </c>
      <c r="BO4" s="1487">
        <v>6090.76</v>
      </c>
      <c r="BP4" s="1487">
        <v>9134.09</v>
      </c>
      <c r="BQ4" s="1487">
        <v>3256.98</v>
      </c>
      <c r="BR4" s="1487">
        <v>15486.22</v>
      </c>
      <c r="BS4" s="1487">
        <v>4632.01</v>
      </c>
      <c r="BT4" s="1487">
        <v>24377.370000000003</v>
      </c>
      <c r="BU4" s="1487">
        <v>817.48</v>
      </c>
      <c r="BV4" s="1487">
        <v>2269.7199999999998</v>
      </c>
      <c r="BW4" s="1487">
        <v>3305.36</v>
      </c>
      <c r="BX4" s="1487">
        <v>29217.21</v>
      </c>
      <c r="BY4" s="1487">
        <v>71902</v>
      </c>
      <c r="BZ4" s="1487">
        <v>94498</v>
      </c>
      <c r="CA4" s="1487">
        <v>24970.047222222223</v>
      </c>
      <c r="CB4" s="1487">
        <v>27213.750000000004</v>
      </c>
      <c r="CC4" s="1487"/>
      <c r="CD4" s="1487"/>
      <c r="CE4" s="1487">
        <v>4047.5099999999998</v>
      </c>
      <c r="CF4" s="1487">
        <v>21618</v>
      </c>
      <c r="CG4" s="1487">
        <v>30791</v>
      </c>
      <c r="CH4" s="1487"/>
      <c r="CI4" s="1487">
        <v>40247</v>
      </c>
      <c r="CJ4" s="1487">
        <f t="shared" si="33"/>
        <v>233520.33333333334</v>
      </c>
      <c r="CK4" s="1487"/>
      <c r="CL4" s="1487"/>
      <c r="CM4" s="1487">
        <v>6900</v>
      </c>
      <c r="CN4" s="1487">
        <v>3928.5</v>
      </c>
      <c r="CO4" s="1487">
        <v>13122.06</v>
      </c>
      <c r="CP4" s="1487"/>
      <c r="CQ4" s="1487"/>
      <c r="CR4" s="1487"/>
      <c r="CS4" s="1487"/>
      <c r="CT4" s="1487"/>
    </row>
    <row r="5" spans="1:104" hidden="1">
      <c r="A5" s="1309">
        <v>43160</v>
      </c>
      <c r="B5" s="1311">
        <f t="shared" si="0"/>
        <v>14166.26</v>
      </c>
      <c r="C5" s="1311">
        <f t="shared" si="1"/>
        <v>54470.15</v>
      </c>
      <c r="D5" s="1311">
        <f t="shared" si="2"/>
        <v>29175.42</v>
      </c>
      <c r="E5" s="1311">
        <f t="shared" si="3"/>
        <v>90204.560000000012</v>
      </c>
      <c r="F5" s="1311">
        <f t="shared" si="4"/>
        <v>26108.68</v>
      </c>
      <c r="G5" s="1311">
        <f t="shared" si="5"/>
        <v>162591.19999999998</v>
      </c>
      <c r="H5" s="1311">
        <f t="shared" si="6"/>
        <v>6908.74</v>
      </c>
      <c r="I5" s="1311">
        <f t="shared" si="7"/>
        <v>29946.6</v>
      </c>
      <c r="J5" s="1311">
        <f t="shared" si="8"/>
        <v>44836.35</v>
      </c>
      <c r="K5" s="1311">
        <f t="shared" si="9"/>
        <v>125706.43000000001</v>
      </c>
      <c r="L5" s="1311">
        <f t="shared" si="10"/>
        <v>112963.5</v>
      </c>
      <c r="M5" s="1311">
        <f t="shared" si="11"/>
        <v>255622.94</v>
      </c>
      <c r="N5" s="1311">
        <f t="shared" si="12"/>
        <v>24650.781388888885</v>
      </c>
      <c r="O5" s="1311">
        <f t="shared" si="13"/>
        <v>23887.589999999997</v>
      </c>
      <c r="P5" s="1311">
        <f t="shared" si="14"/>
        <v>0</v>
      </c>
      <c r="Q5" s="1311"/>
      <c r="R5" s="1311"/>
      <c r="S5" s="1311">
        <f t="shared" si="15"/>
        <v>11215.029999999999</v>
      </c>
      <c r="T5" s="1311">
        <f t="shared" si="16"/>
        <v>114941.59999999999</v>
      </c>
      <c r="U5" s="1311">
        <f t="shared" si="17"/>
        <v>93984.85</v>
      </c>
      <c r="V5" s="1311">
        <f t="shared" si="18"/>
        <v>7636</v>
      </c>
      <c r="W5" s="1311">
        <f t="shared" si="19"/>
        <v>70919</v>
      </c>
      <c r="X5" s="1311">
        <f t="shared" si="20"/>
        <v>375762.81833333336</v>
      </c>
      <c r="Y5" s="1311">
        <f t="shared" si="21"/>
        <v>45803</v>
      </c>
      <c r="Z5" s="1311">
        <f t="shared" si="22"/>
        <v>148835</v>
      </c>
      <c r="AA5" s="1311">
        <f t="shared" si="23"/>
        <v>74388</v>
      </c>
      <c r="AB5" s="1311">
        <f t="shared" si="24"/>
        <v>23140.5</v>
      </c>
      <c r="AC5" s="1311">
        <f t="shared" si="25"/>
        <v>39432</v>
      </c>
      <c r="AD5" s="1311">
        <f t="shared" si="26"/>
        <v>49153</v>
      </c>
      <c r="AE5" s="1311">
        <f t="shared" si="27"/>
        <v>52281.69</v>
      </c>
      <c r="AF5" s="1311">
        <f t="shared" si="28"/>
        <v>48816.98</v>
      </c>
      <c r="AG5" s="1311">
        <f t="shared" si="29"/>
        <v>151200</v>
      </c>
      <c r="AH5" s="1694">
        <f t="shared" si="30"/>
        <v>13217</v>
      </c>
      <c r="AI5" s="1689">
        <v>8904</v>
      </c>
      <c r="AJ5" s="1689">
        <v>45222.15</v>
      </c>
      <c r="AK5" s="1689">
        <v>22600.25</v>
      </c>
      <c r="AL5" s="1689">
        <v>82192.320000000007</v>
      </c>
      <c r="AM5" s="1689">
        <v>20580.87</v>
      </c>
      <c r="AN5" s="1689">
        <v>137728.57999999999</v>
      </c>
      <c r="AO5" s="1689">
        <v>6091.26</v>
      </c>
      <c r="AP5" s="1689">
        <v>26576</v>
      </c>
      <c r="AQ5" s="1689">
        <v>36711</v>
      </c>
      <c r="AR5" s="1689">
        <v>94230.32</v>
      </c>
      <c r="AS5" s="1689">
        <v>46837.5</v>
      </c>
      <c r="AT5" s="1689">
        <v>126916</v>
      </c>
      <c r="AU5" s="1689"/>
      <c r="AV5" s="1689"/>
      <c r="AW5" s="1689"/>
      <c r="AX5" s="1945"/>
      <c r="AY5" s="1689">
        <v>7523.65</v>
      </c>
      <c r="AZ5" s="1950">
        <v>90922.599999999991</v>
      </c>
      <c r="BA5" s="1950">
        <v>64244.75</v>
      </c>
      <c r="BB5" s="1950">
        <v>7636</v>
      </c>
      <c r="BC5" s="1950">
        <v>27616</v>
      </c>
      <c r="BD5" s="1952">
        <f t="shared" si="31"/>
        <v>142242.48500000002</v>
      </c>
      <c r="BE5" s="1949">
        <v>45803</v>
      </c>
      <c r="BF5" s="1689">
        <v>148835</v>
      </c>
      <c r="BG5" s="1689">
        <v>67488</v>
      </c>
      <c r="BH5" s="1689">
        <v>17934</v>
      </c>
      <c r="BI5" s="1689">
        <v>23623</v>
      </c>
      <c r="BJ5" s="1689">
        <v>49153</v>
      </c>
      <c r="BK5" s="1689">
        <v>52281.69</v>
      </c>
      <c r="BL5" s="1689">
        <v>48816.98</v>
      </c>
      <c r="BM5" s="1689">
        <v>151200</v>
      </c>
      <c r="BN5" s="1689">
        <f t="shared" si="32"/>
        <v>13217</v>
      </c>
      <c r="BO5" s="1487">
        <v>5262.26</v>
      </c>
      <c r="BP5" s="1487">
        <v>9248</v>
      </c>
      <c r="BQ5" s="1487">
        <v>6575.17</v>
      </c>
      <c r="BR5" s="1487">
        <v>8012.24</v>
      </c>
      <c r="BS5" s="1487">
        <v>5527.81</v>
      </c>
      <c r="BT5" s="1487">
        <f>24310.62+552</f>
        <v>24862.62</v>
      </c>
      <c r="BU5" s="1487">
        <v>817.48</v>
      </c>
      <c r="BV5" s="1487">
        <v>3370.6</v>
      </c>
      <c r="BW5" s="1487">
        <v>8125.35</v>
      </c>
      <c r="BX5" s="1487">
        <v>31476.11</v>
      </c>
      <c r="BY5" s="1487">
        <v>66126</v>
      </c>
      <c r="BZ5" s="1487">
        <v>128706.94</v>
      </c>
      <c r="CA5" s="1487">
        <v>24650.781388888885</v>
      </c>
      <c r="CB5" s="1487">
        <v>23887.589999999997</v>
      </c>
      <c r="CC5" s="1487"/>
      <c r="CD5" s="1487"/>
      <c r="CE5" s="1487">
        <v>3691.38</v>
      </c>
      <c r="CF5" s="1487">
        <v>24019</v>
      </c>
      <c r="CG5" s="1487">
        <v>29740.1</v>
      </c>
      <c r="CH5" s="1487"/>
      <c r="CI5" s="1487">
        <v>43303</v>
      </c>
      <c r="CJ5" s="1487">
        <f t="shared" si="33"/>
        <v>233520.33333333334</v>
      </c>
      <c r="CK5" s="1487"/>
      <c r="CL5" s="1487"/>
      <c r="CM5" s="1487">
        <v>6900</v>
      </c>
      <c r="CN5" s="1487">
        <v>5206.5</v>
      </c>
      <c r="CO5" s="1487">
        <v>15809</v>
      </c>
      <c r="CP5" s="1487"/>
      <c r="CQ5" s="1487"/>
      <c r="CR5" s="1487"/>
      <c r="CS5" s="1487"/>
      <c r="CT5" s="1487"/>
    </row>
    <row r="6" spans="1:104" hidden="1">
      <c r="A6" s="1309">
        <v>43191</v>
      </c>
      <c r="B6" s="1311">
        <f t="shared" si="0"/>
        <v>16264.5</v>
      </c>
      <c r="C6" s="1311">
        <f t="shared" si="1"/>
        <v>56354.030000000006</v>
      </c>
      <c r="D6" s="1311">
        <f t="shared" si="2"/>
        <v>29480.83</v>
      </c>
      <c r="E6" s="1311">
        <f t="shared" si="3"/>
        <v>102244.66</v>
      </c>
      <c r="F6" s="1311">
        <f t="shared" si="4"/>
        <v>30980.339999999997</v>
      </c>
      <c r="G6" s="1311">
        <f t="shared" si="5"/>
        <v>177556.51</v>
      </c>
      <c r="H6" s="1311">
        <f t="shared" si="6"/>
        <v>7988.18</v>
      </c>
      <c r="I6" s="1311">
        <f t="shared" si="7"/>
        <v>31247.14</v>
      </c>
      <c r="J6" s="1311">
        <f t="shared" si="8"/>
        <v>46611.08</v>
      </c>
      <c r="K6" s="1311">
        <f t="shared" si="9"/>
        <v>136961.62</v>
      </c>
      <c r="L6" s="1311">
        <f t="shared" si="10"/>
        <v>125280.11138888889</v>
      </c>
      <c r="M6" s="1311">
        <f t="shared" si="11"/>
        <v>231403.97</v>
      </c>
      <c r="N6" s="1311">
        <f t="shared" si="12"/>
        <v>18735.069166666668</v>
      </c>
      <c r="O6" s="1311">
        <f t="shared" si="13"/>
        <v>20942.190000000002</v>
      </c>
      <c r="P6" s="1311">
        <f t="shared" si="14"/>
        <v>0</v>
      </c>
      <c r="Q6" s="1311"/>
      <c r="R6" s="1311"/>
      <c r="S6" s="1311">
        <f t="shared" si="15"/>
        <v>12507.73</v>
      </c>
      <c r="T6" s="1311">
        <f t="shared" si="16"/>
        <v>112425.58</v>
      </c>
      <c r="U6" s="1311">
        <f t="shared" si="17"/>
        <v>90808.709999999992</v>
      </c>
      <c r="V6" s="1311">
        <f t="shared" si="18"/>
        <v>8479</v>
      </c>
      <c r="W6" s="1311">
        <f t="shared" si="19"/>
        <v>73355</v>
      </c>
      <c r="X6" s="1311">
        <f t="shared" si="20"/>
        <v>375762.81833333336</v>
      </c>
      <c r="Y6" s="1311">
        <f t="shared" si="21"/>
        <v>42858</v>
      </c>
      <c r="Z6" s="1311">
        <f t="shared" si="22"/>
        <v>155840.63</v>
      </c>
      <c r="AA6" s="1311">
        <f t="shared" si="23"/>
        <v>71865</v>
      </c>
      <c r="AB6" s="1311">
        <f t="shared" si="24"/>
        <v>23042</v>
      </c>
      <c r="AC6" s="1311">
        <f t="shared" si="25"/>
        <v>38234</v>
      </c>
      <c r="AD6" s="1311">
        <f t="shared" si="26"/>
        <v>53666</v>
      </c>
      <c r="AE6" s="1311">
        <f t="shared" si="27"/>
        <v>52410.28</v>
      </c>
      <c r="AF6" s="1311">
        <f t="shared" si="28"/>
        <v>57383.34</v>
      </c>
      <c r="AG6" s="1311">
        <f t="shared" si="29"/>
        <v>152148</v>
      </c>
      <c r="AH6" s="1694">
        <f t="shared" si="30"/>
        <v>13217</v>
      </c>
      <c r="AI6" s="1689">
        <v>11135</v>
      </c>
      <c r="AJ6" s="1689">
        <v>46676.66</v>
      </c>
      <c r="AK6" s="1689">
        <v>23157.59</v>
      </c>
      <c r="AL6" s="1689">
        <v>90284.82</v>
      </c>
      <c r="AM6" s="1689">
        <v>24163.17</v>
      </c>
      <c r="AN6" s="1689">
        <v>152026.51</v>
      </c>
      <c r="AO6" s="1689">
        <v>7170.7</v>
      </c>
      <c r="AP6" s="1689">
        <v>28417</v>
      </c>
      <c r="AQ6" s="1689">
        <v>40565</v>
      </c>
      <c r="AR6" s="1689">
        <v>106002.78</v>
      </c>
      <c r="AS6" s="1689">
        <v>49156</v>
      </c>
      <c r="AT6" s="1689">
        <v>128632</v>
      </c>
      <c r="AU6" s="1689"/>
      <c r="AV6" s="1689"/>
      <c r="AW6" s="1689"/>
      <c r="AX6" s="1945"/>
      <c r="AY6" s="1689">
        <v>8525.65</v>
      </c>
      <c r="AZ6" s="1950">
        <v>95085.58</v>
      </c>
      <c r="BA6" s="1950">
        <v>63050</v>
      </c>
      <c r="BB6" s="1950">
        <v>8479</v>
      </c>
      <c r="BC6" s="1950">
        <v>22596</v>
      </c>
      <c r="BD6" s="1952">
        <f t="shared" si="31"/>
        <v>142242.48500000002</v>
      </c>
      <c r="BE6" s="1949">
        <v>42858</v>
      </c>
      <c r="BF6" s="1689">
        <v>155840.63</v>
      </c>
      <c r="BG6" s="1689">
        <v>64965</v>
      </c>
      <c r="BH6" s="1689">
        <v>18373</v>
      </c>
      <c r="BI6" s="1689">
        <v>22900</v>
      </c>
      <c r="BJ6" s="1689">
        <v>53666</v>
      </c>
      <c r="BK6" s="1689">
        <v>52410.28</v>
      </c>
      <c r="BL6" s="1689">
        <v>57383.34</v>
      </c>
      <c r="BM6" s="1689">
        <v>152148</v>
      </c>
      <c r="BN6" s="1689">
        <f t="shared" si="32"/>
        <v>13217</v>
      </c>
      <c r="BO6" s="1487">
        <v>5129.5</v>
      </c>
      <c r="BP6" s="1487">
        <v>9677.3700000000008</v>
      </c>
      <c r="BQ6" s="1487">
        <v>6323.24</v>
      </c>
      <c r="BR6" s="1487">
        <v>11959.84</v>
      </c>
      <c r="BS6" s="1487">
        <v>6817.17</v>
      </c>
      <c r="BT6" s="1487">
        <v>25530</v>
      </c>
      <c r="BU6" s="1487">
        <v>817.48</v>
      </c>
      <c r="BV6" s="1487">
        <v>2830.14</v>
      </c>
      <c r="BW6" s="1487">
        <v>6046.08</v>
      </c>
      <c r="BX6" s="1487">
        <v>30958.84</v>
      </c>
      <c r="BY6" s="1487">
        <v>76124.111388888894</v>
      </c>
      <c r="BZ6" s="1487">
        <v>102771.97</v>
      </c>
      <c r="CA6" s="1487">
        <v>18735.069166666668</v>
      </c>
      <c r="CB6" s="1487">
        <v>20942.190000000002</v>
      </c>
      <c r="CC6" s="1487"/>
      <c r="CD6" s="1487"/>
      <c r="CE6" s="1487">
        <v>3982.08</v>
      </c>
      <c r="CF6" s="1487">
        <v>17340</v>
      </c>
      <c r="CG6" s="1487">
        <v>27758.71</v>
      </c>
      <c r="CH6" s="1487"/>
      <c r="CI6" s="1487">
        <v>50759</v>
      </c>
      <c r="CJ6" s="1487">
        <f t="shared" si="33"/>
        <v>233520.33333333334</v>
      </c>
      <c r="CK6" s="1487"/>
      <c r="CL6" s="1487"/>
      <c r="CM6" s="1487">
        <v>6900</v>
      </c>
      <c r="CN6" s="1487">
        <v>4669</v>
      </c>
      <c r="CO6" s="1487">
        <v>15334</v>
      </c>
      <c r="CP6" s="1487"/>
      <c r="CQ6" s="1487"/>
      <c r="CR6" s="1487"/>
      <c r="CS6" s="1487"/>
      <c r="CT6" s="1487"/>
    </row>
    <row r="7" spans="1:104" hidden="1">
      <c r="A7" s="1309">
        <v>43221</v>
      </c>
      <c r="B7" s="1311">
        <f t="shared" si="0"/>
        <v>20570.2</v>
      </c>
      <c r="C7" s="1311">
        <f t="shared" si="1"/>
        <v>62740.2</v>
      </c>
      <c r="D7" s="1311">
        <f t="shared" si="2"/>
        <v>33179.85</v>
      </c>
      <c r="E7" s="1311">
        <f t="shared" si="3"/>
        <v>102753.53</v>
      </c>
      <c r="F7" s="1311">
        <f t="shared" si="4"/>
        <v>29067.58</v>
      </c>
      <c r="G7" s="1311">
        <f t="shared" si="5"/>
        <v>185606.92</v>
      </c>
      <c r="H7" s="1311">
        <f t="shared" si="6"/>
        <v>7594.2099999999991</v>
      </c>
      <c r="I7" s="1311">
        <f t="shared" si="7"/>
        <v>34061.33</v>
      </c>
      <c r="J7" s="1311">
        <f t="shared" si="8"/>
        <v>46769.18</v>
      </c>
      <c r="K7" s="1311">
        <f t="shared" si="9"/>
        <v>136742.26</v>
      </c>
      <c r="L7" s="1311">
        <f t="shared" si="10"/>
        <v>110204.5</v>
      </c>
      <c r="M7" s="1311">
        <f t="shared" si="11"/>
        <v>237099</v>
      </c>
      <c r="N7" s="1311">
        <f t="shared" si="12"/>
        <v>12519.929444444444</v>
      </c>
      <c r="O7" s="1311">
        <f t="shared" si="13"/>
        <v>16434.18</v>
      </c>
      <c r="P7" s="1311">
        <f t="shared" si="14"/>
        <v>0</v>
      </c>
      <c r="Q7" s="1311"/>
      <c r="R7" s="1311"/>
      <c r="S7" s="1311">
        <f t="shared" si="15"/>
        <v>12755.33</v>
      </c>
      <c r="T7" s="1311">
        <f t="shared" si="16"/>
        <v>135812.32</v>
      </c>
      <c r="U7" s="1311">
        <f t="shared" si="17"/>
        <v>91815</v>
      </c>
      <c r="V7" s="1311">
        <f t="shared" si="18"/>
        <v>8107</v>
      </c>
      <c r="W7" s="1311">
        <f t="shared" si="19"/>
        <v>78330</v>
      </c>
      <c r="X7" s="1311">
        <f t="shared" si="20"/>
        <v>375762.81833333336</v>
      </c>
      <c r="Y7" s="1311">
        <f t="shared" si="21"/>
        <v>46410</v>
      </c>
      <c r="Z7" s="1311">
        <f t="shared" si="22"/>
        <v>156615</v>
      </c>
      <c r="AA7" s="1311">
        <f t="shared" si="23"/>
        <v>71865</v>
      </c>
      <c r="AB7" s="1311">
        <f t="shared" si="24"/>
        <v>23042</v>
      </c>
      <c r="AC7" s="1311">
        <f t="shared" si="25"/>
        <v>36314</v>
      </c>
      <c r="AD7" s="1311">
        <f t="shared" si="26"/>
        <v>54428</v>
      </c>
      <c r="AE7" s="1311">
        <f t="shared" si="27"/>
        <v>52229.61</v>
      </c>
      <c r="AF7" s="1311">
        <f t="shared" si="28"/>
        <v>56830.080000000002</v>
      </c>
      <c r="AG7" s="1311">
        <f t="shared" si="29"/>
        <v>133640</v>
      </c>
      <c r="AH7" s="1694">
        <f t="shared" si="30"/>
        <v>13217</v>
      </c>
      <c r="AI7" s="1689">
        <v>11741.95</v>
      </c>
      <c r="AJ7" s="1689">
        <v>47745.04</v>
      </c>
      <c r="AK7" s="1689">
        <v>25214.71</v>
      </c>
      <c r="AL7" s="1689">
        <v>90987.5</v>
      </c>
      <c r="AM7" s="1689">
        <v>24141.18</v>
      </c>
      <c r="AN7" s="1689">
        <v>159324.92000000001</v>
      </c>
      <c r="AO7" s="1689">
        <v>6776.73</v>
      </c>
      <c r="AP7" s="1689">
        <v>30115</v>
      </c>
      <c r="AQ7" s="1689">
        <v>40375</v>
      </c>
      <c r="AR7" s="1689">
        <v>104565.26</v>
      </c>
      <c r="AS7" s="1689">
        <v>49400.5</v>
      </c>
      <c r="AT7" s="1689">
        <v>128680</v>
      </c>
      <c r="AU7" s="1689"/>
      <c r="AV7" s="1689"/>
      <c r="AW7" s="1689"/>
      <c r="AX7" s="1945"/>
      <c r="AY7" s="1689">
        <v>8706.35</v>
      </c>
      <c r="AZ7" s="1950">
        <v>109643.32</v>
      </c>
      <c r="BA7" s="1950">
        <v>62383</v>
      </c>
      <c r="BB7" s="1950">
        <v>8107</v>
      </c>
      <c r="BC7" s="1950">
        <v>29502</v>
      </c>
      <c r="BD7" s="1952">
        <f t="shared" si="31"/>
        <v>142242.48500000002</v>
      </c>
      <c r="BE7" s="1949">
        <v>46410</v>
      </c>
      <c r="BF7" s="1689">
        <v>156615</v>
      </c>
      <c r="BG7" s="1689">
        <v>64965</v>
      </c>
      <c r="BH7" s="1689">
        <v>18373</v>
      </c>
      <c r="BI7" s="1689">
        <v>22900</v>
      </c>
      <c r="BJ7" s="1689">
        <v>54428</v>
      </c>
      <c r="BK7" s="1689">
        <v>52229.61</v>
      </c>
      <c r="BL7" s="1689">
        <v>56830.080000000002</v>
      </c>
      <c r="BM7" s="1689">
        <v>133640</v>
      </c>
      <c r="BN7" s="1689">
        <f t="shared" si="32"/>
        <v>13217</v>
      </c>
      <c r="BO7" s="1487">
        <v>8828.25</v>
      </c>
      <c r="BP7" s="1487">
        <v>14995.16</v>
      </c>
      <c r="BQ7" s="1487">
        <v>7965.14</v>
      </c>
      <c r="BR7" s="1487">
        <v>11766.03</v>
      </c>
      <c r="BS7" s="1487">
        <v>4926.3999999999996</v>
      </c>
      <c r="BT7" s="1487">
        <f>26280+2</f>
        <v>26282</v>
      </c>
      <c r="BU7" s="1487">
        <v>817.48</v>
      </c>
      <c r="BV7" s="1487">
        <v>3946.33</v>
      </c>
      <c r="BW7" s="1487">
        <v>6394.18</v>
      </c>
      <c r="BX7" s="1487">
        <v>32177</v>
      </c>
      <c r="BY7" s="1487">
        <v>60804</v>
      </c>
      <c r="BZ7" s="1487">
        <v>108419</v>
      </c>
      <c r="CA7" s="1487">
        <v>12519.929444444444</v>
      </c>
      <c r="CB7" s="1487">
        <v>16434.18</v>
      </c>
      <c r="CC7" s="1487"/>
      <c r="CD7" s="1487"/>
      <c r="CE7" s="1487">
        <v>4048.98</v>
      </c>
      <c r="CF7" s="1487">
        <v>26169</v>
      </c>
      <c r="CG7" s="1487">
        <v>29432</v>
      </c>
      <c r="CH7" s="1487"/>
      <c r="CI7" s="1487">
        <v>48828</v>
      </c>
      <c r="CJ7" s="1487">
        <f t="shared" si="33"/>
        <v>233520.33333333334</v>
      </c>
      <c r="CK7" s="1487"/>
      <c r="CL7" s="1487"/>
      <c r="CM7" s="1487">
        <v>6900</v>
      </c>
      <c r="CN7" s="1487">
        <v>4669</v>
      </c>
      <c r="CO7" s="1487">
        <v>13414</v>
      </c>
      <c r="CP7" s="1487"/>
      <c r="CQ7" s="1487"/>
      <c r="CR7" s="1487"/>
      <c r="CS7" s="1487"/>
      <c r="CT7" s="1487"/>
    </row>
    <row r="8" spans="1:104" hidden="1">
      <c r="A8" s="1309">
        <v>43252</v>
      </c>
      <c r="B8" s="1311">
        <f t="shared" si="0"/>
        <v>19410.810000000001</v>
      </c>
      <c r="C8" s="1311">
        <f t="shared" si="1"/>
        <v>59558.03</v>
      </c>
      <c r="D8" s="1311">
        <f t="shared" si="2"/>
        <v>31284.86</v>
      </c>
      <c r="E8" s="1311">
        <f t="shared" si="3"/>
        <v>110491.6</v>
      </c>
      <c r="F8" s="1311">
        <f t="shared" si="4"/>
        <v>32427.030000000002</v>
      </c>
      <c r="G8" s="1311">
        <f t="shared" si="5"/>
        <v>189536.13999999998</v>
      </c>
      <c r="H8" s="1311">
        <f t="shared" si="6"/>
        <v>8037.6299999999992</v>
      </c>
      <c r="I8" s="1311">
        <f t="shared" si="7"/>
        <v>35739.899999999994</v>
      </c>
      <c r="J8" s="1311">
        <f t="shared" si="8"/>
        <v>46199.5</v>
      </c>
      <c r="K8" s="1311">
        <f t="shared" si="9"/>
        <v>145077.70000000001</v>
      </c>
      <c r="L8" s="1311">
        <f t="shared" si="10"/>
        <v>124904</v>
      </c>
      <c r="M8" s="1311">
        <f t="shared" si="11"/>
        <v>234284.05</v>
      </c>
      <c r="N8" s="1311">
        <f t="shared" si="12"/>
        <v>14700.991944444446</v>
      </c>
      <c r="O8" s="1311">
        <f t="shared" si="13"/>
        <v>14913</v>
      </c>
      <c r="P8" s="1311">
        <f t="shared" si="14"/>
        <v>0</v>
      </c>
      <c r="Q8" s="1311"/>
      <c r="R8" s="1311"/>
      <c r="S8" s="1311">
        <f t="shared" si="15"/>
        <v>17364.849999999999</v>
      </c>
      <c r="T8" s="1311">
        <f t="shared" si="16"/>
        <v>126434.43000000001</v>
      </c>
      <c r="U8" s="1311">
        <f t="shared" si="17"/>
        <v>100448.19</v>
      </c>
      <c r="V8" s="1311">
        <f t="shared" si="18"/>
        <v>8309</v>
      </c>
      <c r="W8" s="1311">
        <f t="shared" si="19"/>
        <v>88217</v>
      </c>
      <c r="X8" s="1311">
        <f t="shared" si="20"/>
        <v>375762.81833333336</v>
      </c>
      <c r="Y8" s="1311">
        <f t="shared" si="21"/>
        <v>51329</v>
      </c>
      <c r="Z8" s="1311">
        <f t="shared" si="22"/>
        <v>159202</v>
      </c>
      <c r="AA8" s="1311">
        <f t="shared" si="23"/>
        <v>74875</v>
      </c>
      <c r="AB8" s="1311">
        <f t="shared" si="24"/>
        <v>21758.5</v>
      </c>
      <c r="AC8" s="1311">
        <f t="shared" si="25"/>
        <v>35258</v>
      </c>
      <c r="AD8" s="1311">
        <f t="shared" si="26"/>
        <v>52942</v>
      </c>
      <c r="AE8" s="1311">
        <f t="shared" si="27"/>
        <v>49039.33</v>
      </c>
      <c r="AF8" s="1311">
        <f t="shared" si="28"/>
        <v>55783.74</v>
      </c>
      <c r="AG8" s="1311">
        <f t="shared" si="29"/>
        <v>128440</v>
      </c>
      <c r="AH8" s="1694">
        <f t="shared" si="30"/>
        <v>13217</v>
      </c>
      <c r="AI8" s="1689">
        <v>12089.69</v>
      </c>
      <c r="AJ8" s="1689">
        <v>49436.83</v>
      </c>
      <c r="AK8" s="1689">
        <v>25921</v>
      </c>
      <c r="AL8" s="1689">
        <v>98869.25</v>
      </c>
      <c r="AM8" s="1689">
        <v>25053.58</v>
      </c>
      <c r="AN8" s="1689">
        <v>165484.78</v>
      </c>
      <c r="AO8" s="1689">
        <v>7220.15</v>
      </c>
      <c r="AP8" s="1689">
        <v>31032</v>
      </c>
      <c r="AQ8" s="1689">
        <v>41720.5</v>
      </c>
      <c r="AR8" s="1689">
        <v>108562.5</v>
      </c>
      <c r="AS8" s="1689">
        <v>48301</v>
      </c>
      <c r="AT8" s="1689">
        <v>131364</v>
      </c>
      <c r="AU8" s="1689"/>
      <c r="AV8" s="1689"/>
      <c r="AW8" s="1689"/>
      <c r="AX8" s="1945"/>
      <c r="AY8" s="1689">
        <v>9127.65</v>
      </c>
      <c r="AZ8" s="1950">
        <v>105567.43000000001</v>
      </c>
      <c r="BA8" s="1950">
        <v>66005</v>
      </c>
      <c r="BB8" s="1950">
        <v>8309</v>
      </c>
      <c r="BC8" s="1950">
        <v>32187</v>
      </c>
      <c r="BD8" s="1952">
        <f t="shared" si="31"/>
        <v>142242.48500000002</v>
      </c>
      <c r="BE8" s="1949">
        <v>51329</v>
      </c>
      <c r="BF8" s="1689">
        <v>159202</v>
      </c>
      <c r="BG8" s="1689">
        <v>67975</v>
      </c>
      <c r="BH8" s="1689">
        <v>17437.5</v>
      </c>
      <c r="BI8" s="1689">
        <v>21844</v>
      </c>
      <c r="BJ8" s="1689">
        <v>52942</v>
      </c>
      <c r="BK8" s="1689">
        <v>49039.33</v>
      </c>
      <c r="BL8" s="1689">
        <v>55783.74</v>
      </c>
      <c r="BM8" s="1689">
        <v>128440</v>
      </c>
      <c r="BN8" s="1689">
        <f t="shared" si="32"/>
        <v>13217</v>
      </c>
      <c r="BO8" s="1487">
        <v>7321.12</v>
      </c>
      <c r="BP8" s="1487">
        <v>10121.199999999993</v>
      </c>
      <c r="BQ8" s="1487">
        <v>5363.86</v>
      </c>
      <c r="BR8" s="1487">
        <v>11622.350000000002</v>
      </c>
      <c r="BS8" s="1487">
        <v>7373.4500000000016</v>
      </c>
      <c r="BT8" s="1487">
        <v>24051.359999999993</v>
      </c>
      <c r="BU8" s="1487">
        <v>817.48</v>
      </c>
      <c r="BV8" s="1487">
        <v>4707.8999999999978</v>
      </c>
      <c r="BW8" s="1487">
        <v>4479</v>
      </c>
      <c r="BX8" s="1487">
        <v>36515.199999999997</v>
      </c>
      <c r="BY8" s="1487">
        <v>76603</v>
      </c>
      <c r="BZ8" s="1487">
        <v>102920.04999999999</v>
      </c>
      <c r="CA8" s="1487">
        <v>14700.991944444446</v>
      </c>
      <c r="CB8" s="1487">
        <v>14913</v>
      </c>
      <c r="CC8" s="1487"/>
      <c r="CD8" s="1487"/>
      <c r="CE8" s="1487">
        <v>8237.2000000000007</v>
      </c>
      <c r="CF8" s="1487">
        <v>20867</v>
      </c>
      <c r="CG8" s="1487">
        <v>34443.19</v>
      </c>
      <c r="CH8" s="1487"/>
      <c r="CI8" s="1487">
        <v>56030</v>
      </c>
      <c r="CJ8" s="1487">
        <f t="shared" si="33"/>
        <v>233520.33333333334</v>
      </c>
      <c r="CK8" s="1487"/>
      <c r="CL8" s="1487"/>
      <c r="CM8" s="1487">
        <v>6900</v>
      </c>
      <c r="CN8" s="1487">
        <v>4321</v>
      </c>
      <c r="CO8" s="1487">
        <v>13414</v>
      </c>
      <c r="CP8" s="1487"/>
      <c r="CQ8" s="1487"/>
      <c r="CR8" s="1487"/>
      <c r="CS8" s="1487"/>
      <c r="CT8" s="1487"/>
    </row>
    <row r="9" spans="1:104" hidden="1">
      <c r="A9" s="1309">
        <v>43282</v>
      </c>
      <c r="B9" s="1311">
        <f t="shared" si="0"/>
        <v>16544.489999999998</v>
      </c>
      <c r="C9" s="1311">
        <f t="shared" si="1"/>
        <v>62513.93</v>
      </c>
      <c r="D9" s="1311">
        <f t="shared" si="2"/>
        <v>29507.39</v>
      </c>
      <c r="E9" s="1311">
        <f t="shared" si="3"/>
        <v>107427.13</v>
      </c>
      <c r="F9" s="1311">
        <f t="shared" si="4"/>
        <v>30225.940000000002</v>
      </c>
      <c r="G9" s="1311">
        <f t="shared" si="5"/>
        <v>190294.19</v>
      </c>
      <c r="H9" s="1311">
        <f t="shared" si="6"/>
        <v>7859.58</v>
      </c>
      <c r="I9" s="1311">
        <f t="shared" si="7"/>
        <v>34841.910000000003</v>
      </c>
      <c r="J9" s="1311">
        <f t="shared" si="8"/>
        <v>44469.414444444446</v>
      </c>
      <c r="K9" s="1311">
        <f t="shared" si="9"/>
        <v>137615.87</v>
      </c>
      <c r="L9" s="1311">
        <f t="shared" si="10"/>
        <v>113786.3</v>
      </c>
      <c r="M9" s="1311">
        <f t="shared" si="11"/>
        <v>232965.9</v>
      </c>
      <c r="N9" s="1311">
        <f t="shared" si="12"/>
        <v>10363.961944444445</v>
      </c>
      <c r="O9" s="1311">
        <f t="shared" si="13"/>
        <v>21108</v>
      </c>
      <c r="P9" s="1311">
        <f t="shared" si="14"/>
        <v>0</v>
      </c>
      <c r="Q9" s="1311"/>
      <c r="R9" s="1311"/>
      <c r="S9" s="1311">
        <f t="shared" si="15"/>
        <v>16660.55</v>
      </c>
      <c r="T9" s="1311">
        <f t="shared" si="16"/>
        <v>175783.51800000001</v>
      </c>
      <c r="U9" s="1311">
        <f t="shared" si="17"/>
        <v>111701.8</v>
      </c>
      <c r="V9" s="1311">
        <f t="shared" si="18"/>
        <v>8531</v>
      </c>
      <c r="W9" s="1311">
        <f t="shared" si="19"/>
        <v>92814</v>
      </c>
      <c r="X9" s="1311">
        <f t="shared" si="20"/>
        <v>375762.81833333336</v>
      </c>
      <c r="Y9" s="1311">
        <f t="shared" si="21"/>
        <v>52442</v>
      </c>
      <c r="Z9" s="1311">
        <f t="shared" si="22"/>
        <v>154025</v>
      </c>
      <c r="AA9" s="1311">
        <f t="shared" si="23"/>
        <v>77857</v>
      </c>
      <c r="AB9" s="1311">
        <f t="shared" si="24"/>
        <v>21798</v>
      </c>
      <c r="AC9" s="1311">
        <f t="shared" si="25"/>
        <v>35069</v>
      </c>
      <c r="AD9" s="1311">
        <f t="shared" si="26"/>
        <v>52942</v>
      </c>
      <c r="AE9" s="1311">
        <f t="shared" si="27"/>
        <v>41958.14</v>
      </c>
      <c r="AF9" s="1311">
        <f t="shared" si="28"/>
        <v>67370.95</v>
      </c>
      <c r="AG9" s="1311">
        <f t="shared" si="29"/>
        <v>130312</v>
      </c>
      <c r="AH9" s="1694">
        <f t="shared" si="30"/>
        <v>13217</v>
      </c>
      <c r="AI9" s="1689">
        <v>10797.06</v>
      </c>
      <c r="AJ9" s="1689">
        <v>49725.43</v>
      </c>
      <c r="AK9" s="1689">
        <v>24608.799999999999</v>
      </c>
      <c r="AL9" s="1689">
        <v>96692.72</v>
      </c>
      <c r="AM9" s="1689">
        <v>24598.15</v>
      </c>
      <c r="AN9" s="1689">
        <v>162200.82999999999</v>
      </c>
      <c r="AO9" s="1689">
        <v>7042.1</v>
      </c>
      <c r="AP9" s="1689">
        <v>29114</v>
      </c>
      <c r="AQ9" s="1689">
        <v>40062</v>
      </c>
      <c r="AR9" s="1689">
        <v>106064.72</v>
      </c>
      <c r="AS9" s="1689">
        <v>49101.3</v>
      </c>
      <c r="AT9" s="1689">
        <v>131692</v>
      </c>
      <c r="AU9" s="1689"/>
      <c r="AV9" s="1689"/>
      <c r="AW9" s="1689"/>
      <c r="AX9" s="1945"/>
      <c r="AY9" s="1689">
        <v>8466.65</v>
      </c>
      <c r="AZ9" s="1950">
        <v>154655.51800000001</v>
      </c>
      <c r="BA9" s="1950">
        <v>67406.5</v>
      </c>
      <c r="BB9" s="1950">
        <v>8531</v>
      </c>
      <c r="BC9" s="1950">
        <v>40461</v>
      </c>
      <c r="BD9" s="1952">
        <f t="shared" si="31"/>
        <v>142242.48500000002</v>
      </c>
      <c r="BE9" s="1949">
        <v>52442</v>
      </c>
      <c r="BF9" s="1689">
        <v>154025</v>
      </c>
      <c r="BG9" s="1689">
        <v>70957</v>
      </c>
      <c r="BH9" s="1689">
        <v>17940</v>
      </c>
      <c r="BI9" s="1689">
        <v>22201</v>
      </c>
      <c r="BJ9" s="1689">
        <v>52942</v>
      </c>
      <c r="BK9" s="1689">
        <v>41958.14</v>
      </c>
      <c r="BL9" s="1689">
        <v>67370.95</v>
      </c>
      <c r="BM9" s="1689">
        <v>130312</v>
      </c>
      <c r="BN9" s="1689">
        <f t="shared" si="32"/>
        <v>13217</v>
      </c>
      <c r="BO9" s="1487">
        <v>5747.4299999999994</v>
      </c>
      <c r="BP9" s="1487">
        <v>12788.5</v>
      </c>
      <c r="BQ9" s="1487">
        <v>4898.59</v>
      </c>
      <c r="BR9" s="1487">
        <v>10734.41</v>
      </c>
      <c r="BS9" s="1487">
        <v>5627.79</v>
      </c>
      <c r="BT9" s="1487">
        <v>28093.360000000001</v>
      </c>
      <c r="BU9" s="1487">
        <v>817.48</v>
      </c>
      <c r="BV9" s="1487">
        <v>5727.91</v>
      </c>
      <c r="BW9" s="1487">
        <v>4407.4144444444446</v>
      </c>
      <c r="BX9" s="1487">
        <v>31551.149999999998</v>
      </c>
      <c r="BY9" s="1487">
        <v>64685</v>
      </c>
      <c r="BZ9" s="1487">
        <v>101273.9</v>
      </c>
      <c r="CA9" s="1487">
        <v>10363.961944444445</v>
      </c>
      <c r="CB9" s="1487">
        <v>21108</v>
      </c>
      <c r="CC9" s="1487"/>
      <c r="CD9" s="1487"/>
      <c r="CE9" s="1487">
        <v>8193.9</v>
      </c>
      <c r="CF9" s="1487">
        <v>21128</v>
      </c>
      <c r="CG9" s="1487">
        <v>44295.3</v>
      </c>
      <c r="CH9" s="1487"/>
      <c r="CI9" s="1487">
        <v>52353</v>
      </c>
      <c r="CJ9" s="1487">
        <f t="shared" si="33"/>
        <v>233520.33333333334</v>
      </c>
      <c r="CK9" s="1487"/>
      <c r="CL9" s="1487"/>
      <c r="CM9" s="1487">
        <v>6900</v>
      </c>
      <c r="CN9" s="1487">
        <v>3858</v>
      </c>
      <c r="CO9" s="1487">
        <v>12868</v>
      </c>
      <c r="CP9" s="1487"/>
      <c r="CQ9" s="1487"/>
      <c r="CR9" s="1487"/>
      <c r="CS9" s="1487"/>
      <c r="CT9" s="1487"/>
    </row>
    <row r="10" spans="1:104" hidden="1">
      <c r="A10" s="1309">
        <v>43313</v>
      </c>
      <c r="B10" s="1311">
        <f t="shared" si="0"/>
        <v>16136.44</v>
      </c>
      <c r="C10" s="1311">
        <f t="shared" si="1"/>
        <v>56690.1</v>
      </c>
      <c r="D10" s="1311">
        <f t="shared" si="2"/>
        <v>28589.15</v>
      </c>
      <c r="E10" s="1311">
        <f t="shared" si="3"/>
        <v>102393.33</v>
      </c>
      <c r="F10" s="1311">
        <f t="shared" si="4"/>
        <v>36573.839999999997</v>
      </c>
      <c r="G10" s="1311">
        <f t="shared" si="5"/>
        <v>190162.92</v>
      </c>
      <c r="H10" s="1311">
        <f t="shared" si="6"/>
        <v>7731.6299999999992</v>
      </c>
      <c r="I10" s="1311">
        <f t="shared" si="7"/>
        <v>35818.589999999997</v>
      </c>
      <c r="J10" s="1311">
        <f t="shared" si="8"/>
        <v>43070.400000000001</v>
      </c>
      <c r="K10" s="1311">
        <f t="shared" si="9"/>
        <v>138756.18</v>
      </c>
      <c r="L10" s="1311">
        <f t="shared" si="10"/>
        <v>117631.88277777778</v>
      </c>
      <c r="M10" s="1311">
        <f t="shared" si="11"/>
        <v>233221.25999999998</v>
      </c>
      <c r="N10" s="1311">
        <f t="shared" si="12"/>
        <v>6677.92</v>
      </c>
      <c r="O10" s="1311">
        <f t="shared" si="13"/>
        <v>19386.5</v>
      </c>
      <c r="P10" s="1311">
        <f t="shared" si="14"/>
        <v>0</v>
      </c>
      <c r="Q10" s="1311"/>
      <c r="R10" s="1311"/>
      <c r="S10" s="1311">
        <f t="shared" si="15"/>
        <v>18620.43</v>
      </c>
      <c r="T10" s="1311">
        <f t="shared" si="16"/>
        <v>197868.99</v>
      </c>
      <c r="U10" s="1311">
        <f t="shared" si="17"/>
        <v>94001.22</v>
      </c>
      <c r="V10" s="1311">
        <f t="shared" si="18"/>
        <v>8531</v>
      </c>
      <c r="W10" s="1311">
        <f t="shared" si="19"/>
        <v>86600</v>
      </c>
      <c r="X10" s="1311">
        <f t="shared" si="20"/>
        <v>375762.81833333336</v>
      </c>
      <c r="Y10" s="1311">
        <f t="shared" si="21"/>
        <v>54712</v>
      </c>
      <c r="Z10" s="1311">
        <f t="shared" si="22"/>
        <v>157690</v>
      </c>
      <c r="AA10" s="1311">
        <f t="shared" si="23"/>
        <v>76039.5</v>
      </c>
      <c r="AB10" s="1311">
        <f t="shared" si="24"/>
        <v>23346.5</v>
      </c>
      <c r="AC10" s="1311">
        <f t="shared" si="25"/>
        <v>34499.5</v>
      </c>
      <c r="AD10" s="1311">
        <f t="shared" si="26"/>
        <v>52942</v>
      </c>
      <c r="AE10" s="1311">
        <f t="shared" si="27"/>
        <v>47469.39</v>
      </c>
      <c r="AF10" s="1311">
        <f t="shared" si="28"/>
        <v>62032.959999999999</v>
      </c>
      <c r="AG10" s="1311">
        <f t="shared" si="29"/>
        <v>133744</v>
      </c>
      <c r="AH10" s="1694">
        <f t="shared" si="30"/>
        <v>13217</v>
      </c>
      <c r="AI10" s="1689">
        <v>11679.68</v>
      </c>
      <c r="AJ10" s="1689">
        <v>47295.25</v>
      </c>
      <c r="AK10" s="1689">
        <v>24443.34</v>
      </c>
      <c r="AL10" s="1689">
        <v>96531.8</v>
      </c>
      <c r="AM10" s="1689">
        <v>23938.48</v>
      </c>
      <c r="AN10" s="1689">
        <v>163469.64000000001</v>
      </c>
      <c r="AO10" s="1689">
        <v>6914.15</v>
      </c>
      <c r="AP10" s="1689">
        <v>29286</v>
      </c>
      <c r="AQ10" s="1689">
        <v>38846</v>
      </c>
      <c r="AR10" s="1689">
        <v>106173.06</v>
      </c>
      <c r="AS10" s="1689">
        <v>49431</v>
      </c>
      <c r="AT10" s="1689">
        <v>132592</v>
      </c>
      <c r="AU10" s="1689"/>
      <c r="AV10" s="1689"/>
      <c r="AW10" s="1689"/>
      <c r="AX10" s="1945"/>
      <c r="AY10" s="1689">
        <v>8715.5</v>
      </c>
      <c r="AZ10" s="1950">
        <v>174978.99</v>
      </c>
      <c r="BA10" s="1950">
        <v>68314.25</v>
      </c>
      <c r="BB10" s="1950">
        <v>8531</v>
      </c>
      <c r="BC10" s="1950">
        <v>38715</v>
      </c>
      <c r="BD10" s="1952">
        <f t="shared" si="31"/>
        <v>142242.48500000002</v>
      </c>
      <c r="BE10" s="1949">
        <v>54712</v>
      </c>
      <c r="BF10" s="1689">
        <v>157690</v>
      </c>
      <c r="BG10" s="1689">
        <v>69139.5</v>
      </c>
      <c r="BH10" s="1689">
        <v>18558</v>
      </c>
      <c r="BI10" s="1689">
        <v>23043</v>
      </c>
      <c r="BJ10" s="1689">
        <v>52942</v>
      </c>
      <c r="BK10" s="1689">
        <v>47469.39</v>
      </c>
      <c r="BL10" s="1689">
        <v>62032.959999999999</v>
      </c>
      <c r="BM10" s="1689">
        <v>133744</v>
      </c>
      <c r="BN10" s="1689">
        <f t="shared" si="32"/>
        <v>13217</v>
      </c>
      <c r="BO10" s="1487">
        <v>4456.76</v>
      </c>
      <c r="BP10" s="1487">
        <v>9394.8499999999985</v>
      </c>
      <c r="BQ10" s="1487">
        <v>4145.8099999999995</v>
      </c>
      <c r="BR10" s="1487">
        <v>5861.53</v>
      </c>
      <c r="BS10" s="1487">
        <v>12635.36</v>
      </c>
      <c r="BT10" s="1487">
        <v>26693.279999999999</v>
      </c>
      <c r="BU10" s="1487">
        <v>817.48</v>
      </c>
      <c r="BV10" s="1487">
        <v>6532.59</v>
      </c>
      <c r="BW10" s="1487">
        <v>4224.3999999999996</v>
      </c>
      <c r="BX10" s="1487">
        <v>32583.120000000003</v>
      </c>
      <c r="BY10" s="1487">
        <v>68200.882777777777</v>
      </c>
      <c r="BZ10" s="1487">
        <v>100629.25999999998</v>
      </c>
      <c r="CA10" s="1487">
        <v>6677.92</v>
      </c>
      <c r="CB10" s="1487">
        <v>19386.5</v>
      </c>
      <c r="CC10" s="1487"/>
      <c r="CD10" s="1487"/>
      <c r="CE10" s="1487">
        <v>9904.93</v>
      </c>
      <c r="CF10" s="1487">
        <v>22890</v>
      </c>
      <c r="CG10" s="1487">
        <v>25686.97</v>
      </c>
      <c r="CH10" s="1487"/>
      <c r="CI10" s="1487">
        <v>47885</v>
      </c>
      <c r="CJ10" s="1487">
        <f t="shared" si="33"/>
        <v>233520.33333333334</v>
      </c>
      <c r="CK10" s="1487"/>
      <c r="CL10" s="1487"/>
      <c r="CM10" s="1487">
        <v>6900</v>
      </c>
      <c r="CN10" s="1487">
        <v>4788.5</v>
      </c>
      <c r="CO10" s="1487">
        <v>11456.5</v>
      </c>
      <c r="CP10" s="1487"/>
      <c r="CQ10" s="1487"/>
      <c r="CR10" s="1487"/>
      <c r="CS10" s="1487"/>
      <c r="CT10" s="1487"/>
    </row>
    <row r="11" spans="1:104" hidden="1">
      <c r="A11" s="1309">
        <v>43344</v>
      </c>
      <c r="B11" s="1311">
        <f t="shared" si="0"/>
        <v>16669.120000000003</v>
      </c>
      <c r="C11" s="1311">
        <f t="shared" si="1"/>
        <v>54254</v>
      </c>
      <c r="D11" s="1311">
        <f t="shared" si="2"/>
        <v>33971.07</v>
      </c>
      <c r="E11" s="1311">
        <f t="shared" si="3"/>
        <v>114873.67</v>
      </c>
      <c r="F11" s="1311">
        <f t="shared" si="4"/>
        <v>31481.600000000002</v>
      </c>
      <c r="G11" s="1311">
        <f t="shared" si="5"/>
        <v>198075.65</v>
      </c>
      <c r="H11" s="1311">
        <f t="shared" si="6"/>
        <v>7193.48</v>
      </c>
      <c r="I11" s="1311">
        <f t="shared" si="7"/>
        <v>34404</v>
      </c>
      <c r="J11" s="1311">
        <f t="shared" si="8"/>
        <v>44714.68</v>
      </c>
      <c r="K11" s="1311">
        <f t="shared" si="9"/>
        <v>145140.29</v>
      </c>
      <c r="L11" s="1311">
        <f t="shared" si="10"/>
        <v>118117</v>
      </c>
      <c r="M11" s="1311">
        <f t="shared" si="11"/>
        <v>235280.28999999998</v>
      </c>
      <c r="N11" s="1311">
        <f t="shared" si="12"/>
        <v>7672</v>
      </c>
      <c r="O11" s="1311">
        <f t="shared" si="13"/>
        <v>22086.239999999998</v>
      </c>
      <c r="P11" s="1311">
        <f t="shared" si="14"/>
        <v>0</v>
      </c>
      <c r="Q11" s="1311"/>
      <c r="R11" s="1311"/>
      <c r="S11" s="1311">
        <f t="shared" si="15"/>
        <v>17415.73</v>
      </c>
      <c r="T11" s="1311">
        <f t="shared" si="16"/>
        <v>188671.01</v>
      </c>
      <c r="U11" s="1311">
        <f t="shared" si="17"/>
        <v>106678.98999999999</v>
      </c>
      <c r="V11" s="1311">
        <f t="shared" si="18"/>
        <v>8531</v>
      </c>
      <c r="W11" s="1311">
        <f t="shared" si="19"/>
        <v>94862</v>
      </c>
      <c r="X11" s="1311">
        <f t="shared" si="20"/>
        <v>375762.81833333336</v>
      </c>
      <c r="Y11" s="1311">
        <f t="shared" si="21"/>
        <v>48862</v>
      </c>
      <c r="Z11" s="1311">
        <f t="shared" si="22"/>
        <v>151999</v>
      </c>
      <c r="AA11" s="1311">
        <f t="shared" si="23"/>
        <v>74082</v>
      </c>
      <c r="AB11" s="1311">
        <f t="shared" si="24"/>
        <v>15195</v>
      </c>
      <c r="AC11" s="1311">
        <f t="shared" si="25"/>
        <v>33634</v>
      </c>
      <c r="AD11" s="1311">
        <f t="shared" si="26"/>
        <v>52177</v>
      </c>
      <c r="AE11" s="1311">
        <f t="shared" si="27"/>
        <v>50704.37</v>
      </c>
      <c r="AF11" s="1311">
        <f t="shared" si="28"/>
        <v>64171.49</v>
      </c>
      <c r="AG11" s="1311">
        <f t="shared" si="29"/>
        <v>137176</v>
      </c>
      <c r="AH11" s="1694">
        <f t="shared" si="30"/>
        <v>13217</v>
      </c>
      <c r="AI11" s="1689">
        <v>11726.54</v>
      </c>
      <c r="AJ11" s="1689">
        <v>47363.8</v>
      </c>
      <c r="AK11" s="1689">
        <v>26142.6</v>
      </c>
      <c r="AL11" s="1689">
        <v>101568.43</v>
      </c>
      <c r="AM11" s="1689">
        <v>25017.58</v>
      </c>
      <c r="AN11" s="1689">
        <v>172047.65</v>
      </c>
      <c r="AO11" s="1689">
        <v>6376</v>
      </c>
      <c r="AP11" s="1689">
        <v>29742</v>
      </c>
      <c r="AQ11" s="1689">
        <v>40412</v>
      </c>
      <c r="AR11" s="1689">
        <v>108072.61</v>
      </c>
      <c r="AS11" s="1689">
        <v>49991</v>
      </c>
      <c r="AT11" s="1689">
        <v>134588</v>
      </c>
      <c r="AU11" s="1689"/>
      <c r="AV11" s="1689"/>
      <c r="AW11" s="1689"/>
      <c r="AX11" s="1945"/>
      <c r="AY11" s="1689">
        <v>8759.75</v>
      </c>
      <c r="AZ11" s="1950">
        <v>166560.01</v>
      </c>
      <c r="BA11" s="1950">
        <v>66338.149999999994</v>
      </c>
      <c r="BB11" s="1950">
        <v>8531</v>
      </c>
      <c r="BC11" s="1950">
        <v>46977</v>
      </c>
      <c r="BD11" s="1952">
        <f t="shared" si="31"/>
        <v>142242.48500000002</v>
      </c>
      <c r="BE11" s="1949">
        <v>48862</v>
      </c>
      <c r="BF11" s="1689">
        <v>151999</v>
      </c>
      <c r="BG11" s="1689">
        <v>67182</v>
      </c>
      <c r="BH11" s="1689">
        <v>12759</v>
      </c>
      <c r="BI11" s="1689">
        <v>21859</v>
      </c>
      <c r="BJ11" s="1689">
        <v>52177</v>
      </c>
      <c r="BK11" s="1689">
        <v>50704.37</v>
      </c>
      <c r="BL11" s="1689">
        <v>64171.49</v>
      </c>
      <c r="BM11" s="1689">
        <v>137176</v>
      </c>
      <c r="BN11" s="1689">
        <f t="shared" si="32"/>
        <v>13217</v>
      </c>
      <c r="BO11" s="1487">
        <v>4942.58</v>
      </c>
      <c r="BP11" s="1487">
        <v>6890.2</v>
      </c>
      <c r="BQ11" s="1487">
        <v>7828.47</v>
      </c>
      <c r="BR11" s="1487">
        <v>13305.24</v>
      </c>
      <c r="BS11" s="1487">
        <v>6464.0199999999995</v>
      </c>
      <c r="BT11" s="1487">
        <v>26028</v>
      </c>
      <c r="BU11" s="1487">
        <v>817.48</v>
      </c>
      <c r="BV11" s="1487">
        <v>4662</v>
      </c>
      <c r="BW11" s="1487">
        <v>4302.68</v>
      </c>
      <c r="BX11" s="1487">
        <v>37067.68</v>
      </c>
      <c r="BY11" s="1487">
        <v>68126</v>
      </c>
      <c r="BZ11" s="1487">
        <v>100692.29</v>
      </c>
      <c r="CA11" s="1487">
        <v>7672</v>
      </c>
      <c r="CB11" s="1487">
        <v>22086.239999999998</v>
      </c>
      <c r="CC11" s="1487"/>
      <c r="CD11" s="1487"/>
      <c r="CE11" s="1487">
        <v>8655.98</v>
      </c>
      <c r="CF11" s="1487">
        <v>22111</v>
      </c>
      <c r="CG11" s="1487">
        <v>40340.839999999997</v>
      </c>
      <c r="CH11" s="1487"/>
      <c r="CI11" s="1487">
        <v>47885</v>
      </c>
      <c r="CJ11" s="1487">
        <f t="shared" si="33"/>
        <v>233520.33333333334</v>
      </c>
      <c r="CK11" s="1487"/>
      <c r="CL11" s="1487"/>
      <c r="CM11" s="1487">
        <v>6900</v>
      </c>
      <c r="CN11" s="1487">
        <v>2436</v>
      </c>
      <c r="CO11" s="1487">
        <v>11775</v>
      </c>
      <c r="CP11" s="1487"/>
      <c r="CQ11" s="1487"/>
      <c r="CR11" s="1487"/>
      <c r="CS11" s="1487"/>
      <c r="CT11" s="1487"/>
    </row>
    <row r="12" spans="1:104" hidden="1">
      <c r="A12" s="1309">
        <v>43374</v>
      </c>
      <c r="B12" s="1311">
        <f t="shared" si="0"/>
        <v>15516.94</v>
      </c>
      <c r="C12" s="1311">
        <f t="shared" si="1"/>
        <v>54955.07</v>
      </c>
      <c r="D12" s="1311">
        <f t="shared" si="2"/>
        <v>28715.710000000003</v>
      </c>
      <c r="E12" s="1311">
        <f t="shared" si="3"/>
        <v>116466.76000000001</v>
      </c>
      <c r="F12" s="1311">
        <f t="shared" si="4"/>
        <v>32039.37</v>
      </c>
      <c r="G12" s="1311">
        <f t="shared" si="5"/>
        <v>200406.65</v>
      </c>
      <c r="H12" s="1311">
        <f t="shared" si="6"/>
        <v>7107.48</v>
      </c>
      <c r="I12" s="1311">
        <f t="shared" si="7"/>
        <v>35004.720000000001</v>
      </c>
      <c r="J12" s="1311">
        <f t="shared" si="8"/>
        <v>45939.95</v>
      </c>
      <c r="K12" s="1311">
        <f t="shared" si="9"/>
        <v>138738.39000000001</v>
      </c>
      <c r="L12" s="1311">
        <f t="shared" si="10"/>
        <v>124576.8</v>
      </c>
      <c r="M12" s="1311">
        <f t="shared" si="11"/>
        <v>239087</v>
      </c>
      <c r="N12" s="1311">
        <f t="shared" si="12"/>
        <v>6629.2047222222227</v>
      </c>
      <c r="O12" s="1311">
        <f t="shared" si="13"/>
        <v>19994.7</v>
      </c>
      <c r="P12" s="1311">
        <f t="shared" si="14"/>
        <v>0</v>
      </c>
      <c r="Q12" s="1311"/>
      <c r="R12" s="1311"/>
      <c r="S12" s="1311">
        <f t="shared" si="15"/>
        <v>14069.419999999998</v>
      </c>
      <c r="T12" s="1311">
        <f t="shared" si="16"/>
        <v>188863.43000000002</v>
      </c>
      <c r="U12" s="1311">
        <f t="shared" si="17"/>
        <v>108602</v>
      </c>
      <c r="V12" s="1311">
        <f t="shared" si="18"/>
        <v>8531</v>
      </c>
      <c r="W12" s="1311">
        <f t="shared" si="19"/>
        <v>87459</v>
      </c>
      <c r="X12" s="1311">
        <f t="shared" si="20"/>
        <v>375762.81833333336</v>
      </c>
      <c r="Y12" s="1311">
        <f t="shared" si="21"/>
        <v>52856</v>
      </c>
      <c r="Z12" s="1311">
        <f t="shared" si="22"/>
        <v>148634</v>
      </c>
      <c r="AA12" s="1311">
        <f t="shared" si="23"/>
        <v>74082</v>
      </c>
      <c r="AB12" s="1311">
        <f t="shared" si="24"/>
        <v>15195</v>
      </c>
      <c r="AC12" s="1311">
        <f t="shared" si="25"/>
        <v>33634</v>
      </c>
      <c r="AD12" s="1311">
        <f t="shared" si="26"/>
        <v>52177</v>
      </c>
      <c r="AE12" s="1311">
        <f t="shared" si="27"/>
        <v>43688.61</v>
      </c>
      <c r="AF12" s="1311">
        <f t="shared" si="28"/>
        <v>66182.850000000006</v>
      </c>
      <c r="AG12" s="1311">
        <f t="shared" si="29"/>
        <v>135512</v>
      </c>
      <c r="AH12" s="1694">
        <f t="shared" si="30"/>
        <v>13217</v>
      </c>
      <c r="AI12" s="1689">
        <v>11205.34</v>
      </c>
      <c r="AJ12" s="1689">
        <v>46814.01</v>
      </c>
      <c r="AK12" s="1689">
        <v>25364.81</v>
      </c>
      <c r="AL12" s="1689">
        <v>101033.24</v>
      </c>
      <c r="AM12" s="1689">
        <v>24393.8</v>
      </c>
      <c r="AN12" s="1689">
        <v>171429.72</v>
      </c>
      <c r="AO12" s="1689">
        <v>6290</v>
      </c>
      <c r="AP12" s="1689">
        <v>30449</v>
      </c>
      <c r="AQ12" s="1689">
        <v>40500</v>
      </c>
      <c r="AR12" s="1689">
        <v>107326.39</v>
      </c>
      <c r="AS12" s="1689">
        <v>48662.8</v>
      </c>
      <c r="AT12" s="1689">
        <v>137872</v>
      </c>
      <c r="AU12" s="1689"/>
      <c r="AV12" s="1689"/>
      <c r="AW12" s="1689"/>
      <c r="AX12" s="1945"/>
      <c r="AY12" s="1689">
        <v>9472.6299999999992</v>
      </c>
      <c r="AZ12" s="1950">
        <v>165467.43000000002</v>
      </c>
      <c r="BA12" s="1950">
        <v>64997</v>
      </c>
      <c r="BB12" s="1950">
        <v>8531</v>
      </c>
      <c r="BC12" s="1950">
        <v>39574</v>
      </c>
      <c r="BD12" s="1952">
        <f t="shared" si="31"/>
        <v>142242.48500000002</v>
      </c>
      <c r="BE12" s="1949">
        <v>52856</v>
      </c>
      <c r="BF12" s="1689">
        <v>148634</v>
      </c>
      <c r="BG12" s="1689">
        <v>67182</v>
      </c>
      <c r="BH12" s="1689">
        <v>12759</v>
      </c>
      <c r="BI12" s="1689">
        <v>21859</v>
      </c>
      <c r="BJ12" s="1689">
        <v>52177</v>
      </c>
      <c r="BK12" s="1689">
        <v>43688.61</v>
      </c>
      <c r="BL12" s="1689">
        <v>66182.850000000006</v>
      </c>
      <c r="BM12" s="1689">
        <v>135512</v>
      </c>
      <c r="BN12" s="1689">
        <f t="shared" si="32"/>
        <v>13217</v>
      </c>
      <c r="BO12" s="1487">
        <v>4311.6000000000004</v>
      </c>
      <c r="BP12" s="1487">
        <v>8141.0599999999995</v>
      </c>
      <c r="BQ12" s="1487">
        <v>3350.9</v>
      </c>
      <c r="BR12" s="1487">
        <v>15433.52</v>
      </c>
      <c r="BS12" s="1487">
        <v>7645.57</v>
      </c>
      <c r="BT12" s="1487">
        <v>28976.93</v>
      </c>
      <c r="BU12" s="1487">
        <v>817.48</v>
      </c>
      <c r="BV12" s="1487">
        <v>4555.72</v>
      </c>
      <c r="BW12" s="1487">
        <v>5439.95</v>
      </c>
      <c r="BX12" s="1487">
        <v>31412</v>
      </c>
      <c r="BY12" s="1487">
        <v>75914</v>
      </c>
      <c r="BZ12" s="1487">
        <v>101215</v>
      </c>
      <c r="CA12" s="1487">
        <v>6629.2047222222227</v>
      </c>
      <c r="CB12" s="1487">
        <v>19994.7</v>
      </c>
      <c r="CC12" s="1487"/>
      <c r="CD12" s="1487"/>
      <c r="CE12" s="1487">
        <v>4596.79</v>
      </c>
      <c r="CF12" s="1487">
        <v>23396</v>
      </c>
      <c r="CG12" s="1487">
        <v>43605</v>
      </c>
      <c r="CH12" s="1487"/>
      <c r="CI12" s="1487">
        <v>47885</v>
      </c>
      <c r="CJ12" s="1487">
        <f t="shared" si="33"/>
        <v>233520.33333333334</v>
      </c>
      <c r="CK12" s="1487"/>
      <c r="CL12" s="1487"/>
      <c r="CM12" s="1487">
        <v>6900</v>
      </c>
      <c r="CN12" s="1487">
        <v>2436</v>
      </c>
      <c r="CO12" s="1487">
        <v>11775</v>
      </c>
      <c r="CP12" s="1487"/>
      <c r="CQ12" s="1487"/>
      <c r="CR12" s="1487"/>
      <c r="CS12" s="1487"/>
      <c r="CT12" s="1487"/>
    </row>
    <row r="13" spans="1:104" hidden="1">
      <c r="A13" s="1309">
        <v>43405</v>
      </c>
      <c r="B13" s="1311">
        <f t="shared" si="0"/>
        <v>14871.08</v>
      </c>
      <c r="C13" s="1311">
        <f t="shared" si="1"/>
        <v>55405.460000000006</v>
      </c>
      <c r="D13" s="1311">
        <f t="shared" si="2"/>
        <v>30465.39</v>
      </c>
      <c r="E13" s="1311">
        <f t="shared" si="3"/>
        <v>114721.39</v>
      </c>
      <c r="F13" s="1311">
        <f t="shared" si="4"/>
        <v>29154.46</v>
      </c>
      <c r="G13" s="1311">
        <f t="shared" si="5"/>
        <v>199103.94</v>
      </c>
      <c r="H13" s="1311">
        <f t="shared" si="6"/>
        <v>7039.4500000000007</v>
      </c>
      <c r="I13" s="1311">
        <f t="shared" si="7"/>
        <v>38151.03</v>
      </c>
      <c r="J13" s="1311">
        <f t="shared" si="8"/>
        <v>44624.66</v>
      </c>
      <c r="K13" s="1311">
        <f t="shared" si="9"/>
        <v>135221.26999999999</v>
      </c>
      <c r="L13" s="1311">
        <f t="shared" si="10"/>
        <v>115998</v>
      </c>
      <c r="M13" s="1311">
        <f t="shared" si="11"/>
        <v>238086.86</v>
      </c>
      <c r="N13" s="1311">
        <f t="shared" si="12"/>
        <v>12282.35</v>
      </c>
      <c r="O13" s="1311">
        <f t="shared" si="13"/>
        <v>25507.499999999996</v>
      </c>
      <c r="P13" s="1311">
        <f t="shared" si="14"/>
        <v>0</v>
      </c>
      <c r="Q13" s="1311"/>
      <c r="R13" s="1311"/>
      <c r="S13" s="1311">
        <f t="shared" si="15"/>
        <v>13640.72</v>
      </c>
      <c r="T13" s="1311">
        <f t="shared" si="16"/>
        <v>190594</v>
      </c>
      <c r="U13" s="1311">
        <f t="shared" si="17"/>
        <v>89215.77</v>
      </c>
      <c r="V13" s="1311">
        <f t="shared" si="18"/>
        <v>8531</v>
      </c>
      <c r="W13" s="1311">
        <f t="shared" si="19"/>
        <v>87545</v>
      </c>
      <c r="X13" s="1311">
        <f t="shared" si="20"/>
        <v>375762.81833333336</v>
      </c>
      <c r="Y13" s="1311">
        <f t="shared" si="21"/>
        <v>52856</v>
      </c>
      <c r="Z13" s="1311">
        <f t="shared" si="22"/>
        <v>151817</v>
      </c>
      <c r="AA13" s="1311">
        <f t="shared" si="23"/>
        <v>74082</v>
      </c>
      <c r="AB13" s="1311">
        <f t="shared" si="24"/>
        <v>15195</v>
      </c>
      <c r="AC13" s="1311">
        <f t="shared" si="25"/>
        <v>33634</v>
      </c>
      <c r="AD13" s="1311">
        <f t="shared" si="26"/>
        <v>52874</v>
      </c>
      <c r="AE13" s="1311">
        <f t="shared" si="27"/>
        <v>51709.34</v>
      </c>
      <c r="AF13" s="1311">
        <f t="shared" si="28"/>
        <v>72506.820000000007</v>
      </c>
      <c r="AG13" s="1311">
        <f t="shared" si="29"/>
        <v>125424</v>
      </c>
      <c r="AH13" s="1694">
        <f t="shared" si="30"/>
        <v>13217</v>
      </c>
      <c r="AI13" s="1689">
        <v>11351.51</v>
      </c>
      <c r="AJ13" s="1689">
        <v>47373.23</v>
      </c>
      <c r="AK13" s="1689">
        <v>26015.08</v>
      </c>
      <c r="AL13" s="1689">
        <v>103852.09</v>
      </c>
      <c r="AM13" s="1689">
        <v>26021.42</v>
      </c>
      <c r="AN13" s="1689">
        <v>172180.65</v>
      </c>
      <c r="AO13" s="1689">
        <v>6221.97</v>
      </c>
      <c r="AP13" s="1689">
        <v>31973</v>
      </c>
      <c r="AQ13" s="1689">
        <v>40864.300000000003</v>
      </c>
      <c r="AR13" s="1689">
        <v>106613.95</v>
      </c>
      <c r="AS13" s="1689">
        <v>49470</v>
      </c>
      <c r="AT13" s="1689">
        <v>140684</v>
      </c>
      <c r="AU13" s="1689"/>
      <c r="AV13" s="1689"/>
      <c r="AW13" s="1689"/>
      <c r="AX13" s="1945"/>
      <c r="AY13" s="1689">
        <v>9658.58</v>
      </c>
      <c r="AZ13" s="1950">
        <v>167638</v>
      </c>
      <c r="BA13" s="1950">
        <v>65391</v>
      </c>
      <c r="BB13" s="1950">
        <v>8531</v>
      </c>
      <c r="BC13" s="1950">
        <v>39660</v>
      </c>
      <c r="BD13" s="1952">
        <f t="shared" si="31"/>
        <v>142242.48500000002</v>
      </c>
      <c r="BE13" s="1949">
        <v>52856</v>
      </c>
      <c r="BF13" s="1689">
        <v>151817</v>
      </c>
      <c r="BG13" s="1689">
        <v>67182</v>
      </c>
      <c r="BH13" s="1689">
        <v>12759</v>
      </c>
      <c r="BI13" s="1689">
        <v>21859</v>
      </c>
      <c r="BJ13" s="1689">
        <v>52874</v>
      </c>
      <c r="BK13" s="1689">
        <v>51709.34</v>
      </c>
      <c r="BL13" s="1689">
        <v>72506.820000000007</v>
      </c>
      <c r="BM13" s="1689">
        <v>125424</v>
      </c>
      <c r="BN13" s="1689">
        <f t="shared" si="32"/>
        <v>13217</v>
      </c>
      <c r="BO13" s="1487">
        <v>3519.57</v>
      </c>
      <c r="BP13" s="1487">
        <v>8032.23</v>
      </c>
      <c r="BQ13" s="1487">
        <v>4450.3099999999995</v>
      </c>
      <c r="BR13" s="1487">
        <v>10869.3</v>
      </c>
      <c r="BS13" s="1487">
        <v>3133.04</v>
      </c>
      <c r="BT13" s="1487">
        <v>26923.29</v>
      </c>
      <c r="BU13" s="1487">
        <v>817.48</v>
      </c>
      <c r="BV13" s="1487">
        <v>6178.03</v>
      </c>
      <c r="BW13" s="1487">
        <v>3760.36</v>
      </c>
      <c r="BX13" s="1487">
        <v>28607.319999999996</v>
      </c>
      <c r="BY13" s="1487">
        <v>66528</v>
      </c>
      <c r="BZ13" s="1487">
        <v>97402.859999999986</v>
      </c>
      <c r="CA13" s="1487">
        <v>12282.35</v>
      </c>
      <c r="CB13" s="1487">
        <v>25507.499999999996</v>
      </c>
      <c r="CC13" s="1487"/>
      <c r="CD13" s="1487"/>
      <c r="CE13" s="1487">
        <v>3982.14</v>
      </c>
      <c r="CF13" s="1487">
        <v>22956</v>
      </c>
      <c r="CG13" s="1487">
        <v>23824.77</v>
      </c>
      <c r="CH13" s="1487"/>
      <c r="CI13" s="1487">
        <v>47885</v>
      </c>
      <c r="CJ13" s="1487">
        <f t="shared" si="33"/>
        <v>233520.33333333334</v>
      </c>
      <c r="CK13" s="1487"/>
      <c r="CL13" s="1487"/>
      <c r="CM13" s="1487">
        <v>6900</v>
      </c>
      <c r="CN13" s="1487">
        <v>2436</v>
      </c>
      <c r="CO13" s="1487">
        <v>11775</v>
      </c>
      <c r="CP13" s="1487"/>
      <c r="CQ13" s="1487"/>
      <c r="CR13" s="1487"/>
      <c r="CS13" s="1487"/>
      <c r="CT13" s="1487"/>
    </row>
    <row r="14" spans="1:104" hidden="1">
      <c r="A14" s="1309">
        <v>43435</v>
      </c>
      <c r="B14" s="1311">
        <f t="shared" si="0"/>
        <v>14405.19</v>
      </c>
      <c r="C14" s="1311">
        <f t="shared" si="1"/>
        <v>52166.720000000001</v>
      </c>
      <c r="D14" s="1311">
        <f t="shared" si="2"/>
        <v>29406.84</v>
      </c>
      <c r="E14" s="1311">
        <f t="shared" si="3"/>
        <v>124665.36</v>
      </c>
      <c r="F14" s="1311">
        <f t="shared" si="4"/>
        <v>29842.78</v>
      </c>
      <c r="G14" s="1311">
        <f t="shared" si="5"/>
        <v>194080.04</v>
      </c>
      <c r="H14" s="1311">
        <f t="shared" si="6"/>
        <v>7132.0400000000009</v>
      </c>
      <c r="I14" s="1311">
        <f t="shared" si="7"/>
        <v>36560</v>
      </c>
      <c r="J14" s="1311">
        <f t="shared" si="8"/>
        <v>43536</v>
      </c>
      <c r="K14" s="1311">
        <f t="shared" si="9"/>
        <v>135342</v>
      </c>
      <c r="L14" s="1311">
        <f t="shared" si="10"/>
        <v>108692</v>
      </c>
      <c r="M14" s="1311">
        <f t="shared" si="11"/>
        <v>213936</v>
      </c>
      <c r="N14" s="1311">
        <f t="shared" si="12"/>
        <v>7659</v>
      </c>
      <c r="O14" s="1311">
        <f t="shared" si="13"/>
        <v>27276</v>
      </c>
      <c r="P14" s="1311">
        <f t="shared" si="14"/>
        <v>0</v>
      </c>
      <c r="Q14" s="1311"/>
      <c r="R14" s="1311"/>
      <c r="S14" s="1311">
        <f t="shared" si="15"/>
        <v>14174.720000000001</v>
      </c>
      <c r="T14" s="1311">
        <f t="shared" si="16"/>
        <v>123241</v>
      </c>
      <c r="U14" s="1311">
        <f t="shared" si="17"/>
        <v>91286.23</v>
      </c>
      <c r="V14" s="1311">
        <f t="shared" si="18"/>
        <v>8531</v>
      </c>
      <c r="W14" s="1311">
        <f t="shared" si="19"/>
        <v>89365</v>
      </c>
      <c r="X14" s="1311">
        <f t="shared" si="20"/>
        <v>375762.81833333336</v>
      </c>
      <c r="Y14" s="1311">
        <f t="shared" si="21"/>
        <v>52856</v>
      </c>
      <c r="Z14" s="1311">
        <f t="shared" si="22"/>
        <v>151817</v>
      </c>
      <c r="AA14" s="1311">
        <f t="shared" si="23"/>
        <v>74082</v>
      </c>
      <c r="AB14" s="1311">
        <f t="shared" si="24"/>
        <v>17755</v>
      </c>
      <c r="AC14" s="1311">
        <f t="shared" si="25"/>
        <v>33634</v>
      </c>
      <c r="AD14" s="1311">
        <f t="shared" si="26"/>
        <v>52874</v>
      </c>
      <c r="AE14" s="1311">
        <f t="shared" si="27"/>
        <v>48966.6</v>
      </c>
      <c r="AF14" s="1311">
        <f t="shared" si="28"/>
        <v>57685</v>
      </c>
      <c r="AG14" s="1311">
        <f t="shared" si="29"/>
        <v>124904</v>
      </c>
      <c r="AH14" s="1694">
        <f t="shared" si="30"/>
        <v>13217</v>
      </c>
      <c r="AI14" s="1689">
        <v>11475.19</v>
      </c>
      <c r="AJ14" s="1689">
        <v>45405.72</v>
      </c>
      <c r="AK14" s="1689">
        <v>24312.84</v>
      </c>
      <c r="AL14" s="1689">
        <v>116264.36</v>
      </c>
      <c r="AM14" s="1689">
        <v>25024.78</v>
      </c>
      <c r="AN14" s="1689">
        <v>172605.04</v>
      </c>
      <c r="AO14" s="1689">
        <v>6314.56</v>
      </c>
      <c r="AP14" s="1689">
        <v>32272</v>
      </c>
      <c r="AQ14" s="1689">
        <v>39545</v>
      </c>
      <c r="AR14" s="1689">
        <v>109738</v>
      </c>
      <c r="AS14" s="1689">
        <v>50058</v>
      </c>
      <c r="AT14" s="1689">
        <v>143680</v>
      </c>
      <c r="AU14" s="1689"/>
      <c r="AV14" s="1689"/>
      <c r="AW14" s="1689"/>
      <c r="AX14" s="1945"/>
      <c r="AY14" s="1689">
        <v>8523.0500000000011</v>
      </c>
      <c r="AZ14" s="1950">
        <v>96401</v>
      </c>
      <c r="BA14" s="1950">
        <v>62714</v>
      </c>
      <c r="BB14" s="1950">
        <v>8531</v>
      </c>
      <c r="BC14" s="1950">
        <v>41480</v>
      </c>
      <c r="BD14" s="1952">
        <f t="shared" si="31"/>
        <v>142242.48500000002</v>
      </c>
      <c r="BE14" s="1949">
        <v>52856</v>
      </c>
      <c r="BF14" s="1689">
        <v>151817</v>
      </c>
      <c r="BG14" s="1689">
        <v>67182</v>
      </c>
      <c r="BH14" s="1689">
        <v>13191</v>
      </c>
      <c r="BI14" s="1689">
        <v>21859</v>
      </c>
      <c r="BJ14" s="1689">
        <v>52874</v>
      </c>
      <c r="BK14" s="1689">
        <v>48966.6</v>
      </c>
      <c r="BL14" s="1689">
        <v>57685</v>
      </c>
      <c r="BM14" s="1689">
        <v>124904</v>
      </c>
      <c r="BN14" s="1689">
        <f t="shared" si="32"/>
        <v>13217</v>
      </c>
      <c r="BO14" s="1487">
        <v>2930</v>
      </c>
      <c r="BP14" s="1487">
        <v>6761</v>
      </c>
      <c r="BQ14" s="1487">
        <v>5094</v>
      </c>
      <c r="BR14" s="1487">
        <v>8401</v>
      </c>
      <c r="BS14" s="1487">
        <v>4818</v>
      </c>
      <c r="BT14" s="1487">
        <v>21475</v>
      </c>
      <c r="BU14" s="1487">
        <v>817.48</v>
      </c>
      <c r="BV14" s="1487">
        <v>4288</v>
      </c>
      <c r="BW14" s="1487">
        <v>3991</v>
      </c>
      <c r="BX14" s="1487">
        <v>25604</v>
      </c>
      <c r="BY14" s="1487">
        <v>58634</v>
      </c>
      <c r="BZ14" s="1487">
        <v>70256</v>
      </c>
      <c r="CA14" s="1487">
        <v>7659</v>
      </c>
      <c r="CB14" s="1487">
        <v>27276</v>
      </c>
      <c r="CC14" s="1487"/>
      <c r="CD14" s="1487"/>
      <c r="CE14" s="1487">
        <v>5651.67</v>
      </c>
      <c r="CF14" s="1487">
        <v>26840</v>
      </c>
      <c r="CG14" s="1487">
        <v>28572.23</v>
      </c>
      <c r="CH14" s="1487"/>
      <c r="CI14" s="1487">
        <v>47885</v>
      </c>
      <c r="CJ14" s="1487">
        <f t="shared" si="33"/>
        <v>233520.33333333334</v>
      </c>
      <c r="CK14" s="1487"/>
      <c r="CL14" s="1487"/>
      <c r="CM14" s="1487">
        <v>6900</v>
      </c>
      <c r="CN14" s="1487">
        <v>4564</v>
      </c>
      <c r="CO14" s="1487">
        <v>11775</v>
      </c>
      <c r="CP14" s="1487"/>
      <c r="CQ14" s="1487"/>
      <c r="CR14" s="1487"/>
      <c r="CS14" s="1487"/>
      <c r="CT14" s="1487"/>
    </row>
    <row r="15" spans="1:104" hidden="1">
      <c r="A15" s="1309">
        <v>43466</v>
      </c>
      <c r="B15" s="1311">
        <v>12741.369999999999</v>
      </c>
      <c r="C15" s="1311">
        <v>55090.91</v>
      </c>
      <c r="D15" s="1311">
        <v>32527.21</v>
      </c>
      <c r="E15" s="1311">
        <v>97054.640000000014</v>
      </c>
      <c r="F15" s="1311">
        <v>28044.78</v>
      </c>
      <c r="G15" s="1311">
        <v>186908.58</v>
      </c>
      <c r="H15" s="1311">
        <v>7229.34</v>
      </c>
      <c r="I15" s="1311">
        <v>36838</v>
      </c>
      <c r="J15" s="1311">
        <v>56056.556944444485</v>
      </c>
      <c r="K15" s="1311">
        <v>139173.98000000001</v>
      </c>
      <c r="L15" s="1311">
        <v>99875.77</v>
      </c>
      <c r="M15" s="1311">
        <v>253793.01</v>
      </c>
      <c r="N15" s="1311">
        <v>18312.28</v>
      </c>
      <c r="O15" s="1311">
        <v>21422.52</v>
      </c>
      <c r="P15" s="1311">
        <v>35512</v>
      </c>
      <c r="Q15" s="1311"/>
      <c r="R15" s="1311"/>
      <c r="S15" s="1311">
        <v>14204.559999999998</v>
      </c>
      <c r="T15" s="1311">
        <v>114493</v>
      </c>
      <c r="U15" s="1311">
        <v>91743.45</v>
      </c>
      <c r="V15" s="1311">
        <v>9115</v>
      </c>
      <c r="W15" s="1311">
        <v>81217</v>
      </c>
      <c r="X15" s="1311">
        <v>356800</v>
      </c>
      <c r="Y15" s="1311">
        <v>82751.34</v>
      </c>
      <c r="Z15" s="1311">
        <v>136081</v>
      </c>
      <c r="AA15" s="1311">
        <v>75133</v>
      </c>
      <c r="AB15" s="1311">
        <v>11631</v>
      </c>
      <c r="AC15" s="1311">
        <v>33634</v>
      </c>
      <c r="AD15" s="1311">
        <v>48451</v>
      </c>
      <c r="AE15" s="1311">
        <v>66821.320000000007</v>
      </c>
      <c r="AF15" s="1311">
        <v>65909.56</v>
      </c>
      <c r="AG15" s="1311">
        <v>129656</v>
      </c>
      <c r="AH15" s="1694">
        <v>38867.5</v>
      </c>
      <c r="AI15" s="1689">
        <v>9273.17</v>
      </c>
      <c r="AJ15" s="1689">
        <v>43702.83</v>
      </c>
      <c r="AK15" s="1689">
        <v>23361</v>
      </c>
      <c r="AL15" s="1689">
        <v>83297.790000000008</v>
      </c>
      <c r="AM15" s="1689">
        <v>20929.3</v>
      </c>
      <c r="AN15" s="1689">
        <v>159734.54999999999</v>
      </c>
      <c r="AO15" s="1689">
        <v>6816.64</v>
      </c>
      <c r="AP15" s="1689">
        <v>32033.699999999997</v>
      </c>
      <c r="AQ15" s="1689">
        <v>36684.5</v>
      </c>
      <c r="AR15" s="1689">
        <v>101781.6</v>
      </c>
      <c r="AS15" s="1689">
        <v>48591.5</v>
      </c>
      <c r="AT15" s="1689">
        <v>154440</v>
      </c>
      <c r="AU15" s="1689"/>
      <c r="AV15" s="1689"/>
      <c r="AW15" s="1689"/>
      <c r="AX15" s="1945"/>
      <c r="AY15" s="1689">
        <v>8874.0499999999993</v>
      </c>
      <c r="AZ15" s="1950">
        <v>86242</v>
      </c>
      <c r="BA15" s="1950">
        <v>61792.11</v>
      </c>
      <c r="BB15" s="1950">
        <v>9115</v>
      </c>
      <c r="BC15" s="1950">
        <v>31108</v>
      </c>
      <c r="BD15" s="1952">
        <v>124039</v>
      </c>
      <c r="BE15" s="1949">
        <v>50598.34</v>
      </c>
      <c r="BF15" s="1689">
        <v>126294</v>
      </c>
      <c r="BG15" s="1689">
        <v>70360</v>
      </c>
      <c r="BH15" s="1689">
        <v>7242</v>
      </c>
      <c r="BI15" s="1689">
        <v>21859</v>
      </c>
      <c r="BJ15" s="1689">
        <v>48451</v>
      </c>
      <c r="BK15" s="1689">
        <v>43480.03</v>
      </c>
      <c r="BL15" s="1689">
        <v>50049.62</v>
      </c>
      <c r="BM15" s="1689">
        <v>67808</v>
      </c>
      <c r="BN15" s="1689">
        <v>15795.5</v>
      </c>
      <c r="BO15" s="1487">
        <v>3468.2</v>
      </c>
      <c r="BP15" s="1487">
        <v>11388.08</v>
      </c>
      <c r="BQ15" s="1487">
        <v>9166.2099999999991</v>
      </c>
      <c r="BR15" s="1487">
        <v>13756.85</v>
      </c>
      <c r="BS15" s="1487">
        <v>7115.48</v>
      </c>
      <c r="BT15" s="1487">
        <v>27174.03</v>
      </c>
      <c r="BU15" s="1487">
        <v>412.7</v>
      </c>
      <c r="BV15" s="1487">
        <v>4804.3</v>
      </c>
      <c r="BW15" s="1487">
        <v>19372.056944444481</v>
      </c>
      <c r="BX15" s="1487">
        <v>37392.380000000005</v>
      </c>
      <c r="BY15" s="1487">
        <v>51284.270000000004</v>
      </c>
      <c r="BZ15" s="1487">
        <v>99353.01</v>
      </c>
      <c r="CA15" s="1487">
        <v>18312.28</v>
      </c>
      <c r="CB15" s="1487">
        <v>21422.52</v>
      </c>
      <c r="CC15" s="1487"/>
      <c r="CD15" s="1487">
        <v>35512</v>
      </c>
      <c r="CE15" s="1487">
        <v>5330.5099999999993</v>
      </c>
      <c r="CF15" s="1487">
        <v>28251</v>
      </c>
      <c r="CG15" s="1487">
        <v>29951.34</v>
      </c>
      <c r="CH15" s="1487"/>
      <c r="CI15" s="1487">
        <v>50109</v>
      </c>
      <c r="CJ15" s="1487">
        <v>232761</v>
      </c>
      <c r="CK15" s="1487">
        <v>32153</v>
      </c>
      <c r="CL15" s="1487">
        <v>9787</v>
      </c>
      <c r="CM15" s="1487">
        <v>4773</v>
      </c>
      <c r="CN15" s="1487">
        <v>4389</v>
      </c>
      <c r="CO15" s="1487">
        <v>11775</v>
      </c>
      <c r="CP15" s="1487"/>
      <c r="CQ15" s="1487">
        <v>23341.29</v>
      </c>
      <c r="CR15" s="1487">
        <v>15859.94</v>
      </c>
      <c r="CS15" s="1487">
        <v>61848</v>
      </c>
      <c r="CT15" s="1487">
        <v>23072</v>
      </c>
      <c r="CU15" s="358">
        <f>SUM(AI15:BC15)+SUM(BO15:CI15)+'HH ALICORP'!B18</f>
        <v>1398545.9569444447</v>
      </c>
      <c r="CV15" s="358">
        <f t="shared" ref="CV15:CV31" si="34">SUM(AI15:BC15)</f>
        <v>917777.74000000011</v>
      </c>
      <c r="CW15" s="358">
        <f t="shared" ref="CW15:CW31" si="35">+SUM(BO15:CI15)</f>
        <v>473576.21694444452</v>
      </c>
      <c r="CX15" s="691">
        <f t="shared" ref="CX15:CX26" si="36">+CU15+BD15+CJ15</f>
        <v>1755345.9569444447</v>
      </c>
    </row>
    <row r="16" spans="1:104" hidden="1">
      <c r="A16" s="1309">
        <v>43497</v>
      </c>
      <c r="B16" s="1311">
        <v>15303.349999999999</v>
      </c>
      <c r="C16" s="1311">
        <v>51564.61</v>
      </c>
      <c r="D16" s="1311">
        <v>30434.65</v>
      </c>
      <c r="E16" s="1311">
        <v>114370.94000000002</v>
      </c>
      <c r="F16" s="1311">
        <v>26996.37</v>
      </c>
      <c r="G16" s="1311">
        <v>173813.22</v>
      </c>
      <c r="H16" s="1311">
        <v>7052.68</v>
      </c>
      <c r="I16" s="1311">
        <v>31116.98</v>
      </c>
      <c r="J16" s="1311">
        <v>59316.227222222224</v>
      </c>
      <c r="K16" s="1311">
        <v>147144.02000000002</v>
      </c>
      <c r="L16" s="1311">
        <v>108002.77</v>
      </c>
      <c r="M16" s="1311">
        <v>255059.01</v>
      </c>
      <c r="N16" s="1311">
        <v>20254.169999999998</v>
      </c>
      <c r="O16" s="1311">
        <v>23149.79</v>
      </c>
      <c r="P16" s="1311">
        <v>35368</v>
      </c>
      <c r="Q16" s="1311"/>
      <c r="R16" s="1311"/>
      <c r="S16" s="1311">
        <v>12425.470000000001</v>
      </c>
      <c r="T16" s="1311">
        <v>116220</v>
      </c>
      <c r="U16" s="1311">
        <v>84098.39</v>
      </c>
      <c r="V16" s="1311">
        <v>9115</v>
      </c>
      <c r="W16" s="1311">
        <v>76275</v>
      </c>
      <c r="X16" s="1311">
        <v>366348</v>
      </c>
      <c r="Y16" s="1311">
        <v>73958.459999999992</v>
      </c>
      <c r="Z16" s="1311">
        <v>159380</v>
      </c>
      <c r="AA16" s="1311">
        <v>67481</v>
      </c>
      <c r="AB16" s="1311">
        <v>24984</v>
      </c>
      <c r="AC16" s="1311">
        <v>33634</v>
      </c>
      <c r="AD16" s="1311">
        <v>50125</v>
      </c>
      <c r="AE16" s="1311">
        <v>56964.67</v>
      </c>
      <c r="AF16" s="1311">
        <v>62591.37</v>
      </c>
      <c r="AG16" s="1311">
        <v>107104</v>
      </c>
      <c r="AH16" s="1694">
        <v>29970.5</v>
      </c>
      <c r="AI16" s="1689">
        <v>9546.2999999999993</v>
      </c>
      <c r="AJ16" s="1689">
        <v>44858</v>
      </c>
      <c r="AK16" s="1689">
        <v>23928.15</v>
      </c>
      <c r="AL16" s="1689">
        <v>101113.06000000001</v>
      </c>
      <c r="AM16" s="1689">
        <v>20977.85</v>
      </c>
      <c r="AN16" s="1689">
        <v>147398.72</v>
      </c>
      <c r="AO16" s="1689">
        <v>6832.5</v>
      </c>
      <c r="AP16" s="1689">
        <v>29844.92</v>
      </c>
      <c r="AQ16" s="1689">
        <v>37805.53</v>
      </c>
      <c r="AR16" s="1689">
        <v>101366.1</v>
      </c>
      <c r="AS16" s="1689">
        <v>48586</v>
      </c>
      <c r="AT16" s="1689">
        <v>158144</v>
      </c>
      <c r="AU16" s="1689"/>
      <c r="AV16" s="1689"/>
      <c r="AW16" s="1689"/>
      <c r="AX16" s="1945"/>
      <c r="AY16" s="1689">
        <v>8134.5</v>
      </c>
      <c r="AZ16" s="1950">
        <v>94040</v>
      </c>
      <c r="BA16" s="1950">
        <v>62252.85</v>
      </c>
      <c r="BB16" s="1950">
        <v>9115</v>
      </c>
      <c r="BC16" s="1950">
        <v>27785</v>
      </c>
      <c r="BD16" s="1952">
        <v>135949</v>
      </c>
      <c r="BE16" s="1949">
        <v>42598.46</v>
      </c>
      <c r="BF16" s="1689">
        <v>149956</v>
      </c>
      <c r="BG16" s="1689">
        <v>62501</v>
      </c>
      <c r="BH16" s="1689">
        <v>16686</v>
      </c>
      <c r="BI16" s="1689">
        <v>21859</v>
      </c>
      <c r="BJ16" s="1689">
        <v>50125</v>
      </c>
      <c r="BK16" s="1689">
        <v>45100</v>
      </c>
      <c r="BL16" s="1689">
        <v>47671.43</v>
      </c>
      <c r="BM16" s="1689">
        <v>62944</v>
      </c>
      <c r="BN16" s="1689">
        <v>14812</v>
      </c>
      <c r="BO16" s="1487">
        <v>5757.05</v>
      </c>
      <c r="BP16" s="1487">
        <v>6706.61</v>
      </c>
      <c r="BQ16" s="1487">
        <v>6506.5</v>
      </c>
      <c r="BR16" s="1487">
        <v>13257.88</v>
      </c>
      <c r="BS16" s="1487">
        <v>6018.52</v>
      </c>
      <c r="BT16" s="1487">
        <v>26414.5</v>
      </c>
      <c r="BU16" s="1487">
        <v>220.18</v>
      </c>
      <c r="BV16" s="1487">
        <v>1272.06</v>
      </c>
      <c r="BW16" s="1487">
        <v>21510.697222222228</v>
      </c>
      <c r="BX16" s="1487">
        <v>45777.92000000002</v>
      </c>
      <c r="BY16" s="1487">
        <v>59416.770000000004</v>
      </c>
      <c r="BZ16" s="1487">
        <v>96915.010000000009</v>
      </c>
      <c r="CA16" s="1487">
        <v>20254.169999999998</v>
      </c>
      <c r="CB16" s="1487">
        <v>23149.79</v>
      </c>
      <c r="CC16" s="1487"/>
      <c r="CD16" s="1487">
        <v>35368</v>
      </c>
      <c r="CE16" s="1487">
        <v>4290.97</v>
      </c>
      <c r="CF16" s="1487">
        <v>22180</v>
      </c>
      <c r="CG16" s="1487">
        <v>21845.54</v>
      </c>
      <c r="CH16" s="1487"/>
      <c r="CI16" s="1487">
        <v>48490</v>
      </c>
      <c r="CJ16" s="1487">
        <v>230399</v>
      </c>
      <c r="CK16" s="1487">
        <v>31360</v>
      </c>
      <c r="CL16" s="1487">
        <v>9424</v>
      </c>
      <c r="CM16" s="1487">
        <v>4980</v>
      </c>
      <c r="CN16" s="1487">
        <v>8298</v>
      </c>
      <c r="CO16" s="1487">
        <v>11775</v>
      </c>
      <c r="CP16" s="1487"/>
      <c r="CQ16" s="1487">
        <v>11864.67</v>
      </c>
      <c r="CR16" s="1487">
        <v>14919.94</v>
      </c>
      <c r="CS16" s="1487">
        <v>44160</v>
      </c>
      <c r="CT16" s="1487">
        <v>15158.5</v>
      </c>
      <c r="CU16" s="358">
        <f>SUM(AI16:BC16)+SUM(BO16:CI16)+'HH ALICORP'!B19</f>
        <v>1416931.1472222223</v>
      </c>
      <c r="CV16" s="358">
        <f t="shared" si="34"/>
        <v>931728.48</v>
      </c>
      <c r="CW16" s="358">
        <f t="shared" si="35"/>
        <v>465352.1672222222</v>
      </c>
      <c r="CX16" s="691">
        <f t="shared" si="36"/>
        <v>1783279.1472222223</v>
      </c>
    </row>
    <row r="17" spans="1:102" hidden="1">
      <c r="A17" s="1309">
        <v>43525</v>
      </c>
      <c r="B17" s="1311">
        <v>16143.98</v>
      </c>
      <c r="C17" s="1311">
        <v>39097.65</v>
      </c>
      <c r="D17" s="1311">
        <v>26847.91</v>
      </c>
      <c r="E17" s="1311">
        <v>108041.34999999999</v>
      </c>
      <c r="F17" s="1311">
        <v>30695.040000000001</v>
      </c>
      <c r="G17" s="1311">
        <v>171271.33</v>
      </c>
      <c r="H17" s="1311">
        <v>5808.91</v>
      </c>
      <c r="I17" s="1311">
        <v>32825.919999999998</v>
      </c>
      <c r="J17" s="1311">
        <v>64132.103888888894</v>
      </c>
      <c r="K17" s="1311">
        <v>145649.56</v>
      </c>
      <c r="L17" s="1311">
        <v>93480.66</v>
      </c>
      <c r="M17" s="1311">
        <v>285566.15999999997</v>
      </c>
      <c r="N17" s="1311">
        <v>18420.95</v>
      </c>
      <c r="O17" s="1311">
        <v>18941.490000000002</v>
      </c>
      <c r="P17" s="1311">
        <v>35512</v>
      </c>
      <c r="Q17" s="1311"/>
      <c r="R17" s="1311"/>
      <c r="S17" s="1311">
        <v>13371.869999999999</v>
      </c>
      <c r="T17" s="1311">
        <v>126535</v>
      </c>
      <c r="U17" s="1311">
        <v>94260</v>
      </c>
      <c r="V17" s="1311">
        <v>9115</v>
      </c>
      <c r="W17" s="1311">
        <v>77439</v>
      </c>
      <c r="X17" s="1311">
        <v>400850</v>
      </c>
      <c r="Y17" s="1311">
        <v>75854.950000000012</v>
      </c>
      <c r="Z17" s="1311">
        <v>139768</v>
      </c>
      <c r="AA17" s="1311">
        <v>75340</v>
      </c>
      <c r="AB17" s="1311">
        <v>24984</v>
      </c>
      <c r="AC17" s="1311">
        <v>33634</v>
      </c>
      <c r="AD17" s="1311">
        <v>50877</v>
      </c>
      <c r="AE17" s="1311">
        <v>75466.73</v>
      </c>
      <c r="AF17" s="1311">
        <v>62579.32</v>
      </c>
      <c r="AG17" s="1311">
        <v>126241</v>
      </c>
      <c r="AH17" s="1694">
        <v>24382</v>
      </c>
      <c r="AI17" s="1689">
        <v>8729.0300000000007</v>
      </c>
      <c r="AJ17" s="1689">
        <v>30269.5</v>
      </c>
      <c r="AK17" s="1689">
        <v>20994.5</v>
      </c>
      <c r="AL17" s="1689">
        <v>93679.9</v>
      </c>
      <c r="AM17" s="1689">
        <v>18484.5</v>
      </c>
      <c r="AN17" s="1689">
        <v>140863.10999999999</v>
      </c>
      <c r="AO17" s="1689">
        <v>5619.5</v>
      </c>
      <c r="AP17" s="1689">
        <v>28231.25</v>
      </c>
      <c r="AQ17" s="1689">
        <v>36304.5</v>
      </c>
      <c r="AR17" s="1689">
        <v>95822.5</v>
      </c>
      <c r="AS17" s="1689">
        <v>45032.86</v>
      </c>
      <c r="AT17" s="1689">
        <v>178124</v>
      </c>
      <c r="AU17" s="1689"/>
      <c r="AV17" s="1689"/>
      <c r="AW17" s="1689"/>
      <c r="AX17" s="1945"/>
      <c r="AY17" s="1689">
        <v>8904.869999999999</v>
      </c>
      <c r="AZ17" s="1950">
        <v>104732</v>
      </c>
      <c r="BA17" s="1950">
        <v>65929</v>
      </c>
      <c r="BB17" s="1950">
        <v>9115</v>
      </c>
      <c r="BC17" s="1950">
        <v>35644</v>
      </c>
      <c r="BD17" s="1952">
        <v>163425</v>
      </c>
      <c r="BE17" s="1949">
        <v>45450.950000000004</v>
      </c>
      <c r="BF17" s="1689">
        <v>126460</v>
      </c>
      <c r="BG17" s="1689">
        <v>70360</v>
      </c>
      <c r="BH17" s="1689">
        <v>16686</v>
      </c>
      <c r="BI17" s="1689">
        <v>21859</v>
      </c>
      <c r="BJ17" s="1689">
        <v>50877</v>
      </c>
      <c r="BK17" s="1689">
        <v>49463.53</v>
      </c>
      <c r="BL17" s="1689">
        <v>42212.82</v>
      </c>
      <c r="BM17" s="1689">
        <v>67328</v>
      </c>
      <c r="BN17" s="1689">
        <v>16778</v>
      </c>
      <c r="BO17" s="1487">
        <v>7414.95</v>
      </c>
      <c r="BP17" s="1487">
        <v>8828.15</v>
      </c>
      <c r="BQ17" s="1487">
        <v>5853.41</v>
      </c>
      <c r="BR17" s="1487">
        <v>14361.449999999999</v>
      </c>
      <c r="BS17" s="1487">
        <v>12210.539999999999</v>
      </c>
      <c r="BT17" s="1487">
        <v>30408.219999999998</v>
      </c>
      <c r="BU17" s="1487">
        <v>189.41</v>
      </c>
      <c r="BV17" s="1487">
        <v>4594.67</v>
      </c>
      <c r="BW17" s="1487">
        <v>27827.603888888894</v>
      </c>
      <c r="BX17" s="1487">
        <v>49827.060000000005</v>
      </c>
      <c r="BY17" s="1487">
        <v>48447.8</v>
      </c>
      <c r="BZ17" s="1487">
        <v>107442.15999999999</v>
      </c>
      <c r="CA17" s="1487">
        <v>18420.95</v>
      </c>
      <c r="CB17" s="1487">
        <v>18941.490000000002</v>
      </c>
      <c r="CC17" s="1487"/>
      <c r="CD17" s="1487">
        <v>35512</v>
      </c>
      <c r="CE17" s="1487">
        <v>4467</v>
      </c>
      <c r="CF17" s="1487">
        <v>21803</v>
      </c>
      <c r="CG17" s="1487">
        <v>28331</v>
      </c>
      <c r="CH17" s="1487"/>
      <c r="CI17" s="1487">
        <v>41795</v>
      </c>
      <c r="CJ17" s="1487">
        <v>237425</v>
      </c>
      <c r="CK17" s="1487">
        <v>30404</v>
      </c>
      <c r="CL17" s="1487">
        <v>13308</v>
      </c>
      <c r="CM17" s="1487">
        <v>4980</v>
      </c>
      <c r="CN17" s="1487">
        <v>8298</v>
      </c>
      <c r="CO17" s="1487">
        <v>11775</v>
      </c>
      <c r="CP17" s="1487"/>
      <c r="CQ17" s="1487">
        <v>26003.200000000001</v>
      </c>
      <c r="CR17" s="1487">
        <v>20366.5</v>
      </c>
      <c r="CS17" s="1487">
        <v>58913</v>
      </c>
      <c r="CT17" s="1487">
        <v>7604</v>
      </c>
      <c r="CU17" s="358">
        <f>SUM(AI17:BC17)+SUM(BO17:CI17)+'HH ALICORP'!B20</f>
        <v>1414219.8838888886</v>
      </c>
      <c r="CV17" s="358">
        <f t="shared" si="34"/>
        <v>926480.0199999999</v>
      </c>
      <c r="CW17" s="358">
        <f t="shared" si="35"/>
        <v>486675.86388888885</v>
      </c>
      <c r="CX17" s="691">
        <f t="shared" si="36"/>
        <v>1815069.8838888886</v>
      </c>
    </row>
    <row r="18" spans="1:102" hidden="1">
      <c r="A18" s="1309">
        <v>43556</v>
      </c>
      <c r="B18" s="1311">
        <v>17438.05</v>
      </c>
      <c r="C18" s="1311">
        <v>44556.37</v>
      </c>
      <c r="D18" s="1311">
        <v>32356.33</v>
      </c>
      <c r="E18" s="1311">
        <v>115980.07</v>
      </c>
      <c r="F18" s="1311">
        <v>36630.15</v>
      </c>
      <c r="G18" s="1311">
        <v>189567.00999999998</v>
      </c>
      <c r="H18" s="1311">
        <v>6418.11</v>
      </c>
      <c r="I18" s="1311">
        <v>32723.62</v>
      </c>
      <c r="J18" s="1311">
        <v>66258.803611111143</v>
      </c>
      <c r="K18" s="1311">
        <v>153044.53</v>
      </c>
      <c r="L18" s="1311">
        <v>96391.18</v>
      </c>
      <c r="M18" s="1311">
        <v>280130.57</v>
      </c>
      <c r="N18" s="1311">
        <v>24387.56</v>
      </c>
      <c r="O18" s="1311">
        <v>18426.03</v>
      </c>
      <c r="P18" s="1311">
        <v>35464</v>
      </c>
      <c r="Q18" s="1311"/>
      <c r="R18" s="1311"/>
      <c r="S18" s="1311">
        <v>11811.93</v>
      </c>
      <c r="T18" s="1311">
        <v>131549</v>
      </c>
      <c r="U18" s="1311">
        <v>93011</v>
      </c>
      <c r="V18" s="1311">
        <v>9115</v>
      </c>
      <c r="W18" s="1311">
        <v>78761</v>
      </c>
      <c r="X18" s="1311">
        <v>347017</v>
      </c>
      <c r="Y18" s="1311">
        <v>85705.49</v>
      </c>
      <c r="Z18" s="1311">
        <v>144427</v>
      </c>
      <c r="AA18" s="1311">
        <v>75340</v>
      </c>
      <c r="AB18" s="1311">
        <v>26671</v>
      </c>
      <c r="AC18" s="1311">
        <v>38234</v>
      </c>
      <c r="AD18" s="1311">
        <v>50877</v>
      </c>
      <c r="AE18" s="1311">
        <v>76830.67</v>
      </c>
      <c r="AF18" s="1311">
        <v>67543.510000000009</v>
      </c>
      <c r="AG18" s="1311">
        <v>126569</v>
      </c>
      <c r="AH18" s="1694">
        <v>23999</v>
      </c>
      <c r="AI18" s="1689">
        <v>10257.75</v>
      </c>
      <c r="AJ18" s="1689">
        <v>34251</v>
      </c>
      <c r="AK18" s="1689">
        <v>24848.25</v>
      </c>
      <c r="AL18" s="1689">
        <v>101182.98000000001</v>
      </c>
      <c r="AM18" s="1689">
        <v>21915.83</v>
      </c>
      <c r="AN18" s="1689">
        <v>158686.85999999999</v>
      </c>
      <c r="AO18" s="1689">
        <v>6414.41</v>
      </c>
      <c r="AP18" s="1689">
        <v>30106.55</v>
      </c>
      <c r="AQ18" s="1689">
        <v>41243.5</v>
      </c>
      <c r="AR18" s="1689">
        <v>105270.8</v>
      </c>
      <c r="AS18" s="1689">
        <v>49014.5</v>
      </c>
      <c r="AT18" s="1689">
        <v>182260</v>
      </c>
      <c r="AU18" s="1689"/>
      <c r="AV18" s="1689"/>
      <c r="AW18" s="1689"/>
      <c r="AX18" s="1945"/>
      <c r="AY18" s="1689">
        <v>7955.47</v>
      </c>
      <c r="AZ18" s="1950">
        <v>111335</v>
      </c>
      <c r="BA18" s="1950">
        <v>65253</v>
      </c>
      <c r="BB18" s="1950">
        <v>9115</v>
      </c>
      <c r="BC18" s="1950">
        <v>39557</v>
      </c>
      <c r="BD18" s="1952">
        <v>135456</v>
      </c>
      <c r="BE18" s="1949">
        <v>48053.490000000005</v>
      </c>
      <c r="BF18" s="1689">
        <v>136480</v>
      </c>
      <c r="BG18" s="1689">
        <v>70360</v>
      </c>
      <c r="BH18" s="1689">
        <v>18373</v>
      </c>
      <c r="BI18" s="1689">
        <v>22900</v>
      </c>
      <c r="BJ18" s="1689">
        <v>50877</v>
      </c>
      <c r="BK18" s="1689">
        <v>49330.189999999995</v>
      </c>
      <c r="BL18" s="1689">
        <v>46151.01</v>
      </c>
      <c r="BM18" s="1689">
        <v>73268</v>
      </c>
      <c r="BN18" s="1689">
        <v>16874</v>
      </c>
      <c r="BO18" s="1487">
        <v>7180.3</v>
      </c>
      <c r="BP18" s="1487">
        <v>10305.370000000001</v>
      </c>
      <c r="BQ18" s="1487">
        <v>7508.08</v>
      </c>
      <c r="BR18" s="1487">
        <v>14797.09</v>
      </c>
      <c r="BS18" s="1487">
        <v>14714.32</v>
      </c>
      <c r="BT18" s="1487">
        <v>30880.15</v>
      </c>
      <c r="BU18" s="1487">
        <v>3.7</v>
      </c>
      <c r="BV18" s="1487">
        <v>2617.0700000000002</v>
      </c>
      <c r="BW18" s="1487">
        <v>25015.303611111143</v>
      </c>
      <c r="BX18" s="1487">
        <v>47773.729999999996</v>
      </c>
      <c r="BY18" s="1487">
        <v>47376.68</v>
      </c>
      <c r="BZ18" s="1487">
        <v>97870.569999999992</v>
      </c>
      <c r="CA18" s="1487">
        <v>24387.56</v>
      </c>
      <c r="CB18" s="1487">
        <v>18426.03</v>
      </c>
      <c r="CC18" s="1487"/>
      <c r="CD18" s="1487">
        <v>35464</v>
      </c>
      <c r="CE18" s="1487">
        <v>3856.46</v>
      </c>
      <c r="CF18" s="1487">
        <v>20214</v>
      </c>
      <c r="CG18" s="1487">
        <v>27758</v>
      </c>
      <c r="CH18" s="1487"/>
      <c r="CI18" s="1487">
        <v>39204</v>
      </c>
      <c r="CJ18" s="1487">
        <v>211561</v>
      </c>
      <c r="CK18" s="1487">
        <v>37652</v>
      </c>
      <c r="CL18" s="1487">
        <v>7947</v>
      </c>
      <c r="CM18" s="1487">
        <v>4980</v>
      </c>
      <c r="CN18" s="1487">
        <v>8298</v>
      </c>
      <c r="CO18" s="1487">
        <v>15334</v>
      </c>
      <c r="CP18" s="1487"/>
      <c r="CQ18" s="1487">
        <v>27500.48</v>
      </c>
      <c r="CR18" s="1487">
        <v>21392.5</v>
      </c>
      <c r="CS18" s="1487">
        <v>53301</v>
      </c>
      <c r="CT18" s="1487">
        <v>7125</v>
      </c>
      <c r="CU18" s="358">
        <f>SUM(AI18:BC18)+SUM(BO18:CI18)+'HH ALICORP'!B21</f>
        <v>1475820.3136111111</v>
      </c>
      <c r="CV18" s="358">
        <f t="shared" si="34"/>
        <v>998667.89999999991</v>
      </c>
      <c r="CW18" s="358">
        <f t="shared" si="35"/>
        <v>475352.41361111117</v>
      </c>
      <c r="CX18" s="691">
        <f t="shared" si="36"/>
        <v>1822837.3136111111</v>
      </c>
    </row>
    <row r="19" spans="1:102" hidden="1">
      <c r="A19" s="1309">
        <v>43586</v>
      </c>
      <c r="B19" s="1311">
        <v>17655.34</v>
      </c>
      <c r="C19" s="1311">
        <v>40037.9</v>
      </c>
      <c r="D19" s="1311">
        <v>30201.05</v>
      </c>
      <c r="E19" s="1311">
        <v>116401.33</v>
      </c>
      <c r="F19" s="1311">
        <v>37465.379999999997</v>
      </c>
      <c r="G19" s="1311">
        <v>176712.56</v>
      </c>
      <c r="H19" s="1311">
        <v>6830.57</v>
      </c>
      <c r="I19" s="1311">
        <v>30985.909999999996</v>
      </c>
      <c r="J19" s="1311">
        <v>63760.278055555587</v>
      </c>
      <c r="K19" s="1311">
        <v>149453.97</v>
      </c>
      <c r="L19" s="1311">
        <v>108091.66</v>
      </c>
      <c r="M19" s="1311">
        <v>310471.82</v>
      </c>
      <c r="N19" s="1311">
        <v>26049.13</v>
      </c>
      <c r="O19" s="1311">
        <v>23966.139999999996</v>
      </c>
      <c r="P19" s="1311">
        <v>35512</v>
      </c>
      <c r="Q19" s="1311"/>
      <c r="R19" s="1311"/>
      <c r="S19" s="1311">
        <v>13103.85</v>
      </c>
      <c r="T19" s="1311">
        <v>132999</v>
      </c>
      <c r="U19" s="1311">
        <v>99243</v>
      </c>
      <c r="V19" s="1311">
        <v>9115</v>
      </c>
      <c r="W19" s="1311">
        <v>86768</v>
      </c>
      <c r="X19" s="1311">
        <v>464065</v>
      </c>
      <c r="Y19" s="1311">
        <v>107539</v>
      </c>
      <c r="Z19" s="1311">
        <v>135013</v>
      </c>
      <c r="AA19" s="1311">
        <v>77350</v>
      </c>
      <c r="AB19" s="1311">
        <v>26671</v>
      </c>
      <c r="AC19" s="1311">
        <v>38234</v>
      </c>
      <c r="AD19" s="1311">
        <v>50877</v>
      </c>
      <c r="AE19" s="1311">
        <v>70970.39</v>
      </c>
      <c r="AF19" s="1311">
        <v>68237.489999999991</v>
      </c>
      <c r="AG19" s="1311">
        <v>113246</v>
      </c>
      <c r="AH19" s="1694">
        <v>25017.5</v>
      </c>
      <c r="AI19" s="1689">
        <v>8740.25</v>
      </c>
      <c r="AJ19" s="1689">
        <v>32484</v>
      </c>
      <c r="AK19" s="1689">
        <v>23003.5</v>
      </c>
      <c r="AL19" s="1689">
        <v>98963.83</v>
      </c>
      <c r="AM19" s="1689">
        <v>21100.5</v>
      </c>
      <c r="AN19" s="1689">
        <v>145852.16</v>
      </c>
      <c r="AO19" s="1689">
        <v>6555.12</v>
      </c>
      <c r="AP19" s="1689">
        <v>26400.499999999996</v>
      </c>
      <c r="AQ19" s="1689">
        <v>38889</v>
      </c>
      <c r="AR19" s="1689">
        <v>99315.75</v>
      </c>
      <c r="AS19" s="1689">
        <v>49154.7</v>
      </c>
      <c r="AT19" s="1689">
        <v>186956</v>
      </c>
      <c r="AU19" s="1689"/>
      <c r="AV19" s="1689"/>
      <c r="AW19" s="1689"/>
      <c r="AX19" s="1945"/>
      <c r="AY19" s="1689">
        <v>9086.52</v>
      </c>
      <c r="AZ19" s="1950">
        <v>116159</v>
      </c>
      <c r="BA19" s="1950">
        <v>66089</v>
      </c>
      <c r="BB19" s="1950">
        <v>9115</v>
      </c>
      <c r="BC19" s="1950">
        <v>37377</v>
      </c>
      <c r="BD19" s="1952">
        <v>143894</v>
      </c>
      <c r="BE19" s="1949">
        <v>53578</v>
      </c>
      <c r="BF19" s="1689">
        <v>125379</v>
      </c>
      <c r="BG19" s="1689">
        <v>70360</v>
      </c>
      <c r="BH19" s="1689">
        <v>18373</v>
      </c>
      <c r="BI19" s="1689">
        <v>22900</v>
      </c>
      <c r="BJ19" s="1689">
        <v>50877</v>
      </c>
      <c r="BK19" s="1689">
        <v>45247.97</v>
      </c>
      <c r="BL19" s="1689">
        <v>47735.99</v>
      </c>
      <c r="BM19" s="1689">
        <v>68848</v>
      </c>
      <c r="BN19" s="1689">
        <v>17417.5</v>
      </c>
      <c r="BO19" s="1487">
        <v>8915.09</v>
      </c>
      <c r="BP19" s="1487">
        <v>7553.9000000000005</v>
      </c>
      <c r="BQ19" s="1487">
        <v>7197.55</v>
      </c>
      <c r="BR19" s="1487">
        <v>17437.5</v>
      </c>
      <c r="BS19" s="1487">
        <v>16364.88</v>
      </c>
      <c r="BT19" s="1487">
        <v>30860.399999999998</v>
      </c>
      <c r="BU19" s="1487">
        <v>275.45</v>
      </c>
      <c r="BV19" s="1487">
        <v>4585.41</v>
      </c>
      <c r="BW19" s="1487">
        <v>24871.278055555587</v>
      </c>
      <c r="BX19" s="1487">
        <v>50138.22</v>
      </c>
      <c r="BY19" s="1487">
        <v>58936.959999999999</v>
      </c>
      <c r="BZ19" s="1487">
        <v>123515.82</v>
      </c>
      <c r="CA19" s="1487">
        <v>26049.13</v>
      </c>
      <c r="CB19" s="1487">
        <v>23966.139999999996</v>
      </c>
      <c r="CC19" s="1487"/>
      <c r="CD19" s="1487">
        <v>35512</v>
      </c>
      <c r="CE19" s="1487">
        <v>4017.33</v>
      </c>
      <c r="CF19" s="1487">
        <v>16840</v>
      </c>
      <c r="CG19" s="1487">
        <v>33154</v>
      </c>
      <c r="CH19" s="1487"/>
      <c r="CI19" s="1487">
        <v>49391</v>
      </c>
      <c r="CJ19" s="1487">
        <v>320171</v>
      </c>
      <c r="CK19" s="1487">
        <v>53961</v>
      </c>
      <c r="CL19" s="1487">
        <v>9634</v>
      </c>
      <c r="CM19" s="1487">
        <v>6990</v>
      </c>
      <c r="CN19" s="1487">
        <v>8298</v>
      </c>
      <c r="CO19" s="1487">
        <v>15334</v>
      </c>
      <c r="CP19" s="1487"/>
      <c r="CQ19" s="1487">
        <v>25722.42</v>
      </c>
      <c r="CR19" s="1487">
        <v>20501.5</v>
      </c>
      <c r="CS19" s="1487">
        <v>44398</v>
      </c>
      <c r="CT19" s="1487">
        <v>7600</v>
      </c>
      <c r="CU19" s="358">
        <f>SUM(AI19:BC19)+SUM(BO19:CI19)+'HH ALICORP'!B22</f>
        <v>1791331.8880555555</v>
      </c>
      <c r="CV19" s="358">
        <f t="shared" si="34"/>
        <v>975241.83</v>
      </c>
      <c r="CW19" s="358">
        <f t="shared" si="35"/>
        <v>539582.05805555568</v>
      </c>
      <c r="CX19" s="691">
        <f t="shared" si="36"/>
        <v>2255396.8880555555</v>
      </c>
    </row>
    <row r="20" spans="1:102" hidden="1">
      <c r="A20" s="1309">
        <v>43617</v>
      </c>
      <c r="B20" s="1311">
        <v>17893.21</v>
      </c>
      <c r="C20" s="1311">
        <v>40930.86</v>
      </c>
      <c r="D20" s="1311">
        <v>28967.329999999998</v>
      </c>
      <c r="E20" s="1311">
        <v>112925.89000000001</v>
      </c>
      <c r="F20" s="1311">
        <v>30213.0075</v>
      </c>
      <c r="G20" s="1311">
        <v>193288.28</v>
      </c>
      <c r="H20" s="1311">
        <v>7010.18</v>
      </c>
      <c r="I20" s="1311">
        <v>36715.94</v>
      </c>
      <c r="J20" s="1311">
        <v>66018.033055555599</v>
      </c>
      <c r="K20" s="1311">
        <v>157272.10999999999</v>
      </c>
      <c r="L20" s="1311">
        <v>107165.28</v>
      </c>
      <c r="M20" s="1311">
        <v>293072.11</v>
      </c>
      <c r="N20" s="1311">
        <v>22551.1</v>
      </c>
      <c r="O20" s="1311">
        <v>23353.99</v>
      </c>
      <c r="P20" s="1311">
        <v>35464</v>
      </c>
      <c r="Q20" s="1311"/>
      <c r="R20" s="1311"/>
      <c r="S20" s="1311">
        <v>12871.3</v>
      </c>
      <c r="T20" s="1311">
        <v>162064</v>
      </c>
      <c r="U20" s="1311">
        <v>96067.77</v>
      </c>
      <c r="V20" s="1311">
        <v>10131</v>
      </c>
      <c r="W20" s="1311">
        <v>74149</v>
      </c>
      <c r="X20" s="1311">
        <v>464065</v>
      </c>
      <c r="Y20" s="1311">
        <v>81239.839999999997</v>
      </c>
      <c r="Z20" s="1311">
        <v>160594</v>
      </c>
      <c r="AA20" s="1311">
        <v>77350</v>
      </c>
      <c r="AB20" s="1311">
        <v>26671</v>
      </c>
      <c r="AC20" s="1311">
        <v>36314</v>
      </c>
      <c r="AD20" s="1311">
        <v>50877</v>
      </c>
      <c r="AE20" s="1311">
        <v>75067.38</v>
      </c>
      <c r="AF20" s="1311">
        <v>67267.14</v>
      </c>
      <c r="AG20" s="1311">
        <v>91013</v>
      </c>
      <c r="AH20" s="1694">
        <v>28955</v>
      </c>
      <c r="AI20" s="1689">
        <v>9848.65</v>
      </c>
      <c r="AJ20" s="1689">
        <v>33098.32</v>
      </c>
      <c r="AK20" s="1689">
        <v>24238.85</v>
      </c>
      <c r="AL20" s="1689">
        <v>102201.28000000001</v>
      </c>
      <c r="AM20" s="1689">
        <v>21245.8</v>
      </c>
      <c r="AN20" s="1689">
        <v>157909.18</v>
      </c>
      <c r="AO20" s="1689">
        <v>6969</v>
      </c>
      <c r="AP20" s="1689">
        <v>30897.919999999998</v>
      </c>
      <c r="AQ20" s="1689">
        <v>41271</v>
      </c>
      <c r="AR20" s="1689">
        <v>106546.25</v>
      </c>
      <c r="AS20" s="1689">
        <v>51217</v>
      </c>
      <c r="AT20" s="1689">
        <v>192816</v>
      </c>
      <c r="AU20" s="1689"/>
      <c r="AV20" s="1689"/>
      <c r="AW20" s="1689"/>
      <c r="AX20" s="1945"/>
      <c r="AY20" s="1689">
        <v>8540.65</v>
      </c>
      <c r="AZ20" s="1950">
        <v>132249</v>
      </c>
      <c r="BA20" s="1950">
        <v>66852.5</v>
      </c>
      <c r="BB20" s="1950">
        <v>10131</v>
      </c>
      <c r="BC20" s="1950">
        <v>31404</v>
      </c>
      <c r="BD20" s="1952">
        <v>143894</v>
      </c>
      <c r="BE20" s="1949">
        <v>45211.839999999997</v>
      </c>
      <c r="BF20" s="1689">
        <v>137720</v>
      </c>
      <c r="BG20" s="1689">
        <v>70360</v>
      </c>
      <c r="BH20" s="1689">
        <v>18373</v>
      </c>
      <c r="BI20" s="1689">
        <v>22900</v>
      </c>
      <c r="BJ20" s="1689">
        <v>50877</v>
      </c>
      <c r="BK20" s="1689">
        <v>39593.780000000006</v>
      </c>
      <c r="BL20" s="1689">
        <v>48147.82</v>
      </c>
      <c r="BM20" s="1689">
        <v>60268</v>
      </c>
      <c r="BN20" s="1689">
        <v>10279</v>
      </c>
      <c r="BO20" s="1487">
        <v>8044.56</v>
      </c>
      <c r="BP20" s="1487">
        <v>7832.5399999999991</v>
      </c>
      <c r="BQ20" s="1487">
        <v>4728.4799999999996</v>
      </c>
      <c r="BR20" s="1487">
        <v>10724.61</v>
      </c>
      <c r="BS20" s="1487">
        <v>8967.2075000000004</v>
      </c>
      <c r="BT20" s="1487">
        <v>35379.1</v>
      </c>
      <c r="BU20" s="1487">
        <v>41.18</v>
      </c>
      <c r="BV20" s="1487">
        <v>5818.02</v>
      </c>
      <c r="BW20" s="1487">
        <v>24747.033055555599</v>
      </c>
      <c r="BX20" s="1487">
        <v>50725.86</v>
      </c>
      <c r="BY20" s="1487">
        <v>55948.28</v>
      </c>
      <c r="BZ20" s="1487">
        <v>100256.11</v>
      </c>
      <c r="CA20" s="1487">
        <v>22551.1</v>
      </c>
      <c r="CB20" s="1487">
        <v>23353.99</v>
      </c>
      <c r="CC20" s="1487"/>
      <c r="CD20" s="1487">
        <v>35464</v>
      </c>
      <c r="CE20" s="1487">
        <v>4330.6499999999996</v>
      </c>
      <c r="CF20" s="1487">
        <v>29815</v>
      </c>
      <c r="CG20" s="1487">
        <v>29215.27</v>
      </c>
      <c r="CH20" s="1487"/>
      <c r="CI20" s="1487">
        <v>42745</v>
      </c>
      <c r="CJ20" s="1487">
        <v>320171</v>
      </c>
      <c r="CK20" s="1487">
        <v>36028</v>
      </c>
      <c r="CL20" s="1487">
        <v>22874</v>
      </c>
      <c r="CM20" s="1487">
        <v>6990</v>
      </c>
      <c r="CN20" s="1487">
        <v>8298</v>
      </c>
      <c r="CO20" s="1487">
        <v>13414</v>
      </c>
      <c r="CP20" s="1487"/>
      <c r="CQ20" s="1487">
        <v>35473.599999999999</v>
      </c>
      <c r="CR20" s="1487">
        <v>19119.32</v>
      </c>
      <c r="CS20" s="1487">
        <v>30745</v>
      </c>
      <c r="CT20" s="1487">
        <v>18676</v>
      </c>
      <c r="CU20" s="358">
        <f>SUM(AI20:BC20)+SUM(BO20:CI20)+'HH ALICORP'!B23</f>
        <v>1528124.3905555557</v>
      </c>
      <c r="CV20" s="358">
        <f t="shared" si="34"/>
        <v>1027436.4</v>
      </c>
      <c r="CW20" s="358">
        <f t="shared" si="35"/>
        <v>500687.99055555562</v>
      </c>
      <c r="CX20" s="691">
        <f t="shared" si="36"/>
        <v>1992189.3905555557</v>
      </c>
    </row>
    <row r="21" spans="1:102" hidden="1">
      <c r="A21" s="1309">
        <v>43647</v>
      </c>
      <c r="B21" s="1311">
        <v>11935.6</v>
      </c>
      <c r="C21" s="1311">
        <v>42162.16</v>
      </c>
      <c r="D21" s="1311">
        <v>32158.19</v>
      </c>
      <c r="E21" s="1311">
        <v>121021.75000000001</v>
      </c>
      <c r="F21" s="1311">
        <v>32866.050000000003</v>
      </c>
      <c r="G21" s="1311">
        <v>203915.38</v>
      </c>
      <c r="H21" s="1311">
        <v>5891</v>
      </c>
      <c r="I21" s="1311">
        <v>38108.630000000005</v>
      </c>
      <c r="J21" s="1311">
        <v>61605.100833333367</v>
      </c>
      <c r="K21" s="1311">
        <v>158932.41999999998</v>
      </c>
      <c r="L21" s="1311">
        <v>112642.23999999999</v>
      </c>
      <c r="M21" s="1311">
        <v>298868.93</v>
      </c>
      <c r="N21" s="1311">
        <v>24146.14</v>
      </c>
      <c r="O21" s="1311">
        <v>21815.079999999998</v>
      </c>
      <c r="P21" s="1311">
        <v>35512</v>
      </c>
      <c r="Q21" s="1311"/>
      <c r="R21" s="1311"/>
      <c r="S21" s="1311">
        <v>14594.17</v>
      </c>
      <c r="T21" s="1311">
        <v>216072</v>
      </c>
      <c r="U21" s="1311">
        <v>99632</v>
      </c>
      <c r="V21" s="1311">
        <v>9115</v>
      </c>
      <c r="W21" s="1311">
        <v>70733</v>
      </c>
      <c r="X21" s="1311">
        <v>464065</v>
      </c>
      <c r="Y21" s="1311">
        <v>87759.89</v>
      </c>
      <c r="Z21" s="1311">
        <v>147924</v>
      </c>
      <c r="AA21" s="1311">
        <v>77350</v>
      </c>
      <c r="AB21" s="1311">
        <v>26671</v>
      </c>
      <c r="AC21" s="1311">
        <v>36314</v>
      </c>
      <c r="AD21" s="1311">
        <v>31224</v>
      </c>
      <c r="AE21" s="1311">
        <v>82373.98</v>
      </c>
      <c r="AF21" s="1311">
        <v>69496</v>
      </c>
      <c r="AG21" s="1311">
        <v>84325</v>
      </c>
      <c r="AH21" s="1694">
        <v>20995</v>
      </c>
      <c r="AI21" s="1689">
        <v>10439.08</v>
      </c>
      <c r="AJ21" s="1689">
        <v>33805.75</v>
      </c>
      <c r="AK21" s="1689">
        <v>24813.25</v>
      </c>
      <c r="AL21" s="1689">
        <v>111264.41000000002</v>
      </c>
      <c r="AM21" s="1689">
        <v>22324.17</v>
      </c>
      <c r="AN21" s="1689">
        <v>162327.02000000002</v>
      </c>
      <c r="AO21" s="1689">
        <v>5891</v>
      </c>
      <c r="AP21" s="1689">
        <v>33009.83</v>
      </c>
      <c r="AQ21" s="1689">
        <v>41390.85</v>
      </c>
      <c r="AR21" s="1689">
        <v>109722.2</v>
      </c>
      <c r="AS21" s="1689">
        <v>49859.75</v>
      </c>
      <c r="AT21" s="1689">
        <v>196944</v>
      </c>
      <c r="AU21" s="1689"/>
      <c r="AV21" s="1689"/>
      <c r="AW21" s="1689"/>
      <c r="AX21" s="1945"/>
      <c r="AY21" s="1689">
        <v>9023.5499999999993</v>
      </c>
      <c r="AZ21" s="1950">
        <v>190728</v>
      </c>
      <c r="BA21" s="1950">
        <v>73084</v>
      </c>
      <c r="BB21" s="1950">
        <v>9115</v>
      </c>
      <c r="BC21" s="1950">
        <v>30044</v>
      </c>
      <c r="BD21" s="1952">
        <v>143894</v>
      </c>
      <c r="BE21" s="1949">
        <v>52955.89</v>
      </c>
      <c r="BF21" s="1689">
        <v>126100</v>
      </c>
      <c r="BG21" s="1689">
        <v>70360</v>
      </c>
      <c r="BH21" s="1689">
        <v>18373</v>
      </c>
      <c r="BI21" s="1689">
        <v>22900</v>
      </c>
      <c r="BJ21" s="1689">
        <v>31224</v>
      </c>
      <c r="BK21" s="1689">
        <v>42751.64</v>
      </c>
      <c r="BL21" s="1689">
        <v>46641</v>
      </c>
      <c r="BM21" s="1689">
        <v>51376</v>
      </c>
      <c r="BN21" s="1689">
        <v>11289</v>
      </c>
      <c r="BO21" s="1487">
        <v>1496.52</v>
      </c>
      <c r="BP21" s="1487">
        <v>8356.41</v>
      </c>
      <c r="BQ21" s="1487">
        <v>7344.94</v>
      </c>
      <c r="BR21" s="1487">
        <v>9757.340000000002</v>
      </c>
      <c r="BS21" s="1487">
        <v>10541.880000000001</v>
      </c>
      <c r="BT21" s="1487">
        <v>41588.36</v>
      </c>
      <c r="BU21" s="1487">
        <v>0</v>
      </c>
      <c r="BV21" s="1487">
        <v>5098.8</v>
      </c>
      <c r="BW21" s="1487">
        <v>20214.250833333368</v>
      </c>
      <c r="BX21" s="1487">
        <v>49210.219999999994</v>
      </c>
      <c r="BY21" s="1487">
        <v>62782.49</v>
      </c>
      <c r="BZ21" s="1487">
        <v>101924.93000000001</v>
      </c>
      <c r="CA21" s="1487">
        <v>24146.14</v>
      </c>
      <c r="CB21" s="1487">
        <v>21815.079999999998</v>
      </c>
      <c r="CC21" s="1487"/>
      <c r="CD21" s="1487">
        <v>35512</v>
      </c>
      <c r="CE21" s="1487">
        <v>5570.6200000000008</v>
      </c>
      <c r="CF21" s="1487">
        <v>25344</v>
      </c>
      <c r="CG21" s="1487">
        <v>26548</v>
      </c>
      <c r="CH21" s="1487"/>
      <c r="CI21" s="1487">
        <v>40689</v>
      </c>
      <c r="CJ21" s="1487">
        <v>320171</v>
      </c>
      <c r="CK21" s="1487">
        <v>34804</v>
      </c>
      <c r="CL21" s="1487">
        <v>21824</v>
      </c>
      <c r="CM21" s="1487">
        <v>6990</v>
      </c>
      <c r="CN21" s="1487">
        <v>8298</v>
      </c>
      <c r="CO21" s="1487">
        <v>13414</v>
      </c>
      <c r="CP21" s="1487"/>
      <c r="CQ21" s="1487">
        <v>39622.339999999997</v>
      </c>
      <c r="CR21" s="1487">
        <v>22855</v>
      </c>
      <c r="CS21" s="1487">
        <v>32949</v>
      </c>
      <c r="CT21" s="1487">
        <v>9706</v>
      </c>
      <c r="CU21" s="358">
        <f>SUM(AI21:BC21)+SUM(BO21:CI21)+'HH ALICORP'!B24</f>
        <v>1611726.8408333336</v>
      </c>
      <c r="CV21" s="358">
        <f t="shared" si="34"/>
        <v>1113785.8600000001</v>
      </c>
      <c r="CW21" s="358">
        <f t="shared" si="35"/>
        <v>497940.98083333339</v>
      </c>
      <c r="CX21" s="691">
        <f t="shared" si="36"/>
        <v>2075791.8408333336</v>
      </c>
    </row>
    <row r="22" spans="1:102" hidden="1">
      <c r="A22" s="1309">
        <v>43678</v>
      </c>
      <c r="B22" s="1311">
        <v>18627.57</v>
      </c>
      <c r="C22" s="1311">
        <v>39058.65</v>
      </c>
      <c r="D22" s="1311">
        <v>31620.210000000003</v>
      </c>
      <c r="E22" s="1311">
        <v>112484.85999999999</v>
      </c>
      <c r="F22" s="1311">
        <v>28070.380000000005</v>
      </c>
      <c r="G22" s="1311">
        <v>196681.09000000003</v>
      </c>
      <c r="H22" s="1311">
        <v>6256</v>
      </c>
      <c r="I22" s="1311">
        <v>44855.43</v>
      </c>
      <c r="J22" s="1311">
        <v>57589.076111111164</v>
      </c>
      <c r="K22" s="1311">
        <v>163347.97</v>
      </c>
      <c r="L22" s="1311">
        <v>109164.98999999999</v>
      </c>
      <c r="M22" s="1311">
        <v>314681.18</v>
      </c>
      <c r="N22" s="1311">
        <v>24227.49</v>
      </c>
      <c r="O22" s="1311">
        <v>15513.46</v>
      </c>
      <c r="P22" s="1311">
        <v>35512</v>
      </c>
      <c r="Q22" s="1311"/>
      <c r="R22" s="1311"/>
      <c r="S22" s="1311">
        <v>14221.210000000001</v>
      </c>
      <c r="T22" s="1311">
        <v>217077</v>
      </c>
      <c r="U22" s="1311">
        <v>98843</v>
      </c>
      <c r="V22" s="1311">
        <v>10941</v>
      </c>
      <c r="W22" s="1311">
        <v>73188.600000000006</v>
      </c>
      <c r="X22" s="1311">
        <v>464065</v>
      </c>
      <c r="Y22" s="1311">
        <v>90149.53</v>
      </c>
      <c r="Z22" s="1311">
        <v>159366</v>
      </c>
      <c r="AA22" s="1311">
        <v>77350</v>
      </c>
      <c r="AB22" s="1311">
        <v>26856</v>
      </c>
      <c r="AC22" s="1311">
        <v>38457</v>
      </c>
      <c r="AD22" s="1311">
        <v>77179</v>
      </c>
      <c r="AE22" s="1311">
        <v>80022.98</v>
      </c>
      <c r="AF22" s="1311">
        <v>67244</v>
      </c>
      <c r="AG22" s="1311">
        <v>83492</v>
      </c>
      <c r="AH22" s="1694">
        <v>20995</v>
      </c>
      <c r="AI22" s="1689">
        <v>10587.5</v>
      </c>
      <c r="AJ22" s="1689">
        <v>32879.5</v>
      </c>
      <c r="AK22" s="1689">
        <v>24745.58</v>
      </c>
      <c r="AL22" s="1689">
        <v>103792.26999999999</v>
      </c>
      <c r="AM22" s="1689">
        <v>20969.270000000004</v>
      </c>
      <c r="AN22" s="1689">
        <v>160112.20000000001</v>
      </c>
      <c r="AO22" s="1689">
        <v>6256</v>
      </c>
      <c r="AP22" s="1689">
        <v>32578.75</v>
      </c>
      <c r="AQ22" s="1689">
        <v>38579.5</v>
      </c>
      <c r="AR22" s="1689">
        <v>106455.25</v>
      </c>
      <c r="AS22" s="1689">
        <v>47966.1</v>
      </c>
      <c r="AT22" s="1689">
        <v>203364</v>
      </c>
      <c r="AU22" s="1689"/>
      <c r="AV22" s="1689"/>
      <c r="AW22" s="1689"/>
      <c r="AX22" s="1945"/>
      <c r="AY22" s="1689">
        <v>9474.94</v>
      </c>
      <c r="AZ22" s="1950">
        <v>192395</v>
      </c>
      <c r="BA22" s="1950">
        <v>72884</v>
      </c>
      <c r="BB22" s="1950">
        <v>10941</v>
      </c>
      <c r="BC22" s="1950">
        <v>31011.599999999999</v>
      </c>
      <c r="BD22" s="1952">
        <v>143894</v>
      </c>
      <c r="BE22" s="1949">
        <v>52005.53</v>
      </c>
      <c r="BF22" s="1689">
        <v>139574</v>
      </c>
      <c r="BG22" s="1689">
        <v>70360</v>
      </c>
      <c r="BH22" s="1689">
        <v>18558</v>
      </c>
      <c r="BI22" s="1689">
        <v>23043</v>
      </c>
      <c r="BJ22" s="1689">
        <v>77179</v>
      </c>
      <c r="BK22" s="1689">
        <v>48597</v>
      </c>
      <c r="BL22" s="1689">
        <v>44510</v>
      </c>
      <c r="BM22" s="1689">
        <v>50570</v>
      </c>
      <c r="BN22" s="1689">
        <v>11289</v>
      </c>
      <c r="BO22" s="1487">
        <v>8040.07</v>
      </c>
      <c r="BP22" s="1487">
        <v>6179.15</v>
      </c>
      <c r="BQ22" s="1487">
        <v>6874.63</v>
      </c>
      <c r="BR22" s="1487">
        <v>8692.59</v>
      </c>
      <c r="BS22" s="1487">
        <v>7101.1100000000006</v>
      </c>
      <c r="BT22" s="1487">
        <v>36568.89</v>
      </c>
      <c r="BU22" s="1487">
        <v>0</v>
      </c>
      <c r="BV22" s="1487">
        <v>12276.68</v>
      </c>
      <c r="BW22" s="1487">
        <v>19009.576111111164</v>
      </c>
      <c r="BX22" s="1487">
        <v>56892.72</v>
      </c>
      <c r="BY22" s="1487">
        <v>61198.89</v>
      </c>
      <c r="BZ22" s="1487">
        <v>111317.18000000001</v>
      </c>
      <c r="CA22" s="1487">
        <v>24227.49</v>
      </c>
      <c r="CB22" s="1487">
        <v>15513.46</v>
      </c>
      <c r="CC22" s="1487"/>
      <c r="CD22" s="1487">
        <v>35512</v>
      </c>
      <c r="CE22" s="1487">
        <v>4746.2700000000004</v>
      </c>
      <c r="CF22" s="1487">
        <v>24682</v>
      </c>
      <c r="CG22" s="1487">
        <v>25959</v>
      </c>
      <c r="CH22" s="1487"/>
      <c r="CI22" s="1487">
        <v>42177</v>
      </c>
      <c r="CJ22" s="1487">
        <v>320171</v>
      </c>
      <c r="CK22" s="1487">
        <v>38144</v>
      </c>
      <c r="CL22" s="1487">
        <v>19792</v>
      </c>
      <c r="CM22" s="1487">
        <v>6990</v>
      </c>
      <c r="CN22" s="1487">
        <v>8298</v>
      </c>
      <c r="CO22" s="1487">
        <v>15414</v>
      </c>
      <c r="CP22" s="1487"/>
      <c r="CQ22" s="1487">
        <v>31425.98</v>
      </c>
      <c r="CR22" s="1487">
        <v>22734</v>
      </c>
      <c r="CS22" s="1487">
        <v>32922</v>
      </c>
      <c r="CT22" s="1487">
        <v>9706</v>
      </c>
      <c r="CU22" s="358">
        <f>SUM(AI22:BC22)+SUM(BO22:CI22)+'HH ALICORP'!B25</f>
        <v>2428082.3061111113</v>
      </c>
      <c r="CV22" s="358">
        <f t="shared" si="34"/>
        <v>1104992.46</v>
      </c>
      <c r="CW22" s="358">
        <f t="shared" si="35"/>
        <v>506968.70611111121</v>
      </c>
      <c r="CX22" s="691">
        <f t="shared" si="36"/>
        <v>2892147.3061111113</v>
      </c>
    </row>
    <row r="23" spans="1:102" hidden="1">
      <c r="A23" s="1309">
        <v>43709</v>
      </c>
      <c r="B23" s="1311">
        <v>19534.060000000001</v>
      </c>
      <c r="C23" s="1311">
        <v>42040.159999999996</v>
      </c>
      <c r="D23" s="1311">
        <v>34580.080000000002</v>
      </c>
      <c r="E23" s="1311">
        <v>115340.66</v>
      </c>
      <c r="F23" s="1311">
        <v>33147.379999999997</v>
      </c>
      <c r="G23" s="1311">
        <v>205765.01</v>
      </c>
      <c r="H23" s="1311">
        <v>6355.85</v>
      </c>
      <c r="I23" s="1311">
        <v>47046.86</v>
      </c>
      <c r="J23" s="1311">
        <v>61076.636944444486</v>
      </c>
      <c r="K23" s="1311">
        <v>172026.84000000003</v>
      </c>
      <c r="L23" s="1311">
        <v>112495.19</v>
      </c>
      <c r="M23" s="1311">
        <v>321809.76</v>
      </c>
      <c r="N23" s="1311">
        <v>22889.84</v>
      </c>
      <c r="O23" s="1311">
        <v>18094.150000000001</v>
      </c>
      <c r="P23" s="1311">
        <v>35464</v>
      </c>
      <c r="Q23" s="1311"/>
      <c r="R23" s="1311"/>
      <c r="S23" s="1311">
        <v>12774.96</v>
      </c>
      <c r="T23" s="1311">
        <v>205172</v>
      </c>
      <c r="U23" s="1311">
        <v>98007</v>
      </c>
      <c r="V23" s="1311">
        <v>11118</v>
      </c>
      <c r="W23" s="1311">
        <v>72269.459999999992</v>
      </c>
      <c r="X23" s="1311">
        <v>466891</v>
      </c>
      <c r="Y23" s="1311">
        <v>75305.489999999991</v>
      </c>
      <c r="Z23" s="1311">
        <v>144347.84</v>
      </c>
      <c r="AA23" s="1311">
        <v>77350</v>
      </c>
      <c r="AB23" s="1311">
        <v>26856</v>
      </c>
      <c r="AC23" s="1311">
        <v>38457</v>
      </c>
      <c r="AD23" s="1311">
        <v>70913</v>
      </c>
      <c r="AE23" s="1311">
        <v>73893</v>
      </c>
      <c r="AF23" s="1311">
        <v>77920</v>
      </c>
      <c r="AG23" s="1311">
        <v>75190</v>
      </c>
      <c r="AH23" s="1694">
        <v>20995</v>
      </c>
      <c r="AI23" s="1689">
        <v>11748.5</v>
      </c>
      <c r="AJ23" s="1689">
        <v>34127.869999999995</v>
      </c>
      <c r="AK23" s="1689">
        <v>24773.17</v>
      </c>
      <c r="AL23" s="1689">
        <v>107415.05</v>
      </c>
      <c r="AM23" s="1689">
        <v>23409.17</v>
      </c>
      <c r="AN23" s="1689">
        <v>169056.15</v>
      </c>
      <c r="AO23" s="1689">
        <v>6215.5</v>
      </c>
      <c r="AP23" s="1689">
        <v>33491.160000000003</v>
      </c>
      <c r="AQ23" s="1689">
        <v>43541.85</v>
      </c>
      <c r="AR23" s="1689">
        <v>117099.53</v>
      </c>
      <c r="AS23" s="1689">
        <v>50257.5</v>
      </c>
      <c r="AT23" s="1689">
        <v>211520</v>
      </c>
      <c r="AU23" s="1689"/>
      <c r="AV23" s="1689"/>
      <c r="AW23" s="1689"/>
      <c r="AX23" s="1945"/>
      <c r="AY23" s="1689">
        <v>8956.16</v>
      </c>
      <c r="AZ23" s="1950">
        <v>180855</v>
      </c>
      <c r="BA23" s="1950">
        <v>72000</v>
      </c>
      <c r="BB23" s="1950">
        <v>11118</v>
      </c>
      <c r="BC23" s="1950">
        <v>32243.46</v>
      </c>
      <c r="BD23" s="1952">
        <v>157437</v>
      </c>
      <c r="BE23" s="1949">
        <v>48761.49</v>
      </c>
      <c r="BF23" s="1689">
        <v>123817</v>
      </c>
      <c r="BG23" s="1689">
        <v>70360</v>
      </c>
      <c r="BH23" s="1689">
        <v>18558</v>
      </c>
      <c r="BI23" s="1689">
        <v>23043</v>
      </c>
      <c r="BJ23" s="1689">
        <v>70913</v>
      </c>
      <c r="BK23" s="1689">
        <v>48038</v>
      </c>
      <c r="BL23" s="1689">
        <v>52427</v>
      </c>
      <c r="BM23" s="1689">
        <v>48152</v>
      </c>
      <c r="BN23" s="1689">
        <v>11289</v>
      </c>
      <c r="BO23" s="1487">
        <v>7785.56</v>
      </c>
      <c r="BP23" s="1487">
        <v>7912.29</v>
      </c>
      <c r="BQ23" s="1487">
        <v>9806.91</v>
      </c>
      <c r="BR23" s="1487">
        <v>7925.6100000000006</v>
      </c>
      <c r="BS23" s="1487">
        <v>9738.2099999999991</v>
      </c>
      <c r="BT23" s="1487">
        <v>36708.86</v>
      </c>
      <c r="BU23" s="1487">
        <v>140.35</v>
      </c>
      <c r="BV23" s="1487">
        <v>13555.7</v>
      </c>
      <c r="BW23" s="1487">
        <v>17534.786944444488</v>
      </c>
      <c r="BX23" s="1487">
        <v>54927.310000000012</v>
      </c>
      <c r="BY23" s="1487">
        <v>62237.69</v>
      </c>
      <c r="BZ23" s="1487">
        <v>110289.76000000001</v>
      </c>
      <c r="CA23" s="1487">
        <v>22889.84</v>
      </c>
      <c r="CB23" s="1487">
        <v>18094.150000000001</v>
      </c>
      <c r="CC23" s="1487"/>
      <c r="CD23" s="1487">
        <v>35464</v>
      </c>
      <c r="CE23" s="1487">
        <v>3818.8</v>
      </c>
      <c r="CF23" s="1487">
        <v>24317</v>
      </c>
      <c r="CG23" s="1487">
        <v>26007</v>
      </c>
      <c r="CH23" s="1487"/>
      <c r="CI23" s="1487">
        <v>40026</v>
      </c>
      <c r="CJ23" s="1487">
        <v>309454</v>
      </c>
      <c r="CK23" s="1487">
        <v>26544</v>
      </c>
      <c r="CL23" s="1487">
        <v>20530.84</v>
      </c>
      <c r="CM23" s="1487">
        <v>6990</v>
      </c>
      <c r="CN23" s="1487">
        <v>8298</v>
      </c>
      <c r="CO23" s="1487">
        <v>15414</v>
      </c>
      <c r="CP23" s="1487"/>
      <c r="CQ23" s="1487">
        <v>25855</v>
      </c>
      <c r="CR23" s="1487">
        <v>25493</v>
      </c>
      <c r="CS23" s="1487">
        <v>27038</v>
      </c>
      <c r="CT23" s="1487">
        <v>9706</v>
      </c>
      <c r="CU23" s="358">
        <f>SUM(AI23:BC23)+SUM(BO23:CI23)+'HH ALICORP'!B26</f>
        <v>1647007.8969444446</v>
      </c>
      <c r="CV23" s="358">
        <f t="shared" si="34"/>
        <v>1137828.07</v>
      </c>
      <c r="CW23" s="358">
        <f t="shared" si="35"/>
        <v>509179.82694444456</v>
      </c>
      <c r="CX23" s="691">
        <f t="shared" si="36"/>
        <v>2113898.8969444446</v>
      </c>
    </row>
    <row r="24" spans="1:102" hidden="1">
      <c r="A24" s="1309">
        <v>43739</v>
      </c>
      <c r="B24" s="1311">
        <v>17847</v>
      </c>
      <c r="C24" s="1311">
        <v>41489.06</v>
      </c>
      <c r="D24" s="1311">
        <v>31234.160000000003</v>
      </c>
      <c r="E24" s="1311">
        <v>109780.26000000001</v>
      </c>
      <c r="F24" s="1311">
        <v>35601.25</v>
      </c>
      <c r="G24" s="1311">
        <v>199244.07</v>
      </c>
      <c r="H24" s="1311">
        <v>6068.91</v>
      </c>
      <c r="I24" s="1311">
        <v>40420.5</v>
      </c>
      <c r="J24" s="1311">
        <v>66460.101666666655</v>
      </c>
      <c r="K24" s="1311">
        <v>161655.52000000002</v>
      </c>
      <c r="L24" s="1311">
        <v>108915.08</v>
      </c>
      <c r="M24" s="1311">
        <v>340116.86</v>
      </c>
      <c r="N24" s="1311">
        <v>25227.64</v>
      </c>
      <c r="O24" s="1311">
        <v>11670.99</v>
      </c>
      <c r="P24" s="1311">
        <v>35512</v>
      </c>
      <c r="Q24" s="1311"/>
      <c r="R24" s="1311"/>
      <c r="S24" s="1311">
        <v>13982.54</v>
      </c>
      <c r="T24" s="1311">
        <v>226171</v>
      </c>
      <c r="U24" s="1311">
        <v>101132</v>
      </c>
      <c r="V24" s="1311">
        <v>11574</v>
      </c>
      <c r="W24" s="1311">
        <v>68921</v>
      </c>
      <c r="X24" s="1311">
        <v>386604</v>
      </c>
      <c r="Y24" s="1311">
        <v>89303.360000000001</v>
      </c>
      <c r="Z24" s="1311">
        <v>153856</v>
      </c>
      <c r="AA24" s="1311">
        <v>77350</v>
      </c>
      <c r="AB24" s="1311">
        <v>26856</v>
      </c>
      <c r="AC24" s="1311">
        <v>38457</v>
      </c>
      <c r="AD24" s="1311">
        <v>68045</v>
      </c>
      <c r="AE24" s="1311">
        <v>62220.27</v>
      </c>
      <c r="AF24" s="1311">
        <v>68652</v>
      </c>
      <c r="AG24" s="1311">
        <v>60898</v>
      </c>
      <c r="AH24" s="1694">
        <v>20995</v>
      </c>
      <c r="AI24" s="1689">
        <v>10586.78</v>
      </c>
      <c r="AJ24" s="1689">
        <v>33052.25</v>
      </c>
      <c r="AK24" s="1689">
        <v>24548.15</v>
      </c>
      <c r="AL24" s="1689">
        <v>102017.94</v>
      </c>
      <c r="AM24" s="1689">
        <v>21934.17</v>
      </c>
      <c r="AN24" s="1689">
        <v>162173.79999999999</v>
      </c>
      <c r="AO24" s="1689">
        <v>6022</v>
      </c>
      <c r="AP24" s="1689">
        <v>29844.5</v>
      </c>
      <c r="AQ24" s="1689">
        <v>40976</v>
      </c>
      <c r="AR24" s="1689">
        <v>112652.5</v>
      </c>
      <c r="AS24" s="1689">
        <v>48707.5</v>
      </c>
      <c r="AT24" s="1689">
        <v>218564</v>
      </c>
      <c r="AU24" s="1689"/>
      <c r="AV24" s="1689"/>
      <c r="AW24" s="1689"/>
      <c r="AX24" s="1945"/>
      <c r="AY24" s="1689">
        <v>9825.92</v>
      </c>
      <c r="AZ24" s="1950">
        <v>201868</v>
      </c>
      <c r="BA24" s="1950">
        <v>71850</v>
      </c>
      <c r="BB24" s="1950">
        <v>11574</v>
      </c>
      <c r="BC24" s="1950">
        <v>27239</v>
      </c>
      <c r="BD24" s="1952">
        <v>141700</v>
      </c>
      <c r="BE24" s="1949">
        <v>55663.360000000001</v>
      </c>
      <c r="BF24" s="1689">
        <v>134797</v>
      </c>
      <c r="BG24" s="1689">
        <v>70360</v>
      </c>
      <c r="BH24" s="1689">
        <v>18558</v>
      </c>
      <c r="BI24" s="1689">
        <v>23043</v>
      </c>
      <c r="BJ24" s="1689">
        <v>68045</v>
      </c>
      <c r="BK24" s="1689">
        <v>47018.27</v>
      </c>
      <c r="BL24" s="1689">
        <v>44908</v>
      </c>
      <c r="BM24" s="1689">
        <v>46306</v>
      </c>
      <c r="BN24" s="1689">
        <v>11289</v>
      </c>
      <c r="BO24" s="1487">
        <v>7260.22</v>
      </c>
      <c r="BP24" s="1487">
        <v>8436.81</v>
      </c>
      <c r="BQ24" s="1487">
        <v>6686.01</v>
      </c>
      <c r="BR24" s="1487">
        <v>7762.3200000000006</v>
      </c>
      <c r="BS24" s="1487">
        <v>13667.08</v>
      </c>
      <c r="BT24" s="1487">
        <v>37070.270000000004</v>
      </c>
      <c r="BU24" s="1487">
        <v>46.91</v>
      </c>
      <c r="BV24" s="1487">
        <v>10576</v>
      </c>
      <c r="BW24" s="1487">
        <v>25484.101666666651</v>
      </c>
      <c r="BX24" s="1487">
        <v>49003.020000000004</v>
      </c>
      <c r="BY24" s="1487">
        <v>60207.58</v>
      </c>
      <c r="BZ24" s="1487">
        <v>121552.86000000002</v>
      </c>
      <c r="CA24" s="1487">
        <v>25227.64</v>
      </c>
      <c r="CB24" s="1487">
        <v>11670.99</v>
      </c>
      <c r="CC24" s="1487"/>
      <c r="CD24" s="1487">
        <v>35512</v>
      </c>
      <c r="CE24" s="1487">
        <v>4156.62</v>
      </c>
      <c r="CF24" s="1487">
        <v>24303</v>
      </c>
      <c r="CG24" s="1487">
        <v>29282</v>
      </c>
      <c r="CH24" s="1487"/>
      <c r="CI24" s="1487">
        <v>41682</v>
      </c>
      <c r="CJ24" s="1487">
        <v>244904</v>
      </c>
      <c r="CK24" s="1487">
        <v>33640</v>
      </c>
      <c r="CL24" s="1487">
        <v>19059</v>
      </c>
      <c r="CM24" s="1487">
        <v>6990</v>
      </c>
      <c r="CN24" s="1487">
        <v>8298</v>
      </c>
      <c r="CO24" s="1487">
        <v>15414</v>
      </c>
      <c r="CP24" s="1487"/>
      <c r="CQ24" s="1487">
        <v>15202</v>
      </c>
      <c r="CR24" s="1487">
        <v>23744</v>
      </c>
      <c r="CS24" s="1487">
        <v>14592</v>
      </c>
      <c r="CT24" s="1487">
        <v>9706</v>
      </c>
      <c r="CU24" s="358">
        <f>SUM(AI24:BC24)+SUM(BO24:CI24)+'HH ALICORP'!B27</f>
        <v>1661376.9416666667</v>
      </c>
      <c r="CV24" s="358">
        <f t="shared" si="34"/>
        <v>1133436.51</v>
      </c>
      <c r="CW24" s="358">
        <f t="shared" si="35"/>
        <v>519587.43166666664</v>
      </c>
      <c r="CX24" s="691">
        <f t="shared" si="36"/>
        <v>2047980.9416666667</v>
      </c>
    </row>
    <row r="25" spans="1:102" hidden="1">
      <c r="A25" s="1309">
        <v>43770</v>
      </c>
      <c r="B25" s="1311">
        <v>17455.16</v>
      </c>
      <c r="C25" s="1311">
        <v>39324.49</v>
      </c>
      <c r="D25" s="1311">
        <v>32590.549999999996</v>
      </c>
      <c r="E25" s="1311">
        <v>114521.84</v>
      </c>
      <c r="F25" s="1311">
        <v>29149.050000000003</v>
      </c>
      <c r="G25" s="1311">
        <v>199740.82</v>
      </c>
      <c r="H25" s="1311">
        <v>7168.12</v>
      </c>
      <c r="I25" s="1311">
        <v>44582.479999999996</v>
      </c>
      <c r="J25" s="1311">
        <v>62174.352222222231</v>
      </c>
      <c r="K25" s="1311">
        <v>172772.14</v>
      </c>
      <c r="L25" s="1311">
        <v>112148.2</v>
      </c>
      <c r="M25" s="1311">
        <v>337293.33999999997</v>
      </c>
      <c r="N25" s="1311">
        <v>23582.43</v>
      </c>
      <c r="O25" s="1311">
        <v>28845.54</v>
      </c>
      <c r="P25" s="1311">
        <v>35464</v>
      </c>
      <c r="Q25" s="1311"/>
      <c r="R25" s="1311"/>
      <c r="S25" s="1311">
        <v>13401.980000000001</v>
      </c>
      <c r="T25" s="1311">
        <v>212523</v>
      </c>
      <c r="U25" s="1311">
        <v>100035</v>
      </c>
      <c r="V25" s="1311">
        <v>10878</v>
      </c>
      <c r="W25" s="1311">
        <v>69681</v>
      </c>
      <c r="X25" s="1311">
        <v>394556</v>
      </c>
      <c r="Y25" s="1311">
        <v>96303.360000000001</v>
      </c>
      <c r="Z25" s="1311">
        <v>147888</v>
      </c>
      <c r="AA25" s="1311">
        <v>77350</v>
      </c>
      <c r="AB25" s="1311">
        <v>26856</v>
      </c>
      <c r="AC25" s="1311">
        <v>38457</v>
      </c>
      <c r="AD25" s="1311">
        <v>77415</v>
      </c>
      <c r="AE25" s="1311">
        <v>55019</v>
      </c>
      <c r="AF25" s="1311">
        <v>62492.56</v>
      </c>
      <c r="AG25" s="1311">
        <v>68269</v>
      </c>
      <c r="AH25" s="1694">
        <v>20995</v>
      </c>
      <c r="AI25" s="1689">
        <v>10408</v>
      </c>
      <c r="AJ25" s="1689">
        <v>33195.5</v>
      </c>
      <c r="AK25" s="1689">
        <v>26029.309999999998</v>
      </c>
      <c r="AL25" s="1689">
        <v>103843.31</v>
      </c>
      <c r="AM25" s="1689">
        <v>22567.08</v>
      </c>
      <c r="AN25" s="1689">
        <v>168783.96000000002</v>
      </c>
      <c r="AO25" s="1689">
        <v>6926.5</v>
      </c>
      <c r="AP25" s="1689">
        <v>31832.5</v>
      </c>
      <c r="AQ25" s="1689">
        <v>39425.800000000003</v>
      </c>
      <c r="AR25" s="1689">
        <v>118298</v>
      </c>
      <c r="AS25" s="1689">
        <v>51891.5</v>
      </c>
      <c r="AT25" s="1689">
        <v>223852</v>
      </c>
      <c r="AU25" s="1689"/>
      <c r="AV25" s="1689"/>
      <c r="AW25" s="1689"/>
      <c r="AX25" s="1945"/>
      <c r="AY25" s="1689">
        <v>9430.9000000000015</v>
      </c>
      <c r="AZ25" s="1950">
        <v>189082</v>
      </c>
      <c r="BA25" s="1950">
        <v>71030</v>
      </c>
      <c r="BB25" s="1950">
        <v>10878</v>
      </c>
      <c r="BC25" s="1950">
        <v>26624</v>
      </c>
      <c r="BD25" s="1952">
        <v>148613</v>
      </c>
      <c r="BE25" s="1949">
        <v>58663.360000000001</v>
      </c>
      <c r="BF25" s="1689">
        <v>129589</v>
      </c>
      <c r="BG25" s="1689">
        <v>70360</v>
      </c>
      <c r="BH25" s="1689">
        <v>18558</v>
      </c>
      <c r="BI25" s="1689">
        <v>23043</v>
      </c>
      <c r="BJ25" s="1689">
        <v>77415</v>
      </c>
      <c r="BK25" s="1689">
        <v>40356</v>
      </c>
      <c r="BL25" s="1689">
        <v>42552</v>
      </c>
      <c r="BM25" s="1689">
        <v>45292</v>
      </c>
      <c r="BN25" s="1689">
        <v>11289</v>
      </c>
      <c r="BO25" s="1487">
        <v>7047.16</v>
      </c>
      <c r="BP25" s="1487">
        <v>6128.9900000000007</v>
      </c>
      <c r="BQ25" s="1487">
        <v>6561.24</v>
      </c>
      <c r="BR25" s="1487">
        <v>10678.53</v>
      </c>
      <c r="BS25" s="1487">
        <v>6581.9699999999993</v>
      </c>
      <c r="BT25" s="1487">
        <v>30956.86</v>
      </c>
      <c r="BU25" s="1487">
        <v>241.62</v>
      </c>
      <c r="BV25" s="1487">
        <v>12749.98</v>
      </c>
      <c r="BW25" s="1487">
        <v>22748.552222222228</v>
      </c>
      <c r="BX25" s="1487">
        <v>54474.14</v>
      </c>
      <c r="BY25" s="1487">
        <v>60256.7</v>
      </c>
      <c r="BZ25" s="1487">
        <v>113441.34</v>
      </c>
      <c r="CA25" s="1487">
        <v>23582.43</v>
      </c>
      <c r="CB25" s="1487">
        <v>28845.54</v>
      </c>
      <c r="CC25" s="1487"/>
      <c r="CD25" s="1487">
        <v>35464</v>
      </c>
      <c r="CE25" s="1487">
        <v>3971.08</v>
      </c>
      <c r="CF25" s="1487">
        <v>23441</v>
      </c>
      <c r="CG25" s="1487">
        <v>29005</v>
      </c>
      <c r="CH25" s="1487"/>
      <c r="CI25" s="1487">
        <v>43057</v>
      </c>
      <c r="CJ25" s="1487">
        <v>245943</v>
      </c>
      <c r="CK25" s="1487">
        <v>37640</v>
      </c>
      <c r="CL25" s="1487">
        <v>18299</v>
      </c>
      <c r="CM25" s="1487">
        <v>6990</v>
      </c>
      <c r="CN25" s="1487">
        <v>8298</v>
      </c>
      <c r="CO25" s="1487">
        <v>15414</v>
      </c>
      <c r="CP25" s="1487"/>
      <c r="CQ25" s="1487">
        <v>14663</v>
      </c>
      <c r="CR25" s="1487">
        <v>19940.560000000001</v>
      </c>
      <c r="CS25" s="1487">
        <v>22977</v>
      </c>
      <c r="CT25" s="1487">
        <v>9706</v>
      </c>
      <c r="CU25" s="358">
        <f>SUM(AI25:BC25)+SUM(BO25:CI25)+'HH ALICORP'!B28</f>
        <v>1678702.742222222</v>
      </c>
      <c r="CV25" s="358">
        <f t="shared" si="34"/>
        <v>1144098.3599999999</v>
      </c>
      <c r="CW25" s="358">
        <f t="shared" si="35"/>
        <v>519233.13222222222</v>
      </c>
      <c r="CX25" s="691">
        <f t="shared" si="36"/>
        <v>2073258.742222222</v>
      </c>
    </row>
    <row r="26" spans="1:102" hidden="1">
      <c r="A26" s="1309">
        <v>43800</v>
      </c>
      <c r="B26" s="1311">
        <v>17257.330000000002</v>
      </c>
      <c r="C26" s="1311">
        <v>42773.4</v>
      </c>
      <c r="D26" s="1311">
        <v>32355.559999999998</v>
      </c>
      <c r="E26" s="1311">
        <v>100745.76999999999</v>
      </c>
      <c r="F26" s="1311">
        <v>28603.39</v>
      </c>
      <c r="G26" s="1311">
        <v>186556.61</v>
      </c>
      <c r="H26" s="1311">
        <v>6882.85</v>
      </c>
      <c r="I26" s="1311">
        <v>42633.51</v>
      </c>
      <c r="J26" s="1311">
        <v>59370.73583333334</v>
      </c>
      <c r="K26" s="1311">
        <v>164322.74</v>
      </c>
      <c r="L26" s="1311">
        <v>113383.09</v>
      </c>
      <c r="M26" s="1311">
        <v>337228.95</v>
      </c>
      <c r="N26" s="1311">
        <v>24319.48</v>
      </c>
      <c r="O26" s="1311">
        <v>28612.840000000004</v>
      </c>
      <c r="P26" s="1311">
        <v>35512</v>
      </c>
      <c r="Q26" s="1311"/>
      <c r="R26" s="1311"/>
      <c r="S26" s="1311">
        <v>12287.94</v>
      </c>
      <c r="T26" s="1311">
        <v>143259</v>
      </c>
      <c r="U26" s="1311">
        <v>101659</v>
      </c>
      <c r="V26" s="1311">
        <v>11890</v>
      </c>
      <c r="W26" s="1311">
        <v>65963</v>
      </c>
      <c r="X26" s="1311">
        <v>360869</v>
      </c>
      <c r="Y26" s="1311">
        <v>85555</v>
      </c>
      <c r="Z26" s="1311">
        <v>142473</v>
      </c>
      <c r="AA26" s="1311">
        <v>77350</v>
      </c>
      <c r="AB26" s="1311">
        <v>26856</v>
      </c>
      <c r="AC26" s="1311">
        <v>38457</v>
      </c>
      <c r="AD26" s="1311">
        <v>74485</v>
      </c>
      <c r="AE26" s="1311">
        <v>66338</v>
      </c>
      <c r="AF26" s="1311">
        <v>74702</v>
      </c>
      <c r="AG26" s="1311">
        <v>73077</v>
      </c>
      <c r="AH26" s="1694">
        <v>26863</v>
      </c>
      <c r="AI26" s="1689">
        <v>11467.34</v>
      </c>
      <c r="AJ26" s="1689">
        <v>32668</v>
      </c>
      <c r="AK26" s="1689">
        <v>25257.42</v>
      </c>
      <c r="AL26" s="1689">
        <v>91730.329999999987</v>
      </c>
      <c r="AM26" s="1689">
        <v>22097.33</v>
      </c>
      <c r="AN26" s="1689">
        <v>161421.41999999998</v>
      </c>
      <c r="AO26" s="1689">
        <v>6824</v>
      </c>
      <c r="AP26" s="1689">
        <v>29773.5</v>
      </c>
      <c r="AQ26" s="1689">
        <v>40678.5</v>
      </c>
      <c r="AR26" s="1689">
        <v>120611.8</v>
      </c>
      <c r="AS26" s="1689">
        <v>53052.5</v>
      </c>
      <c r="AT26" s="1689">
        <v>227252</v>
      </c>
      <c r="AU26" s="1689"/>
      <c r="AV26" s="1689"/>
      <c r="AW26" s="1689"/>
      <c r="AX26" s="1945"/>
      <c r="AY26" s="1689">
        <v>8223.59</v>
      </c>
      <c r="AZ26" s="1950">
        <v>118496</v>
      </c>
      <c r="BA26" s="1950">
        <v>74768</v>
      </c>
      <c r="BB26" s="1950">
        <v>11890</v>
      </c>
      <c r="BC26" s="1950">
        <v>25403</v>
      </c>
      <c r="BD26" s="1952">
        <v>127988</v>
      </c>
      <c r="BE26" s="1949">
        <v>52915</v>
      </c>
      <c r="BF26" s="1689">
        <v>123929</v>
      </c>
      <c r="BG26" s="1689">
        <v>70360</v>
      </c>
      <c r="BH26" s="1689">
        <v>18558</v>
      </c>
      <c r="BI26" s="1689">
        <v>23043</v>
      </c>
      <c r="BJ26" s="1689">
        <v>74485</v>
      </c>
      <c r="BK26" s="1689">
        <v>42967</v>
      </c>
      <c r="BL26" s="1689">
        <v>46944</v>
      </c>
      <c r="BM26" s="1689">
        <v>45084</v>
      </c>
      <c r="BN26" s="1689">
        <v>11289</v>
      </c>
      <c r="BO26" s="1487">
        <v>5789.99</v>
      </c>
      <c r="BP26" s="1487">
        <v>10105.400000000001</v>
      </c>
      <c r="BQ26" s="1487">
        <v>7098.14</v>
      </c>
      <c r="BR26" s="1487">
        <v>9015.4399999999987</v>
      </c>
      <c r="BS26" s="1487">
        <v>6506.0599999999995</v>
      </c>
      <c r="BT26" s="1487">
        <v>25135.19</v>
      </c>
      <c r="BU26" s="1487">
        <v>58.85</v>
      </c>
      <c r="BV26" s="1487">
        <v>12860.01</v>
      </c>
      <c r="BW26" s="1487">
        <v>18692.235833333336</v>
      </c>
      <c r="BX26" s="1487">
        <v>43710.94</v>
      </c>
      <c r="BY26" s="1487">
        <v>60330.59</v>
      </c>
      <c r="BZ26" s="1487">
        <v>109976.95000000001</v>
      </c>
      <c r="CA26" s="1487">
        <v>24319.48</v>
      </c>
      <c r="CB26" s="1487">
        <v>28612.840000000004</v>
      </c>
      <c r="CC26" s="1487"/>
      <c r="CD26" s="1487">
        <v>35512</v>
      </c>
      <c r="CE26" s="1487">
        <v>4064.35</v>
      </c>
      <c r="CF26" s="1487">
        <v>24763</v>
      </c>
      <c r="CG26" s="1487">
        <v>26891</v>
      </c>
      <c r="CH26" s="1487"/>
      <c r="CI26" s="1487">
        <v>40560</v>
      </c>
      <c r="CJ26" s="1487">
        <v>232881</v>
      </c>
      <c r="CK26" s="1487">
        <v>32640</v>
      </c>
      <c r="CL26" s="1487">
        <v>18544</v>
      </c>
      <c r="CM26" s="1487">
        <v>6990</v>
      </c>
      <c r="CN26" s="1487">
        <v>8298</v>
      </c>
      <c r="CO26" s="1487">
        <v>15414</v>
      </c>
      <c r="CP26" s="1487"/>
      <c r="CQ26" s="1487">
        <v>23371</v>
      </c>
      <c r="CR26" s="1487">
        <v>27758</v>
      </c>
      <c r="CS26" s="1487">
        <v>27993</v>
      </c>
      <c r="CT26" s="1487">
        <v>15574</v>
      </c>
      <c r="CU26" s="358">
        <f>SUM(AI26:BC26)+SUM(BO26:CI26)+'HH ALICORP'!B29</f>
        <v>1555617.1958333333</v>
      </c>
      <c r="CV26" s="358">
        <f t="shared" si="34"/>
        <v>1061614.73</v>
      </c>
      <c r="CW26" s="358">
        <f t="shared" si="35"/>
        <v>494002.46583333338</v>
      </c>
      <c r="CX26" s="691">
        <f t="shared" si="36"/>
        <v>1916486.1958333333</v>
      </c>
    </row>
    <row r="27" spans="1:102" hidden="1">
      <c r="A27" s="1309">
        <v>43831</v>
      </c>
      <c r="B27" s="1311">
        <f t="shared" ref="B27:O27" si="37">+AI27+BO27</f>
        <v>15843.8</v>
      </c>
      <c r="C27" s="1311">
        <f t="shared" si="37"/>
        <v>39711.99</v>
      </c>
      <c r="D27" s="1311">
        <f t="shared" si="37"/>
        <v>29876.86</v>
      </c>
      <c r="E27" s="1311">
        <f t="shared" si="37"/>
        <v>88026.91</v>
      </c>
      <c r="F27" s="1311">
        <f t="shared" si="37"/>
        <v>28828.720000000001</v>
      </c>
      <c r="G27" s="1311">
        <f t="shared" si="37"/>
        <v>182626.41999999998</v>
      </c>
      <c r="H27" s="1311">
        <f t="shared" si="37"/>
        <v>5962</v>
      </c>
      <c r="I27" s="1311">
        <f t="shared" si="37"/>
        <v>40528.729999999996</v>
      </c>
      <c r="J27" s="1311">
        <f t="shared" si="37"/>
        <v>58307.48</v>
      </c>
      <c r="K27" s="1311">
        <f t="shared" si="37"/>
        <v>174664.72999999998</v>
      </c>
      <c r="L27" s="1311">
        <f t="shared" si="37"/>
        <v>101929.01000000001</v>
      </c>
      <c r="M27" s="1311">
        <f t="shared" si="37"/>
        <v>342115.8</v>
      </c>
      <c r="N27" s="1311">
        <f t="shared" si="37"/>
        <v>27715.01</v>
      </c>
      <c r="O27" s="1311">
        <f t="shared" si="37"/>
        <v>37275.65</v>
      </c>
      <c r="P27" s="1311">
        <f t="shared" ref="P27:P38" si="38">+AW27+CD27</f>
        <v>35512</v>
      </c>
      <c r="Q27" s="1311"/>
      <c r="R27" s="1311"/>
      <c r="S27" s="1311">
        <f t="shared" ref="S27:AH27" si="39">+AY27+CE27</f>
        <v>10189.34</v>
      </c>
      <c r="T27" s="1311">
        <f t="shared" si="39"/>
        <v>130846</v>
      </c>
      <c r="U27" s="1311">
        <f t="shared" si="39"/>
        <v>126835.89000000001</v>
      </c>
      <c r="V27" s="1311">
        <f t="shared" si="39"/>
        <v>10633.7</v>
      </c>
      <c r="W27" s="1311">
        <f t="shared" si="39"/>
        <v>55463</v>
      </c>
      <c r="X27" s="1311">
        <f t="shared" si="39"/>
        <v>383393</v>
      </c>
      <c r="Y27" s="1311">
        <f t="shared" si="39"/>
        <v>89206.99</v>
      </c>
      <c r="Z27" s="1311">
        <f t="shared" si="39"/>
        <v>156697</v>
      </c>
      <c r="AA27" s="1311">
        <f t="shared" si="39"/>
        <v>75133</v>
      </c>
      <c r="AB27" s="1311">
        <f t="shared" si="39"/>
        <v>11631</v>
      </c>
      <c r="AC27" s="1311">
        <f t="shared" si="39"/>
        <v>33634</v>
      </c>
      <c r="AD27" s="1311">
        <f t="shared" si="39"/>
        <v>78525</v>
      </c>
      <c r="AE27" s="1311">
        <f t="shared" si="39"/>
        <v>82685.442222233105</v>
      </c>
      <c r="AF27" s="1311">
        <f t="shared" si="39"/>
        <v>74496.540000000008</v>
      </c>
      <c r="AG27" s="1311">
        <f t="shared" si="39"/>
        <v>108260</v>
      </c>
      <c r="AH27" s="1694">
        <f t="shared" si="39"/>
        <v>17782</v>
      </c>
      <c r="AI27" s="1689">
        <v>10109</v>
      </c>
      <c r="AJ27" s="1689">
        <v>30079.5</v>
      </c>
      <c r="AK27" s="1689">
        <v>23082.5</v>
      </c>
      <c r="AL27" s="1689">
        <v>76413.25</v>
      </c>
      <c r="AM27" s="1689">
        <v>18942.25</v>
      </c>
      <c r="AN27" s="1689">
        <v>152135.75</v>
      </c>
      <c r="AO27" s="1689">
        <v>5962</v>
      </c>
      <c r="AP27" s="1689">
        <v>28389</v>
      </c>
      <c r="AQ27" s="1689">
        <v>37735</v>
      </c>
      <c r="AR27" s="1689">
        <v>114360.17</v>
      </c>
      <c r="AS27" s="1689">
        <v>51537.380000000005</v>
      </c>
      <c r="AT27" s="1689">
        <v>232588</v>
      </c>
      <c r="AU27" s="1689"/>
      <c r="AV27" s="1689"/>
      <c r="AW27" s="1689"/>
      <c r="AX27" s="1945"/>
      <c r="AY27" s="1689">
        <v>7698.55</v>
      </c>
      <c r="AZ27" s="1950">
        <v>109415</v>
      </c>
      <c r="BA27" s="1950">
        <v>72793.48000000001</v>
      </c>
      <c r="BB27" s="1950">
        <v>10633.7</v>
      </c>
      <c r="BC27" s="1950">
        <v>22142</v>
      </c>
      <c r="BD27" s="1952">
        <v>145736</v>
      </c>
      <c r="BE27" s="1949">
        <v>57053.990000000005</v>
      </c>
      <c r="BF27" s="1689">
        <v>135117</v>
      </c>
      <c r="BG27" s="1689">
        <v>70360</v>
      </c>
      <c r="BH27" s="1689">
        <v>7242</v>
      </c>
      <c r="BI27" s="1689">
        <v>21859</v>
      </c>
      <c r="BJ27" s="1689">
        <v>53990</v>
      </c>
      <c r="BK27" s="1689">
        <v>42587.409999999996</v>
      </c>
      <c r="BL27" s="1689">
        <v>47539</v>
      </c>
      <c r="BM27" s="1689">
        <v>79961</v>
      </c>
      <c r="BN27" s="1689">
        <v>12348</v>
      </c>
      <c r="BO27" s="1487">
        <v>5734.8</v>
      </c>
      <c r="BP27" s="1487">
        <v>9632.49</v>
      </c>
      <c r="BQ27" s="1487">
        <v>6794.36</v>
      </c>
      <c r="BR27" s="1487">
        <v>11613.66</v>
      </c>
      <c r="BS27" s="1487">
        <v>9886.4699999999993</v>
      </c>
      <c r="BT27" s="1487">
        <v>30490.67</v>
      </c>
      <c r="BU27" s="1487">
        <v>0</v>
      </c>
      <c r="BV27" s="1487">
        <v>12139.73</v>
      </c>
      <c r="BW27" s="1487">
        <v>20572.480000000003</v>
      </c>
      <c r="BX27" s="1487">
        <v>60304.56</v>
      </c>
      <c r="BY27" s="1487">
        <v>50391.63</v>
      </c>
      <c r="BZ27" s="1487">
        <v>109527.8</v>
      </c>
      <c r="CA27" s="1487">
        <v>27715.01</v>
      </c>
      <c r="CB27" s="1487">
        <v>37275.65</v>
      </c>
      <c r="CC27" s="1487"/>
      <c r="CD27" s="1487">
        <v>35512</v>
      </c>
      <c r="CE27" s="1487">
        <v>2490.79</v>
      </c>
      <c r="CF27" s="1487">
        <v>21431</v>
      </c>
      <c r="CG27" s="1487">
        <v>54042.41</v>
      </c>
      <c r="CH27" s="1487"/>
      <c r="CI27" s="1487">
        <v>33321</v>
      </c>
      <c r="CJ27" s="1487">
        <v>237657</v>
      </c>
      <c r="CK27" s="1487">
        <v>32153</v>
      </c>
      <c r="CL27" s="1487">
        <v>21580</v>
      </c>
      <c r="CM27" s="1487">
        <v>4773</v>
      </c>
      <c r="CN27" s="1487">
        <v>4389</v>
      </c>
      <c r="CO27" s="1487">
        <v>11775</v>
      </c>
      <c r="CP27" s="1487">
        <v>24535</v>
      </c>
      <c r="CQ27" s="1487">
        <v>40098.032222233101</v>
      </c>
      <c r="CR27" s="1487">
        <v>26957.54</v>
      </c>
      <c r="CS27" s="1487">
        <v>28299</v>
      </c>
      <c r="CT27" s="1487">
        <v>5434</v>
      </c>
      <c r="CU27" s="358">
        <f>SUM(AI27:BC27)+SUM(BO27:CI27)+'HH ALICORP'!B30</f>
        <v>1542893.04</v>
      </c>
      <c r="CV27" s="358">
        <f t="shared" si="34"/>
        <v>1004016.53</v>
      </c>
      <c r="CW27" s="358">
        <f t="shared" si="35"/>
        <v>538876.51</v>
      </c>
      <c r="CX27" s="691">
        <f t="shared" ref="CX27:CX38" si="40">+CU27+BD27+CJ27</f>
        <v>1926286.04</v>
      </c>
    </row>
    <row r="28" spans="1:102" hidden="1">
      <c r="A28" s="1309">
        <v>43862</v>
      </c>
      <c r="B28" s="1311">
        <f t="shared" ref="B28:B50" si="41">+AI28+BO28</f>
        <v>19958.59</v>
      </c>
      <c r="C28" s="1311">
        <f t="shared" ref="C28:C50" si="42">+AJ28+BP28</f>
        <v>37267.369999999995</v>
      </c>
      <c r="D28" s="1311">
        <f t="shared" ref="D28:D50" si="43">+AK28+BQ28</f>
        <v>37527.279999999999</v>
      </c>
      <c r="E28" s="1311">
        <f t="shared" ref="E28:E50" si="44">+AL28+BR28</f>
        <v>109103.83000000002</v>
      </c>
      <c r="F28" s="1311">
        <f t="shared" ref="F28:F50" si="45">+AM28+BS28</f>
        <v>24702.68</v>
      </c>
      <c r="G28" s="1311">
        <f t="shared" ref="G28:G50" si="46">+AN28+BT28</f>
        <v>186432.33000000002</v>
      </c>
      <c r="H28" s="1311">
        <f t="shared" ref="H28:H50" si="47">+AO28+BU28</f>
        <v>5675.65</v>
      </c>
      <c r="I28" s="1311">
        <f t="shared" ref="I28:I50" si="48">+AP28+BV28</f>
        <v>40508.589999999997</v>
      </c>
      <c r="J28" s="1311">
        <f t="shared" ref="J28:J50" si="49">+AQ28+BW28</f>
        <v>57774.99</v>
      </c>
      <c r="K28" s="1311">
        <f t="shared" ref="K28:K50" si="50">+AR28+BX28</f>
        <v>170323.5</v>
      </c>
      <c r="L28" s="1311">
        <f t="shared" ref="L28:L50" si="51">+AS28+BY28</f>
        <v>106254.42</v>
      </c>
      <c r="M28" s="1311">
        <f t="shared" ref="M28:M50" si="52">+AT28+BZ28</f>
        <v>358603.72</v>
      </c>
      <c r="N28" s="1311">
        <f t="shared" ref="N28:N50" si="53">+AU28+CA28</f>
        <v>21459.93</v>
      </c>
      <c r="O28" s="1311">
        <f t="shared" ref="O28:O50" si="54">+AV28+CB28</f>
        <v>46069.619999999995</v>
      </c>
      <c r="P28" s="1311">
        <f t="shared" si="38"/>
        <v>35512</v>
      </c>
      <c r="Q28" s="1311"/>
      <c r="R28" s="1311"/>
      <c r="S28" s="1311">
        <f t="shared" ref="S28:S45" si="55">+AY28+CE28</f>
        <v>9812.9</v>
      </c>
      <c r="T28" s="1311">
        <f t="shared" ref="T28:T45" si="56">+AZ28+CF28</f>
        <v>110165</v>
      </c>
      <c r="U28" s="1311">
        <f t="shared" ref="U28:U50" si="57">+BA28+CG28</f>
        <v>99722.53</v>
      </c>
      <c r="V28" s="1311">
        <f t="shared" ref="V28:V50" si="58">+BB28+CH28</f>
        <v>10775.43</v>
      </c>
      <c r="W28" s="1311">
        <f t="shared" ref="W28:W50" si="59">+BC28+CI28</f>
        <v>54612</v>
      </c>
      <c r="X28" s="1311">
        <f t="shared" ref="X28:X50" si="60">+BD28+CJ28</f>
        <v>470855</v>
      </c>
      <c r="Y28" s="1311">
        <f t="shared" ref="Y28:Y50" si="61">+BE28+CK28</f>
        <v>89412.43</v>
      </c>
      <c r="Z28" s="1311">
        <f t="shared" ref="Z28:Z50" si="62">+BF28+CL28</f>
        <v>194939</v>
      </c>
      <c r="AA28" s="1311">
        <f t="shared" ref="AA28:AA50" si="63">+BG28+CM28</f>
        <v>75133</v>
      </c>
      <c r="AB28" s="1311">
        <f t="shared" ref="AB28:AB50" si="64">+BH28+CN28</f>
        <v>24984</v>
      </c>
      <c r="AC28" s="1311">
        <f t="shared" ref="AC28:AC50" si="65">+BI28+CO28</f>
        <v>33634</v>
      </c>
      <c r="AD28" s="1311">
        <f t="shared" ref="AD28:AD50" si="66">+BJ28+CP28</f>
        <v>89017</v>
      </c>
      <c r="AE28" s="1311">
        <f t="shared" ref="AE28:AE50" si="67">+BK28+CQ28</f>
        <v>66847.740000000005</v>
      </c>
      <c r="AF28" s="1311">
        <f t="shared" ref="AF28:AF50" si="68">+BL28+CR28</f>
        <v>74971.69</v>
      </c>
      <c r="AG28" s="1311">
        <f t="shared" ref="AG28:AG50" si="69">+BM28+CS28</f>
        <v>123636</v>
      </c>
      <c r="AH28" s="1694">
        <f t="shared" ref="AH28:AH50" si="70">+BN28+CT28</f>
        <v>21385</v>
      </c>
      <c r="AI28" s="1689">
        <v>12053.16</v>
      </c>
      <c r="AJ28" s="1689">
        <v>28215.699999999997</v>
      </c>
      <c r="AK28" s="1689">
        <v>25405.33</v>
      </c>
      <c r="AL28" s="1689">
        <v>94499.110000000015</v>
      </c>
      <c r="AM28" s="1689">
        <v>20499.25</v>
      </c>
      <c r="AN28" s="1689">
        <v>160428.57</v>
      </c>
      <c r="AO28" s="1689">
        <v>5604</v>
      </c>
      <c r="AP28" s="1689">
        <v>24658.5</v>
      </c>
      <c r="AQ28" s="1689">
        <v>38833.5</v>
      </c>
      <c r="AR28" s="1689">
        <v>117392.26</v>
      </c>
      <c r="AS28" s="1689">
        <v>50145.5</v>
      </c>
      <c r="AT28" s="1689">
        <v>257632</v>
      </c>
      <c r="AU28" s="1689"/>
      <c r="AV28" s="1689"/>
      <c r="AW28" s="1689"/>
      <c r="AX28" s="1945"/>
      <c r="AY28" s="1689">
        <v>7585.9</v>
      </c>
      <c r="AZ28" s="1950">
        <v>91396</v>
      </c>
      <c r="BA28" s="1950">
        <v>72978</v>
      </c>
      <c r="BB28" s="1950">
        <v>10775.43</v>
      </c>
      <c r="BC28" s="1950">
        <v>23514</v>
      </c>
      <c r="BD28" s="1952">
        <v>124679</v>
      </c>
      <c r="BE28" s="1949">
        <v>55787.43</v>
      </c>
      <c r="BF28" s="1689">
        <v>169638</v>
      </c>
      <c r="BG28" s="1689">
        <v>70360</v>
      </c>
      <c r="BH28" s="1689">
        <v>16686</v>
      </c>
      <c r="BI28" s="1689">
        <v>21859</v>
      </c>
      <c r="BJ28" s="1689">
        <v>53376</v>
      </c>
      <c r="BK28" s="1689">
        <v>42877.29</v>
      </c>
      <c r="BL28" s="1689">
        <v>48882.67</v>
      </c>
      <c r="BM28" s="1689">
        <v>91566</v>
      </c>
      <c r="BN28" s="1689">
        <v>14074</v>
      </c>
      <c r="BO28" s="1487">
        <v>7905.43</v>
      </c>
      <c r="BP28" s="1487">
        <v>9051.6699999999983</v>
      </c>
      <c r="BQ28" s="1487">
        <v>12121.95</v>
      </c>
      <c r="BR28" s="1487">
        <v>14604.720000000001</v>
      </c>
      <c r="BS28" s="1487">
        <v>4203.4299999999994</v>
      </c>
      <c r="BT28" s="1487">
        <v>26003.759999999998</v>
      </c>
      <c r="BU28" s="1487">
        <v>71.650000000000006</v>
      </c>
      <c r="BV28" s="1487">
        <v>15850.09</v>
      </c>
      <c r="BW28" s="1487">
        <v>18941.489999999998</v>
      </c>
      <c r="BX28" s="1487">
        <v>52931.24</v>
      </c>
      <c r="BY28" s="1487">
        <v>56108.92</v>
      </c>
      <c r="BZ28" s="1487">
        <v>100971.72</v>
      </c>
      <c r="CA28" s="1487">
        <v>21459.93</v>
      </c>
      <c r="CB28" s="1487">
        <v>46069.619999999995</v>
      </c>
      <c r="CC28" s="1487"/>
      <c r="CD28" s="1487">
        <v>35512</v>
      </c>
      <c r="CE28" s="1487">
        <v>2227</v>
      </c>
      <c r="CF28" s="1487">
        <v>18769</v>
      </c>
      <c r="CG28" s="1487">
        <v>26744.53</v>
      </c>
      <c r="CH28" s="1487"/>
      <c r="CI28" s="1487">
        <v>31098</v>
      </c>
      <c r="CJ28" s="1487">
        <v>346176</v>
      </c>
      <c r="CK28" s="1487">
        <v>33625</v>
      </c>
      <c r="CL28" s="1487">
        <v>25301</v>
      </c>
      <c r="CM28" s="1487">
        <v>4773</v>
      </c>
      <c r="CN28" s="1487">
        <v>8298</v>
      </c>
      <c r="CO28" s="1487">
        <v>11775</v>
      </c>
      <c r="CP28" s="1487">
        <v>35641</v>
      </c>
      <c r="CQ28" s="1487">
        <v>23970.45</v>
      </c>
      <c r="CR28" s="1487">
        <v>26089.02</v>
      </c>
      <c r="CS28" s="1487">
        <v>32070</v>
      </c>
      <c r="CT28" s="1487">
        <v>7311</v>
      </c>
      <c r="CU28" s="358">
        <f>SUM(AI28:BC28)+SUM(BO28:CI28)+'HH ALICORP'!C30</f>
        <v>1542262.3599999999</v>
      </c>
      <c r="CV28" s="358">
        <f t="shared" si="34"/>
        <v>1041616.2100000001</v>
      </c>
      <c r="CW28" s="358">
        <f t="shared" si="35"/>
        <v>500646.14999999991</v>
      </c>
      <c r="CX28" s="691">
        <f t="shared" si="40"/>
        <v>2013117.3599999999</v>
      </c>
    </row>
    <row r="29" spans="1:102" hidden="1">
      <c r="A29" s="1309">
        <v>43891</v>
      </c>
      <c r="B29" s="1311">
        <f t="shared" si="41"/>
        <v>15879.31</v>
      </c>
      <c r="C29" s="1311">
        <f t="shared" si="42"/>
        <v>34914.910000000003</v>
      </c>
      <c r="D29" s="1311">
        <f t="shared" si="43"/>
        <v>30941.809999999998</v>
      </c>
      <c r="E29" s="1311">
        <f t="shared" si="44"/>
        <v>105574.45</v>
      </c>
      <c r="F29" s="1311">
        <f t="shared" si="45"/>
        <v>26454.85</v>
      </c>
      <c r="G29" s="1311">
        <f t="shared" si="46"/>
        <v>170779.09</v>
      </c>
      <c r="H29" s="1311">
        <f t="shared" si="47"/>
        <v>6712.89</v>
      </c>
      <c r="I29" s="1311">
        <f t="shared" si="48"/>
        <v>46101.630000000005</v>
      </c>
      <c r="J29" s="1311">
        <f t="shared" si="49"/>
        <v>62928.23</v>
      </c>
      <c r="K29" s="1311">
        <f t="shared" si="50"/>
        <v>170359.05</v>
      </c>
      <c r="L29" s="1311">
        <f t="shared" si="51"/>
        <v>104780.56</v>
      </c>
      <c r="M29" s="1311">
        <f t="shared" si="52"/>
        <v>372971.65</v>
      </c>
      <c r="N29" s="1311">
        <f t="shared" si="53"/>
        <v>17148.449999999997</v>
      </c>
      <c r="O29" s="1311">
        <f t="shared" si="54"/>
        <v>20564.080000000002</v>
      </c>
      <c r="P29" s="1311">
        <f t="shared" si="38"/>
        <v>35512</v>
      </c>
      <c r="Q29" s="1311"/>
      <c r="R29" s="1311"/>
      <c r="S29" s="1311">
        <f t="shared" si="55"/>
        <v>10603.99</v>
      </c>
      <c r="T29" s="1311">
        <f t="shared" si="56"/>
        <v>109272</v>
      </c>
      <c r="U29" s="1311">
        <f t="shared" si="57"/>
        <v>91989.1</v>
      </c>
      <c r="V29" s="1311">
        <f t="shared" si="58"/>
        <v>10738.07</v>
      </c>
      <c r="W29" s="1311">
        <f t="shared" si="59"/>
        <v>56620</v>
      </c>
      <c r="X29" s="1311">
        <f t="shared" si="60"/>
        <v>431330</v>
      </c>
      <c r="Y29" s="1311">
        <f t="shared" si="61"/>
        <v>81527.710000000006</v>
      </c>
      <c r="Z29" s="1311">
        <f t="shared" si="62"/>
        <v>182091</v>
      </c>
      <c r="AA29" s="1311">
        <f t="shared" si="63"/>
        <v>75340</v>
      </c>
      <c r="AB29" s="1311">
        <f t="shared" si="64"/>
        <v>24984</v>
      </c>
      <c r="AC29" s="1311">
        <f t="shared" si="65"/>
        <v>33634</v>
      </c>
      <c r="AD29" s="1311">
        <f t="shared" si="66"/>
        <v>70354</v>
      </c>
      <c r="AE29" s="1311">
        <f t="shared" si="67"/>
        <v>59678.61</v>
      </c>
      <c r="AF29" s="1311">
        <f t="shared" si="68"/>
        <v>74478.62</v>
      </c>
      <c r="AG29" s="1311">
        <f t="shared" si="69"/>
        <v>114062</v>
      </c>
      <c r="AH29" s="1694">
        <f t="shared" si="70"/>
        <v>26343</v>
      </c>
      <c r="AI29" s="1689">
        <v>11376.42</v>
      </c>
      <c r="AJ29" s="1689">
        <v>28441.660000000003</v>
      </c>
      <c r="AK29" s="1689">
        <v>23817.51</v>
      </c>
      <c r="AL29" s="1689">
        <v>96857.93</v>
      </c>
      <c r="AM29" s="1689">
        <v>20592</v>
      </c>
      <c r="AN29" s="1689">
        <v>148742.10999999999</v>
      </c>
      <c r="AO29" s="1689">
        <v>6566</v>
      </c>
      <c r="AP29" s="1689">
        <v>28824.83</v>
      </c>
      <c r="AQ29" s="1689">
        <v>38407.5</v>
      </c>
      <c r="AR29" s="1689">
        <v>114548.49</v>
      </c>
      <c r="AS29" s="1689">
        <v>52360.45</v>
      </c>
      <c r="AT29" s="1689">
        <v>268220</v>
      </c>
      <c r="AU29" s="1689"/>
      <c r="AV29" s="1689"/>
      <c r="AW29" s="1689"/>
      <c r="AX29" s="1945"/>
      <c r="AY29" s="1689">
        <v>8056.67</v>
      </c>
      <c r="AZ29" s="1950">
        <v>91915</v>
      </c>
      <c r="BA29" s="1950">
        <v>73991.5</v>
      </c>
      <c r="BB29" s="1950">
        <v>10738.07</v>
      </c>
      <c r="BC29" s="1950">
        <v>24092</v>
      </c>
      <c r="BD29" s="1952">
        <v>132509</v>
      </c>
      <c r="BE29" s="1949">
        <v>64715.210000000006</v>
      </c>
      <c r="BF29" s="1689">
        <v>156982</v>
      </c>
      <c r="BG29" s="1689">
        <v>70360</v>
      </c>
      <c r="BH29" s="1689">
        <v>16686</v>
      </c>
      <c r="BI29" s="1689">
        <v>21859</v>
      </c>
      <c r="BJ29" s="1689">
        <v>53303</v>
      </c>
      <c r="BK29" s="1689">
        <v>34813.24</v>
      </c>
      <c r="BL29" s="1689">
        <v>49915.97</v>
      </c>
      <c r="BM29" s="1689">
        <v>96508</v>
      </c>
      <c r="BN29" s="1689">
        <v>17548</v>
      </c>
      <c r="BO29" s="1487">
        <v>4502.8899999999994</v>
      </c>
      <c r="BP29" s="1487">
        <v>6473.25</v>
      </c>
      <c r="BQ29" s="1487">
        <v>7124.3</v>
      </c>
      <c r="BR29" s="1487">
        <v>8716.5199999999986</v>
      </c>
      <c r="BS29" s="1487">
        <v>5862.8499999999995</v>
      </c>
      <c r="BT29" s="1487">
        <v>22036.98</v>
      </c>
      <c r="BU29" s="1487">
        <v>146.88999999999999</v>
      </c>
      <c r="BV29" s="1487">
        <v>17276.8</v>
      </c>
      <c r="BW29" s="1487">
        <v>24520.730000000003</v>
      </c>
      <c r="BX29" s="1487">
        <v>55810.559999999998</v>
      </c>
      <c r="BY29" s="1487">
        <v>52420.11</v>
      </c>
      <c r="BZ29" s="1487">
        <v>104751.65000000002</v>
      </c>
      <c r="CA29" s="1487">
        <v>17148.449999999997</v>
      </c>
      <c r="CB29" s="1487">
        <v>20564.080000000002</v>
      </c>
      <c r="CC29" s="1487"/>
      <c r="CD29" s="1487">
        <v>35512</v>
      </c>
      <c r="CE29" s="1487">
        <v>2547.3199999999997</v>
      </c>
      <c r="CF29" s="1487">
        <v>17357</v>
      </c>
      <c r="CG29" s="1487">
        <v>17997.599999999999</v>
      </c>
      <c r="CH29" s="1487"/>
      <c r="CI29" s="1487">
        <v>32528</v>
      </c>
      <c r="CJ29" s="1487">
        <v>298821</v>
      </c>
      <c r="CK29" s="1487">
        <v>16812.5</v>
      </c>
      <c r="CL29" s="1487">
        <v>25109</v>
      </c>
      <c r="CM29" s="1487">
        <v>4980</v>
      </c>
      <c r="CN29" s="1487">
        <v>8298</v>
      </c>
      <c r="CO29" s="1487">
        <v>11775</v>
      </c>
      <c r="CP29" s="1487">
        <v>17051</v>
      </c>
      <c r="CQ29" s="1487">
        <v>24865.37</v>
      </c>
      <c r="CR29" s="1487">
        <v>24562.65</v>
      </c>
      <c r="CS29" s="1487">
        <v>17554</v>
      </c>
      <c r="CT29" s="1487">
        <v>8795</v>
      </c>
      <c r="CU29" s="358">
        <f>SUM(AI29:BC29)+SUM(BO29:CI29)+'HH ALICORP'!D30</f>
        <v>1500846.12</v>
      </c>
      <c r="CV29" s="358">
        <f t="shared" si="34"/>
        <v>1047548.14</v>
      </c>
      <c r="CW29" s="358">
        <f t="shared" si="35"/>
        <v>453297.98000000004</v>
      </c>
      <c r="CX29" s="691">
        <f t="shared" si="40"/>
        <v>1932176.12</v>
      </c>
    </row>
    <row r="30" spans="1:102" hidden="1">
      <c r="A30" s="1309">
        <v>43922</v>
      </c>
      <c r="B30" s="1311">
        <f t="shared" si="41"/>
        <v>14050.18</v>
      </c>
      <c r="C30" s="1311">
        <f t="shared" si="42"/>
        <v>33185</v>
      </c>
      <c r="D30" s="1311">
        <f t="shared" si="43"/>
        <v>30249.63</v>
      </c>
      <c r="E30" s="1311">
        <f t="shared" si="44"/>
        <v>59478.579999999994</v>
      </c>
      <c r="F30" s="1311">
        <f t="shared" si="45"/>
        <v>26723.26</v>
      </c>
      <c r="G30" s="1311">
        <f t="shared" si="46"/>
        <v>123472.4</v>
      </c>
      <c r="H30" s="1311">
        <f t="shared" si="47"/>
        <v>5716.29</v>
      </c>
      <c r="I30" s="1311">
        <f t="shared" si="48"/>
        <v>31254.559999999994</v>
      </c>
      <c r="J30" s="1311">
        <f t="shared" si="49"/>
        <v>58455.79</v>
      </c>
      <c r="K30" s="1311">
        <f t="shared" si="50"/>
        <v>165207.56</v>
      </c>
      <c r="L30" s="1311">
        <f t="shared" si="51"/>
        <v>94707.77</v>
      </c>
      <c r="M30" s="1311">
        <f t="shared" si="52"/>
        <v>356565.74</v>
      </c>
      <c r="N30" s="1311">
        <f t="shared" si="53"/>
        <v>14332.1</v>
      </c>
      <c r="O30" s="1311">
        <f t="shared" si="54"/>
        <v>1890.1799999999998</v>
      </c>
      <c r="P30" s="1311">
        <f t="shared" si="38"/>
        <v>35248</v>
      </c>
      <c r="Q30" s="1311"/>
      <c r="R30" s="1311"/>
      <c r="S30" s="1311">
        <f t="shared" si="55"/>
        <v>10962.01</v>
      </c>
      <c r="T30" s="1311">
        <f t="shared" si="56"/>
        <v>63430</v>
      </c>
      <c r="U30" s="1311">
        <f t="shared" si="57"/>
        <v>97478.6</v>
      </c>
      <c r="V30" s="1311">
        <f t="shared" si="58"/>
        <v>7728.5</v>
      </c>
      <c r="W30" s="1311">
        <f t="shared" si="59"/>
        <v>57082</v>
      </c>
      <c r="X30" s="1311">
        <f t="shared" si="60"/>
        <v>431330</v>
      </c>
      <c r="Y30" s="1311">
        <f t="shared" si="61"/>
        <v>61340.55</v>
      </c>
      <c r="Z30" s="1311">
        <f t="shared" si="62"/>
        <v>194616</v>
      </c>
      <c r="AA30" s="1311">
        <f t="shared" si="63"/>
        <v>69124</v>
      </c>
      <c r="AB30" s="1311">
        <f t="shared" si="64"/>
        <v>29725</v>
      </c>
      <c r="AC30" s="1311">
        <f t="shared" si="65"/>
        <v>35858</v>
      </c>
      <c r="AD30" s="1311">
        <f t="shared" si="66"/>
        <v>69701</v>
      </c>
      <c r="AE30" s="1311">
        <f t="shared" si="67"/>
        <v>80375.412222226296</v>
      </c>
      <c r="AF30" s="1311">
        <f t="shared" si="68"/>
        <v>65718.53</v>
      </c>
      <c r="AG30" s="1311">
        <f t="shared" si="69"/>
        <v>95780.5</v>
      </c>
      <c r="AH30" s="1694">
        <f t="shared" si="70"/>
        <v>18569.5</v>
      </c>
      <c r="AI30" s="1689">
        <v>9880.25</v>
      </c>
      <c r="AJ30" s="1689">
        <v>28538</v>
      </c>
      <c r="AK30" s="1689">
        <v>24697.33</v>
      </c>
      <c r="AL30" s="1689">
        <v>56633.77</v>
      </c>
      <c r="AM30" s="1689">
        <v>23995.75</v>
      </c>
      <c r="AN30" s="1689">
        <v>111084</v>
      </c>
      <c r="AO30" s="1689">
        <v>5592.5</v>
      </c>
      <c r="AP30" s="1689">
        <v>25863.099999999995</v>
      </c>
      <c r="AQ30" s="1689">
        <v>40351</v>
      </c>
      <c r="AR30" s="1689">
        <v>114406</v>
      </c>
      <c r="AS30" s="1689">
        <v>55141.9</v>
      </c>
      <c r="AT30" s="1689">
        <v>272196</v>
      </c>
      <c r="AU30" s="1689"/>
      <c r="AV30" s="1689"/>
      <c r="AW30" s="1689"/>
      <c r="AX30" s="1945"/>
      <c r="AY30" s="1689">
        <v>8355.4</v>
      </c>
      <c r="AZ30" s="1950">
        <v>43589</v>
      </c>
      <c r="BA30" s="1950">
        <v>78446</v>
      </c>
      <c r="BB30" s="1950">
        <v>7728.5</v>
      </c>
      <c r="BC30" s="1950">
        <v>24698</v>
      </c>
      <c r="BD30" s="1952">
        <v>132509</v>
      </c>
      <c r="BE30" s="1949">
        <v>52934.3</v>
      </c>
      <c r="BF30" s="1689">
        <v>170319</v>
      </c>
      <c r="BG30" s="1689">
        <v>59624</v>
      </c>
      <c r="BH30" s="1689">
        <v>17725</v>
      </c>
      <c r="BI30" s="1689">
        <v>20524</v>
      </c>
      <c r="BJ30" s="1689">
        <v>53487</v>
      </c>
      <c r="BK30" s="1689">
        <v>40565.89</v>
      </c>
      <c r="BL30" s="1689">
        <v>47901.61</v>
      </c>
      <c r="BM30" s="1689">
        <v>75771.5</v>
      </c>
      <c r="BN30" s="1689">
        <v>13656.5</v>
      </c>
      <c r="BO30" s="1487">
        <v>4169.93</v>
      </c>
      <c r="BP30" s="1487">
        <v>4647</v>
      </c>
      <c r="BQ30" s="1487">
        <v>5552.3</v>
      </c>
      <c r="BR30" s="1487">
        <v>2844.8100000000004</v>
      </c>
      <c r="BS30" s="1487">
        <v>2727.5099999999998</v>
      </c>
      <c r="BT30" s="1487">
        <v>12388.400000000001</v>
      </c>
      <c r="BU30" s="1487">
        <v>123.79</v>
      </c>
      <c r="BV30" s="1487">
        <v>5391.46</v>
      </c>
      <c r="BW30" s="1487">
        <v>18104.79</v>
      </c>
      <c r="BX30" s="1487">
        <v>50801.56</v>
      </c>
      <c r="BY30" s="1487">
        <v>39565.870000000003</v>
      </c>
      <c r="BZ30" s="1487">
        <v>84369.74</v>
      </c>
      <c r="CA30" s="1487">
        <v>14332.1</v>
      </c>
      <c r="CB30" s="1487">
        <v>1890.1799999999998</v>
      </c>
      <c r="CC30" s="1487"/>
      <c r="CD30" s="1487">
        <v>35248</v>
      </c>
      <c r="CE30" s="1487">
        <v>2606.61</v>
      </c>
      <c r="CF30" s="1487">
        <v>19841</v>
      </c>
      <c r="CG30" s="1487">
        <v>19032.599999999999</v>
      </c>
      <c r="CH30" s="1487"/>
      <c r="CI30" s="1487">
        <v>32384</v>
      </c>
      <c r="CJ30" s="1487">
        <v>298821</v>
      </c>
      <c r="CK30" s="1487">
        <v>8406.25</v>
      </c>
      <c r="CL30" s="1487">
        <v>24297</v>
      </c>
      <c r="CM30" s="1487">
        <v>9500</v>
      </c>
      <c r="CN30" s="1487">
        <v>12000</v>
      </c>
      <c r="CO30" s="1487">
        <v>15334</v>
      </c>
      <c r="CP30" s="1487">
        <v>16214</v>
      </c>
      <c r="CQ30" s="1487">
        <v>39809.522222226296</v>
      </c>
      <c r="CR30" s="1487">
        <v>17816.920000000002</v>
      </c>
      <c r="CS30" s="1487">
        <v>20009</v>
      </c>
      <c r="CT30" s="1487">
        <v>4913</v>
      </c>
      <c r="CU30" s="358">
        <f>SUM(AI30:BC30)+SUM(BO30:CI30)+'HH ALICORP'!E30</f>
        <v>1287218.1500000001</v>
      </c>
      <c r="CV30" s="358">
        <f t="shared" si="34"/>
        <v>931196.50000000012</v>
      </c>
      <c r="CW30" s="358">
        <f t="shared" si="35"/>
        <v>356021.65</v>
      </c>
      <c r="CX30" s="691">
        <f t="shared" si="40"/>
        <v>1718548.1500000001</v>
      </c>
    </row>
    <row r="31" spans="1:102" hidden="1">
      <c r="A31" s="1309">
        <v>43952</v>
      </c>
      <c r="B31" s="1311">
        <f t="shared" si="41"/>
        <v>10857.41</v>
      </c>
      <c r="C31" s="1311">
        <f t="shared" si="42"/>
        <v>28100.46</v>
      </c>
      <c r="D31" s="1311">
        <f t="shared" si="43"/>
        <v>26723.439999999999</v>
      </c>
      <c r="E31" s="1311">
        <f t="shared" si="44"/>
        <v>42046.92</v>
      </c>
      <c r="F31" s="1311">
        <f t="shared" si="45"/>
        <v>19663.5</v>
      </c>
      <c r="G31" s="1311">
        <f t="shared" si="46"/>
        <v>102350.17</v>
      </c>
      <c r="H31" s="1311">
        <f t="shared" si="47"/>
        <v>4028.13</v>
      </c>
      <c r="I31" s="1311">
        <f t="shared" si="48"/>
        <v>23017.56</v>
      </c>
      <c r="J31" s="1311">
        <f t="shared" si="49"/>
        <v>61891.68</v>
      </c>
      <c r="K31" s="1311">
        <f t="shared" si="50"/>
        <v>153331.56</v>
      </c>
      <c r="L31" s="1311">
        <f t="shared" si="51"/>
        <v>96561.33</v>
      </c>
      <c r="M31" s="1311">
        <f t="shared" si="52"/>
        <v>373562.79000000004</v>
      </c>
      <c r="N31" s="1311">
        <f t="shared" si="53"/>
        <v>17212.86</v>
      </c>
      <c r="O31" s="1311">
        <f t="shared" si="54"/>
        <v>7943.36</v>
      </c>
      <c r="P31" s="1311">
        <f t="shared" si="38"/>
        <v>35248</v>
      </c>
      <c r="Q31" s="1311"/>
      <c r="R31" s="1311"/>
      <c r="S31" s="1311">
        <f t="shared" si="55"/>
        <v>10591.53</v>
      </c>
      <c r="T31" s="1311">
        <f t="shared" si="56"/>
        <v>85920</v>
      </c>
      <c r="U31" s="1311">
        <f t="shared" si="57"/>
        <v>102161.65</v>
      </c>
      <c r="V31" s="1311">
        <f t="shared" si="58"/>
        <v>8083.87</v>
      </c>
      <c r="W31" s="1311">
        <f t="shared" si="59"/>
        <v>57077.729999999996</v>
      </c>
      <c r="X31" s="1311">
        <f t="shared" si="60"/>
        <v>431330</v>
      </c>
      <c r="Y31" s="1311">
        <f t="shared" si="61"/>
        <v>81850.36</v>
      </c>
      <c r="Z31" s="1311">
        <f t="shared" si="62"/>
        <v>187171</v>
      </c>
      <c r="AA31" s="1311">
        <f t="shared" si="63"/>
        <v>69124</v>
      </c>
      <c r="AB31" s="1311">
        <f t="shared" si="64"/>
        <v>29725</v>
      </c>
      <c r="AC31" s="1311">
        <f t="shared" si="65"/>
        <v>35858</v>
      </c>
      <c r="AD31" s="1311">
        <f t="shared" si="66"/>
        <v>72065</v>
      </c>
      <c r="AE31" s="1311">
        <f t="shared" si="67"/>
        <v>83042.578333328594</v>
      </c>
      <c r="AF31" s="1311">
        <f t="shared" si="68"/>
        <v>75939.4712</v>
      </c>
      <c r="AG31" s="1311">
        <f t="shared" si="69"/>
        <v>72034</v>
      </c>
      <c r="AH31" s="1694">
        <f t="shared" si="70"/>
        <v>18623.5</v>
      </c>
      <c r="AI31" s="1689">
        <v>5548</v>
      </c>
      <c r="AJ31" s="1689">
        <v>21638</v>
      </c>
      <c r="AK31" s="1689">
        <v>20456</v>
      </c>
      <c r="AL31" s="1689">
        <v>37669.5</v>
      </c>
      <c r="AM31" s="1689">
        <v>11858</v>
      </c>
      <c r="AN31" s="1689">
        <v>88286.75</v>
      </c>
      <c r="AO31" s="1689">
        <v>2294</v>
      </c>
      <c r="AP31" s="1689">
        <v>17098.5</v>
      </c>
      <c r="AQ31" s="1689">
        <v>41093.5</v>
      </c>
      <c r="AR31" s="1689">
        <v>102530</v>
      </c>
      <c r="AS31" s="1689">
        <v>52901.770000000004</v>
      </c>
      <c r="AT31" s="1689">
        <v>278460</v>
      </c>
      <c r="AU31" s="1689"/>
      <c r="AV31" s="1689"/>
      <c r="AW31" s="1689"/>
      <c r="AX31" s="1945"/>
      <c r="AY31" s="1689">
        <v>7672.2300000000005</v>
      </c>
      <c r="AZ31" s="1950">
        <v>64780</v>
      </c>
      <c r="BA31" s="1950">
        <v>74314.5</v>
      </c>
      <c r="BB31" s="1950">
        <v>8083.87</v>
      </c>
      <c r="BC31" s="1950">
        <v>22881.73</v>
      </c>
      <c r="BD31" s="1952">
        <v>132509</v>
      </c>
      <c r="BE31" s="1949">
        <v>63814.36</v>
      </c>
      <c r="BF31" s="1689">
        <v>162922</v>
      </c>
      <c r="BG31" s="1689">
        <v>59624</v>
      </c>
      <c r="BH31" s="1689">
        <v>17725</v>
      </c>
      <c r="BI31" s="1689">
        <v>20524</v>
      </c>
      <c r="BJ31" s="1689">
        <v>53790</v>
      </c>
      <c r="BK31" s="1689">
        <v>41788.230000000003</v>
      </c>
      <c r="BL31" s="1689">
        <v>52052.399999999994</v>
      </c>
      <c r="BM31" s="1689">
        <v>49700</v>
      </c>
      <c r="BN31" s="1689">
        <v>13023.5</v>
      </c>
      <c r="BO31" s="1487">
        <v>5309.41</v>
      </c>
      <c r="BP31" s="1487">
        <v>6462.46</v>
      </c>
      <c r="BQ31" s="1487">
        <v>6267.44</v>
      </c>
      <c r="BR31" s="1487">
        <v>4377.42</v>
      </c>
      <c r="BS31" s="1487">
        <v>7805.5</v>
      </c>
      <c r="BT31" s="1487">
        <v>14063.42</v>
      </c>
      <c r="BU31" s="1487">
        <v>1734.13</v>
      </c>
      <c r="BV31" s="1487">
        <v>5919.06</v>
      </c>
      <c r="BW31" s="1487">
        <v>20798.18</v>
      </c>
      <c r="BX31" s="1487">
        <v>50801.56</v>
      </c>
      <c r="BY31" s="1487">
        <v>43659.56</v>
      </c>
      <c r="BZ31" s="1487">
        <v>95102.790000000008</v>
      </c>
      <c r="CA31" s="1487">
        <v>17212.86</v>
      </c>
      <c r="CB31" s="1487">
        <v>7943.36</v>
      </c>
      <c r="CC31" s="1487"/>
      <c r="CD31" s="1487">
        <v>35248</v>
      </c>
      <c r="CE31" s="1487">
        <v>2919.3</v>
      </c>
      <c r="CF31" s="1487">
        <v>21140</v>
      </c>
      <c r="CG31" s="1487">
        <v>27847.15</v>
      </c>
      <c r="CH31" s="1487"/>
      <c r="CI31" s="1487">
        <v>34196</v>
      </c>
      <c r="CJ31" s="1487">
        <v>298821</v>
      </c>
      <c r="CK31" s="1487">
        <v>18036</v>
      </c>
      <c r="CL31" s="1487">
        <v>24249</v>
      </c>
      <c r="CM31" s="1487">
        <v>9500</v>
      </c>
      <c r="CN31" s="1487">
        <v>12000</v>
      </c>
      <c r="CO31" s="1487">
        <v>15334</v>
      </c>
      <c r="CP31" s="1487">
        <v>18275</v>
      </c>
      <c r="CQ31" s="1487">
        <v>41254.348333328599</v>
      </c>
      <c r="CR31" s="1487">
        <v>23887.071199999998</v>
      </c>
      <c r="CS31" s="1487">
        <v>22334</v>
      </c>
      <c r="CT31" s="1487">
        <v>5600</v>
      </c>
      <c r="CU31" s="358">
        <f>SUM(AI31:BC31)+SUM(BO31:CI31)+'HH ALICORP'!F30</f>
        <v>1266373.95</v>
      </c>
      <c r="CV31" s="358">
        <f t="shared" si="34"/>
        <v>857566.35</v>
      </c>
      <c r="CW31" s="358">
        <f t="shared" si="35"/>
        <v>408807.6</v>
      </c>
      <c r="CX31" s="691">
        <f t="shared" si="40"/>
        <v>1697703.95</v>
      </c>
    </row>
    <row r="32" spans="1:102" hidden="1">
      <c r="A32" s="1309">
        <v>43983</v>
      </c>
      <c r="B32" s="1311">
        <f t="shared" si="41"/>
        <v>14416.71</v>
      </c>
      <c r="C32" s="1311">
        <f t="shared" si="42"/>
        <v>28907.77</v>
      </c>
      <c r="D32" s="1311">
        <f t="shared" si="43"/>
        <v>29770.93</v>
      </c>
      <c r="E32" s="1311">
        <f t="shared" si="44"/>
        <v>55729.35</v>
      </c>
      <c r="F32" s="1311">
        <f t="shared" si="45"/>
        <v>23629.22</v>
      </c>
      <c r="G32" s="1311">
        <f t="shared" si="46"/>
        <v>150383.74</v>
      </c>
      <c r="H32" s="1311">
        <f t="shared" si="47"/>
        <v>7107.67</v>
      </c>
      <c r="I32" s="1311">
        <f t="shared" si="48"/>
        <v>40414.06</v>
      </c>
      <c r="J32" s="1311">
        <f t="shared" si="49"/>
        <v>63041.11</v>
      </c>
      <c r="K32" s="1311">
        <f t="shared" si="50"/>
        <v>166057.31</v>
      </c>
      <c r="L32" s="1311">
        <f t="shared" si="51"/>
        <v>108046.57999999999</v>
      </c>
      <c r="M32" s="1311">
        <f t="shared" si="52"/>
        <v>390866.4</v>
      </c>
      <c r="N32" s="1311">
        <f t="shared" si="53"/>
        <v>15911.91</v>
      </c>
      <c r="O32" s="1311">
        <f t="shared" si="54"/>
        <v>9207.27</v>
      </c>
      <c r="P32" s="1311">
        <f t="shared" si="38"/>
        <v>35248</v>
      </c>
      <c r="Q32" s="1311"/>
      <c r="R32" s="1311"/>
      <c r="S32" s="1311">
        <f>+AY32+CE32</f>
        <v>11051.76</v>
      </c>
      <c r="T32" s="1311">
        <f>+AZ32+CF32</f>
        <v>115653</v>
      </c>
      <c r="U32" s="1311">
        <f t="shared" si="57"/>
        <v>113936.22</v>
      </c>
      <c r="V32" s="1311">
        <f t="shared" si="58"/>
        <v>6320.29</v>
      </c>
      <c r="W32" s="1311">
        <f t="shared" si="59"/>
        <v>60753</v>
      </c>
      <c r="X32" s="1311">
        <f t="shared" si="60"/>
        <v>431330</v>
      </c>
      <c r="Y32" s="1311">
        <f t="shared" si="61"/>
        <v>100899.11</v>
      </c>
      <c r="Z32" s="1311">
        <f t="shared" si="62"/>
        <v>186617</v>
      </c>
      <c r="AA32" s="1311">
        <f t="shared" si="63"/>
        <v>69124</v>
      </c>
      <c r="AB32" s="1311">
        <f t="shared" si="64"/>
        <v>30373</v>
      </c>
      <c r="AC32" s="1311">
        <f t="shared" si="65"/>
        <v>33938</v>
      </c>
      <c r="AD32" s="1311">
        <f t="shared" si="66"/>
        <v>74846</v>
      </c>
      <c r="AE32" s="1311">
        <f t="shared" si="67"/>
        <v>64891.35</v>
      </c>
      <c r="AF32" s="1311">
        <f t="shared" si="68"/>
        <v>86899.642624</v>
      </c>
      <c r="AG32" s="1311">
        <f t="shared" si="69"/>
        <v>74052</v>
      </c>
      <c r="AH32" s="1694">
        <f t="shared" si="70"/>
        <v>17463.5</v>
      </c>
      <c r="AI32" s="1689">
        <v>9616.5</v>
      </c>
      <c r="AJ32" s="1689">
        <v>23155</v>
      </c>
      <c r="AK32" s="1689">
        <v>23621</v>
      </c>
      <c r="AL32" s="1689">
        <v>48553</v>
      </c>
      <c r="AM32" s="1689">
        <v>15341.75</v>
      </c>
      <c r="AN32" s="1689">
        <v>126463.65</v>
      </c>
      <c r="AO32" s="1689">
        <v>6521</v>
      </c>
      <c r="AP32" s="1689">
        <v>30322</v>
      </c>
      <c r="AQ32" s="1689">
        <v>44761</v>
      </c>
      <c r="AR32" s="1689">
        <v>115255.75</v>
      </c>
      <c r="AS32" s="1689">
        <v>57877.159999999996</v>
      </c>
      <c r="AT32" s="1689">
        <v>283528</v>
      </c>
      <c r="AU32" s="1689"/>
      <c r="AV32" s="1689"/>
      <c r="AW32" s="1689"/>
      <c r="AX32" s="1945"/>
      <c r="AY32" s="1689">
        <v>7674.0300000000007</v>
      </c>
      <c r="AZ32" s="1950">
        <v>96247</v>
      </c>
      <c r="BA32" s="1950">
        <v>77944.5</v>
      </c>
      <c r="BB32" s="1950">
        <v>6320.29</v>
      </c>
      <c r="BC32" s="1950">
        <v>24866</v>
      </c>
      <c r="BD32" s="1952">
        <v>132509</v>
      </c>
      <c r="BE32" s="1949">
        <v>71055.11</v>
      </c>
      <c r="BF32" s="1689">
        <v>165020</v>
      </c>
      <c r="BG32" s="1689">
        <v>59624</v>
      </c>
      <c r="BH32" s="1689">
        <v>18373</v>
      </c>
      <c r="BI32" s="1689">
        <v>20524</v>
      </c>
      <c r="BJ32" s="1689">
        <v>56798</v>
      </c>
      <c r="BK32" s="1689">
        <v>36541.629999999997</v>
      </c>
      <c r="BL32" s="1689">
        <v>57504.42</v>
      </c>
      <c r="BM32" s="1689">
        <v>50094</v>
      </c>
      <c r="BN32" s="1689">
        <v>12603.5</v>
      </c>
      <c r="BO32" s="1487">
        <v>4800.21</v>
      </c>
      <c r="BP32" s="1487">
        <v>5752.77</v>
      </c>
      <c r="BQ32" s="1487">
        <v>6149.93</v>
      </c>
      <c r="BR32" s="1487">
        <v>7176.3499999999995</v>
      </c>
      <c r="BS32" s="1487">
        <v>8287.4700000000012</v>
      </c>
      <c r="BT32" s="1487">
        <v>23920.089999999997</v>
      </c>
      <c r="BU32" s="1487">
        <v>586.66999999999996</v>
      </c>
      <c r="BV32" s="1487">
        <v>10092.06</v>
      </c>
      <c r="BW32" s="1487">
        <v>18280.11</v>
      </c>
      <c r="BX32" s="1487">
        <v>50801.56</v>
      </c>
      <c r="BY32" s="1487">
        <v>50169.42</v>
      </c>
      <c r="BZ32" s="1487">
        <v>107338.40000000001</v>
      </c>
      <c r="CA32" s="1487">
        <v>15911.91</v>
      </c>
      <c r="CB32" s="1487">
        <v>9207.27</v>
      </c>
      <c r="CC32" s="1487"/>
      <c r="CD32" s="1487">
        <v>35248</v>
      </c>
      <c r="CE32" s="1487">
        <v>3377.73</v>
      </c>
      <c r="CF32" s="1487">
        <v>19406</v>
      </c>
      <c r="CG32" s="1487">
        <v>35991.72</v>
      </c>
      <c r="CH32" s="1487"/>
      <c r="CI32" s="1487">
        <v>35887</v>
      </c>
      <c r="CJ32" s="1487">
        <v>298821</v>
      </c>
      <c r="CK32" s="1487">
        <v>29844</v>
      </c>
      <c r="CL32" s="1487">
        <v>21597</v>
      </c>
      <c r="CM32" s="1487">
        <v>9500</v>
      </c>
      <c r="CN32" s="1487">
        <v>12000</v>
      </c>
      <c r="CO32" s="1487">
        <v>13414</v>
      </c>
      <c r="CP32" s="1487">
        <v>18048</v>
      </c>
      <c r="CQ32" s="1487">
        <v>28349.72</v>
      </c>
      <c r="CR32" s="1487">
        <v>29395.222624000002</v>
      </c>
      <c r="CS32" s="1487">
        <v>23958</v>
      </c>
      <c r="CT32" s="1487">
        <v>4860</v>
      </c>
      <c r="CU32" s="358">
        <f>SUM(AI32:BC32)+SUM(BO32:CI32)+'HH ALICORP'!G30</f>
        <v>1446452.3</v>
      </c>
      <c r="CV32" s="358">
        <f t="shared" ref="CV32:CV38" si="71">SUM(AI32:BC32)</f>
        <v>998067.63000000012</v>
      </c>
      <c r="CW32" s="358">
        <f t="shared" ref="CW32:CW38" si="72">+SUM(BO32:CI32)</f>
        <v>448384.66999999993</v>
      </c>
      <c r="CX32" s="691">
        <f t="shared" si="40"/>
        <v>1877782.3</v>
      </c>
    </row>
    <row r="33" spans="1:102" hidden="1">
      <c r="A33" s="1309">
        <v>44013</v>
      </c>
      <c r="B33" s="1311">
        <f t="shared" si="41"/>
        <v>15945.17</v>
      </c>
      <c r="C33" s="1311">
        <f t="shared" si="42"/>
        <v>38224.67</v>
      </c>
      <c r="D33" s="1311">
        <f t="shared" si="43"/>
        <v>35296.44</v>
      </c>
      <c r="E33" s="1311">
        <f t="shared" si="44"/>
        <v>74711.589999999982</v>
      </c>
      <c r="F33" s="1311">
        <f t="shared" si="45"/>
        <v>31995.800000000003</v>
      </c>
      <c r="G33" s="1311">
        <f t="shared" si="46"/>
        <v>181066.35</v>
      </c>
      <c r="H33" s="1311">
        <f t="shared" si="47"/>
        <v>8673.19</v>
      </c>
      <c r="I33" s="1311">
        <f t="shared" si="48"/>
        <v>47299.38</v>
      </c>
      <c r="J33" s="1311">
        <f t="shared" si="49"/>
        <v>62665.66</v>
      </c>
      <c r="K33" s="1311">
        <f t="shared" si="50"/>
        <v>166763.06</v>
      </c>
      <c r="L33" s="1311">
        <f t="shared" si="51"/>
        <v>113916.8</v>
      </c>
      <c r="M33" s="1311">
        <f t="shared" si="52"/>
        <v>402272.66000000003</v>
      </c>
      <c r="N33" s="1311">
        <f t="shared" si="53"/>
        <v>16649.43</v>
      </c>
      <c r="O33" s="1311">
        <f t="shared" si="54"/>
        <v>22734.98</v>
      </c>
      <c r="P33" s="1311">
        <f t="shared" si="38"/>
        <v>35248</v>
      </c>
      <c r="Q33" s="1311"/>
      <c r="R33" s="1311"/>
      <c r="S33" s="1311">
        <f>+AY33+CE33</f>
        <v>11914.849999999999</v>
      </c>
      <c r="T33" s="1311">
        <f t="shared" si="56"/>
        <v>172729</v>
      </c>
      <c r="U33" s="1311">
        <f t="shared" si="57"/>
        <v>110473.8</v>
      </c>
      <c r="V33" s="1311">
        <f t="shared" si="58"/>
        <v>6663.67</v>
      </c>
      <c r="W33" s="1311">
        <f t="shared" si="59"/>
        <v>63759</v>
      </c>
      <c r="X33" s="1311">
        <f t="shared" si="60"/>
        <v>431330</v>
      </c>
      <c r="Y33" s="1311">
        <f t="shared" si="61"/>
        <v>98070.28</v>
      </c>
      <c r="Z33" s="1311">
        <f t="shared" si="62"/>
        <v>194068</v>
      </c>
      <c r="AA33" s="1311">
        <f t="shared" si="63"/>
        <v>69124</v>
      </c>
      <c r="AB33" s="1311">
        <f t="shared" si="64"/>
        <v>30373</v>
      </c>
      <c r="AC33" s="1311">
        <f t="shared" si="65"/>
        <v>33938</v>
      </c>
      <c r="AD33" s="1311">
        <f t="shared" si="66"/>
        <v>76413</v>
      </c>
      <c r="AE33" s="1311">
        <f t="shared" si="67"/>
        <v>71809.540000000008</v>
      </c>
      <c r="AF33" s="1311">
        <f t="shared" si="68"/>
        <v>88264.235337599996</v>
      </c>
      <c r="AG33" s="1311">
        <f t="shared" si="69"/>
        <v>78835</v>
      </c>
      <c r="AH33" s="1694">
        <f t="shared" si="70"/>
        <v>20974.5</v>
      </c>
      <c r="AI33" s="1689">
        <v>11227.5</v>
      </c>
      <c r="AJ33" s="1689">
        <v>29065.5</v>
      </c>
      <c r="AK33" s="1689">
        <v>26199.5</v>
      </c>
      <c r="AL33" s="1689">
        <v>67138.049999999988</v>
      </c>
      <c r="AM33" s="1689">
        <v>21675</v>
      </c>
      <c r="AN33" s="1689">
        <v>152611.5</v>
      </c>
      <c r="AO33" s="1689">
        <v>8376</v>
      </c>
      <c r="AP33" s="1689">
        <v>37703</v>
      </c>
      <c r="AQ33" s="1689">
        <v>41358</v>
      </c>
      <c r="AR33" s="1689">
        <v>115961.5</v>
      </c>
      <c r="AS33" s="1689">
        <v>51759.9</v>
      </c>
      <c r="AT33" s="1689">
        <v>286320</v>
      </c>
      <c r="AU33" s="1689"/>
      <c r="AV33" s="1689"/>
      <c r="AW33" s="1689"/>
      <c r="AX33" s="1945"/>
      <c r="AY33" s="1689">
        <v>7767.21</v>
      </c>
      <c r="AZ33" s="1950">
        <v>147195</v>
      </c>
      <c r="BA33" s="1950">
        <v>73229.5</v>
      </c>
      <c r="BB33" s="1950">
        <v>6663.67</v>
      </c>
      <c r="BC33" s="1950">
        <v>25254</v>
      </c>
      <c r="BD33" s="1952">
        <v>132509</v>
      </c>
      <c r="BE33" s="1949">
        <v>67162.28</v>
      </c>
      <c r="BF33" s="1689">
        <v>168247</v>
      </c>
      <c r="BG33" s="1689">
        <v>59624</v>
      </c>
      <c r="BH33" s="1689">
        <v>18373</v>
      </c>
      <c r="BI33" s="1689">
        <v>20524</v>
      </c>
      <c r="BJ33" s="1689">
        <v>56393</v>
      </c>
      <c r="BK33" s="1689">
        <v>41465.360000000008</v>
      </c>
      <c r="BL33" s="1689">
        <v>51880.89</v>
      </c>
      <c r="BM33" s="1689">
        <v>56007</v>
      </c>
      <c r="BN33" s="1689">
        <v>15846.5</v>
      </c>
      <c r="BO33" s="1487">
        <v>4717.67</v>
      </c>
      <c r="BP33" s="1487">
        <v>9159.17</v>
      </c>
      <c r="BQ33" s="1487">
        <v>9096.9399999999987</v>
      </c>
      <c r="BR33" s="1487">
        <v>7573.54</v>
      </c>
      <c r="BS33" s="1487">
        <v>10320.800000000001</v>
      </c>
      <c r="BT33" s="1487">
        <v>28454.85</v>
      </c>
      <c r="BU33" s="1487">
        <v>297.19</v>
      </c>
      <c r="BV33" s="1487">
        <v>9596.3799999999992</v>
      </c>
      <c r="BW33" s="1487">
        <v>21307.66</v>
      </c>
      <c r="BX33" s="1487">
        <v>50801.56</v>
      </c>
      <c r="BY33" s="1487">
        <v>62156.9</v>
      </c>
      <c r="BZ33" s="1487">
        <v>115952.66</v>
      </c>
      <c r="CA33" s="1487">
        <v>16649.43</v>
      </c>
      <c r="CB33" s="1487">
        <v>22734.98</v>
      </c>
      <c r="CC33" s="1487"/>
      <c r="CD33" s="1487">
        <v>35248</v>
      </c>
      <c r="CE33" s="1487">
        <v>4147.6399999999994</v>
      </c>
      <c r="CF33" s="1487">
        <v>25534</v>
      </c>
      <c r="CG33" s="1487">
        <v>37244.300000000003</v>
      </c>
      <c r="CH33" s="1487"/>
      <c r="CI33" s="1487">
        <v>38505</v>
      </c>
      <c r="CJ33" s="1487">
        <v>298821</v>
      </c>
      <c r="CK33" s="1487">
        <v>30908</v>
      </c>
      <c r="CL33" s="1487">
        <v>25821</v>
      </c>
      <c r="CM33" s="1487">
        <v>9500</v>
      </c>
      <c r="CN33" s="1487">
        <v>12000</v>
      </c>
      <c r="CO33" s="1487">
        <v>13414</v>
      </c>
      <c r="CP33" s="1487">
        <v>20020</v>
      </c>
      <c r="CQ33" s="1487">
        <v>30344.18</v>
      </c>
      <c r="CR33" s="1487">
        <v>36383.345337600003</v>
      </c>
      <c r="CS33" s="1487">
        <v>22828</v>
      </c>
      <c r="CT33" s="1487">
        <v>5128</v>
      </c>
      <c r="CU33" s="358">
        <f>SUM(AI33:BC33)+SUM(BO33:CI33)+'HH ALICORP'!H30</f>
        <v>1619003.4999999998</v>
      </c>
      <c r="CV33" s="358">
        <f t="shared" si="71"/>
        <v>1109504.8299999998</v>
      </c>
      <c r="CW33" s="358">
        <f t="shared" si="72"/>
        <v>509498.67</v>
      </c>
      <c r="CX33" s="691">
        <f t="shared" si="40"/>
        <v>2050333.4999999998</v>
      </c>
    </row>
    <row r="34" spans="1:102" hidden="1">
      <c r="A34" s="1309">
        <v>44044</v>
      </c>
      <c r="B34" s="1311">
        <f t="shared" si="41"/>
        <v>27269.08</v>
      </c>
      <c r="C34" s="1311">
        <f t="shared" si="42"/>
        <v>46069.520000000004</v>
      </c>
      <c r="D34" s="1311">
        <f t="shared" si="43"/>
        <v>37710.61</v>
      </c>
      <c r="E34" s="1311">
        <f t="shared" si="44"/>
        <v>118782.08</v>
      </c>
      <c r="F34" s="1311">
        <f t="shared" si="45"/>
        <v>40958.770000000004</v>
      </c>
      <c r="G34" s="1311">
        <f t="shared" si="46"/>
        <v>230542.99</v>
      </c>
      <c r="H34" s="1311">
        <f t="shared" si="47"/>
        <v>11427.47</v>
      </c>
      <c r="I34" s="1311">
        <f t="shared" si="48"/>
        <v>52728.11</v>
      </c>
      <c r="J34" s="1311">
        <f t="shared" si="49"/>
        <v>73265.42</v>
      </c>
      <c r="K34" s="1311">
        <f t="shared" si="50"/>
        <v>207088.06</v>
      </c>
      <c r="L34" s="1311">
        <f t="shared" si="51"/>
        <v>117649.51000000001</v>
      </c>
      <c r="M34" s="1311">
        <f t="shared" si="52"/>
        <v>423852.03</v>
      </c>
      <c r="N34" s="1311">
        <f t="shared" si="53"/>
        <v>15940.74</v>
      </c>
      <c r="O34" s="1311">
        <f t="shared" si="54"/>
        <v>28933.920000000002</v>
      </c>
      <c r="P34" s="1311">
        <f t="shared" si="38"/>
        <v>35248</v>
      </c>
      <c r="Q34" s="1311"/>
      <c r="R34" s="1311"/>
      <c r="S34" s="1311">
        <f>+AY34+CE34</f>
        <v>12244.560000000001</v>
      </c>
      <c r="T34" s="1311">
        <f t="shared" si="56"/>
        <v>162430</v>
      </c>
      <c r="U34" s="1311">
        <f t="shared" si="57"/>
        <v>107298.45</v>
      </c>
      <c r="V34" s="1311">
        <f t="shared" si="58"/>
        <v>7637.84</v>
      </c>
      <c r="W34" s="1311">
        <f t="shared" si="59"/>
        <v>71077</v>
      </c>
      <c r="X34" s="1311">
        <f t="shared" si="60"/>
        <v>431330</v>
      </c>
      <c r="Y34" s="1311">
        <f t="shared" si="61"/>
        <v>90869.08</v>
      </c>
      <c r="Z34" s="1311">
        <f t="shared" si="62"/>
        <v>187202</v>
      </c>
      <c r="AA34" s="1311">
        <f t="shared" si="63"/>
        <v>69124</v>
      </c>
      <c r="AB34" s="1311">
        <f t="shared" si="64"/>
        <v>30558</v>
      </c>
      <c r="AC34" s="1311">
        <f t="shared" si="65"/>
        <v>34081</v>
      </c>
      <c r="AD34" s="1311">
        <f t="shared" si="66"/>
        <v>77602</v>
      </c>
      <c r="AE34" s="1311">
        <f t="shared" si="67"/>
        <v>108275.55</v>
      </c>
      <c r="AF34" s="1311">
        <f t="shared" si="68"/>
        <v>80500.2</v>
      </c>
      <c r="AG34" s="1311">
        <f t="shared" si="69"/>
        <v>82153.5</v>
      </c>
      <c r="AH34" s="1694">
        <f t="shared" si="70"/>
        <v>17110</v>
      </c>
      <c r="AI34" s="1689">
        <v>16699.5</v>
      </c>
      <c r="AJ34" s="1689">
        <v>37853.5</v>
      </c>
      <c r="AK34" s="1689">
        <v>31744.5</v>
      </c>
      <c r="AL34" s="1689">
        <v>108858.6</v>
      </c>
      <c r="AM34" s="1689">
        <v>29741.5</v>
      </c>
      <c r="AN34" s="1689">
        <v>199866.5</v>
      </c>
      <c r="AO34" s="1689">
        <v>11052</v>
      </c>
      <c r="AP34" s="1689">
        <v>42387</v>
      </c>
      <c r="AQ34" s="1689">
        <v>52680.2</v>
      </c>
      <c r="AR34" s="1689">
        <v>156286.5</v>
      </c>
      <c r="AS34" s="1689">
        <v>60136.4</v>
      </c>
      <c r="AT34" s="1689">
        <v>288592</v>
      </c>
      <c r="AU34" s="1689"/>
      <c r="AV34" s="1689"/>
      <c r="AW34" s="1689"/>
      <c r="AX34" s="1945"/>
      <c r="AY34" s="1689">
        <v>8058.88</v>
      </c>
      <c r="AZ34" s="1950">
        <v>136681</v>
      </c>
      <c r="BA34" s="1950">
        <v>68551.5</v>
      </c>
      <c r="BB34" s="1950">
        <v>7637.84</v>
      </c>
      <c r="BC34" s="1950">
        <v>31574</v>
      </c>
      <c r="BD34" s="1952">
        <v>132509</v>
      </c>
      <c r="BE34" s="1949">
        <v>62119.08</v>
      </c>
      <c r="BF34" s="1689">
        <v>168220</v>
      </c>
      <c r="BG34" s="1689">
        <v>59624</v>
      </c>
      <c r="BH34" s="1689">
        <v>18558</v>
      </c>
      <c r="BI34" s="1689">
        <v>20667</v>
      </c>
      <c r="BJ34" s="1689">
        <v>55567</v>
      </c>
      <c r="BK34" s="1689">
        <v>45756</v>
      </c>
      <c r="BL34" s="1689">
        <v>49522.2</v>
      </c>
      <c r="BM34" s="1689">
        <v>58203.5</v>
      </c>
      <c r="BN34" s="1689">
        <v>10723</v>
      </c>
      <c r="BO34" s="1487">
        <v>10569.58</v>
      </c>
      <c r="BP34" s="1487">
        <v>8216.02</v>
      </c>
      <c r="BQ34" s="1487">
        <v>5966.1100000000006</v>
      </c>
      <c r="BR34" s="1487">
        <v>9923.48</v>
      </c>
      <c r="BS34" s="1487">
        <v>11217.27</v>
      </c>
      <c r="BT34" s="1487">
        <v>30676.49</v>
      </c>
      <c r="BU34" s="1487">
        <v>375.47</v>
      </c>
      <c r="BV34" s="1487">
        <v>10341.11</v>
      </c>
      <c r="BW34" s="1487">
        <v>20585.219999999998</v>
      </c>
      <c r="BX34" s="1487">
        <v>50801.56</v>
      </c>
      <c r="BY34" s="1487">
        <v>57513.11</v>
      </c>
      <c r="BZ34" s="1487">
        <v>135260.03</v>
      </c>
      <c r="CA34" s="1487">
        <v>15940.74</v>
      </c>
      <c r="CB34" s="1487">
        <v>28933.920000000002</v>
      </c>
      <c r="CC34" s="1487"/>
      <c r="CD34" s="1487">
        <v>35248</v>
      </c>
      <c r="CE34" s="1487">
        <v>4185.68</v>
      </c>
      <c r="CF34" s="1487">
        <v>25749</v>
      </c>
      <c r="CG34" s="1487">
        <v>38746.949999999997</v>
      </c>
      <c r="CH34" s="1487"/>
      <c r="CI34" s="1487">
        <v>39503</v>
      </c>
      <c r="CJ34" s="1487">
        <v>298821</v>
      </c>
      <c r="CK34" s="1487">
        <v>28750</v>
      </c>
      <c r="CL34" s="1487">
        <v>18982</v>
      </c>
      <c r="CM34" s="1487">
        <v>9500</v>
      </c>
      <c r="CN34" s="1487">
        <v>12000</v>
      </c>
      <c r="CO34" s="1487">
        <v>13414</v>
      </c>
      <c r="CP34" s="1487">
        <v>22035</v>
      </c>
      <c r="CQ34" s="1487">
        <v>62519.55</v>
      </c>
      <c r="CR34" s="1487">
        <v>30978</v>
      </c>
      <c r="CS34" s="1487">
        <v>23950</v>
      </c>
      <c r="CT34" s="1487">
        <v>6387</v>
      </c>
      <c r="CU34" s="358">
        <f>SUM(AI34:BC34)+SUM(BO34:CI34)+'HH ALICORP'!I30</f>
        <v>1828154.1600000001</v>
      </c>
      <c r="CV34" s="358">
        <f t="shared" si="71"/>
        <v>1288401.4200000002</v>
      </c>
      <c r="CW34" s="358">
        <f t="shared" si="72"/>
        <v>539752.74</v>
      </c>
      <c r="CX34" s="691">
        <f t="shared" si="40"/>
        <v>2259484.16</v>
      </c>
    </row>
    <row r="35" spans="1:102" hidden="1">
      <c r="A35" s="1309">
        <v>44075</v>
      </c>
      <c r="B35" s="1311">
        <f t="shared" si="41"/>
        <v>26147.64</v>
      </c>
      <c r="C35" s="1311">
        <f t="shared" si="42"/>
        <v>38798.39</v>
      </c>
      <c r="D35" s="1311">
        <f t="shared" si="43"/>
        <v>37737.160000000003</v>
      </c>
      <c r="E35" s="1311">
        <f t="shared" si="44"/>
        <v>99723.94</v>
      </c>
      <c r="F35" s="1311">
        <f t="shared" si="45"/>
        <v>34633.050000000003</v>
      </c>
      <c r="G35" s="1311">
        <f t="shared" si="46"/>
        <v>206418.95</v>
      </c>
      <c r="H35" s="1311">
        <f t="shared" si="47"/>
        <v>8876.24</v>
      </c>
      <c r="I35" s="1311">
        <f t="shared" si="48"/>
        <v>44398.68</v>
      </c>
      <c r="J35" s="1311">
        <f t="shared" si="49"/>
        <v>70924.56</v>
      </c>
      <c r="K35" s="1311">
        <f t="shared" si="50"/>
        <v>174747.56</v>
      </c>
      <c r="L35" s="1311">
        <f t="shared" si="51"/>
        <v>119450.61</v>
      </c>
      <c r="M35" s="1311">
        <f t="shared" si="52"/>
        <v>425683.94</v>
      </c>
      <c r="N35" s="1311">
        <f t="shared" si="53"/>
        <v>14781.619999999999</v>
      </c>
      <c r="O35" s="1311">
        <f t="shared" si="54"/>
        <v>32364.74</v>
      </c>
      <c r="P35" s="1311">
        <f t="shared" si="38"/>
        <v>35248</v>
      </c>
      <c r="Q35" s="1311"/>
      <c r="R35" s="1311"/>
      <c r="S35" s="1311">
        <f t="shared" si="55"/>
        <v>12256.210000000001</v>
      </c>
      <c r="T35" s="1311">
        <f t="shared" si="56"/>
        <v>172318</v>
      </c>
      <c r="U35" s="1311">
        <f t="shared" si="57"/>
        <v>119126.57</v>
      </c>
      <c r="V35" s="1311">
        <f t="shared" si="58"/>
        <v>9508.0300000000007</v>
      </c>
      <c r="W35" s="1311">
        <f t="shared" si="59"/>
        <v>63466.869999999995</v>
      </c>
      <c r="X35" s="1311">
        <f t="shared" si="60"/>
        <v>431330</v>
      </c>
      <c r="Y35" s="1311">
        <f t="shared" si="61"/>
        <v>92260.27</v>
      </c>
      <c r="Z35" s="1311">
        <f t="shared" si="62"/>
        <v>181154</v>
      </c>
      <c r="AA35" s="1311">
        <f t="shared" si="63"/>
        <v>69124</v>
      </c>
      <c r="AB35" s="1311">
        <f t="shared" si="64"/>
        <v>30558</v>
      </c>
      <c r="AC35" s="1311">
        <f t="shared" si="65"/>
        <v>36081</v>
      </c>
      <c r="AD35" s="1311">
        <f t="shared" si="66"/>
        <v>87942</v>
      </c>
      <c r="AE35" s="1311">
        <f t="shared" si="67"/>
        <v>79922.067777776305</v>
      </c>
      <c r="AF35" s="1311">
        <f t="shared" si="68"/>
        <v>95330.3</v>
      </c>
      <c r="AG35" s="1311">
        <f t="shared" si="69"/>
        <v>85394.5</v>
      </c>
      <c r="AH35" s="1694">
        <f t="shared" si="70"/>
        <v>21435</v>
      </c>
      <c r="AI35" s="1689">
        <v>14153.5</v>
      </c>
      <c r="AJ35" s="1689">
        <v>32845.5</v>
      </c>
      <c r="AK35" s="1689">
        <v>27022.5</v>
      </c>
      <c r="AL35" s="1689">
        <v>88994.65</v>
      </c>
      <c r="AM35" s="1689">
        <v>23206.5</v>
      </c>
      <c r="AN35" s="1689">
        <v>176451.45</v>
      </c>
      <c r="AO35" s="1689">
        <v>8360</v>
      </c>
      <c r="AP35" s="1689">
        <v>33134</v>
      </c>
      <c r="AQ35" s="1689">
        <v>44701</v>
      </c>
      <c r="AR35" s="1689">
        <v>123946</v>
      </c>
      <c r="AS35" s="1689">
        <v>53572.03</v>
      </c>
      <c r="AT35" s="1689">
        <v>291396</v>
      </c>
      <c r="AU35" s="1689"/>
      <c r="AV35" s="1689"/>
      <c r="AW35" s="1689"/>
      <c r="AX35" s="1945"/>
      <c r="AY35" s="1689">
        <v>8200.7800000000007</v>
      </c>
      <c r="AZ35" s="1950">
        <v>147367</v>
      </c>
      <c r="BA35" s="1950">
        <v>70616.5</v>
      </c>
      <c r="BB35" s="1950">
        <v>9508.0300000000007</v>
      </c>
      <c r="BC35" s="1950">
        <v>24684.87</v>
      </c>
      <c r="BD35" s="1952">
        <v>132509</v>
      </c>
      <c r="BE35" s="1949">
        <v>65641.27</v>
      </c>
      <c r="BF35" s="1689">
        <v>162606</v>
      </c>
      <c r="BG35" s="1689">
        <v>59624</v>
      </c>
      <c r="BH35" s="1689">
        <v>18558</v>
      </c>
      <c r="BI35" s="1689">
        <v>20667</v>
      </c>
      <c r="BJ35" s="1689">
        <v>53353</v>
      </c>
      <c r="BK35" s="1689">
        <v>46899.71</v>
      </c>
      <c r="BL35" s="1689">
        <v>59596.3</v>
      </c>
      <c r="BM35" s="1689">
        <v>57505.5</v>
      </c>
      <c r="BN35" s="1689">
        <v>14128</v>
      </c>
      <c r="BO35" s="1487">
        <v>11994.14</v>
      </c>
      <c r="BP35" s="1487">
        <v>5952.8900000000012</v>
      </c>
      <c r="BQ35" s="1487">
        <v>10714.66</v>
      </c>
      <c r="BR35" s="1487">
        <v>10729.29</v>
      </c>
      <c r="BS35" s="1487">
        <v>11426.550000000001</v>
      </c>
      <c r="BT35" s="1487">
        <v>29967.499999999996</v>
      </c>
      <c r="BU35" s="1487">
        <v>516.24</v>
      </c>
      <c r="BV35" s="1487">
        <v>11264.68</v>
      </c>
      <c r="BW35" s="1487">
        <v>26223.559999999998</v>
      </c>
      <c r="BX35" s="1487">
        <v>50801.56</v>
      </c>
      <c r="BY35" s="1487">
        <v>65878.58</v>
      </c>
      <c r="BZ35" s="1487">
        <v>134287.94</v>
      </c>
      <c r="CA35" s="1487">
        <v>14781.619999999999</v>
      </c>
      <c r="CB35" s="1487">
        <v>32364.74</v>
      </c>
      <c r="CC35" s="1487"/>
      <c r="CD35" s="1487">
        <v>35248</v>
      </c>
      <c r="CE35" s="1487">
        <v>4055.43</v>
      </c>
      <c r="CF35" s="1487">
        <v>24951</v>
      </c>
      <c r="CG35" s="1487">
        <v>48510.07</v>
      </c>
      <c r="CH35" s="1487"/>
      <c r="CI35" s="1487">
        <v>38782</v>
      </c>
      <c r="CJ35" s="1487">
        <v>298821</v>
      </c>
      <c r="CK35" s="1487">
        <v>26619</v>
      </c>
      <c r="CL35" s="1487">
        <v>18548</v>
      </c>
      <c r="CM35" s="1487">
        <v>9500</v>
      </c>
      <c r="CN35" s="1487">
        <v>12000</v>
      </c>
      <c r="CO35" s="1487">
        <v>15414</v>
      </c>
      <c r="CP35" s="1487">
        <v>34589</v>
      </c>
      <c r="CQ35" s="1487">
        <v>33022.357777776313</v>
      </c>
      <c r="CR35" s="1487">
        <v>35734</v>
      </c>
      <c r="CS35" s="1487">
        <v>27889</v>
      </c>
      <c r="CT35" s="1487">
        <v>7307</v>
      </c>
      <c r="CU35" s="358">
        <f>SUM(AI35:BC35)+SUM(BO35:CI35)+'HH ALICORP'!J30</f>
        <v>1746610.7600000002</v>
      </c>
      <c r="CV35" s="358">
        <f t="shared" si="71"/>
        <v>1178160.3100000003</v>
      </c>
      <c r="CW35" s="358">
        <f t="shared" si="72"/>
        <v>568450.44999999995</v>
      </c>
      <c r="CX35" s="691">
        <f t="shared" si="40"/>
        <v>2177940.7600000002</v>
      </c>
    </row>
    <row r="36" spans="1:102" hidden="1">
      <c r="A36" s="1309">
        <v>44105</v>
      </c>
      <c r="B36" s="1311">
        <f t="shared" si="41"/>
        <v>23595.23</v>
      </c>
      <c r="C36" s="1311">
        <f t="shared" si="42"/>
        <v>36030.089999999997</v>
      </c>
      <c r="D36" s="1311">
        <f t="shared" si="43"/>
        <v>37299.380000000005</v>
      </c>
      <c r="E36" s="1311">
        <f t="shared" si="44"/>
        <v>105267</v>
      </c>
      <c r="F36" s="1311">
        <f t="shared" si="45"/>
        <v>30599.510000000002</v>
      </c>
      <c r="G36" s="1311">
        <f t="shared" si="46"/>
        <v>196473.69</v>
      </c>
      <c r="H36" s="1311">
        <f t="shared" si="47"/>
        <v>9326</v>
      </c>
      <c r="I36" s="1311">
        <f t="shared" si="48"/>
        <v>36169.07</v>
      </c>
      <c r="J36" s="1311">
        <f t="shared" si="49"/>
        <v>72465.09</v>
      </c>
      <c r="K36" s="1311">
        <f t="shared" si="50"/>
        <v>174907.56</v>
      </c>
      <c r="L36" s="1311">
        <f t="shared" si="51"/>
        <v>122338.70999999999</v>
      </c>
      <c r="M36" s="1311">
        <f t="shared" si="52"/>
        <v>373917.76</v>
      </c>
      <c r="N36" s="1311">
        <f t="shared" si="53"/>
        <v>14777.33</v>
      </c>
      <c r="O36" s="1311">
        <f t="shared" si="54"/>
        <v>36684.68</v>
      </c>
      <c r="P36" s="1311">
        <f t="shared" si="38"/>
        <v>35248</v>
      </c>
      <c r="Q36" s="1311"/>
      <c r="R36" s="1311"/>
      <c r="S36" s="1311">
        <f t="shared" si="55"/>
        <v>12898.810000000001</v>
      </c>
      <c r="T36" s="1311">
        <f t="shared" si="56"/>
        <v>190034</v>
      </c>
      <c r="U36" s="1311">
        <f t="shared" si="57"/>
        <v>125971.51999999999</v>
      </c>
      <c r="V36" s="1311">
        <f t="shared" si="58"/>
        <v>9525.59</v>
      </c>
      <c r="W36" s="1311">
        <f t="shared" si="59"/>
        <v>59032</v>
      </c>
      <c r="X36" s="1311">
        <f t="shared" si="60"/>
        <v>430395</v>
      </c>
      <c r="Y36" s="1311">
        <f t="shared" si="61"/>
        <v>96253.36</v>
      </c>
      <c r="Z36" s="1311">
        <f t="shared" si="62"/>
        <v>180589</v>
      </c>
      <c r="AA36" s="1311">
        <f t="shared" si="63"/>
        <v>69124</v>
      </c>
      <c r="AB36" s="1311">
        <f t="shared" si="64"/>
        <v>30558</v>
      </c>
      <c r="AC36" s="1311">
        <f t="shared" si="65"/>
        <v>36081</v>
      </c>
      <c r="AD36" s="1311">
        <f t="shared" si="66"/>
        <v>74313</v>
      </c>
      <c r="AE36" s="1311">
        <f t="shared" si="67"/>
        <v>70471.000277770509</v>
      </c>
      <c r="AF36" s="1311">
        <f t="shared" si="68"/>
        <v>93151.03</v>
      </c>
      <c r="AG36" s="1311">
        <f t="shared" si="69"/>
        <v>82560</v>
      </c>
      <c r="AH36" s="1694">
        <f t="shared" si="70"/>
        <v>22255.559999999998</v>
      </c>
      <c r="AI36" s="1689">
        <v>14437</v>
      </c>
      <c r="AJ36" s="1689">
        <v>31289.5</v>
      </c>
      <c r="AK36" s="1689">
        <v>28121.5</v>
      </c>
      <c r="AL36" s="1689">
        <v>94406.87</v>
      </c>
      <c r="AM36" s="1689">
        <v>20401.75</v>
      </c>
      <c r="AN36" s="1689">
        <v>175318.5</v>
      </c>
      <c r="AO36" s="1689">
        <v>9326</v>
      </c>
      <c r="AP36" s="1689">
        <v>31260</v>
      </c>
      <c r="AQ36" s="1689">
        <v>47014.5</v>
      </c>
      <c r="AR36" s="1689">
        <v>124106</v>
      </c>
      <c r="AS36" s="1689">
        <v>55444.6</v>
      </c>
      <c r="AT36" s="1689">
        <v>247932</v>
      </c>
      <c r="AU36" s="1689"/>
      <c r="AV36" s="1689"/>
      <c r="AW36" s="1689"/>
      <c r="AX36" s="1945"/>
      <c r="AY36" s="1689">
        <v>8016.93</v>
      </c>
      <c r="AZ36" s="1950">
        <v>162669</v>
      </c>
      <c r="BA36" s="1950">
        <v>73589.5</v>
      </c>
      <c r="BB36" s="1950">
        <v>9525.59</v>
      </c>
      <c r="BC36" s="1950">
        <v>22591</v>
      </c>
      <c r="BD36" s="1952">
        <v>132509</v>
      </c>
      <c r="BE36" s="1949">
        <v>66989.36</v>
      </c>
      <c r="BF36" s="1689">
        <v>161394</v>
      </c>
      <c r="BG36" s="1689">
        <v>59624</v>
      </c>
      <c r="BH36" s="1689">
        <v>18558</v>
      </c>
      <c r="BI36" s="1689">
        <v>20667</v>
      </c>
      <c r="BJ36" s="1689">
        <v>54002</v>
      </c>
      <c r="BK36" s="1689">
        <v>42405.38</v>
      </c>
      <c r="BL36" s="1689">
        <v>56133.03</v>
      </c>
      <c r="BM36" s="1689">
        <v>54671</v>
      </c>
      <c r="BN36" s="1689">
        <v>14398.3</v>
      </c>
      <c r="BO36" s="1487">
        <v>9158.23</v>
      </c>
      <c r="BP36" s="1487">
        <v>4740.59</v>
      </c>
      <c r="BQ36" s="1487">
        <v>9177.880000000001</v>
      </c>
      <c r="BR36" s="1487">
        <v>10860.130000000001</v>
      </c>
      <c r="BS36" s="1487">
        <v>10197.76</v>
      </c>
      <c r="BT36" s="1487">
        <v>21155.190000000002</v>
      </c>
      <c r="BU36" s="1487">
        <v>0</v>
      </c>
      <c r="BV36" s="1487">
        <v>4909.07</v>
      </c>
      <c r="BW36" s="1487">
        <v>25450.59</v>
      </c>
      <c r="BX36" s="1487">
        <v>50801.56</v>
      </c>
      <c r="BY36" s="1487">
        <v>66894.11</v>
      </c>
      <c r="BZ36" s="1487">
        <v>125985.76000000001</v>
      </c>
      <c r="CA36" s="1487">
        <v>14777.33</v>
      </c>
      <c r="CB36" s="1487">
        <v>36684.68</v>
      </c>
      <c r="CC36" s="1487"/>
      <c r="CD36" s="1487">
        <v>35248</v>
      </c>
      <c r="CE36" s="1487">
        <v>4881.88</v>
      </c>
      <c r="CF36" s="1487">
        <v>27365</v>
      </c>
      <c r="CG36" s="1487">
        <v>52382.02</v>
      </c>
      <c r="CH36" s="1487"/>
      <c r="CI36" s="1487">
        <v>36441</v>
      </c>
      <c r="CJ36" s="1487">
        <f>298821-935</f>
        <v>297886</v>
      </c>
      <c r="CK36" s="1487">
        <v>29264</v>
      </c>
      <c r="CL36" s="1487">
        <v>19195</v>
      </c>
      <c r="CM36" s="1487">
        <v>9500</v>
      </c>
      <c r="CN36" s="1487">
        <v>12000</v>
      </c>
      <c r="CO36" s="1487">
        <v>15414</v>
      </c>
      <c r="CP36" s="1487">
        <v>20311</v>
      </c>
      <c r="CQ36" s="1487">
        <v>28065.620277770504</v>
      </c>
      <c r="CR36" s="1487">
        <v>37018</v>
      </c>
      <c r="CS36" s="1487">
        <v>27889</v>
      </c>
      <c r="CT36" s="1487">
        <v>7857.26</v>
      </c>
      <c r="CU36" s="358">
        <f>SUM(AI36:BC36)+SUM(BO36:CI36)+'HH ALICORP'!K30</f>
        <v>1702561.02</v>
      </c>
      <c r="CV36" s="358">
        <f t="shared" si="71"/>
        <v>1155450.24</v>
      </c>
      <c r="CW36" s="358">
        <f t="shared" si="72"/>
        <v>547110.78</v>
      </c>
      <c r="CX36" s="691">
        <f t="shared" si="40"/>
        <v>2132956.02</v>
      </c>
    </row>
    <row r="37" spans="1:102" hidden="1">
      <c r="A37" s="1309">
        <v>44136</v>
      </c>
      <c r="B37" s="1311">
        <f t="shared" si="41"/>
        <v>18604.120000000003</v>
      </c>
      <c r="C37" s="1311">
        <f t="shared" si="42"/>
        <v>38902.080000000002</v>
      </c>
      <c r="D37" s="1311">
        <f t="shared" si="43"/>
        <v>34482.25</v>
      </c>
      <c r="E37" s="1311">
        <f t="shared" si="44"/>
        <v>101650.59999999999</v>
      </c>
      <c r="F37" s="1311">
        <f t="shared" si="45"/>
        <v>38549.68</v>
      </c>
      <c r="G37" s="1311">
        <f t="shared" si="46"/>
        <v>217894.14</v>
      </c>
      <c r="H37" s="1311">
        <f t="shared" si="47"/>
        <v>8347.2900000000009</v>
      </c>
      <c r="I37" s="1311">
        <f t="shared" si="48"/>
        <v>26640.67</v>
      </c>
      <c r="J37" s="1311">
        <f t="shared" si="49"/>
        <v>68500.709999999992</v>
      </c>
      <c r="K37" s="1311">
        <f t="shared" si="50"/>
        <v>174224.56</v>
      </c>
      <c r="L37" s="1311">
        <f t="shared" si="51"/>
        <v>120312.29</v>
      </c>
      <c r="M37" s="1311">
        <f t="shared" si="52"/>
        <v>446794.95</v>
      </c>
      <c r="N37" s="1311">
        <f t="shared" si="53"/>
        <v>14665.84</v>
      </c>
      <c r="O37" s="1311">
        <f t="shared" si="54"/>
        <v>50053.21</v>
      </c>
      <c r="P37" s="1311">
        <f t="shared" si="38"/>
        <v>35248</v>
      </c>
      <c r="Q37" s="1311"/>
      <c r="R37" s="1311"/>
      <c r="S37" s="1311">
        <f t="shared" si="55"/>
        <v>12343.51</v>
      </c>
      <c r="T37" s="1311">
        <f t="shared" si="56"/>
        <v>162711</v>
      </c>
      <c r="U37" s="1311">
        <f t="shared" si="57"/>
        <v>120623.78</v>
      </c>
      <c r="V37" s="1311">
        <f t="shared" si="58"/>
        <v>9068</v>
      </c>
      <c r="W37" s="1311">
        <f t="shared" si="59"/>
        <v>63736</v>
      </c>
      <c r="X37" s="1311">
        <f t="shared" si="60"/>
        <v>554443</v>
      </c>
      <c r="Y37" s="1311">
        <f t="shared" si="61"/>
        <v>103150.29000000001</v>
      </c>
      <c r="Z37" s="1311">
        <f t="shared" si="62"/>
        <v>185085</v>
      </c>
      <c r="AA37" s="1311">
        <f t="shared" si="63"/>
        <v>69124</v>
      </c>
      <c r="AB37" s="1311">
        <f t="shared" si="64"/>
        <v>30558</v>
      </c>
      <c r="AC37" s="1311">
        <f t="shared" si="65"/>
        <v>36081</v>
      </c>
      <c r="AD37" s="1311">
        <f t="shared" si="66"/>
        <v>73379</v>
      </c>
      <c r="AE37" s="1311">
        <f t="shared" si="67"/>
        <v>73429.855833334223</v>
      </c>
      <c r="AF37" s="1311">
        <f t="shared" si="68"/>
        <v>89855.42</v>
      </c>
      <c r="AG37" s="1311">
        <f t="shared" si="69"/>
        <v>79577.5</v>
      </c>
      <c r="AH37" s="1694">
        <f t="shared" si="70"/>
        <v>22694.65</v>
      </c>
      <c r="AI37" s="1689">
        <v>13237.5</v>
      </c>
      <c r="AJ37" s="1689">
        <v>31296.5</v>
      </c>
      <c r="AK37" s="1689">
        <v>27779</v>
      </c>
      <c r="AL37" s="1689">
        <v>90072.45</v>
      </c>
      <c r="AM37" s="1689">
        <v>26548.25</v>
      </c>
      <c r="AN37" s="1689">
        <v>183679</v>
      </c>
      <c r="AO37" s="1689">
        <v>8332</v>
      </c>
      <c r="AP37" s="1689">
        <v>21438</v>
      </c>
      <c r="AQ37" s="1689">
        <v>44240.5</v>
      </c>
      <c r="AR37" s="1689">
        <v>123423</v>
      </c>
      <c r="AS37" s="1689">
        <v>54284.17</v>
      </c>
      <c r="AT37" s="1689">
        <v>303592</v>
      </c>
      <c r="AU37" s="1689"/>
      <c r="AV37" s="1689"/>
      <c r="AW37" s="1689"/>
      <c r="AX37" s="1945"/>
      <c r="AY37" s="1689">
        <v>8149.26</v>
      </c>
      <c r="AZ37" s="1950">
        <v>138378</v>
      </c>
      <c r="BA37" s="1950">
        <v>66993</v>
      </c>
      <c r="BB37" s="1950">
        <v>9068</v>
      </c>
      <c r="BC37" s="1950">
        <v>24722</v>
      </c>
      <c r="BD37" s="1952">
        <v>132509</v>
      </c>
      <c r="BE37" s="1949">
        <v>65354.29</v>
      </c>
      <c r="BF37" s="1689">
        <v>159406</v>
      </c>
      <c r="BG37" s="1689">
        <v>59624</v>
      </c>
      <c r="BH37" s="1689">
        <v>18558</v>
      </c>
      <c r="BI37" s="1689">
        <v>20667</v>
      </c>
      <c r="BJ37" s="1689">
        <v>49922</v>
      </c>
      <c r="BK37" s="1689">
        <v>43847.229999999996</v>
      </c>
      <c r="BL37" s="1689">
        <v>50934.59</v>
      </c>
      <c r="BM37" s="1689">
        <v>51688.5</v>
      </c>
      <c r="BN37" s="1689">
        <v>16869</v>
      </c>
      <c r="BO37" s="1487">
        <v>5366.6200000000008</v>
      </c>
      <c r="BP37" s="1487">
        <v>7605.579999999999</v>
      </c>
      <c r="BQ37" s="1487">
        <v>6703.25</v>
      </c>
      <c r="BR37" s="1487">
        <v>11578.15</v>
      </c>
      <c r="BS37" s="1487">
        <v>12001.429999999998</v>
      </c>
      <c r="BT37" s="1487">
        <v>34215.14</v>
      </c>
      <c r="BU37" s="1487">
        <v>15.29</v>
      </c>
      <c r="BV37" s="1487">
        <v>5202.67</v>
      </c>
      <c r="BW37" s="1487">
        <v>24260.21</v>
      </c>
      <c r="BX37" s="1487">
        <v>50801.56</v>
      </c>
      <c r="BY37" s="1487">
        <v>66028.12</v>
      </c>
      <c r="BZ37" s="1487">
        <v>143202.95000000001</v>
      </c>
      <c r="CA37" s="1487">
        <v>14665.84</v>
      </c>
      <c r="CB37" s="1487">
        <v>50053.21</v>
      </c>
      <c r="CC37" s="1487"/>
      <c r="CD37" s="1487">
        <v>35248</v>
      </c>
      <c r="CE37" s="1487">
        <v>4194.25</v>
      </c>
      <c r="CF37" s="1487">
        <v>24333</v>
      </c>
      <c r="CG37" s="1487">
        <v>53630.78</v>
      </c>
      <c r="CH37" s="1487"/>
      <c r="CI37" s="1487">
        <v>39014</v>
      </c>
      <c r="CJ37" s="1487">
        <v>421934</v>
      </c>
      <c r="CK37" s="1487">
        <v>37796</v>
      </c>
      <c r="CL37" s="1487">
        <v>25679</v>
      </c>
      <c r="CM37" s="1487">
        <v>9500</v>
      </c>
      <c r="CN37" s="1487">
        <v>12000</v>
      </c>
      <c r="CO37" s="1487">
        <v>15414</v>
      </c>
      <c r="CP37" s="1487">
        <v>23457</v>
      </c>
      <c r="CQ37" s="1487">
        <v>29582.625833334227</v>
      </c>
      <c r="CR37" s="1487">
        <v>38920.83</v>
      </c>
      <c r="CS37" s="1487">
        <v>27889</v>
      </c>
      <c r="CT37" s="1487">
        <v>5825.65</v>
      </c>
      <c r="CU37" s="358">
        <f>SUM(AI37:BC37)+SUM(BO37:CI37)+'HH ALICORP'!L30</f>
        <v>1763352.68</v>
      </c>
      <c r="CV37" s="358">
        <f t="shared" si="71"/>
        <v>1175232.6299999999</v>
      </c>
      <c r="CW37" s="358">
        <f t="shared" si="72"/>
        <v>588120.05000000005</v>
      </c>
      <c r="CX37" s="691">
        <f t="shared" si="40"/>
        <v>2317795.6799999997</v>
      </c>
    </row>
    <row r="38" spans="1:102" hidden="1">
      <c r="A38" s="1309">
        <v>44166</v>
      </c>
      <c r="B38" s="1311">
        <f t="shared" si="41"/>
        <v>18995.47</v>
      </c>
      <c r="C38" s="1311">
        <f t="shared" si="42"/>
        <v>38955.229999999996</v>
      </c>
      <c r="D38" s="1311">
        <f t="shared" si="43"/>
        <v>33580.03</v>
      </c>
      <c r="E38" s="1311">
        <f t="shared" si="44"/>
        <v>73494.41</v>
      </c>
      <c r="F38" s="1311">
        <f t="shared" si="45"/>
        <v>37481.64</v>
      </c>
      <c r="G38" s="1311">
        <f t="shared" si="46"/>
        <v>201327.63</v>
      </c>
      <c r="H38" s="1311">
        <f t="shared" si="47"/>
        <v>7702.7</v>
      </c>
      <c r="I38" s="1311">
        <f t="shared" si="48"/>
        <v>38736.520000000004</v>
      </c>
      <c r="J38" s="1311">
        <f t="shared" si="49"/>
        <v>83207</v>
      </c>
      <c r="K38" s="1311">
        <f t="shared" si="50"/>
        <v>174681.06</v>
      </c>
      <c r="L38" s="1311">
        <f t="shared" si="51"/>
        <v>121747.07</v>
      </c>
      <c r="M38" s="1311">
        <f t="shared" si="52"/>
        <v>457393.4</v>
      </c>
      <c r="N38" s="1311">
        <f t="shared" si="53"/>
        <v>16552.39</v>
      </c>
      <c r="O38" s="1311">
        <f t="shared" si="54"/>
        <v>57252.110000000008</v>
      </c>
      <c r="P38" s="1311">
        <f t="shared" si="38"/>
        <v>35248</v>
      </c>
      <c r="Q38" s="1311"/>
      <c r="R38" s="1311"/>
      <c r="S38" s="1311">
        <f t="shared" si="55"/>
        <v>10128.629999999999</v>
      </c>
      <c r="T38" s="1311">
        <f t="shared" si="56"/>
        <v>116562</v>
      </c>
      <c r="U38" s="1311">
        <f t="shared" si="57"/>
        <v>128463.37</v>
      </c>
      <c r="V38" s="1311">
        <f t="shared" si="58"/>
        <v>9535</v>
      </c>
      <c r="W38" s="1311">
        <f t="shared" si="59"/>
        <v>61660</v>
      </c>
      <c r="X38" s="1311">
        <f t="shared" si="60"/>
        <v>893537</v>
      </c>
      <c r="Y38" s="1311">
        <f t="shared" si="61"/>
        <v>105370.16</v>
      </c>
      <c r="Z38" s="1311">
        <f t="shared" si="62"/>
        <v>192225</v>
      </c>
      <c r="AA38" s="1311">
        <f t="shared" si="63"/>
        <v>69124</v>
      </c>
      <c r="AB38" s="1311">
        <f t="shared" si="64"/>
        <v>30558</v>
      </c>
      <c r="AC38" s="1311">
        <f t="shared" si="65"/>
        <v>36081</v>
      </c>
      <c r="AD38" s="1311">
        <f t="shared" si="66"/>
        <v>85460</v>
      </c>
      <c r="AE38" s="1311">
        <f t="shared" si="67"/>
        <v>75844.461388883195</v>
      </c>
      <c r="AF38" s="1311">
        <f t="shared" si="68"/>
        <v>84844.790000000008</v>
      </c>
      <c r="AG38" s="1311">
        <f t="shared" si="69"/>
        <v>66125.5</v>
      </c>
      <c r="AH38" s="1694">
        <f t="shared" si="70"/>
        <v>23364.04</v>
      </c>
      <c r="AI38" s="1689">
        <v>12694</v>
      </c>
      <c r="AJ38" s="1689">
        <v>29885</v>
      </c>
      <c r="AK38" s="1689">
        <v>26205.5</v>
      </c>
      <c r="AL38" s="1689">
        <v>66726.83</v>
      </c>
      <c r="AM38" s="1689">
        <v>22451.75</v>
      </c>
      <c r="AN38" s="1689">
        <v>173740.25</v>
      </c>
      <c r="AO38" s="1689">
        <v>7643</v>
      </c>
      <c r="AP38" s="1689">
        <v>30198.5</v>
      </c>
      <c r="AQ38" s="1689">
        <v>40350</v>
      </c>
      <c r="AR38" s="1689">
        <v>123879.5</v>
      </c>
      <c r="AS38" s="1689">
        <v>54419.51</v>
      </c>
      <c r="AT38" s="1689">
        <v>307456</v>
      </c>
      <c r="AU38" s="1689"/>
      <c r="AV38" s="1689"/>
      <c r="AW38" s="1689"/>
      <c r="AX38" s="1945"/>
      <c r="AY38" s="1689">
        <v>6919.28</v>
      </c>
      <c r="AZ38" s="1950">
        <v>90408</v>
      </c>
      <c r="BA38" s="1950">
        <v>65680.5</v>
      </c>
      <c r="BB38" s="1950">
        <v>9535</v>
      </c>
      <c r="BC38" s="1950">
        <v>24534</v>
      </c>
      <c r="BD38" s="1952">
        <v>132509</v>
      </c>
      <c r="BE38" s="1949">
        <v>69797.16</v>
      </c>
      <c r="BF38" s="1689">
        <v>166348</v>
      </c>
      <c r="BG38" s="1689">
        <v>59624</v>
      </c>
      <c r="BH38" s="1689">
        <v>18558</v>
      </c>
      <c r="BI38" s="1689">
        <v>20667</v>
      </c>
      <c r="BJ38" s="1689">
        <v>62219</v>
      </c>
      <c r="BK38" s="1689">
        <v>44515.219999999994</v>
      </c>
      <c r="BL38" s="1689">
        <v>49446</v>
      </c>
      <c r="BM38" s="1689">
        <v>38236.5</v>
      </c>
      <c r="BN38" s="1689">
        <v>16307.5</v>
      </c>
      <c r="BO38" s="1487">
        <v>6301.47</v>
      </c>
      <c r="BP38" s="1487">
        <v>9070.23</v>
      </c>
      <c r="BQ38" s="1487">
        <v>7374.53</v>
      </c>
      <c r="BR38" s="1487">
        <v>6767.58</v>
      </c>
      <c r="BS38" s="1487">
        <v>15029.89</v>
      </c>
      <c r="BT38" s="1487">
        <v>27587.379999999997</v>
      </c>
      <c r="BU38" s="1487">
        <v>59.7</v>
      </c>
      <c r="BV38" s="1487">
        <v>8538.02</v>
      </c>
      <c r="BW38" s="1487">
        <v>42857</v>
      </c>
      <c r="BX38" s="1487">
        <v>50801.56</v>
      </c>
      <c r="BY38" s="1487">
        <v>67327.56</v>
      </c>
      <c r="BZ38" s="1487">
        <v>149937.40000000002</v>
      </c>
      <c r="CA38" s="1487">
        <v>16552.39</v>
      </c>
      <c r="CB38" s="1487">
        <v>57252.110000000008</v>
      </c>
      <c r="CC38" s="1487"/>
      <c r="CD38" s="1487">
        <v>35248</v>
      </c>
      <c r="CE38" s="1487">
        <v>3209.35</v>
      </c>
      <c r="CF38" s="1487">
        <v>26154</v>
      </c>
      <c r="CG38" s="1487">
        <v>62782.87</v>
      </c>
      <c r="CH38" s="1487"/>
      <c r="CI38" s="1487">
        <v>37126</v>
      </c>
      <c r="CJ38" s="1487">
        <v>761028</v>
      </c>
      <c r="CK38" s="1487">
        <v>35573</v>
      </c>
      <c r="CL38" s="1487">
        <v>25877</v>
      </c>
      <c r="CM38" s="1487">
        <v>9500</v>
      </c>
      <c r="CN38" s="1487">
        <v>12000</v>
      </c>
      <c r="CO38" s="1487">
        <v>15414</v>
      </c>
      <c r="CP38" s="1487">
        <v>23241</v>
      </c>
      <c r="CQ38" s="1487">
        <v>31329.241388883202</v>
      </c>
      <c r="CR38" s="1487">
        <v>35398.79</v>
      </c>
      <c r="CS38" s="1487">
        <v>27889</v>
      </c>
      <c r="CT38" s="1487">
        <v>7056.54</v>
      </c>
      <c r="CU38" s="358">
        <f>SUM(AI38:BC38)+SUM(BO38:CI38)+'HH ALICORP'!M30</f>
        <v>1722703.6600000001</v>
      </c>
      <c r="CV38" s="358">
        <f t="shared" si="71"/>
        <v>1092726.6200000001</v>
      </c>
      <c r="CW38" s="358">
        <f t="shared" si="72"/>
        <v>629977.03999999992</v>
      </c>
      <c r="CX38" s="691">
        <f t="shared" si="40"/>
        <v>2616240.66</v>
      </c>
    </row>
    <row r="39" spans="1:102" hidden="1">
      <c r="A39" s="1309">
        <v>44197</v>
      </c>
      <c r="B39" s="1311">
        <f t="shared" si="41"/>
        <v>15881.33</v>
      </c>
      <c r="C39" s="1311">
        <f t="shared" si="42"/>
        <v>36554.18</v>
      </c>
      <c r="D39" s="1311">
        <f t="shared" si="43"/>
        <v>32411.82</v>
      </c>
      <c r="E39" s="1311">
        <f t="shared" si="44"/>
        <v>84525.09</v>
      </c>
      <c r="F39" s="1311">
        <f t="shared" si="45"/>
        <v>33071.910000000003</v>
      </c>
      <c r="G39" s="1311">
        <f t="shared" si="46"/>
        <v>201150.08000000002</v>
      </c>
      <c r="H39" s="1311">
        <f t="shared" si="47"/>
        <v>8812.5400000000009</v>
      </c>
      <c r="I39" s="1311">
        <f t="shared" si="48"/>
        <v>33121.660000000003</v>
      </c>
      <c r="J39" s="1311">
        <f t="shared" si="49"/>
        <v>58470.39</v>
      </c>
      <c r="K39" s="1311">
        <f t="shared" si="50"/>
        <v>171978.97</v>
      </c>
      <c r="L39" s="1311">
        <f t="shared" si="51"/>
        <v>123945.63</v>
      </c>
      <c r="M39" s="1311">
        <f t="shared" si="52"/>
        <v>452891.28</v>
      </c>
      <c r="N39" s="1311">
        <f t="shared" si="53"/>
        <v>17729.96</v>
      </c>
      <c r="O39" s="1311">
        <f t="shared" si="54"/>
        <v>66223.3</v>
      </c>
      <c r="P39" s="1311">
        <f t="shared" ref="P39:P50" si="73">+AW39+CC39</f>
        <v>17024</v>
      </c>
      <c r="Q39" s="1311">
        <f t="shared" ref="Q39:Q50" si="74">+AX39+CD39</f>
        <v>35424</v>
      </c>
      <c r="R39" s="1311"/>
      <c r="S39" s="1311">
        <f t="shared" si="55"/>
        <v>10824.103333333333</v>
      </c>
      <c r="T39" s="1311">
        <f t="shared" si="56"/>
        <v>132634</v>
      </c>
      <c r="U39" s="1311">
        <f t="shared" si="57"/>
        <v>141773.33000000002</v>
      </c>
      <c r="V39" s="1311">
        <f t="shared" si="58"/>
        <v>9644</v>
      </c>
      <c r="W39" s="1311">
        <f t="shared" si="59"/>
        <v>57733</v>
      </c>
      <c r="X39" s="1311">
        <f t="shared" si="60"/>
        <v>618399</v>
      </c>
      <c r="Y39" s="1311">
        <f t="shared" si="61"/>
        <v>81497.37</v>
      </c>
      <c r="Z39" s="1311">
        <f t="shared" si="62"/>
        <v>145507</v>
      </c>
      <c r="AA39" s="1311">
        <f t="shared" si="63"/>
        <v>75133</v>
      </c>
      <c r="AB39" s="1311">
        <f t="shared" si="64"/>
        <v>11631</v>
      </c>
      <c r="AC39" s="1311">
        <f t="shared" si="65"/>
        <v>35151</v>
      </c>
      <c r="AD39" s="1311">
        <f t="shared" si="66"/>
        <v>80164</v>
      </c>
      <c r="AE39" s="1311">
        <f t="shared" si="67"/>
        <v>65270.078055559796</v>
      </c>
      <c r="AF39" s="1311">
        <f t="shared" si="68"/>
        <v>83954.5</v>
      </c>
      <c r="AG39" s="1311">
        <f t="shared" si="69"/>
        <v>57212</v>
      </c>
      <c r="AH39" s="1694">
        <f t="shared" si="70"/>
        <v>20008.16</v>
      </c>
      <c r="AI39" s="1689">
        <v>8024.5</v>
      </c>
      <c r="AJ39" s="1689">
        <v>29116.5</v>
      </c>
      <c r="AK39" s="1689">
        <v>26368</v>
      </c>
      <c r="AL39" s="1689">
        <v>76698</v>
      </c>
      <c r="AM39" s="1689">
        <v>19559.25</v>
      </c>
      <c r="AN39" s="1689">
        <v>170341.2</v>
      </c>
      <c r="AO39" s="1689">
        <v>8509</v>
      </c>
      <c r="AP39" s="1689">
        <v>22027.5</v>
      </c>
      <c r="AQ39" s="1689">
        <v>38780.5</v>
      </c>
      <c r="AR39" s="1689">
        <v>116389.5</v>
      </c>
      <c r="AS39" s="1689">
        <v>53905</v>
      </c>
      <c r="AT39" s="1689">
        <v>311132</v>
      </c>
      <c r="AU39" s="1689"/>
      <c r="AV39" s="1689"/>
      <c r="AW39" s="1689">
        <v>17024</v>
      </c>
      <c r="AX39" s="1945"/>
      <c r="AY39" s="1689">
        <v>7397.57</v>
      </c>
      <c r="AZ39" s="1950">
        <v>113191</v>
      </c>
      <c r="BA39" s="1950">
        <v>71594</v>
      </c>
      <c r="BB39" s="1950">
        <v>8888</v>
      </c>
      <c r="BC39" s="1950">
        <v>21612</v>
      </c>
      <c r="BD39" s="1952">
        <v>145736</v>
      </c>
      <c r="BE39" s="1949">
        <v>63763.369999999995</v>
      </c>
      <c r="BF39" s="1689">
        <v>119341</v>
      </c>
      <c r="BG39" s="1689">
        <v>70360</v>
      </c>
      <c r="BH39" s="1689">
        <v>7242</v>
      </c>
      <c r="BI39" s="1689">
        <v>23376</v>
      </c>
      <c r="BJ39" s="1689">
        <v>61599</v>
      </c>
      <c r="BK39" s="1689">
        <v>44416.27</v>
      </c>
      <c r="BL39" s="1689">
        <v>49157.63</v>
      </c>
      <c r="BM39" s="1689">
        <v>38780</v>
      </c>
      <c r="BN39" s="1689">
        <v>11442</v>
      </c>
      <c r="BO39" s="1487">
        <v>7856.83</v>
      </c>
      <c r="BP39" s="1487">
        <v>7437.68</v>
      </c>
      <c r="BQ39" s="1487">
        <v>6043.82</v>
      </c>
      <c r="BR39" s="1487">
        <v>7827.09</v>
      </c>
      <c r="BS39" s="1487">
        <v>13512.66</v>
      </c>
      <c r="BT39" s="1487">
        <v>30808.880000000001</v>
      </c>
      <c r="BU39" s="1487">
        <v>303.54000000000002</v>
      </c>
      <c r="BV39" s="1487">
        <v>11094.16</v>
      </c>
      <c r="BW39" s="1487">
        <v>19689.89</v>
      </c>
      <c r="BX39" s="1487">
        <v>55589.47</v>
      </c>
      <c r="BY39" s="1487">
        <v>70040.63</v>
      </c>
      <c r="BZ39" s="1487">
        <v>141759.28000000003</v>
      </c>
      <c r="CA39" s="1487">
        <v>17729.96</v>
      </c>
      <c r="CB39" s="1487">
        <v>66223.3</v>
      </c>
      <c r="CC39" s="1487"/>
      <c r="CD39" s="1487">
        <v>35424</v>
      </c>
      <c r="CE39" s="1487">
        <v>3426.5333333333319</v>
      </c>
      <c r="CF39" s="1487">
        <v>19443</v>
      </c>
      <c r="CG39" s="1487">
        <v>70179.33</v>
      </c>
      <c r="CH39" s="1487">
        <v>756</v>
      </c>
      <c r="CI39" s="1487">
        <v>36121</v>
      </c>
      <c r="CJ39" s="1487">
        <v>472663</v>
      </c>
      <c r="CK39" s="1487">
        <v>17734</v>
      </c>
      <c r="CL39" s="1487">
        <v>26166</v>
      </c>
      <c r="CM39" s="1487">
        <v>4773</v>
      </c>
      <c r="CN39" s="1487">
        <v>4389</v>
      </c>
      <c r="CO39" s="1487">
        <v>11775</v>
      </c>
      <c r="CP39" s="1487">
        <v>18565</v>
      </c>
      <c r="CQ39" s="1487">
        <v>20853.808055559799</v>
      </c>
      <c r="CR39" s="1487">
        <v>34796.870000000003</v>
      </c>
      <c r="CS39" s="1487">
        <v>18432</v>
      </c>
      <c r="CT39" s="1487">
        <v>8566.16</v>
      </c>
      <c r="CU39" s="358"/>
      <c r="CV39" s="358"/>
      <c r="CW39" s="358"/>
      <c r="CX39" s="691"/>
    </row>
    <row r="40" spans="1:102" hidden="1">
      <c r="A40" s="1309">
        <v>44228</v>
      </c>
      <c r="B40" s="1311">
        <f t="shared" si="41"/>
        <v>19673.64</v>
      </c>
      <c r="C40" s="1311">
        <f t="shared" si="42"/>
        <v>35088.35</v>
      </c>
      <c r="D40" s="1311">
        <f t="shared" si="43"/>
        <v>33628.33</v>
      </c>
      <c r="E40" s="1311">
        <f t="shared" si="44"/>
        <v>62918.78</v>
      </c>
      <c r="F40" s="1311">
        <f t="shared" si="45"/>
        <v>33364.81</v>
      </c>
      <c r="G40" s="1311">
        <f t="shared" si="46"/>
        <v>156959.16</v>
      </c>
      <c r="H40" s="1311">
        <f t="shared" si="47"/>
        <v>7715.05</v>
      </c>
      <c r="I40" s="1311">
        <f t="shared" si="48"/>
        <v>25233.8</v>
      </c>
      <c r="J40" s="1311">
        <f t="shared" si="49"/>
        <v>55369.399999999994</v>
      </c>
      <c r="K40" s="1311">
        <f t="shared" si="50"/>
        <v>162563.62</v>
      </c>
      <c r="L40" s="1311">
        <f t="shared" si="51"/>
        <v>111455.22</v>
      </c>
      <c r="M40" s="1311">
        <f t="shared" si="52"/>
        <v>448635.33999999997</v>
      </c>
      <c r="N40" s="1311">
        <f t="shared" si="53"/>
        <v>13105.31</v>
      </c>
      <c r="O40" s="1311">
        <f t="shared" si="54"/>
        <v>104418.45999999999</v>
      </c>
      <c r="P40" s="1311">
        <f t="shared" si="73"/>
        <v>14929</v>
      </c>
      <c r="Q40" s="1311">
        <f t="shared" si="74"/>
        <v>35424</v>
      </c>
      <c r="R40" s="1311"/>
      <c r="S40" s="1311">
        <f t="shared" si="55"/>
        <v>10628.82</v>
      </c>
      <c r="T40" s="1311">
        <f t="shared" si="56"/>
        <v>124114</v>
      </c>
      <c r="U40" s="1311">
        <f t="shared" si="57"/>
        <v>133369.20000000001</v>
      </c>
      <c r="V40" s="1311">
        <f t="shared" si="58"/>
        <v>7897</v>
      </c>
      <c r="W40" s="1311">
        <f t="shared" si="59"/>
        <v>58814</v>
      </c>
      <c r="X40" s="1311">
        <f t="shared" si="60"/>
        <v>618399</v>
      </c>
      <c r="Y40" s="1311">
        <f t="shared" si="61"/>
        <v>105838</v>
      </c>
      <c r="Z40" s="1311">
        <f t="shared" si="62"/>
        <v>226744</v>
      </c>
      <c r="AA40" s="1311">
        <f t="shared" si="63"/>
        <v>75133</v>
      </c>
      <c r="AB40" s="1311">
        <f t="shared" si="64"/>
        <v>24984</v>
      </c>
      <c r="AC40" s="1311">
        <f t="shared" si="65"/>
        <v>35151</v>
      </c>
      <c r="AD40" s="1311">
        <f t="shared" si="66"/>
        <v>75101</v>
      </c>
      <c r="AE40" s="1311">
        <f t="shared" si="67"/>
        <v>68204.5897222192</v>
      </c>
      <c r="AF40" s="1311">
        <f t="shared" si="68"/>
        <v>76996.5</v>
      </c>
      <c r="AG40" s="1311">
        <f t="shared" si="69"/>
        <v>59669.5</v>
      </c>
      <c r="AH40" s="1694">
        <f t="shared" si="70"/>
        <v>19969.46</v>
      </c>
      <c r="AI40" s="1689">
        <v>12071.5</v>
      </c>
      <c r="AJ40" s="1689">
        <v>26887</v>
      </c>
      <c r="AK40" s="1689">
        <v>23600.5</v>
      </c>
      <c r="AL40" s="1689">
        <v>58778.25</v>
      </c>
      <c r="AM40" s="1689">
        <v>20013.5</v>
      </c>
      <c r="AN40" s="1689">
        <v>130807</v>
      </c>
      <c r="AO40" s="1689">
        <v>7484</v>
      </c>
      <c r="AP40" s="1689">
        <v>13259</v>
      </c>
      <c r="AQ40" s="1689">
        <v>35592.5</v>
      </c>
      <c r="AR40" s="1689">
        <v>110264.83</v>
      </c>
      <c r="AS40" s="1689">
        <v>50779.5</v>
      </c>
      <c r="AT40" s="1689">
        <v>318392</v>
      </c>
      <c r="AU40" s="1689"/>
      <c r="AV40" s="1689"/>
      <c r="AW40" s="1689">
        <v>14929</v>
      </c>
      <c r="AX40" s="1945"/>
      <c r="AY40" s="1689">
        <v>7314.32</v>
      </c>
      <c r="AZ40" s="1950">
        <v>101249</v>
      </c>
      <c r="BA40" s="1950">
        <v>64999</v>
      </c>
      <c r="BB40" s="1950">
        <v>6949</v>
      </c>
      <c r="BC40" s="1950">
        <v>20876</v>
      </c>
      <c r="BD40" s="1952">
        <v>145736</v>
      </c>
      <c r="BE40" s="1949">
        <v>63616</v>
      </c>
      <c r="BF40" s="1689">
        <v>200518</v>
      </c>
      <c r="BG40" s="1689">
        <v>70360</v>
      </c>
      <c r="BH40" s="1689">
        <v>16686</v>
      </c>
      <c r="BI40" s="1689">
        <v>23376</v>
      </c>
      <c r="BJ40" s="1689">
        <v>55637</v>
      </c>
      <c r="BK40" s="1689">
        <v>45421.65</v>
      </c>
      <c r="BL40" s="1689">
        <v>43239</v>
      </c>
      <c r="BM40" s="1689">
        <v>41237.5</v>
      </c>
      <c r="BN40" s="1689">
        <v>9038</v>
      </c>
      <c r="BO40" s="1487">
        <v>7602.14</v>
      </c>
      <c r="BP40" s="1487">
        <v>8201.35</v>
      </c>
      <c r="BQ40" s="1487">
        <v>10027.83</v>
      </c>
      <c r="BR40" s="1487">
        <v>4140.5300000000007</v>
      </c>
      <c r="BS40" s="1487">
        <v>13351.31</v>
      </c>
      <c r="BT40" s="1487">
        <v>26152.16</v>
      </c>
      <c r="BU40" s="1487">
        <v>231.05</v>
      </c>
      <c r="BV40" s="1487">
        <v>11974.8</v>
      </c>
      <c r="BW40" s="1487">
        <v>19776.899999999998</v>
      </c>
      <c r="BX40" s="1487">
        <v>52298.79</v>
      </c>
      <c r="BY40" s="1487">
        <v>60675.72</v>
      </c>
      <c r="BZ40" s="1487">
        <v>130243.34</v>
      </c>
      <c r="CA40" s="1487">
        <v>13105.31</v>
      </c>
      <c r="CB40" s="1487">
        <v>104418.45999999999</v>
      </c>
      <c r="CC40" s="1487"/>
      <c r="CD40" s="1487">
        <v>35424</v>
      </c>
      <c r="CE40" s="1487">
        <v>3314.5000000000009</v>
      </c>
      <c r="CF40" s="1487">
        <v>22865</v>
      </c>
      <c r="CG40" s="1487">
        <v>68370.2</v>
      </c>
      <c r="CH40" s="1487">
        <v>948</v>
      </c>
      <c r="CI40" s="1487">
        <v>37938</v>
      </c>
      <c r="CJ40" s="1487">
        <v>472663</v>
      </c>
      <c r="CK40" s="1487">
        <v>42222</v>
      </c>
      <c r="CL40" s="1487">
        <v>26226</v>
      </c>
      <c r="CM40" s="1487">
        <v>4773</v>
      </c>
      <c r="CN40" s="1487">
        <v>8298</v>
      </c>
      <c r="CO40" s="1487">
        <v>11775</v>
      </c>
      <c r="CP40" s="1487">
        <v>19464</v>
      </c>
      <c r="CQ40" s="1487">
        <v>22782.939722219198</v>
      </c>
      <c r="CR40" s="1487">
        <v>33757.5</v>
      </c>
      <c r="CS40" s="1487">
        <v>18432</v>
      </c>
      <c r="CT40" s="1487">
        <v>10931.46</v>
      </c>
      <c r="CU40" s="358"/>
      <c r="CV40" s="358"/>
      <c r="CW40" s="358"/>
      <c r="CX40" s="691"/>
    </row>
    <row r="41" spans="1:102" hidden="1">
      <c r="A41" s="1309">
        <v>44256</v>
      </c>
      <c r="B41" s="1311">
        <f t="shared" si="41"/>
        <v>23029.59</v>
      </c>
      <c r="C41" s="1311">
        <f t="shared" si="42"/>
        <v>39744.17</v>
      </c>
      <c r="D41" s="1311">
        <f t="shared" si="43"/>
        <v>33200.979999999996</v>
      </c>
      <c r="E41" s="1311">
        <f t="shared" si="44"/>
        <v>89832.77</v>
      </c>
      <c r="F41" s="1311">
        <f t="shared" si="45"/>
        <v>36846.339999999997</v>
      </c>
      <c r="G41" s="1311">
        <f t="shared" si="46"/>
        <v>204517.32</v>
      </c>
      <c r="H41" s="1311">
        <f t="shared" si="47"/>
        <v>8203.34</v>
      </c>
      <c r="I41" s="1311">
        <f t="shared" si="48"/>
        <v>32485.57</v>
      </c>
      <c r="J41" s="1311">
        <f t="shared" si="49"/>
        <v>70133.42</v>
      </c>
      <c r="K41" s="1311">
        <f t="shared" si="50"/>
        <v>187365.91</v>
      </c>
      <c r="L41" s="1311">
        <f t="shared" si="51"/>
        <v>120379.36</v>
      </c>
      <c r="M41" s="1311">
        <f t="shared" si="52"/>
        <v>465179.51</v>
      </c>
      <c r="N41" s="1311">
        <f t="shared" si="53"/>
        <v>14213.61</v>
      </c>
      <c r="O41" s="1311">
        <f t="shared" si="54"/>
        <v>82283.290000000008</v>
      </c>
      <c r="P41" s="1311">
        <f t="shared" si="73"/>
        <v>17599</v>
      </c>
      <c r="Q41" s="1311">
        <f t="shared" si="74"/>
        <v>35424</v>
      </c>
      <c r="R41" s="1311"/>
      <c r="S41" s="1311">
        <f t="shared" si="55"/>
        <v>11512.97</v>
      </c>
      <c r="T41" s="1311">
        <f t="shared" si="56"/>
        <v>127496</v>
      </c>
      <c r="U41" s="1311">
        <f t="shared" si="57"/>
        <v>149864.43</v>
      </c>
      <c r="V41" s="1311">
        <f t="shared" si="58"/>
        <v>8743.65</v>
      </c>
      <c r="W41" s="1311">
        <f t="shared" si="59"/>
        <v>63440.6</v>
      </c>
      <c r="X41" s="1311">
        <f t="shared" si="60"/>
        <v>639697</v>
      </c>
      <c r="Y41" s="1311">
        <f t="shared" si="61"/>
        <v>120717.08</v>
      </c>
      <c r="Z41" s="1311">
        <f t="shared" si="62"/>
        <v>158737</v>
      </c>
      <c r="AA41" s="1311">
        <f t="shared" si="63"/>
        <v>75340</v>
      </c>
      <c r="AB41" s="1311">
        <f t="shared" si="64"/>
        <v>24984</v>
      </c>
      <c r="AC41" s="1311">
        <f t="shared" si="65"/>
        <v>35151</v>
      </c>
      <c r="AD41" s="1311">
        <f t="shared" si="66"/>
        <v>79084</v>
      </c>
      <c r="AE41" s="1311">
        <f t="shared" si="67"/>
        <v>100936.6680555526</v>
      </c>
      <c r="AF41" s="1311">
        <f t="shared" si="68"/>
        <v>83990.6</v>
      </c>
      <c r="AG41" s="1311">
        <f t="shared" si="69"/>
        <v>79094.5</v>
      </c>
      <c r="AH41" s="1694">
        <f t="shared" si="70"/>
        <v>17810.919999999998</v>
      </c>
      <c r="AI41" s="1689">
        <v>13871.5</v>
      </c>
      <c r="AJ41" s="1689">
        <v>30410</v>
      </c>
      <c r="AK41" s="1689">
        <v>25745.5</v>
      </c>
      <c r="AL41" s="1689">
        <v>85365.5</v>
      </c>
      <c r="AM41" s="1689">
        <v>23213.25</v>
      </c>
      <c r="AN41" s="1689">
        <v>170442.95</v>
      </c>
      <c r="AO41" s="1689">
        <v>8034</v>
      </c>
      <c r="AP41" s="1689">
        <v>21116</v>
      </c>
      <c r="AQ41" s="1689">
        <v>42367</v>
      </c>
      <c r="AR41" s="1689">
        <v>129506.5</v>
      </c>
      <c r="AS41" s="1689">
        <v>56409.9</v>
      </c>
      <c r="AT41" s="1689">
        <v>327332</v>
      </c>
      <c r="AU41" s="1689"/>
      <c r="AV41" s="1689"/>
      <c r="AW41" s="1689">
        <v>17599</v>
      </c>
      <c r="AX41" s="1945"/>
      <c r="AY41" s="1689">
        <v>7728.0700000000006</v>
      </c>
      <c r="AZ41" s="1950">
        <v>101249</v>
      </c>
      <c r="BA41" s="1950">
        <v>74373.5</v>
      </c>
      <c r="BB41" s="1950">
        <v>7507.65</v>
      </c>
      <c r="BC41" s="1950">
        <v>22710.6</v>
      </c>
      <c r="BD41" s="1952">
        <v>145736</v>
      </c>
      <c r="BE41" s="1949">
        <v>76118.080000000002</v>
      </c>
      <c r="BF41" s="1689">
        <v>130567</v>
      </c>
      <c r="BG41" s="1689">
        <v>70360</v>
      </c>
      <c r="BH41" s="1689">
        <v>16686</v>
      </c>
      <c r="BI41" s="1689">
        <v>23376</v>
      </c>
      <c r="BJ41" s="1689">
        <v>59419</v>
      </c>
      <c r="BK41" s="1689">
        <v>35926.89</v>
      </c>
      <c r="BL41" s="1689">
        <v>49241.599999999999</v>
      </c>
      <c r="BM41" s="1689">
        <v>60662.5</v>
      </c>
      <c r="BN41" s="1689">
        <v>9256.5</v>
      </c>
      <c r="BO41" s="1487">
        <v>9158.09</v>
      </c>
      <c r="BP41" s="1487">
        <v>9334.17</v>
      </c>
      <c r="BQ41" s="1487">
        <v>7455.48</v>
      </c>
      <c r="BR41" s="1487">
        <v>4467.2700000000004</v>
      </c>
      <c r="BS41" s="1487">
        <v>13633.09</v>
      </c>
      <c r="BT41" s="1487">
        <v>34074.369999999995</v>
      </c>
      <c r="BU41" s="1487">
        <v>169.34</v>
      </c>
      <c r="BV41" s="1487">
        <v>11369.57</v>
      </c>
      <c r="BW41" s="1487">
        <v>27766.42</v>
      </c>
      <c r="BX41" s="1487">
        <v>57859.409999999996</v>
      </c>
      <c r="BY41" s="1487">
        <v>63969.46</v>
      </c>
      <c r="BZ41" s="1487">
        <v>137847.51</v>
      </c>
      <c r="CA41" s="1487">
        <v>14213.61</v>
      </c>
      <c r="CB41" s="1487">
        <v>82283.290000000008</v>
      </c>
      <c r="CC41" s="1487"/>
      <c r="CD41" s="1487">
        <v>35424</v>
      </c>
      <c r="CE41" s="1487">
        <v>3784.8999999999992</v>
      </c>
      <c r="CF41" s="1487">
        <v>26247</v>
      </c>
      <c r="CG41" s="1487">
        <v>75490.929999999993</v>
      </c>
      <c r="CH41" s="1487">
        <v>1236</v>
      </c>
      <c r="CI41" s="1487">
        <v>40730</v>
      </c>
      <c r="CJ41" s="1487">
        <v>493961</v>
      </c>
      <c r="CK41" s="1487">
        <v>44599</v>
      </c>
      <c r="CL41" s="1487">
        <v>28170</v>
      </c>
      <c r="CM41" s="1487">
        <v>4980</v>
      </c>
      <c r="CN41" s="1487">
        <v>8298</v>
      </c>
      <c r="CO41" s="1487">
        <v>11775</v>
      </c>
      <c r="CP41" s="1487">
        <v>19665</v>
      </c>
      <c r="CQ41" s="1487">
        <v>65009.778055552597</v>
      </c>
      <c r="CR41" s="1487">
        <v>34749</v>
      </c>
      <c r="CS41" s="1487">
        <v>18432</v>
      </c>
      <c r="CT41" s="1487">
        <v>8554.42</v>
      </c>
      <c r="CU41" s="358"/>
      <c r="CV41" s="358"/>
      <c r="CW41" s="358"/>
      <c r="CX41" s="691"/>
    </row>
    <row r="42" spans="1:102" hidden="1">
      <c r="A42" s="1309">
        <v>44287</v>
      </c>
      <c r="B42" s="1311">
        <f t="shared" si="41"/>
        <v>18285.23</v>
      </c>
      <c r="C42" s="1311">
        <f t="shared" si="42"/>
        <v>35289.74</v>
      </c>
      <c r="D42" s="1311">
        <f t="shared" si="43"/>
        <v>31956.17</v>
      </c>
      <c r="E42" s="1311">
        <f t="shared" si="44"/>
        <v>68880.39</v>
      </c>
      <c r="F42" s="1311">
        <f t="shared" si="45"/>
        <v>30539.300000000003</v>
      </c>
      <c r="G42" s="1311">
        <f t="shared" si="46"/>
        <v>167346.98000000004</v>
      </c>
      <c r="H42" s="1311">
        <f t="shared" si="47"/>
        <v>6174.1</v>
      </c>
      <c r="I42" s="1311">
        <f t="shared" si="48"/>
        <v>30085.17</v>
      </c>
      <c r="J42" s="1311">
        <f t="shared" si="49"/>
        <v>55674.67</v>
      </c>
      <c r="K42" s="1311">
        <f t="shared" si="50"/>
        <v>185935.24</v>
      </c>
      <c r="L42" s="1311">
        <f t="shared" si="51"/>
        <v>110371.08</v>
      </c>
      <c r="M42" s="1311">
        <f t="shared" si="52"/>
        <v>456294.31</v>
      </c>
      <c r="N42" s="1311">
        <f t="shared" si="53"/>
        <v>13585.42</v>
      </c>
      <c r="O42" s="1311">
        <f t="shared" si="54"/>
        <v>55655.619999999995</v>
      </c>
      <c r="P42" s="1311">
        <f t="shared" si="73"/>
        <v>14840.5</v>
      </c>
      <c r="Q42" s="1311">
        <f t="shared" si="74"/>
        <v>35424</v>
      </c>
      <c r="R42" s="1311"/>
      <c r="S42" s="1311">
        <f t="shared" si="55"/>
        <v>9416.75</v>
      </c>
      <c r="T42" s="1311">
        <f t="shared" si="56"/>
        <v>121235.38</v>
      </c>
      <c r="U42" s="1311">
        <f t="shared" si="57"/>
        <v>135201.20000000001</v>
      </c>
      <c r="V42" s="1311">
        <f t="shared" si="58"/>
        <v>7977.24</v>
      </c>
      <c r="W42" s="1311">
        <f t="shared" si="59"/>
        <v>61827</v>
      </c>
      <c r="X42" s="1311">
        <f t="shared" si="60"/>
        <v>643778</v>
      </c>
      <c r="Y42" s="1311">
        <f t="shared" si="61"/>
        <v>121512</v>
      </c>
      <c r="Z42" s="1311">
        <f t="shared" si="62"/>
        <v>183797</v>
      </c>
      <c r="AA42" s="1311">
        <f t="shared" si="63"/>
        <v>79860</v>
      </c>
      <c r="AB42" s="1311">
        <f t="shared" si="64"/>
        <v>30373</v>
      </c>
      <c r="AC42" s="1311">
        <f t="shared" si="65"/>
        <v>38710</v>
      </c>
      <c r="AD42" s="1311">
        <f t="shared" si="66"/>
        <v>74150</v>
      </c>
      <c r="AE42" s="1311">
        <f t="shared" si="67"/>
        <v>102650.69222222309</v>
      </c>
      <c r="AF42" s="1311">
        <f t="shared" si="68"/>
        <v>80074.2</v>
      </c>
      <c r="AG42" s="1311">
        <f t="shared" si="69"/>
        <v>79943.5</v>
      </c>
      <c r="AH42" s="1694">
        <f t="shared" si="70"/>
        <v>19599.849999999999</v>
      </c>
      <c r="AI42" s="1689">
        <v>9776</v>
      </c>
      <c r="AJ42" s="1689">
        <v>27708.5</v>
      </c>
      <c r="AK42" s="1689">
        <v>22035</v>
      </c>
      <c r="AL42" s="1689">
        <v>66869.67</v>
      </c>
      <c r="AM42" s="1689">
        <v>19916</v>
      </c>
      <c r="AN42" s="1689">
        <v>138392.00000000003</v>
      </c>
      <c r="AO42" s="1689">
        <v>5144</v>
      </c>
      <c r="AP42" s="1689">
        <v>20268</v>
      </c>
      <c r="AQ42" s="1689">
        <v>37159.5</v>
      </c>
      <c r="AR42" s="1689">
        <v>124721.5</v>
      </c>
      <c r="AS42" s="1689">
        <v>51261</v>
      </c>
      <c r="AT42" s="1689">
        <v>327812</v>
      </c>
      <c r="AU42" s="1689"/>
      <c r="AV42" s="1689"/>
      <c r="AW42" s="1689">
        <v>14840.5</v>
      </c>
      <c r="AX42" s="1945"/>
      <c r="AY42" s="1689">
        <v>6097.7</v>
      </c>
      <c r="AZ42" s="1950">
        <v>85411.38</v>
      </c>
      <c r="BA42" s="1950">
        <v>72388.600000000006</v>
      </c>
      <c r="BB42" s="1950">
        <v>7089.24</v>
      </c>
      <c r="BC42" s="1950">
        <v>22898</v>
      </c>
      <c r="BD42" s="1952">
        <v>145736</v>
      </c>
      <c r="BE42" s="1949">
        <v>74225</v>
      </c>
      <c r="BF42" s="1689">
        <v>153403</v>
      </c>
      <c r="BG42" s="1689">
        <v>70360</v>
      </c>
      <c r="BH42" s="1689">
        <v>18373</v>
      </c>
      <c r="BI42" s="1689">
        <v>23376</v>
      </c>
      <c r="BJ42" s="1689">
        <v>51522</v>
      </c>
      <c r="BK42" s="1689">
        <v>45330.47</v>
      </c>
      <c r="BL42" s="1689">
        <v>48917.2</v>
      </c>
      <c r="BM42" s="1689">
        <v>66303.5</v>
      </c>
      <c r="BN42" s="1689">
        <v>11988</v>
      </c>
      <c r="BO42" s="1487">
        <v>8509.23</v>
      </c>
      <c r="BP42" s="1487">
        <v>7581.2400000000007</v>
      </c>
      <c r="BQ42" s="1487">
        <v>9921.17</v>
      </c>
      <c r="BR42" s="1487">
        <v>2010.7199999999998</v>
      </c>
      <c r="BS42" s="1487">
        <v>10623.300000000001</v>
      </c>
      <c r="BT42" s="1487">
        <v>28954.98</v>
      </c>
      <c r="BU42" s="1487">
        <v>1030.0999999999999</v>
      </c>
      <c r="BV42" s="1487">
        <v>9817.17</v>
      </c>
      <c r="BW42" s="1487">
        <v>18515.169999999998</v>
      </c>
      <c r="BX42" s="1487">
        <v>61213.74</v>
      </c>
      <c r="BY42" s="1487">
        <v>59110.080000000002</v>
      </c>
      <c r="BZ42" s="1487">
        <v>128482.31000000001</v>
      </c>
      <c r="CA42" s="1487">
        <v>13585.42</v>
      </c>
      <c r="CB42" s="1487">
        <v>55655.619999999995</v>
      </c>
      <c r="CC42" s="1487"/>
      <c r="CD42" s="1487">
        <v>35424</v>
      </c>
      <c r="CE42" s="1487">
        <v>3319.05</v>
      </c>
      <c r="CF42" s="1487">
        <v>35824</v>
      </c>
      <c r="CG42" s="1487">
        <v>62812.6</v>
      </c>
      <c r="CH42" s="1487">
        <v>888</v>
      </c>
      <c r="CI42" s="1487">
        <v>38929</v>
      </c>
      <c r="CJ42" s="1487">
        <v>498042</v>
      </c>
      <c r="CK42" s="1487">
        <v>47287</v>
      </c>
      <c r="CL42" s="1487">
        <v>30394</v>
      </c>
      <c r="CM42" s="1487">
        <v>9500</v>
      </c>
      <c r="CN42" s="1487">
        <v>12000</v>
      </c>
      <c r="CO42" s="1487">
        <v>15334</v>
      </c>
      <c r="CP42" s="1487">
        <v>22628</v>
      </c>
      <c r="CQ42" s="1487">
        <v>57320.222222223099</v>
      </c>
      <c r="CR42" s="1487">
        <v>31157</v>
      </c>
      <c r="CS42" s="1487">
        <v>13640</v>
      </c>
      <c r="CT42" s="1487">
        <v>7611.8499999999995</v>
      </c>
      <c r="CU42" s="358"/>
      <c r="CV42" s="358"/>
      <c r="CW42" s="358"/>
      <c r="CX42" s="691"/>
    </row>
    <row r="43" spans="1:102" hidden="1">
      <c r="A43" s="1309">
        <v>44317</v>
      </c>
      <c r="B43" s="1311">
        <f t="shared" si="41"/>
        <v>20048.28</v>
      </c>
      <c r="C43" s="1311">
        <f t="shared" si="42"/>
        <v>34599.86</v>
      </c>
      <c r="D43" s="1311">
        <f t="shared" si="43"/>
        <v>32039.71</v>
      </c>
      <c r="E43" s="1311">
        <f t="shared" si="44"/>
        <v>71470.78</v>
      </c>
      <c r="F43" s="1311">
        <f t="shared" si="45"/>
        <v>36182.949999999997</v>
      </c>
      <c r="G43" s="1311">
        <f t="shared" si="46"/>
        <v>188033.27</v>
      </c>
      <c r="H43" s="1311">
        <f t="shared" si="47"/>
        <v>7121.16</v>
      </c>
      <c r="I43" s="1311">
        <f t="shared" si="48"/>
        <v>40308.550000000003</v>
      </c>
      <c r="J43" s="1311">
        <f t="shared" si="49"/>
        <v>54998.14</v>
      </c>
      <c r="K43" s="1311">
        <f t="shared" si="50"/>
        <v>200274.87</v>
      </c>
      <c r="L43" s="1311">
        <f t="shared" si="51"/>
        <v>113861.37</v>
      </c>
      <c r="M43" s="1311">
        <f t="shared" si="52"/>
        <v>467396.55</v>
      </c>
      <c r="N43" s="1311">
        <f t="shared" si="53"/>
        <v>13650.17</v>
      </c>
      <c r="O43" s="1311">
        <f t="shared" si="54"/>
        <v>68068.959999999992</v>
      </c>
      <c r="P43" s="1311">
        <f t="shared" si="73"/>
        <v>14985</v>
      </c>
      <c r="Q43" s="1311">
        <f t="shared" si="74"/>
        <v>35424</v>
      </c>
      <c r="R43" s="1311"/>
      <c r="S43" s="1311">
        <f t="shared" si="55"/>
        <v>10560.14</v>
      </c>
      <c r="T43" s="1311">
        <f t="shared" si="56"/>
        <v>139473.06</v>
      </c>
      <c r="U43" s="1311">
        <f t="shared" si="57"/>
        <v>131354.79999999999</v>
      </c>
      <c r="V43" s="1311">
        <f t="shared" si="58"/>
        <v>9789.4700000000012</v>
      </c>
      <c r="W43" s="1311">
        <f t="shared" si="59"/>
        <v>60353</v>
      </c>
      <c r="X43" s="1311">
        <f t="shared" si="60"/>
        <v>599311</v>
      </c>
      <c r="Y43" s="1311">
        <f t="shared" si="61"/>
        <v>117458.31</v>
      </c>
      <c r="Z43" s="1311">
        <f t="shared" si="62"/>
        <v>158817</v>
      </c>
      <c r="AA43" s="1311">
        <f t="shared" si="63"/>
        <v>89860</v>
      </c>
      <c r="AB43" s="1311">
        <f t="shared" si="64"/>
        <v>30373</v>
      </c>
      <c r="AC43" s="1311">
        <f t="shared" si="65"/>
        <v>38710</v>
      </c>
      <c r="AD43" s="1311">
        <f t="shared" si="66"/>
        <v>79997</v>
      </c>
      <c r="AE43" s="1311">
        <f t="shared" si="67"/>
        <v>78826.260000000009</v>
      </c>
      <c r="AF43" s="1311">
        <f t="shared" si="68"/>
        <v>77023.899999999994</v>
      </c>
      <c r="AG43" s="1311">
        <f t="shared" si="69"/>
        <v>68295</v>
      </c>
      <c r="AH43" s="1694">
        <f t="shared" si="70"/>
        <v>18813.09</v>
      </c>
      <c r="AI43" s="1689">
        <v>12150</v>
      </c>
      <c r="AJ43" s="1689">
        <v>28204.5</v>
      </c>
      <c r="AK43" s="1689">
        <v>23460</v>
      </c>
      <c r="AL43" s="1689">
        <v>65013.299999999996</v>
      </c>
      <c r="AM43" s="1689">
        <v>23625</v>
      </c>
      <c r="AN43" s="1689">
        <v>155352.25</v>
      </c>
      <c r="AO43" s="1689">
        <v>7064</v>
      </c>
      <c r="AP43" s="1689">
        <v>27263</v>
      </c>
      <c r="AQ43" s="1689">
        <v>35236</v>
      </c>
      <c r="AR43" s="1689">
        <v>133165.5</v>
      </c>
      <c r="AS43" s="1689">
        <v>52612.06</v>
      </c>
      <c r="AT43" s="1689">
        <v>333004</v>
      </c>
      <c r="AU43" s="1689"/>
      <c r="AV43" s="1689"/>
      <c r="AW43" s="1689">
        <v>14985</v>
      </c>
      <c r="AX43" s="1945"/>
      <c r="AY43" s="1689">
        <v>7044.46</v>
      </c>
      <c r="AZ43" s="1950">
        <v>101627.06</v>
      </c>
      <c r="BA43" s="1950">
        <v>75458.8</v>
      </c>
      <c r="BB43" s="1950">
        <v>8061.47</v>
      </c>
      <c r="BC43" s="1950">
        <v>22553</v>
      </c>
      <c r="BD43" s="1952">
        <v>145736</v>
      </c>
      <c r="BE43" s="1949">
        <v>71515.31</v>
      </c>
      <c r="BF43" s="1689">
        <v>130029</v>
      </c>
      <c r="BG43" s="1689">
        <v>80360</v>
      </c>
      <c r="BH43" s="1689">
        <v>18373</v>
      </c>
      <c r="BI43" s="1689">
        <v>23376</v>
      </c>
      <c r="BJ43" s="1689">
        <v>53580</v>
      </c>
      <c r="BK43" s="1689">
        <v>45305.55</v>
      </c>
      <c r="BL43" s="1689">
        <v>41210</v>
      </c>
      <c r="BM43" s="1689">
        <v>55415</v>
      </c>
      <c r="BN43" s="1689">
        <v>11450.5</v>
      </c>
      <c r="BO43" s="1487">
        <v>7898.28</v>
      </c>
      <c r="BP43" s="1487">
        <v>6395.36</v>
      </c>
      <c r="BQ43" s="1487">
        <v>8579.7099999999991</v>
      </c>
      <c r="BR43" s="1487">
        <v>6457.48</v>
      </c>
      <c r="BS43" s="1487">
        <v>12557.95</v>
      </c>
      <c r="BT43" s="1487">
        <v>32681.02</v>
      </c>
      <c r="BU43" s="1487">
        <v>57.16</v>
      </c>
      <c r="BV43" s="1487">
        <v>13045.55</v>
      </c>
      <c r="BW43" s="1487">
        <v>19762.139999999996</v>
      </c>
      <c r="BX43" s="1487">
        <v>67109.37</v>
      </c>
      <c r="BY43" s="1487">
        <v>61249.31</v>
      </c>
      <c r="BZ43" s="1487">
        <v>134392.54999999999</v>
      </c>
      <c r="CA43" s="1487">
        <v>13650.17</v>
      </c>
      <c r="CB43" s="1487">
        <v>68068.959999999992</v>
      </c>
      <c r="CC43" s="1487"/>
      <c r="CD43" s="1487">
        <v>35424</v>
      </c>
      <c r="CE43" s="1487">
        <v>3515.68</v>
      </c>
      <c r="CF43" s="1487">
        <v>37846</v>
      </c>
      <c r="CG43" s="1487">
        <v>55896</v>
      </c>
      <c r="CH43" s="1487">
        <v>1728</v>
      </c>
      <c r="CI43" s="1487">
        <v>37800</v>
      </c>
      <c r="CJ43" s="1487">
        <v>453575</v>
      </c>
      <c r="CK43" s="1487">
        <v>45943</v>
      </c>
      <c r="CL43" s="1487">
        <v>28788</v>
      </c>
      <c r="CM43" s="1487">
        <v>9500</v>
      </c>
      <c r="CN43" s="1487">
        <v>12000</v>
      </c>
      <c r="CO43" s="1487">
        <v>15334</v>
      </c>
      <c r="CP43" s="1487">
        <v>26417</v>
      </c>
      <c r="CQ43" s="1487">
        <v>33520.71</v>
      </c>
      <c r="CR43" s="1487">
        <v>35813.9</v>
      </c>
      <c r="CS43" s="1487">
        <v>12880</v>
      </c>
      <c r="CT43" s="1487">
        <v>7362.59</v>
      </c>
      <c r="CU43" s="358"/>
      <c r="CV43" s="358"/>
      <c r="CW43" s="358"/>
      <c r="CX43" s="691"/>
    </row>
    <row r="44" spans="1:102" hidden="1">
      <c r="A44" s="1309">
        <v>44348</v>
      </c>
      <c r="B44" s="1311">
        <f t="shared" si="41"/>
        <v>20059.669999999998</v>
      </c>
      <c r="C44" s="1311">
        <f t="shared" si="42"/>
        <v>35986.230000000003</v>
      </c>
      <c r="D44" s="1311">
        <f t="shared" si="43"/>
        <v>37433.699999999997</v>
      </c>
      <c r="E44" s="1311">
        <f t="shared" si="44"/>
        <v>75124.320000000007</v>
      </c>
      <c r="F44" s="1311">
        <f t="shared" si="45"/>
        <v>34211.68</v>
      </c>
      <c r="G44" s="1311">
        <f t="shared" si="46"/>
        <v>184882.3</v>
      </c>
      <c r="H44" s="1311">
        <f t="shared" si="47"/>
        <v>7927.99</v>
      </c>
      <c r="I44" s="1311">
        <f t="shared" si="48"/>
        <v>40347.9</v>
      </c>
      <c r="J44" s="1311">
        <f t="shared" si="49"/>
        <v>54329.83</v>
      </c>
      <c r="K44" s="1311">
        <f t="shared" si="50"/>
        <v>197173.56</v>
      </c>
      <c r="L44" s="1311">
        <f t="shared" si="51"/>
        <v>111383.07</v>
      </c>
      <c r="M44" s="1311">
        <f t="shared" si="52"/>
        <v>459902.27</v>
      </c>
      <c r="N44" s="1311">
        <f t="shared" si="53"/>
        <v>14814.67</v>
      </c>
      <c r="O44" s="1311">
        <f t="shared" si="54"/>
        <v>50405.96</v>
      </c>
      <c r="P44" s="1311">
        <f t="shared" si="73"/>
        <v>15799.76</v>
      </c>
      <c r="Q44" s="1311">
        <f t="shared" si="74"/>
        <v>35424</v>
      </c>
      <c r="R44" s="1311"/>
      <c r="S44" s="1311">
        <f t="shared" si="55"/>
        <v>11659.35</v>
      </c>
      <c r="T44" s="1311">
        <f t="shared" si="56"/>
        <v>146447.89000000001</v>
      </c>
      <c r="U44" s="1311">
        <f t="shared" si="57"/>
        <v>133973.15</v>
      </c>
      <c r="V44" s="1311">
        <f t="shared" si="58"/>
        <v>8563.369999999999</v>
      </c>
      <c r="W44" s="1311">
        <f t="shared" si="59"/>
        <v>62426</v>
      </c>
      <c r="X44" s="1311">
        <f t="shared" si="60"/>
        <v>676468</v>
      </c>
      <c r="Y44" s="1311">
        <f t="shared" si="61"/>
        <v>123021.48</v>
      </c>
      <c r="Z44" s="1311">
        <f t="shared" si="62"/>
        <v>168316</v>
      </c>
      <c r="AA44" s="1311">
        <f t="shared" si="63"/>
        <v>89860</v>
      </c>
      <c r="AB44" s="1311">
        <f t="shared" si="64"/>
        <v>30373</v>
      </c>
      <c r="AC44" s="1311">
        <f t="shared" si="65"/>
        <v>36790</v>
      </c>
      <c r="AD44" s="1311">
        <f t="shared" si="66"/>
        <v>79202</v>
      </c>
      <c r="AE44" s="1311">
        <f t="shared" si="67"/>
        <v>68327.056666667806</v>
      </c>
      <c r="AF44" s="1311">
        <f t="shared" si="68"/>
        <v>73293.5</v>
      </c>
      <c r="AG44" s="1311">
        <f t="shared" si="69"/>
        <v>61374.5</v>
      </c>
      <c r="AH44" s="1694">
        <f t="shared" si="70"/>
        <v>18805.059999999998</v>
      </c>
      <c r="AI44" s="1689">
        <v>13080</v>
      </c>
      <c r="AJ44" s="1689">
        <v>28597.5</v>
      </c>
      <c r="AK44" s="1689">
        <v>26456.5</v>
      </c>
      <c r="AL44" s="1689">
        <v>65892.600000000006</v>
      </c>
      <c r="AM44" s="1689">
        <v>24371</v>
      </c>
      <c r="AN44" s="1689">
        <v>159405.75</v>
      </c>
      <c r="AO44" s="1689">
        <v>7624</v>
      </c>
      <c r="AP44" s="1689">
        <v>28194</v>
      </c>
      <c r="AQ44" s="1689">
        <v>36194.5</v>
      </c>
      <c r="AR44" s="1689">
        <v>133756.5</v>
      </c>
      <c r="AS44" s="1689">
        <v>53254.55</v>
      </c>
      <c r="AT44" s="1689">
        <v>333592</v>
      </c>
      <c r="AU44" s="1689"/>
      <c r="AV44" s="1689"/>
      <c r="AW44" s="1689">
        <v>15799.76</v>
      </c>
      <c r="AX44" s="1945"/>
      <c r="AY44" s="1689">
        <v>7920.78</v>
      </c>
      <c r="AZ44" s="1950">
        <v>115194.89000000001</v>
      </c>
      <c r="BA44" s="1950">
        <v>76764.95</v>
      </c>
      <c r="BB44" s="1950">
        <v>7699.37</v>
      </c>
      <c r="BC44" s="1950">
        <v>22993</v>
      </c>
      <c r="BD44" s="1952">
        <v>145736</v>
      </c>
      <c r="BE44" s="1949">
        <v>76847.48</v>
      </c>
      <c r="BF44" s="1689">
        <v>141174</v>
      </c>
      <c r="BG44" s="1689">
        <v>80360</v>
      </c>
      <c r="BH44" s="1689">
        <v>18373</v>
      </c>
      <c r="BI44" s="1689">
        <v>23376</v>
      </c>
      <c r="BJ44" s="1689">
        <v>53188</v>
      </c>
      <c r="BK44" s="1689">
        <v>37159.54</v>
      </c>
      <c r="BL44" s="1689">
        <v>46048.5</v>
      </c>
      <c r="BM44" s="1689">
        <v>42787.5</v>
      </c>
      <c r="BN44" s="1689">
        <v>10464.5</v>
      </c>
      <c r="BO44" s="1487">
        <v>6979.67</v>
      </c>
      <c r="BP44" s="1487">
        <v>7388.7300000000005</v>
      </c>
      <c r="BQ44" s="1487">
        <v>10977.2</v>
      </c>
      <c r="BR44" s="1487">
        <v>9231.7199999999993</v>
      </c>
      <c r="BS44" s="1487">
        <v>9840.68</v>
      </c>
      <c r="BT44" s="1487">
        <v>25476.55</v>
      </c>
      <c r="BU44" s="1487">
        <v>303.99</v>
      </c>
      <c r="BV44" s="1487">
        <v>12153.9</v>
      </c>
      <c r="BW44" s="1487">
        <v>18135.329999999998</v>
      </c>
      <c r="BX44" s="1487">
        <v>63417.06</v>
      </c>
      <c r="BY44" s="1487">
        <v>58128.520000000004</v>
      </c>
      <c r="BZ44" s="1487">
        <v>126310.26999999999</v>
      </c>
      <c r="CA44" s="1487">
        <v>14814.67</v>
      </c>
      <c r="CB44" s="1487">
        <v>50405.96</v>
      </c>
      <c r="CC44" s="1487"/>
      <c r="CD44" s="1487">
        <v>35424</v>
      </c>
      <c r="CE44" s="1487">
        <v>3738.57</v>
      </c>
      <c r="CF44" s="1487">
        <v>31253</v>
      </c>
      <c r="CG44" s="1487">
        <v>57208.2</v>
      </c>
      <c r="CH44" s="1487">
        <v>864</v>
      </c>
      <c r="CI44" s="1487">
        <v>39433</v>
      </c>
      <c r="CJ44" s="1487">
        <v>530732</v>
      </c>
      <c r="CK44" s="1487">
        <v>46174</v>
      </c>
      <c r="CL44" s="1487">
        <v>27142</v>
      </c>
      <c r="CM44" s="1487">
        <v>9500</v>
      </c>
      <c r="CN44" s="1487">
        <v>12000</v>
      </c>
      <c r="CO44" s="1487">
        <v>13414</v>
      </c>
      <c r="CP44" s="1487">
        <v>26014</v>
      </c>
      <c r="CQ44" s="1487">
        <v>31167.516666667801</v>
      </c>
      <c r="CR44" s="1487">
        <v>27245</v>
      </c>
      <c r="CS44" s="1487">
        <v>18587</v>
      </c>
      <c r="CT44" s="1487">
        <v>8340.56</v>
      </c>
      <c r="CU44" s="358"/>
      <c r="CV44" s="358"/>
      <c r="CW44" s="358"/>
      <c r="CX44" s="691"/>
    </row>
    <row r="45" spans="1:102" hidden="1">
      <c r="A45" s="1309">
        <v>44378</v>
      </c>
      <c r="B45" s="1311">
        <f t="shared" si="41"/>
        <v>14831.619999999999</v>
      </c>
      <c r="C45" s="1311">
        <f t="shared" si="42"/>
        <v>33210.46</v>
      </c>
      <c r="D45" s="1311">
        <f t="shared" si="43"/>
        <v>39051.660000000003</v>
      </c>
      <c r="E45" s="1311">
        <f t="shared" si="44"/>
        <v>72824.549999999988</v>
      </c>
      <c r="F45" s="1311">
        <f t="shared" si="45"/>
        <v>34431.58</v>
      </c>
      <c r="G45" s="1311">
        <f t="shared" si="46"/>
        <v>189514.16</v>
      </c>
      <c r="H45" s="1311">
        <f t="shared" si="47"/>
        <v>7236.23</v>
      </c>
      <c r="I45" s="1311">
        <f t="shared" si="48"/>
        <v>40003.199999999997</v>
      </c>
      <c r="J45" s="1311">
        <f t="shared" si="49"/>
        <v>56971.229999999996</v>
      </c>
      <c r="K45" s="1311">
        <f t="shared" si="50"/>
        <v>196127.11</v>
      </c>
      <c r="L45" s="1311">
        <f t="shared" si="51"/>
        <v>108003.57</v>
      </c>
      <c r="M45" s="1311">
        <f t="shared" si="52"/>
        <v>454390.86</v>
      </c>
      <c r="N45" s="1311">
        <f t="shared" si="53"/>
        <v>14460</v>
      </c>
      <c r="O45" s="1311">
        <f t="shared" si="54"/>
        <v>52732.999999999993</v>
      </c>
      <c r="P45" s="1311">
        <f t="shared" si="73"/>
        <v>16555.5</v>
      </c>
      <c r="Q45" s="1311">
        <f t="shared" si="74"/>
        <v>35424</v>
      </c>
      <c r="R45" s="1311"/>
      <c r="S45" s="1311">
        <f t="shared" si="55"/>
        <v>12485.05</v>
      </c>
      <c r="T45" s="1311">
        <f t="shared" si="56"/>
        <v>181325.70999999996</v>
      </c>
      <c r="U45" s="1311">
        <f t="shared" si="57"/>
        <v>120618.87</v>
      </c>
      <c r="V45" s="1311">
        <f t="shared" si="58"/>
        <v>8544.02</v>
      </c>
      <c r="W45" s="1311">
        <f t="shared" si="59"/>
        <v>59775</v>
      </c>
      <c r="X45" s="1311">
        <f t="shared" si="60"/>
        <v>587880</v>
      </c>
      <c r="Y45" s="1311">
        <f t="shared" si="61"/>
        <v>120903.54</v>
      </c>
      <c r="Z45" s="1311">
        <f t="shared" si="62"/>
        <v>173695</v>
      </c>
      <c r="AA45" s="1311">
        <f t="shared" si="63"/>
        <v>89860</v>
      </c>
      <c r="AB45" s="1311">
        <f t="shared" si="64"/>
        <v>30373</v>
      </c>
      <c r="AC45" s="1311">
        <f t="shared" si="65"/>
        <v>36790</v>
      </c>
      <c r="AD45" s="1311">
        <f t="shared" si="66"/>
        <v>76348</v>
      </c>
      <c r="AE45" s="1311">
        <f t="shared" si="67"/>
        <v>67123.878611105902</v>
      </c>
      <c r="AF45" s="1311">
        <f t="shared" si="68"/>
        <v>75303.199999999997</v>
      </c>
      <c r="AG45" s="1311">
        <f t="shared" si="69"/>
        <v>68241</v>
      </c>
      <c r="AH45" s="1694">
        <f t="shared" si="70"/>
        <v>17177.03</v>
      </c>
      <c r="AI45" s="1689">
        <v>11017</v>
      </c>
      <c r="AJ45" s="1689">
        <v>28886.5</v>
      </c>
      <c r="AK45" s="1689">
        <v>24671.5</v>
      </c>
      <c r="AL45" s="1689">
        <v>67668.62</v>
      </c>
      <c r="AM45" s="1689">
        <v>22220.5</v>
      </c>
      <c r="AN45" s="1689">
        <v>161249.4</v>
      </c>
      <c r="AO45" s="1689">
        <v>7152</v>
      </c>
      <c r="AP45" s="1689">
        <v>27169</v>
      </c>
      <c r="AQ45" s="1689">
        <v>37987.5</v>
      </c>
      <c r="AR45" s="1689">
        <v>134518</v>
      </c>
      <c r="AS45" s="1689">
        <v>53187.630000000005</v>
      </c>
      <c r="AT45" s="1689">
        <v>333128</v>
      </c>
      <c r="AU45" s="1689"/>
      <c r="AV45" s="1689"/>
      <c r="AW45" s="1689">
        <v>16555.5</v>
      </c>
      <c r="AX45" s="1945"/>
      <c r="AY45" s="1689">
        <v>7868.27</v>
      </c>
      <c r="AZ45" s="1950">
        <v>149438.70999999996</v>
      </c>
      <c r="BA45" s="1950">
        <v>75422.67</v>
      </c>
      <c r="BB45" s="1950">
        <v>7872.02</v>
      </c>
      <c r="BC45" s="1950">
        <v>23178</v>
      </c>
      <c r="BD45" s="1952">
        <v>145736</v>
      </c>
      <c r="BE45" s="1949">
        <v>73916.539999999994</v>
      </c>
      <c r="BF45" s="1689">
        <v>142191</v>
      </c>
      <c r="BG45" s="1689">
        <v>80360</v>
      </c>
      <c r="BH45" s="1689">
        <v>18373</v>
      </c>
      <c r="BI45" s="1689">
        <v>23376</v>
      </c>
      <c r="BJ45" s="1689">
        <v>57968</v>
      </c>
      <c r="BK45" s="1689">
        <v>37079.040000000001</v>
      </c>
      <c r="BL45" s="1689">
        <v>44458.2</v>
      </c>
      <c r="BM45" s="1689">
        <v>47763</v>
      </c>
      <c r="BN45" s="1689">
        <v>9555.5</v>
      </c>
      <c r="BO45" s="1487">
        <v>3814.62</v>
      </c>
      <c r="BP45" s="1487">
        <v>4323.96</v>
      </c>
      <c r="BQ45" s="1487">
        <v>14380.16</v>
      </c>
      <c r="BR45" s="1487">
        <v>5155.9299999999994</v>
      </c>
      <c r="BS45" s="1487">
        <v>12211.08</v>
      </c>
      <c r="BT45" s="1487">
        <v>28264.76</v>
      </c>
      <c r="BU45" s="1487">
        <v>84.23</v>
      </c>
      <c r="BV45" s="1487">
        <v>12834.2</v>
      </c>
      <c r="BW45" s="1487">
        <v>18983.73</v>
      </c>
      <c r="BX45" s="1487">
        <v>61609.11</v>
      </c>
      <c r="BY45" s="1487">
        <v>54815.94</v>
      </c>
      <c r="BZ45" s="1487">
        <v>121262.85999999999</v>
      </c>
      <c r="CA45" s="1487">
        <v>14460</v>
      </c>
      <c r="CB45" s="1487">
        <v>52732.999999999993</v>
      </c>
      <c r="CC45" s="1487"/>
      <c r="CD45" s="1487">
        <v>35424</v>
      </c>
      <c r="CE45" s="1487">
        <v>4616.78</v>
      </c>
      <c r="CF45" s="1487">
        <v>31887</v>
      </c>
      <c r="CG45" s="1487">
        <v>45196.2</v>
      </c>
      <c r="CH45" s="1487">
        <v>672</v>
      </c>
      <c r="CI45" s="1487">
        <v>36597</v>
      </c>
      <c r="CJ45" s="1487">
        <v>442144</v>
      </c>
      <c r="CK45" s="1487">
        <v>46987</v>
      </c>
      <c r="CL45" s="1487">
        <v>31504</v>
      </c>
      <c r="CM45" s="1487">
        <v>9500</v>
      </c>
      <c r="CN45" s="1487">
        <v>12000</v>
      </c>
      <c r="CO45" s="1487">
        <v>13414</v>
      </c>
      <c r="CP45" s="1487">
        <v>18380</v>
      </c>
      <c r="CQ45" s="1487">
        <v>30044.838611105901</v>
      </c>
      <c r="CR45" s="1487">
        <v>30845</v>
      </c>
      <c r="CS45" s="1487">
        <v>20478</v>
      </c>
      <c r="CT45" s="1487">
        <v>7621.5300000000007</v>
      </c>
      <c r="CU45" s="358"/>
      <c r="CV45" s="358"/>
      <c r="CW45" s="358"/>
      <c r="CX45" s="691"/>
    </row>
    <row r="46" spans="1:102" hidden="1">
      <c r="A46" s="1309">
        <v>44409</v>
      </c>
      <c r="B46" s="1311">
        <f t="shared" si="41"/>
        <v>15388.85</v>
      </c>
      <c r="C46" s="1311">
        <f t="shared" si="42"/>
        <v>30694.23</v>
      </c>
      <c r="D46" s="1311">
        <f t="shared" si="43"/>
        <v>33866.19</v>
      </c>
      <c r="E46" s="1311">
        <f t="shared" si="44"/>
        <v>76671.62</v>
      </c>
      <c r="F46" s="1311">
        <f t="shared" si="45"/>
        <v>30290.27</v>
      </c>
      <c r="G46" s="1311">
        <f t="shared" si="46"/>
        <v>191590.43</v>
      </c>
      <c r="H46" s="1311">
        <f t="shared" si="47"/>
        <v>5397.29</v>
      </c>
      <c r="I46" s="1311">
        <f t="shared" si="48"/>
        <v>40545.93</v>
      </c>
      <c r="J46" s="1311">
        <f t="shared" si="49"/>
        <v>58370.95</v>
      </c>
      <c r="K46" s="1311">
        <f t="shared" si="50"/>
        <v>194598.61</v>
      </c>
      <c r="L46" s="1311">
        <f t="shared" si="51"/>
        <v>115452.17000000001</v>
      </c>
      <c r="M46" s="1311">
        <f t="shared" si="52"/>
        <v>451091.58999999997</v>
      </c>
      <c r="N46" s="1311">
        <f t="shared" si="53"/>
        <v>12718</v>
      </c>
      <c r="O46" s="1311">
        <f t="shared" si="54"/>
        <v>51573.32</v>
      </c>
      <c r="P46" s="1311">
        <f t="shared" si="73"/>
        <v>15163.65</v>
      </c>
      <c r="Q46" s="1311">
        <f t="shared" si="74"/>
        <v>35424</v>
      </c>
      <c r="R46" s="1311"/>
      <c r="S46" s="1311">
        <f t="shared" ref="S46:T50" si="75">+AY46+CE46</f>
        <v>10838.09</v>
      </c>
      <c r="T46" s="1311">
        <f t="shared" si="75"/>
        <v>179238.67</v>
      </c>
      <c r="U46" s="1311">
        <f t="shared" si="57"/>
        <v>119115</v>
      </c>
      <c r="V46" s="1311">
        <f t="shared" si="58"/>
        <v>8427.77</v>
      </c>
      <c r="W46" s="1311">
        <f t="shared" si="59"/>
        <v>56891</v>
      </c>
      <c r="X46" s="1311">
        <f t="shared" si="60"/>
        <v>545710</v>
      </c>
      <c r="Y46" s="1311">
        <f t="shared" si="61"/>
        <v>143487.77000000002</v>
      </c>
      <c r="Z46" s="1311">
        <f t="shared" si="62"/>
        <v>167610</v>
      </c>
      <c r="AA46" s="1311">
        <f t="shared" si="63"/>
        <v>89860</v>
      </c>
      <c r="AB46" s="1311">
        <f t="shared" si="64"/>
        <v>30558</v>
      </c>
      <c r="AC46" s="1311">
        <f t="shared" si="65"/>
        <v>36457</v>
      </c>
      <c r="AD46" s="1311">
        <f t="shared" si="66"/>
        <v>75981</v>
      </c>
      <c r="AE46" s="1311">
        <f t="shared" si="67"/>
        <v>79586.894166667102</v>
      </c>
      <c r="AF46" s="1311">
        <f t="shared" si="68"/>
        <v>78819</v>
      </c>
      <c r="AG46" s="1311">
        <f t="shared" si="69"/>
        <v>74152.5</v>
      </c>
      <c r="AH46" s="1694">
        <f t="shared" si="70"/>
        <v>16673.27</v>
      </c>
      <c r="AI46" s="1689">
        <v>11008.5</v>
      </c>
      <c r="AJ46" s="1689">
        <v>27191</v>
      </c>
      <c r="AK46" s="1689">
        <v>23698</v>
      </c>
      <c r="AL46" s="1689">
        <v>69072</v>
      </c>
      <c r="AM46" s="1689">
        <v>23230</v>
      </c>
      <c r="AN46" s="1689">
        <v>156375.9</v>
      </c>
      <c r="AO46" s="1689">
        <v>5228</v>
      </c>
      <c r="AP46" s="1689">
        <v>27115</v>
      </c>
      <c r="AQ46" s="1689">
        <v>36036.5</v>
      </c>
      <c r="AR46" s="1689">
        <v>133396</v>
      </c>
      <c r="AS46" s="1689">
        <v>52343.76</v>
      </c>
      <c r="AT46" s="1689">
        <v>331676</v>
      </c>
      <c r="AU46" s="1689"/>
      <c r="AV46" s="1689"/>
      <c r="AW46" s="1689">
        <v>15163.65</v>
      </c>
      <c r="AX46" s="1945"/>
      <c r="AY46" s="1689">
        <v>7800.6900000000005</v>
      </c>
      <c r="AZ46" s="1950">
        <v>145232.67000000001</v>
      </c>
      <c r="BA46" s="1950">
        <v>77758.75</v>
      </c>
      <c r="BB46" s="1950">
        <v>7659.77</v>
      </c>
      <c r="BC46" s="1950">
        <v>21805</v>
      </c>
      <c r="BD46" s="1952">
        <v>145736</v>
      </c>
      <c r="BE46" s="1949">
        <v>85023.77</v>
      </c>
      <c r="BF46" s="1689">
        <v>136563</v>
      </c>
      <c r="BG46" s="1689">
        <v>80360</v>
      </c>
      <c r="BH46" s="1689">
        <v>18558</v>
      </c>
      <c r="BI46" s="1689">
        <v>23043</v>
      </c>
      <c r="BJ46" s="1689">
        <v>57528</v>
      </c>
      <c r="BK46" s="1689">
        <v>39663.480000000003</v>
      </c>
      <c r="BL46" s="1689">
        <v>47373</v>
      </c>
      <c r="BM46" s="1689">
        <v>56261.5</v>
      </c>
      <c r="BN46" s="1689">
        <v>10086.5</v>
      </c>
      <c r="BO46" s="1487">
        <v>4380.3500000000004</v>
      </c>
      <c r="BP46" s="1487">
        <v>3503.23</v>
      </c>
      <c r="BQ46" s="1487">
        <v>10168.19</v>
      </c>
      <c r="BR46" s="1487">
        <v>7599.62</v>
      </c>
      <c r="BS46" s="1487">
        <v>7060.27</v>
      </c>
      <c r="BT46" s="1487">
        <v>35214.53</v>
      </c>
      <c r="BU46" s="1487">
        <v>169.29</v>
      </c>
      <c r="BV46" s="1487">
        <v>13430.93</v>
      </c>
      <c r="BW46" s="1487">
        <v>22334.45</v>
      </c>
      <c r="BX46" s="1487">
        <v>61202.61</v>
      </c>
      <c r="BY46" s="1487">
        <v>63108.41</v>
      </c>
      <c r="BZ46" s="1487">
        <v>119415.59</v>
      </c>
      <c r="CA46" s="1487">
        <v>12718</v>
      </c>
      <c r="CB46" s="1487">
        <v>51573.32</v>
      </c>
      <c r="CC46" s="1487"/>
      <c r="CD46" s="1487">
        <v>35424</v>
      </c>
      <c r="CE46" s="1487">
        <v>3037.4</v>
      </c>
      <c r="CF46" s="1487">
        <v>34006</v>
      </c>
      <c r="CG46" s="1487">
        <v>41356.25</v>
      </c>
      <c r="CH46" s="1487">
        <v>768</v>
      </c>
      <c r="CI46" s="1487">
        <v>35086</v>
      </c>
      <c r="CJ46" s="1487">
        <v>399974</v>
      </c>
      <c r="CK46" s="1487">
        <v>58464</v>
      </c>
      <c r="CL46" s="1487">
        <v>31047</v>
      </c>
      <c r="CM46" s="1487">
        <v>9500</v>
      </c>
      <c r="CN46" s="1487">
        <v>12000</v>
      </c>
      <c r="CO46" s="1487">
        <v>13414</v>
      </c>
      <c r="CP46" s="1487">
        <v>18453</v>
      </c>
      <c r="CQ46" s="1487">
        <v>39923.414166667098</v>
      </c>
      <c r="CR46" s="1487">
        <v>31446</v>
      </c>
      <c r="CS46" s="1487">
        <v>17891</v>
      </c>
      <c r="CT46" s="1487">
        <v>6586.7699999999995</v>
      </c>
      <c r="CU46" s="358"/>
      <c r="CV46" s="358"/>
      <c r="CW46" s="358"/>
      <c r="CX46" s="691"/>
    </row>
    <row r="47" spans="1:102" hidden="1">
      <c r="A47" s="1309">
        <v>44440</v>
      </c>
      <c r="B47" s="1311">
        <f t="shared" si="41"/>
        <v>15864.93</v>
      </c>
      <c r="C47" s="1311">
        <f t="shared" si="42"/>
        <v>33935.14</v>
      </c>
      <c r="D47" s="1311">
        <f t="shared" si="43"/>
        <v>31861.05</v>
      </c>
      <c r="E47" s="1311">
        <f t="shared" si="44"/>
        <v>71660.84</v>
      </c>
      <c r="F47" s="1311">
        <f t="shared" si="45"/>
        <v>29518.400000000001</v>
      </c>
      <c r="G47" s="1311">
        <f t="shared" si="46"/>
        <v>182218.26</v>
      </c>
      <c r="H47" s="1311">
        <f t="shared" si="47"/>
        <v>6318.6900000000005</v>
      </c>
      <c r="I47" s="1311">
        <f t="shared" si="48"/>
        <v>43587.49</v>
      </c>
      <c r="J47" s="1311">
        <f t="shared" si="49"/>
        <v>63880.29</v>
      </c>
      <c r="K47" s="1311">
        <f t="shared" si="50"/>
        <v>193091.72999999998</v>
      </c>
      <c r="L47" s="1311">
        <f t="shared" si="51"/>
        <v>114422.18</v>
      </c>
      <c r="M47" s="1311">
        <f t="shared" si="52"/>
        <v>448806.88</v>
      </c>
      <c r="N47" s="1311">
        <f t="shared" si="53"/>
        <v>13090.05</v>
      </c>
      <c r="O47" s="1311">
        <f t="shared" si="54"/>
        <v>38597.130000000005</v>
      </c>
      <c r="P47" s="1311">
        <f t="shared" si="73"/>
        <v>16532.46</v>
      </c>
      <c r="Q47" s="1311">
        <f t="shared" si="74"/>
        <v>35424</v>
      </c>
      <c r="R47" s="1311"/>
      <c r="S47" s="1311">
        <f t="shared" si="75"/>
        <v>11275.3</v>
      </c>
      <c r="T47" s="1311">
        <f t="shared" si="75"/>
        <v>179754.95</v>
      </c>
      <c r="U47" s="1311">
        <f t="shared" si="57"/>
        <v>112747.5</v>
      </c>
      <c r="V47" s="1311">
        <f t="shared" si="58"/>
        <v>9749.15</v>
      </c>
      <c r="W47" s="1311">
        <f t="shared" si="59"/>
        <v>56421</v>
      </c>
      <c r="X47" s="1311">
        <f t="shared" si="60"/>
        <v>495200</v>
      </c>
      <c r="Y47" s="1311">
        <f t="shared" si="61"/>
        <v>133774</v>
      </c>
      <c r="Z47" s="1311">
        <f t="shared" si="62"/>
        <v>170080</v>
      </c>
      <c r="AA47" s="1311">
        <f t="shared" si="63"/>
        <v>89860</v>
      </c>
      <c r="AB47" s="1311">
        <f t="shared" si="64"/>
        <v>30558</v>
      </c>
      <c r="AC47" s="1311">
        <f t="shared" si="65"/>
        <v>38457</v>
      </c>
      <c r="AD47" s="1311">
        <f t="shared" si="66"/>
        <v>74175</v>
      </c>
      <c r="AE47" s="1311">
        <f t="shared" si="67"/>
        <v>117861.44</v>
      </c>
      <c r="AF47" s="1311">
        <f t="shared" si="68"/>
        <v>76958.100000000006</v>
      </c>
      <c r="AG47" s="1311">
        <f t="shared" si="69"/>
        <v>74609.5</v>
      </c>
      <c r="AH47" s="1694">
        <f t="shared" si="70"/>
        <v>21210.33</v>
      </c>
      <c r="AI47" s="1689">
        <v>10899.5</v>
      </c>
      <c r="AJ47" s="1689">
        <v>29960</v>
      </c>
      <c r="AK47" s="1689">
        <v>24087.5</v>
      </c>
      <c r="AL47" s="1689">
        <v>65689.919999999998</v>
      </c>
      <c r="AM47" s="1689">
        <v>23249.5</v>
      </c>
      <c r="AN47" s="1689">
        <v>156290.70000000001</v>
      </c>
      <c r="AO47" s="1689">
        <v>5551</v>
      </c>
      <c r="AP47" s="1689">
        <v>30163</v>
      </c>
      <c r="AQ47" s="1689">
        <v>38985</v>
      </c>
      <c r="AR47" s="1689">
        <v>141550.5</v>
      </c>
      <c r="AS47" s="1689">
        <v>54312.28</v>
      </c>
      <c r="AT47" s="1689">
        <v>330936</v>
      </c>
      <c r="AU47" s="1689"/>
      <c r="AV47" s="1689"/>
      <c r="AW47" s="1689">
        <v>16532.46</v>
      </c>
      <c r="AX47" s="1945"/>
      <c r="AY47" s="1689">
        <v>8100.33</v>
      </c>
      <c r="AZ47" s="1950">
        <v>140166.95000000001</v>
      </c>
      <c r="BA47" s="1950">
        <v>77572.5</v>
      </c>
      <c r="BB47" s="1950">
        <v>8597.15</v>
      </c>
      <c r="BC47" s="1950">
        <v>21686</v>
      </c>
      <c r="BD47" s="1952">
        <v>145736</v>
      </c>
      <c r="BE47" s="1949">
        <v>84489</v>
      </c>
      <c r="BF47" s="1689">
        <v>137602</v>
      </c>
      <c r="BG47" s="1689">
        <v>80360</v>
      </c>
      <c r="BH47" s="1689">
        <v>18558</v>
      </c>
      <c r="BI47" s="1689">
        <v>23043</v>
      </c>
      <c r="BJ47" s="1689">
        <v>58400</v>
      </c>
      <c r="BK47" s="1689">
        <v>40617.440000000002</v>
      </c>
      <c r="BL47" s="1689">
        <v>49558.6</v>
      </c>
      <c r="BM47" s="1689">
        <v>54591.5</v>
      </c>
      <c r="BN47" s="1689">
        <v>12252.5</v>
      </c>
      <c r="BO47" s="1487">
        <v>4965.43</v>
      </c>
      <c r="BP47" s="1487">
        <v>3975.14</v>
      </c>
      <c r="BQ47" s="1487">
        <v>7773.55</v>
      </c>
      <c r="BR47" s="1487">
        <v>5970.92</v>
      </c>
      <c r="BS47" s="1487">
        <v>6268.9000000000005</v>
      </c>
      <c r="BT47" s="1487">
        <v>25927.559999999998</v>
      </c>
      <c r="BU47" s="1487">
        <v>767.69</v>
      </c>
      <c r="BV47" s="1487">
        <v>13424.49</v>
      </c>
      <c r="BW47" s="1487">
        <v>24895.29</v>
      </c>
      <c r="BX47" s="1487">
        <v>51541.229999999996</v>
      </c>
      <c r="BY47" s="1487">
        <v>60109.9</v>
      </c>
      <c r="BZ47" s="1487">
        <v>117870.88</v>
      </c>
      <c r="CA47" s="1487">
        <v>13090.05</v>
      </c>
      <c r="CB47" s="1487">
        <v>38597.130000000005</v>
      </c>
      <c r="CC47" s="1487"/>
      <c r="CD47" s="1487">
        <v>35424</v>
      </c>
      <c r="CE47" s="1487">
        <v>3174.9700000000003</v>
      </c>
      <c r="CF47" s="1487">
        <v>39588</v>
      </c>
      <c r="CG47" s="1487">
        <v>35175</v>
      </c>
      <c r="CH47" s="1487">
        <v>1152</v>
      </c>
      <c r="CI47" s="1487">
        <v>34735</v>
      </c>
      <c r="CJ47" s="1487">
        <v>349464</v>
      </c>
      <c r="CK47" s="1487">
        <v>49285</v>
      </c>
      <c r="CL47" s="1487">
        <v>32478</v>
      </c>
      <c r="CM47" s="1487">
        <v>9500</v>
      </c>
      <c r="CN47" s="1487">
        <v>12000</v>
      </c>
      <c r="CO47" s="1487">
        <v>15414</v>
      </c>
      <c r="CP47" s="1487">
        <v>15775</v>
      </c>
      <c r="CQ47" s="1487">
        <v>77244</v>
      </c>
      <c r="CR47" s="1487">
        <v>27399.5</v>
      </c>
      <c r="CS47" s="1487">
        <v>20018</v>
      </c>
      <c r="CT47" s="1487">
        <v>8957.83</v>
      </c>
      <c r="CU47" s="358"/>
      <c r="CV47" s="358"/>
      <c r="CW47" s="358"/>
      <c r="CX47" s="691"/>
    </row>
    <row r="48" spans="1:102" hidden="1">
      <c r="A48" s="1309">
        <v>44470</v>
      </c>
      <c r="B48" s="1311">
        <f t="shared" si="41"/>
        <v>17824.46</v>
      </c>
      <c r="C48" s="1311">
        <f t="shared" si="42"/>
        <v>34709.32</v>
      </c>
      <c r="D48" s="1311">
        <f t="shared" si="43"/>
        <v>31509.510000000002</v>
      </c>
      <c r="E48" s="1311">
        <f t="shared" si="44"/>
        <v>68908.430000000008</v>
      </c>
      <c r="F48" s="1311">
        <f t="shared" si="45"/>
        <v>31580.3</v>
      </c>
      <c r="G48" s="1311">
        <f t="shared" si="46"/>
        <v>178490.65</v>
      </c>
      <c r="H48" s="1311">
        <f t="shared" si="47"/>
        <v>4633.8500000000004</v>
      </c>
      <c r="I48" s="1311">
        <f t="shared" si="48"/>
        <v>37880.04</v>
      </c>
      <c r="J48" s="1311">
        <f t="shared" si="49"/>
        <v>60516.65</v>
      </c>
      <c r="K48" s="1311">
        <f t="shared" si="50"/>
        <v>193557.02000000002</v>
      </c>
      <c r="L48" s="1311">
        <f t="shared" si="51"/>
        <v>108290.08</v>
      </c>
      <c r="M48" s="1311">
        <f t="shared" si="52"/>
        <v>445014.45</v>
      </c>
      <c r="N48" s="1311">
        <f t="shared" si="53"/>
        <v>14830.720000000001</v>
      </c>
      <c r="O48" s="1311">
        <f t="shared" si="54"/>
        <v>38976.53</v>
      </c>
      <c r="P48" s="1311">
        <f t="shared" si="73"/>
        <v>16275.21</v>
      </c>
      <c r="Q48" s="1311">
        <f t="shared" si="74"/>
        <v>35424</v>
      </c>
      <c r="R48" s="1311"/>
      <c r="S48" s="1311">
        <f t="shared" si="75"/>
        <v>10781.98</v>
      </c>
      <c r="T48" s="1311">
        <f t="shared" si="75"/>
        <v>171527</v>
      </c>
      <c r="U48" s="1311">
        <f t="shared" si="57"/>
        <v>111160.52</v>
      </c>
      <c r="V48" s="1311">
        <f t="shared" si="58"/>
        <v>9475.869999999999</v>
      </c>
      <c r="W48" s="1311">
        <f t="shared" si="59"/>
        <v>47603</v>
      </c>
      <c r="X48" s="1311">
        <f t="shared" si="60"/>
        <v>495199</v>
      </c>
      <c r="Y48" s="1311">
        <f t="shared" si="61"/>
        <v>125873.66</v>
      </c>
      <c r="Z48" s="1311">
        <f t="shared" si="62"/>
        <v>0</v>
      </c>
      <c r="AA48" s="1311">
        <f t="shared" si="63"/>
        <v>89860</v>
      </c>
      <c r="AB48" s="1311">
        <f t="shared" si="64"/>
        <v>30558</v>
      </c>
      <c r="AC48" s="1311">
        <f t="shared" si="65"/>
        <v>38457</v>
      </c>
      <c r="AD48" s="1311">
        <f t="shared" si="66"/>
        <v>90926</v>
      </c>
      <c r="AE48" s="1311">
        <f t="shared" si="67"/>
        <v>90064.655555559992</v>
      </c>
      <c r="AF48" s="1311">
        <f t="shared" si="68"/>
        <v>87069.2</v>
      </c>
      <c r="AG48" s="1311">
        <f t="shared" si="69"/>
        <v>74888</v>
      </c>
      <c r="AH48" s="1694">
        <f t="shared" si="70"/>
        <v>20959.099999999999</v>
      </c>
      <c r="AI48" s="1689">
        <v>12167</v>
      </c>
      <c r="AJ48" s="1689">
        <v>30803</v>
      </c>
      <c r="AK48" s="1689">
        <v>23442.5</v>
      </c>
      <c r="AL48" s="1689">
        <v>65442.290000000008</v>
      </c>
      <c r="AM48" s="1689">
        <v>23649</v>
      </c>
      <c r="AN48" s="1689">
        <v>152553.5</v>
      </c>
      <c r="AO48" s="1689">
        <v>4412</v>
      </c>
      <c r="AP48" s="1689">
        <v>27264</v>
      </c>
      <c r="AQ48" s="1689">
        <v>39042.5</v>
      </c>
      <c r="AR48" s="1689">
        <v>136404.5</v>
      </c>
      <c r="AS48" s="1689">
        <v>53179.630000000005</v>
      </c>
      <c r="AT48" s="1689">
        <v>325152</v>
      </c>
      <c r="AU48" s="1689"/>
      <c r="AV48" s="1689"/>
      <c r="AW48" s="1689">
        <v>16275.21</v>
      </c>
      <c r="AX48" s="1945"/>
      <c r="AY48" s="1689">
        <v>8001.75</v>
      </c>
      <c r="AZ48" s="1950">
        <v>137287</v>
      </c>
      <c r="BA48" s="1950">
        <v>76007.3</v>
      </c>
      <c r="BB48" s="1950">
        <v>8611.869999999999</v>
      </c>
      <c r="BC48" s="1950">
        <v>17779</v>
      </c>
      <c r="BD48" s="1952">
        <v>145736</v>
      </c>
      <c r="BE48" s="1949">
        <v>84661.66</v>
      </c>
      <c r="BF48" s="1689">
        <v>0</v>
      </c>
      <c r="BG48" s="1689">
        <v>80360</v>
      </c>
      <c r="BH48" s="1689">
        <v>18558</v>
      </c>
      <c r="BI48" s="1689">
        <v>23043</v>
      </c>
      <c r="BJ48" s="1689">
        <v>74298</v>
      </c>
      <c r="BK48" s="1689">
        <v>41831.549999999996</v>
      </c>
      <c r="BL48" s="1689">
        <v>54390.7</v>
      </c>
      <c r="BM48" s="1689">
        <v>53430</v>
      </c>
      <c r="BN48" s="1689">
        <v>11734.5</v>
      </c>
      <c r="BO48" s="1487">
        <v>5657.46</v>
      </c>
      <c r="BP48" s="1487">
        <v>3906.3199999999997</v>
      </c>
      <c r="BQ48" s="1487">
        <v>8067.01</v>
      </c>
      <c r="BR48" s="1487">
        <v>3466.14</v>
      </c>
      <c r="BS48" s="1487">
        <v>7931.3</v>
      </c>
      <c r="BT48" s="1487">
        <v>25937.15</v>
      </c>
      <c r="BU48" s="1487">
        <v>221.85</v>
      </c>
      <c r="BV48" s="1487">
        <v>10616.04</v>
      </c>
      <c r="BW48" s="1487">
        <v>21474.15</v>
      </c>
      <c r="BX48" s="1487">
        <v>57152.520000000004</v>
      </c>
      <c r="BY48" s="1487">
        <v>55110.45</v>
      </c>
      <c r="BZ48" s="1487">
        <v>119862.45</v>
      </c>
      <c r="CA48" s="1487">
        <v>14830.720000000001</v>
      </c>
      <c r="CB48" s="1487">
        <v>38976.53</v>
      </c>
      <c r="CC48" s="1487"/>
      <c r="CD48" s="1487">
        <v>35424</v>
      </c>
      <c r="CE48" s="1487">
        <v>2780.23</v>
      </c>
      <c r="CF48" s="1487">
        <v>34240</v>
      </c>
      <c r="CG48" s="1487">
        <v>35153.22</v>
      </c>
      <c r="CH48" s="1487">
        <v>864</v>
      </c>
      <c r="CI48" s="1487">
        <v>29824</v>
      </c>
      <c r="CJ48" s="1487">
        <v>349463</v>
      </c>
      <c r="CK48" s="1487">
        <v>41212</v>
      </c>
      <c r="CL48" s="1487">
        <v>0</v>
      </c>
      <c r="CM48" s="1487">
        <v>9500</v>
      </c>
      <c r="CN48" s="1487">
        <v>12000</v>
      </c>
      <c r="CO48" s="1487">
        <v>15414</v>
      </c>
      <c r="CP48" s="1487">
        <v>16628</v>
      </c>
      <c r="CQ48" s="1487">
        <v>48233.105555560003</v>
      </c>
      <c r="CR48" s="1487">
        <v>32678.5</v>
      </c>
      <c r="CS48" s="1487">
        <v>21458</v>
      </c>
      <c r="CT48" s="1487">
        <v>9224.6</v>
      </c>
      <c r="CU48" s="358"/>
      <c r="CV48" s="358"/>
      <c r="CW48" s="358"/>
      <c r="CX48" s="691"/>
    </row>
    <row r="49" spans="1:104" hidden="1">
      <c r="A49" s="1309">
        <v>44501</v>
      </c>
      <c r="B49" s="1311">
        <f t="shared" si="41"/>
        <v>18724.57</v>
      </c>
      <c r="C49" s="1311">
        <f t="shared" si="42"/>
        <v>38546.089999999997</v>
      </c>
      <c r="D49" s="1311">
        <f t="shared" si="43"/>
        <v>33586.11</v>
      </c>
      <c r="E49" s="1311">
        <f t="shared" si="44"/>
        <v>71118.570000000007</v>
      </c>
      <c r="F49" s="1311">
        <f t="shared" si="45"/>
        <v>30525.18</v>
      </c>
      <c r="G49" s="1311">
        <f t="shared" si="46"/>
        <v>182743.22</v>
      </c>
      <c r="H49" s="1311">
        <f t="shared" si="47"/>
        <v>4343.33</v>
      </c>
      <c r="I49" s="1311">
        <f t="shared" si="48"/>
        <v>33138.83</v>
      </c>
      <c r="J49" s="1311">
        <f t="shared" si="49"/>
        <v>58238.57</v>
      </c>
      <c r="K49" s="1311">
        <f t="shared" si="50"/>
        <v>193548.37</v>
      </c>
      <c r="L49" s="1311">
        <f t="shared" si="51"/>
        <v>111718.26</v>
      </c>
      <c r="M49" s="1311">
        <f t="shared" si="52"/>
        <v>424576.33</v>
      </c>
      <c r="N49" s="1311">
        <f t="shared" si="53"/>
        <v>13897</v>
      </c>
      <c r="O49" s="1311">
        <f t="shared" si="54"/>
        <v>44689.3</v>
      </c>
      <c r="P49" s="1311">
        <f t="shared" si="73"/>
        <v>16436.98</v>
      </c>
      <c r="Q49" s="1311">
        <f t="shared" si="74"/>
        <v>35424</v>
      </c>
      <c r="R49" s="1311"/>
      <c r="S49" s="1311">
        <f t="shared" si="75"/>
        <v>11520.029999999999</v>
      </c>
      <c r="T49" s="1311">
        <f t="shared" si="75"/>
        <v>186838</v>
      </c>
      <c r="U49" s="1311">
        <f t="shared" si="57"/>
        <v>112138.26999999999</v>
      </c>
      <c r="V49" s="1311">
        <f t="shared" si="58"/>
        <v>9635.5499999999993</v>
      </c>
      <c r="W49" s="1311">
        <f t="shared" si="59"/>
        <v>54766</v>
      </c>
      <c r="X49" s="1311">
        <f t="shared" si="60"/>
        <v>433641</v>
      </c>
      <c r="Y49" s="1311">
        <f t="shared" si="61"/>
        <v>126360.41</v>
      </c>
      <c r="Z49" s="1311">
        <f t="shared" si="62"/>
        <v>0</v>
      </c>
      <c r="AA49" s="1311">
        <f t="shared" si="63"/>
        <v>89860</v>
      </c>
      <c r="AB49" s="1311">
        <f t="shared" si="64"/>
        <v>30558</v>
      </c>
      <c r="AC49" s="1311">
        <f t="shared" si="65"/>
        <v>38457</v>
      </c>
      <c r="AD49" s="1311">
        <f t="shared" si="66"/>
        <v>75754</v>
      </c>
      <c r="AE49" s="1311">
        <f t="shared" si="67"/>
        <v>101537.8936111084</v>
      </c>
      <c r="AF49" s="1311">
        <f t="shared" si="68"/>
        <v>86319.8</v>
      </c>
      <c r="AG49" s="1311">
        <f t="shared" si="69"/>
        <v>64905.5</v>
      </c>
      <c r="AH49" s="1694">
        <f t="shared" si="70"/>
        <v>23297.199999999997</v>
      </c>
      <c r="AI49" s="1689">
        <v>12390</v>
      </c>
      <c r="AJ49" s="1689">
        <v>30210</v>
      </c>
      <c r="AK49" s="1689">
        <v>25185</v>
      </c>
      <c r="AL49" s="1689">
        <v>69147.72</v>
      </c>
      <c r="AM49" s="1689">
        <v>21630.5</v>
      </c>
      <c r="AN49" s="1689">
        <v>150299.35</v>
      </c>
      <c r="AO49" s="1689">
        <v>4176</v>
      </c>
      <c r="AP49" s="1689">
        <v>22891</v>
      </c>
      <c r="AQ49" s="1689">
        <v>37664.5</v>
      </c>
      <c r="AR49" s="1689">
        <v>138730.15</v>
      </c>
      <c r="AS49" s="1689">
        <v>52027.13</v>
      </c>
      <c r="AT49" s="1689">
        <v>308160</v>
      </c>
      <c r="AU49" s="1689"/>
      <c r="AV49" s="1689"/>
      <c r="AW49" s="1689">
        <v>16436.98</v>
      </c>
      <c r="AX49" s="1945"/>
      <c r="AY49" s="1689">
        <v>8347.83</v>
      </c>
      <c r="AZ49" s="1950">
        <v>149700</v>
      </c>
      <c r="BA49" s="1950">
        <v>75101</v>
      </c>
      <c r="BB49" s="1950">
        <v>8483.5499999999993</v>
      </c>
      <c r="BC49" s="1950">
        <v>19727</v>
      </c>
      <c r="BD49" s="1952">
        <v>145736</v>
      </c>
      <c r="BE49" s="1949">
        <v>83932.41</v>
      </c>
      <c r="BF49" s="1689">
        <v>0</v>
      </c>
      <c r="BG49" s="1689">
        <v>80360</v>
      </c>
      <c r="BH49" s="1689">
        <v>18558</v>
      </c>
      <c r="BI49" s="1689">
        <v>23043</v>
      </c>
      <c r="BJ49" s="1689">
        <v>57404</v>
      </c>
      <c r="BK49" s="1689">
        <v>42474.05</v>
      </c>
      <c r="BL49" s="1689">
        <v>52229.3</v>
      </c>
      <c r="BM49" s="1689">
        <v>43368.5</v>
      </c>
      <c r="BN49" s="1689">
        <v>13967.8</v>
      </c>
      <c r="BO49" s="1487">
        <v>6334.57</v>
      </c>
      <c r="BP49" s="1487">
        <v>8336.09</v>
      </c>
      <c r="BQ49" s="1487">
        <v>8401.11</v>
      </c>
      <c r="BR49" s="1487">
        <v>1970.85</v>
      </c>
      <c r="BS49" s="1487">
        <v>8894.68</v>
      </c>
      <c r="BT49" s="1487">
        <v>32443.870000000003</v>
      </c>
      <c r="BU49" s="1487">
        <v>167.33</v>
      </c>
      <c r="BV49" s="1487">
        <v>10247.83</v>
      </c>
      <c r="BW49" s="1487">
        <v>20574.07</v>
      </c>
      <c r="BX49" s="1487">
        <v>54818.22</v>
      </c>
      <c r="BY49" s="1487">
        <v>59691.13</v>
      </c>
      <c r="BZ49" s="1487">
        <v>116416.33</v>
      </c>
      <c r="CA49" s="1487">
        <v>13897</v>
      </c>
      <c r="CB49" s="1487">
        <v>44689.3</v>
      </c>
      <c r="CC49" s="1487"/>
      <c r="CD49" s="1487">
        <v>35424</v>
      </c>
      <c r="CE49" s="1487">
        <v>3172.2</v>
      </c>
      <c r="CF49" s="1487">
        <v>37138</v>
      </c>
      <c r="CG49" s="1487">
        <v>37037.269999999997</v>
      </c>
      <c r="CH49" s="1487">
        <v>1152</v>
      </c>
      <c r="CI49" s="1487">
        <v>35039</v>
      </c>
      <c r="CJ49" s="1487">
        <v>287905</v>
      </c>
      <c r="CK49" s="1487">
        <v>42428</v>
      </c>
      <c r="CL49" s="1487">
        <v>0</v>
      </c>
      <c r="CM49" s="1487">
        <v>9500</v>
      </c>
      <c r="CN49" s="1487">
        <v>12000</v>
      </c>
      <c r="CO49" s="1487">
        <v>15414</v>
      </c>
      <c r="CP49" s="1487">
        <v>18350</v>
      </c>
      <c r="CQ49" s="1487">
        <v>59063.843611108401</v>
      </c>
      <c r="CR49" s="1487">
        <v>34090.5</v>
      </c>
      <c r="CS49" s="1487">
        <v>21537</v>
      </c>
      <c r="CT49" s="1487">
        <v>9329.4</v>
      </c>
      <c r="CU49" s="358"/>
      <c r="CV49" s="358"/>
      <c r="CW49" s="358"/>
      <c r="CX49" s="691"/>
    </row>
    <row r="50" spans="1:104" ht="13.8" hidden="1" thickBot="1">
      <c r="A50" s="1309">
        <v>44531</v>
      </c>
      <c r="B50" s="2137">
        <f t="shared" si="41"/>
        <v>13057.02</v>
      </c>
      <c r="C50" s="2137">
        <f t="shared" si="42"/>
        <v>41066.850000000006</v>
      </c>
      <c r="D50" s="2137">
        <f t="shared" si="43"/>
        <v>30595.17</v>
      </c>
      <c r="E50" s="2137">
        <f t="shared" si="44"/>
        <v>58756.570000000007</v>
      </c>
      <c r="F50" s="2137">
        <f t="shared" si="45"/>
        <v>33916.54</v>
      </c>
      <c r="G50" s="2137">
        <f t="shared" si="46"/>
        <v>175452.41000000003</v>
      </c>
      <c r="H50" s="2137">
        <f t="shared" si="47"/>
        <v>7540.59</v>
      </c>
      <c r="I50" s="2137">
        <f t="shared" si="48"/>
        <v>37361.82</v>
      </c>
      <c r="J50" s="2137">
        <f t="shared" si="49"/>
        <v>55684.5</v>
      </c>
      <c r="K50" s="2137">
        <f t="shared" si="50"/>
        <v>181254.16</v>
      </c>
      <c r="L50" s="2137">
        <f t="shared" si="51"/>
        <v>108579.93</v>
      </c>
      <c r="M50" s="2137">
        <f t="shared" si="52"/>
        <v>401819.16000000003</v>
      </c>
      <c r="N50" s="2137">
        <f t="shared" si="53"/>
        <v>13956</v>
      </c>
      <c r="O50" s="2137">
        <f t="shared" si="54"/>
        <v>38187.699999999997</v>
      </c>
      <c r="P50" s="2137">
        <f t="shared" si="73"/>
        <v>15453.29</v>
      </c>
      <c r="Q50" s="2137">
        <f t="shared" si="74"/>
        <v>35424</v>
      </c>
      <c r="R50" s="2137"/>
      <c r="S50" s="2137">
        <f t="shared" si="75"/>
        <v>10771.359999999999</v>
      </c>
      <c r="T50" s="2137">
        <f t="shared" si="75"/>
        <v>130237</v>
      </c>
      <c r="U50" s="2137">
        <f t="shared" si="57"/>
        <v>108297</v>
      </c>
      <c r="V50" s="2137">
        <f t="shared" si="58"/>
        <v>8455.76</v>
      </c>
      <c r="W50" s="2137">
        <f t="shared" si="59"/>
        <v>53170</v>
      </c>
      <c r="X50" s="2137">
        <f t="shared" si="60"/>
        <v>452937</v>
      </c>
      <c r="Y50" s="2137">
        <f t="shared" si="61"/>
        <v>115668.28</v>
      </c>
      <c r="Z50" s="2137">
        <f t="shared" si="62"/>
        <v>0</v>
      </c>
      <c r="AA50" s="2137">
        <f t="shared" si="63"/>
        <v>0</v>
      </c>
      <c r="AB50" s="2137">
        <f t="shared" si="64"/>
        <v>0</v>
      </c>
      <c r="AC50" s="2137">
        <f t="shared" si="65"/>
        <v>0</v>
      </c>
      <c r="AD50" s="2137">
        <f t="shared" si="66"/>
        <v>73290</v>
      </c>
      <c r="AE50" s="2137">
        <f t="shared" si="67"/>
        <v>100392.1736111084</v>
      </c>
      <c r="AF50" s="2137">
        <f t="shared" si="68"/>
        <v>76517</v>
      </c>
      <c r="AG50" s="2137">
        <f t="shared" si="69"/>
        <v>67166.5</v>
      </c>
      <c r="AH50" s="2141">
        <f t="shared" si="70"/>
        <v>18013.489999999998</v>
      </c>
      <c r="AI50" s="2142">
        <v>9297.5</v>
      </c>
      <c r="AJ50" s="2142">
        <v>30799.5</v>
      </c>
      <c r="AK50" s="2142">
        <v>24432</v>
      </c>
      <c r="AL50" s="2142">
        <v>56673.850000000006</v>
      </c>
      <c r="AM50" s="2142">
        <v>21850</v>
      </c>
      <c r="AN50" s="2142">
        <v>150112.02000000002</v>
      </c>
      <c r="AO50" s="2142">
        <v>6727</v>
      </c>
      <c r="AP50" s="2142">
        <v>27069</v>
      </c>
      <c r="AQ50" s="2142">
        <v>37220.6</v>
      </c>
      <c r="AR50" s="2142">
        <v>126198.5</v>
      </c>
      <c r="AS50" s="2142">
        <v>52540.47</v>
      </c>
      <c r="AT50" s="2142">
        <v>292796</v>
      </c>
      <c r="AU50" s="2142"/>
      <c r="AV50" s="2142"/>
      <c r="AW50" s="2142">
        <v>15453.29</v>
      </c>
      <c r="AX50" s="2143"/>
      <c r="AY50" s="2142">
        <v>7098.1299999999992</v>
      </c>
      <c r="AZ50" s="2144">
        <v>101972</v>
      </c>
      <c r="BA50" s="2144">
        <v>68733</v>
      </c>
      <c r="BB50" s="2144">
        <v>7303.76</v>
      </c>
      <c r="BC50" s="2144">
        <v>19560</v>
      </c>
      <c r="BD50" s="2145">
        <v>145736</v>
      </c>
      <c r="BE50" s="2146">
        <v>83308.28</v>
      </c>
      <c r="BF50" s="2142">
        <v>0</v>
      </c>
      <c r="BG50" s="2142">
        <v>0</v>
      </c>
      <c r="BH50" s="2142">
        <v>0</v>
      </c>
      <c r="BI50" s="2142">
        <v>0</v>
      </c>
      <c r="BJ50" s="2142">
        <v>55506</v>
      </c>
      <c r="BK50" s="2142">
        <v>41328.33</v>
      </c>
      <c r="BL50" s="2142">
        <v>43967</v>
      </c>
      <c r="BM50" s="2142">
        <v>45062.5</v>
      </c>
      <c r="BN50" s="2142">
        <v>9751</v>
      </c>
      <c r="BO50" s="2147">
        <v>3759.52</v>
      </c>
      <c r="BP50" s="2147">
        <v>10267.350000000002</v>
      </c>
      <c r="BQ50" s="2147">
        <v>6163.17</v>
      </c>
      <c r="BR50" s="2147">
        <v>2082.7200000000003</v>
      </c>
      <c r="BS50" s="2147">
        <v>12066.54</v>
      </c>
      <c r="BT50" s="2147">
        <v>25340.39</v>
      </c>
      <c r="BU50" s="2147">
        <v>813.59</v>
      </c>
      <c r="BV50" s="2147">
        <v>10292.82</v>
      </c>
      <c r="BW50" s="2147">
        <v>18463.900000000001</v>
      </c>
      <c r="BX50" s="2147">
        <v>55055.66</v>
      </c>
      <c r="BY50" s="2147">
        <v>56039.46</v>
      </c>
      <c r="BZ50" s="2147">
        <v>109023.16</v>
      </c>
      <c r="CA50" s="2147">
        <v>13956</v>
      </c>
      <c r="CB50" s="2147">
        <v>38187.699999999997</v>
      </c>
      <c r="CC50" s="2147"/>
      <c r="CD50" s="2147">
        <v>35424</v>
      </c>
      <c r="CE50" s="2147">
        <v>3673.23</v>
      </c>
      <c r="CF50" s="2147">
        <v>28265</v>
      </c>
      <c r="CG50" s="2147">
        <v>39564</v>
      </c>
      <c r="CH50" s="2147">
        <v>1152</v>
      </c>
      <c r="CI50" s="2147">
        <v>33610</v>
      </c>
      <c r="CJ50" s="2147">
        <v>307201</v>
      </c>
      <c r="CK50" s="2147">
        <v>32360</v>
      </c>
      <c r="CL50" s="2147"/>
      <c r="CM50" s="2147"/>
      <c r="CN50" s="2147"/>
      <c r="CO50" s="2147"/>
      <c r="CP50" s="2147">
        <v>17784</v>
      </c>
      <c r="CQ50" s="2147">
        <v>59063.843611108401</v>
      </c>
      <c r="CR50" s="2147">
        <v>32550</v>
      </c>
      <c r="CS50" s="2147">
        <v>22104</v>
      </c>
      <c r="CT50" s="2147">
        <v>8262.49</v>
      </c>
      <c r="CU50" s="358"/>
      <c r="CV50" s="358"/>
      <c r="CW50" s="358"/>
      <c r="CX50" s="691"/>
    </row>
    <row r="51" spans="1:104" hidden="1">
      <c r="A51" s="1309">
        <v>44562</v>
      </c>
      <c r="B51" s="2134">
        <f t="shared" ref="B51:B62" si="76">+AI51+BO51</f>
        <v>15361.9</v>
      </c>
      <c r="C51" s="2134">
        <f t="shared" ref="C51:C62" si="77">+AJ51+BP51</f>
        <v>29379.200000000001</v>
      </c>
      <c r="D51" s="2134">
        <f t="shared" ref="D51:D62" si="78">+AK51+BQ51</f>
        <v>33818.089999999997</v>
      </c>
      <c r="E51" s="2134">
        <f t="shared" ref="E51:E62" si="79">+AL51+BR51</f>
        <v>64568.430000000008</v>
      </c>
      <c r="F51" s="2134">
        <f t="shared" ref="F51:F62" si="80">+AM51+BS51</f>
        <v>29025.15</v>
      </c>
      <c r="G51" s="2134">
        <f t="shared" ref="G51:G62" si="81">+AN51+BT51</f>
        <v>162717.99000000002</v>
      </c>
      <c r="H51" s="2134">
        <f t="shared" ref="H51:H62" si="82">+AO51+BU51</f>
        <v>5847.26</v>
      </c>
      <c r="I51" s="2134">
        <f t="shared" ref="I51:I62" si="83">+AP51+BV51</f>
        <v>35862.11</v>
      </c>
      <c r="J51" s="2134">
        <f t="shared" ref="J51:J62" si="84">+AQ51+BW51</f>
        <v>45131.9</v>
      </c>
      <c r="K51" s="2134">
        <f t="shared" ref="K51:K62" si="85">+AR51+BX51</f>
        <v>163935.34999999998</v>
      </c>
      <c r="L51" s="2134">
        <f t="shared" ref="L51:L62" si="86">+AS51+BY51</f>
        <v>117671.98999999999</v>
      </c>
      <c r="M51" s="2134">
        <f t="shared" ref="M51:M62" si="87">+AT51+BZ51</f>
        <v>399321.01</v>
      </c>
      <c r="N51" s="2134">
        <f t="shared" ref="N51:N62" si="88">+AU51+CA51</f>
        <v>14345</v>
      </c>
      <c r="O51" s="2134">
        <f t="shared" ref="O51:O62" si="89">+AV51+CB51</f>
        <v>34672.67</v>
      </c>
      <c r="P51" s="2134">
        <f t="shared" ref="P51:P62" si="90">+AW51+CC51</f>
        <v>15189.9</v>
      </c>
      <c r="Q51" s="2134">
        <f t="shared" ref="Q51:Q62" si="91">+AX51+CD51</f>
        <v>6348</v>
      </c>
      <c r="R51" s="2134"/>
      <c r="S51" s="2134">
        <f t="shared" ref="S51:S62" si="92">+AY51+CE51</f>
        <v>10277.289999999999</v>
      </c>
      <c r="T51" s="2134">
        <f t="shared" ref="T51:T62" si="93">+AZ51+CF51</f>
        <v>131152.59999999998</v>
      </c>
      <c r="U51" s="2134">
        <f t="shared" ref="U51:U62" si="94">+BA51+CG51</f>
        <v>98837</v>
      </c>
      <c r="V51" s="2134">
        <f t="shared" ref="V51:V62" si="95">+BB51+CH51</f>
        <v>7088.3200000000006</v>
      </c>
      <c r="W51" s="2134">
        <f t="shared" ref="W51:W62" si="96">+BC51+CI51</f>
        <v>49703</v>
      </c>
      <c r="X51" s="2134">
        <f t="shared" ref="X51:X62" si="97">+BD51+CJ51</f>
        <v>463482</v>
      </c>
      <c r="Y51" s="2134">
        <f t="shared" ref="Y51:Y62" si="98">+BE51+CK51</f>
        <v>102984</v>
      </c>
      <c r="Z51" s="2134">
        <f t="shared" ref="Z51:Z62" si="99">+BF51+CL51</f>
        <v>0</v>
      </c>
      <c r="AA51" s="2134">
        <f t="shared" ref="AA51:AA62" si="100">+BG51+CM51</f>
        <v>0</v>
      </c>
      <c r="AB51" s="2134">
        <f t="shared" ref="AB51:AB62" si="101">+BH51+CN51</f>
        <v>0</v>
      </c>
      <c r="AC51" s="2134">
        <f t="shared" ref="AC51:AC62" si="102">+BI51+CO51</f>
        <v>0</v>
      </c>
      <c r="AD51" s="2134">
        <f t="shared" ref="AD51:AD62" si="103">+BJ51+CP51</f>
        <v>80065</v>
      </c>
      <c r="AE51" s="2134">
        <f t="shared" ref="AE51:AE62" si="104">+BK51+CQ51</f>
        <v>88639</v>
      </c>
      <c r="AF51" s="2134">
        <f t="shared" ref="AF51:AF62" si="105">+BL51+CR51</f>
        <v>71809</v>
      </c>
      <c r="AG51" s="2134">
        <f t="shared" ref="AG51:AG62" si="106">+BM51+CS51</f>
        <v>60736.5</v>
      </c>
      <c r="AH51" s="2139">
        <f t="shared" ref="AH51:AH62" si="107">+BN51+CT51</f>
        <v>20632.080000000002</v>
      </c>
      <c r="AI51" s="2127">
        <v>8573</v>
      </c>
      <c r="AJ51" s="2128">
        <v>24502</v>
      </c>
      <c r="AK51" s="2128">
        <v>22338</v>
      </c>
      <c r="AL51" s="2128">
        <v>57497.260000000009</v>
      </c>
      <c r="AM51" s="2128">
        <v>21258.5</v>
      </c>
      <c r="AN51" s="2128">
        <v>135534.45000000001</v>
      </c>
      <c r="AO51" s="2128">
        <v>5576</v>
      </c>
      <c r="AP51" s="2128">
        <v>26055</v>
      </c>
      <c r="AQ51" s="2128">
        <v>34590</v>
      </c>
      <c r="AR51" s="2128">
        <v>117160</v>
      </c>
      <c r="AS51" s="2128">
        <v>49216.78</v>
      </c>
      <c r="AT51" s="2128">
        <v>286844</v>
      </c>
      <c r="AU51" s="2128"/>
      <c r="AV51" s="2128"/>
      <c r="AW51" s="2128">
        <v>15189.9</v>
      </c>
      <c r="AX51" s="2129"/>
      <c r="AY51" s="1942">
        <v>6910.11</v>
      </c>
      <c r="AZ51" s="1953">
        <v>104609.59999999998</v>
      </c>
      <c r="BA51" s="1953">
        <v>68376</v>
      </c>
      <c r="BB51" s="1953">
        <v>6708.3200000000006</v>
      </c>
      <c r="BC51" s="1953">
        <v>17220</v>
      </c>
      <c r="BD51" s="2140">
        <v>145736</v>
      </c>
      <c r="BE51" s="2128">
        <v>74800</v>
      </c>
      <c r="BF51" s="2128">
        <v>0</v>
      </c>
      <c r="BG51" s="2128">
        <v>0</v>
      </c>
      <c r="BH51" s="2128">
        <v>0</v>
      </c>
      <c r="BI51" s="2128">
        <v>0</v>
      </c>
      <c r="BJ51" s="2128">
        <v>61739</v>
      </c>
      <c r="BK51" s="2128">
        <v>42557</v>
      </c>
      <c r="BL51" s="2128">
        <v>41245</v>
      </c>
      <c r="BM51" s="2128">
        <v>41895.5</v>
      </c>
      <c r="BN51" s="2129">
        <v>12355.5</v>
      </c>
      <c r="BO51" s="2131">
        <v>6788.9</v>
      </c>
      <c r="BP51" s="2132">
        <v>4877.2</v>
      </c>
      <c r="BQ51" s="2132">
        <v>11480.09</v>
      </c>
      <c r="BR51" s="2132">
        <v>7071.17</v>
      </c>
      <c r="BS51" s="2132">
        <v>7766.6500000000005</v>
      </c>
      <c r="BT51" s="2132">
        <v>27183.54</v>
      </c>
      <c r="BU51" s="2132">
        <v>271.26</v>
      </c>
      <c r="BV51" s="2132">
        <v>9807.11</v>
      </c>
      <c r="BW51" s="2132">
        <v>10541.9</v>
      </c>
      <c r="BX51" s="2132">
        <v>46775.349999999991</v>
      </c>
      <c r="BY51" s="2132">
        <v>68455.209999999992</v>
      </c>
      <c r="BZ51" s="2132">
        <v>112477.01000000001</v>
      </c>
      <c r="CA51" s="2132">
        <v>14345</v>
      </c>
      <c r="CB51" s="2132">
        <v>34672.67</v>
      </c>
      <c r="CC51" s="2132"/>
      <c r="CD51" s="2133">
        <v>6348</v>
      </c>
      <c r="CE51" s="2131">
        <v>3367.18</v>
      </c>
      <c r="CF51" s="2132">
        <v>26543</v>
      </c>
      <c r="CG51" s="2132">
        <v>30461</v>
      </c>
      <c r="CH51" s="2132">
        <v>380</v>
      </c>
      <c r="CI51" s="2132">
        <v>32483</v>
      </c>
      <c r="CJ51" s="2133">
        <v>317746</v>
      </c>
      <c r="CK51" s="2131">
        <v>28184</v>
      </c>
      <c r="CL51" s="2132">
        <v>0</v>
      </c>
      <c r="CM51" s="2132">
        <v>0</v>
      </c>
      <c r="CN51" s="2132">
        <v>0</v>
      </c>
      <c r="CO51" s="2132">
        <v>0</v>
      </c>
      <c r="CP51" s="2132">
        <v>18326</v>
      </c>
      <c r="CQ51" s="2132">
        <v>46082</v>
      </c>
      <c r="CR51" s="2132">
        <v>30564</v>
      </c>
      <c r="CS51" s="2132">
        <v>18841</v>
      </c>
      <c r="CT51" s="2133">
        <v>8276.58</v>
      </c>
      <c r="CU51" s="358">
        <v>1470254.16</v>
      </c>
      <c r="CV51" s="358">
        <v>1008158.9199999999</v>
      </c>
      <c r="CW51" s="358">
        <v>462095.24</v>
      </c>
      <c r="CX51" s="691">
        <v>1933736.16</v>
      </c>
      <c r="CY51">
        <v>424865.57999999996</v>
      </c>
      <c r="CZ51">
        <v>463482</v>
      </c>
    </row>
    <row r="52" spans="1:104" hidden="1">
      <c r="A52" s="1309">
        <v>44593</v>
      </c>
      <c r="B52" s="1311">
        <f t="shared" si="76"/>
        <v>16298.779999999999</v>
      </c>
      <c r="C52" s="1311">
        <f t="shared" si="77"/>
        <v>33663.449999999997</v>
      </c>
      <c r="D52" s="1311">
        <f t="shared" si="78"/>
        <v>38794.550000000003</v>
      </c>
      <c r="E52" s="1311">
        <f t="shared" si="79"/>
        <v>66695.28</v>
      </c>
      <c r="F52" s="1311">
        <f t="shared" si="80"/>
        <v>33676.559999999998</v>
      </c>
      <c r="G52" s="1311">
        <f t="shared" si="81"/>
        <v>182405.63999999998</v>
      </c>
      <c r="H52" s="1311">
        <f t="shared" si="82"/>
        <v>7417.21</v>
      </c>
      <c r="I52" s="1311">
        <f t="shared" si="83"/>
        <v>35442.92</v>
      </c>
      <c r="J52" s="1311">
        <f t="shared" si="84"/>
        <v>46402.29</v>
      </c>
      <c r="K52" s="1311">
        <f t="shared" si="85"/>
        <v>157435.1</v>
      </c>
      <c r="L52" s="1311">
        <f t="shared" si="86"/>
        <v>114042.16</v>
      </c>
      <c r="M52" s="1311">
        <f t="shared" si="87"/>
        <v>385768.86</v>
      </c>
      <c r="N52" s="1311">
        <f t="shared" si="88"/>
        <v>12801</v>
      </c>
      <c r="O52" s="1311">
        <f t="shared" si="89"/>
        <v>30391</v>
      </c>
      <c r="P52" s="1311">
        <f t="shared" si="90"/>
        <v>15687.12</v>
      </c>
      <c r="Q52" s="1311">
        <f t="shared" si="91"/>
        <v>6348</v>
      </c>
      <c r="R52" s="1311"/>
      <c r="S52" s="1311">
        <f t="shared" si="92"/>
        <v>10710.02</v>
      </c>
      <c r="T52" s="1311">
        <f t="shared" si="93"/>
        <v>122698.32</v>
      </c>
      <c r="U52" s="1311">
        <f t="shared" si="94"/>
        <v>109277.5</v>
      </c>
      <c r="V52" s="1311">
        <f t="shared" si="95"/>
        <v>10127.26</v>
      </c>
      <c r="W52" s="1311">
        <f t="shared" si="96"/>
        <v>48034</v>
      </c>
      <c r="X52" s="1311">
        <f t="shared" si="97"/>
        <v>475783</v>
      </c>
      <c r="Y52" s="1311">
        <f t="shared" si="98"/>
        <v>100842</v>
      </c>
      <c r="Z52" s="1311">
        <f t="shared" si="99"/>
        <v>0</v>
      </c>
      <c r="AA52" s="1311">
        <f t="shared" si="100"/>
        <v>0</v>
      </c>
      <c r="AB52" s="1311">
        <f t="shared" si="101"/>
        <v>0</v>
      </c>
      <c r="AC52" s="1311">
        <f t="shared" si="102"/>
        <v>0</v>
      </c>
      <c r="AD52" s="1311">
        <f t="shared" si="103"/>
        <v>72131</v>
      </c>
      <c r="AE52" s="1311">
        <f t="shared" si="104"/>
        <v>86865</v>
      </c>
      <c r="AF52" s="1311">
        <f t="shared" si="105"/>
        <v>82173.5</v>
      </c>
      <c r="AG52" s="1311">
        <f t="shared" si="106"/>
        <v>80048.5</v>
      </c>
      <c r="AH52" s="2136">
        <f t="shared" si="107"/>
        <v>20151.21</v>
      </c>
      <c r="AI52" s="2127">
        <v>9997.5</v>
      </c>
      <c r="AJ52" s="2128">
        <v>28068.5</v>
      </c>
      <c r="AK52" s="2128">
        <v>29769</v>
      </c>
      <c r="AL52" s="2128">
        <v>62715.07</v>
      </c>
      <c r="AM52" s="2128">
        <v>23720.5</v>
      </c>
      <c r="AN52" s="2128">
        <v>145028.54999999999</v>
      </c>
      <c r="AO52" s="2128">
        <v>7386</v>
      </c>
      <c r="AP52" s="2128">
        <v>24361</v>
      </c>
      <c r="AQ52" s="2128">
        <v>34251</v>
      </c>
      <c r="AR52" s="2128">
        <v>117734</v>
      </c>
      <c r="AS52" s="2128">
        <v>47701.5</v>
      </c>
      <c r="AT52" s="2128">
        <v>275640</v>
      </c>
      <c r="AU52" s="2128"/>
      <c r="AV52" s="2128"/>
      <c r="AW52" s="2128">
        <v>15687.12</v>
      </c>
      <c r="AX52" s="2129"/>
      <c r="AY52" s="1689">
        <v>7146.99</v>
      </c>
      <c r="AZ52" s="1950">
        <v>96480.320000000007</v>
      </c>
      <c r="BA52" s="1950">
        <v>66902.5</v>
      </c>
      <c r="BB52" s="1950">
        <v>7609.26</v>
      </c>
      <c r="BC52" s="1950">
        <v>16262</v>
      </c>
      <c r="BD52" s="2130">
        <v>145736</v>
      </c>
      <c r="BE52" s="2128">
        <v>78857</v>
      </c>
      <c r="BF52" s="2128">
        <v>0</v>
      </c>
      <c r="BG52" s="2128">
        <v>0</v>
      </c>
      <c r="BH52" s="2128">
        <v>0</v>
      </c>
      <c r="BI52" s="2128">
        <v>0</v>
      </c>
      <c r="BJ52" s="2128">
        <v>54090</v>
      </c>
      <c r="BK52" s="2128">
        <v>42702</v>
      </c>
      <c r="BL52" s="2128">
        <v>45748</v>
      </c>
      <c r="BM52" s="2128">
        <v>60166.5</v>
      </c>
      <c r="BN52" s="2129">
        <v>9892.5</v>
      </c>
      <c r="BO52" s="2131">
        <v>6301.28</v>
      </c>
      <c r="BP52" s="2132">
        <v>5594.95</v>
      </c>
      <c r="BQ52" s="2132">
        <v>9025.5499999999993</v>
      </c>
      <c r="BR52" s="2132">
        <v>3980.21</v>
      </c>
      <c r="BS52" s="2132">
        <v>9956.06</v>
      </c>
      <c r="BT52" s="2132">
        <v>37377.089999999997</v>
      </c>
      <c r="BU52" s="2132">
        <v>31.21</v>
      </c>
      <c r="BV52" s="2132">
        <v>11081.92</v>
      </c>
      <c r="BW52" s="2132">
        <v>12151.289999999999</v>
      </c>
      <c r="BX52" s="2132">
        <v>39701.1</v>
      </c>
      <c r="BY52" s="2132">
        <v>66340.66</v>
      </c>
      <c r="BZ52" s="2132">
        <v>110128.86</v>
      </c>
      <c r="CA52" s="2132">
        <v>12801</v>
      </c>
      <c r="CB52" s="2132">
        <v>30391</v>
      </c>
      <c r="CC52" s="2132"/>
      <c r="CD52" s="2133">
        <v>6348</v>
      </c>
      <c r="CE52" s="2131">
        <v>3563.03</v>
      </c>
      <c r="CF52" s="2132">
        <v>26218</v>
      </c>
      <c r="CG52" s="2132">
        <v>42375</v>
      </c>
      <c r="CH52" s="2132">
        <v>2518</v>
      </c>
      <c r="CI52" s="2132">
        <v>31772</v>
      </c>
      <c r="CJ52" s="2133">
        <v>330047</v>
      </c>
      <c r="CK52" s="2131">
        <v>21985</v>
      </c>
      <c r="CL52" s="2132">
        <v>0</v>
      </c>
      <c r="CM52" s="2132">
        <v>0</v>
      </c>
      <c r="CN52" s="2132">
        <v>0</v>
      </c>
      <c r="CO52" s="2132">
        <v>0</v>
      </c>
      <c r="CP52" s="2132">
        <v>18041</v>
      </c>
      <c r="CQ52" s="2132">
        <v>44163</v>
      </c>
      <c r="CR52" s="2132">
        <v>36425.5</v>
      </c>
      <c r="CS52" s="2132">
        <v>19882</v>
      </c>
      <c r="CT52" s="2133">
        <v>10258.709999999999</v>
      </c>
      <c r="CU52" s="358">
        <v>1484117.02</v>
      </c>
      <c r="CV52" s="358">
        <v>1016460.81</v>
      </c>
      <c r="CW52" s="358">
        <v>467656.21</v>
      </c>
      <c r="CX52" s="691">
        <v>1959900.02</v>
      </c>
      <c r="CY52">
        <v>442211.20999999996</v>
      </c>
      <c r="CZ52">
        <v>475783</v>
      </c>
    </row>
    <row r="53" spans="1:104" hidden="1">
      <c r="A53" s="1309">
        <v>44621</v>
      </c>
      <c r="B53" s="1311">
        <f t="shared" si="76"/>
        <v>4291.6100000000006</v>
      </c>
      <c r="C53" s="1311">
        <f t="shared" si="77"/>
        <v>39401.078666666668</v>
      </c>
      <c r="D53" s="1311">
        <f t="shared" si="78"/>
        <v>48273.07</v>
      </c>
      <c r="E53" s="1311">
        <f t="shared" si="79"/>
        <v>71979.998333333337</v>
      </c>
      <c r="F53" s="1311">
        <f t="shared" si="80"/>
        <v>39506.139444444445</v>
      </c>
      <c r="G53" s="1311">
        <f t="shared" si="81"/>
        <v>190206.98166666669</v>
      </c>
      <c r="H53" s="1311">
        <f t="shared" si="82"/>
        <v>8789.66</v>
      </c>
      <c r="I53" s="1311">
        <f t="shared" si="83"/>
        <v>40967.729999999996</v>
      </c>
      <c r="J53" s="1311">
        <f t="shared" si="84"/>
        <v>52876.480000000003</v>
      </c>
      <c r="K53" s="1311">
        <f t="shared" si="85"/>
        <v>179287.65833333333</v>
      </c>
      <c r="L53" s="1311">
        <f t="shared" si="86"/>
        <v>111518.73</v>
      </c>
      <c r="M53" s="1311">
        <f t="shared" si="87"/>
        <v>391204.81569444446</v>
      </c>
      <c r="N53" s="1311">
        <f t="shared" si="88"/>
        <v>14219</v>
      </c>
      <c r="O53" s="1311">
        <f t="shared" si="89"/>
        <v>32476.81</v>
      </c>
      <c r="P53" s="1311">
        <f t="shared" si="90"/>
        <v>16902.73</v>
      </c>
      <c r="Q53" s="1311">
        <f t="shared" si="91"/>
        <v>6348</v>
      </c>
      <c r="R53" s="1311"/>
      <c r="S53" s="1311">
        <f t="shared" si="92"/>
        <v>13486.29</v>
      </c>
      <c r="T53" s="1311">
        <f t="shared" si="93"/>
        <v>115372.51999999999</v>
      </c>
      <c r="U53" s="1311">
        <f t="shared" si="94"/>
        <v>107315</v>
      </c>
      <c r="V53" s="1311">
        <f t="shared" si="95"/>
        <v>9380.82</v>
      </c>
      <c r="W53" s="1311">
        <f t="shared" si="96"/>
        <v>49561</v>
      </c>
      <c r="X53" s="1311">
        <f t="shared" si="97"/>
        <v>475783</v>
      </c>
      <c r="Y53" s="1311">
        <f t="shared" si="98"/>
        <v>101810.55</v>
      </c>
      <c r="Z53" s="1311">
        <f t="shared" si="99"/>
        <v>0</v>
      </c>
      <c r="AA53" s="1311">
        <f t="shared" si="100"/>
        <v>0</v>
      </c>
      <c r="AB53" s="1311">
        <f t="shared" si="101"/>
        <v>0</v>
      </c>
      <c r="AC53" s="1311">
        <f t="shared" si="102"/>
        <v>0</v>
      </c>
      <c r="AD53" s="1311">
        <f t="shared" si="103"/>
        <v>84683</v>
      </c>
      <c r="AE53" s="1311">
        <f t="shared" si="104"/>
        <v>100078.42</v>
      </c>
      <c r="AF53" s="1311">
        <f t="shared" si="105"/>
        <v>88132.010000000009</v>
      </c>
      <c r="AG53" s="1311">
        <f t="shared" si="106"/>
        <v>108401</v>
      </c>
      <c r="AH53" s="2136">
        <f t="shared" si="107"/>
        <v>22993.66</v>
      </c>
      <c r="AI53" s="2127">
        <v>676</v>
      </c>
      <c r="AJ53" s="2128">
        <v>29781.5</v>
      </c>
      <c r="AK53" s="2128">
        <v>34444</v>
      </c>
      <c r="AL53" s="2128">
        <v>70320.850000000006</v>
      </c>
      <c r="AM53" s="2128">
        <v>25167.5</v>
      </c>
      <c r="AN53" s="2128">
        <v>147344.97</v>
      </c>
      <c r="AO53" s="2128">
        <v>8353</v>
      </c>
      <c r="AP53" s="2128">
        <v>28758</v>
      </c>
      <c r="AQ53" s="2128">
        <v>38152.5</v>
      </c>
      <c r="AR53" s="2128">
        <v>131156</v>
      </c>
      <c r="AS53" s="2128">
        <v>44650.97</v>
      </c>
      <c r="AT53" s="2128">
        <v>270968</v>
      </c>
      <c r="AU53" s="2128"/>
      <c r="AV53" s="2128"/>
      <c r="AW53" s="2128">
        <v>16902.73</v>
      </c>
      <c r="AX53" s="2129"/>
      <c r="AY53" s="1689">
        <v>9364.58</v>
      </c>
      <c r="AZ53" s="1950">
        <v>86970.51999999999</v>
      </c>
      <c r="BA53" s="1950">
        <v>72075</v>
      </c>
      <c r="BB53" s="1950">
        <v>7876.82</v>
      </c>
      <c r="BC53" s="1950">
        <v>19594</v>
      </c>
      <c r="BD53" s="2130">
        <v>145736</v>
      </c>
      <c r="BE53" s="2128">
        <v>79379.55</v>
      </c>
      <c r="BF53" s="2128">
        <v>0</v>
      </c>
      <c r="BG53" s="2128">
        <v>0</v>
      </c>
      <c r="BH53" s="2128">
        <v>0</v>
      </c>
      <c r="BI53" s="2128">
        <v>0</v>
      </c>
      <c r="BJ53" s="2128">
        <v>62154</v>
      </c>
      <c r="BK53" s="2128">
        <v>49581</v>
      </c>
      <c r="BL53" s="2128">
        <v>50597.51</v>
      </c>
      <c r="BM53" s="2128">
        <v>70056</v>
      </c>
      <c r="BN53" s="2129">
        <v>10952</v>
      </c>
      <c r="BO53" s="2131">
        <v>3615.61</v>
      </c>
      <c r="BP53" s="2132">
        <v>9619.5786666666663</v>
      </c>
      <c r="BQ53" s="2132">
        <v>13829.07</v>
      </c>
      <c r="BR53" s="2132">
        <v>1659.1483333333335</v>
      </c>
      <c r="BS53" s="2132">
        <v>14338.639444444445</v>
      </c>
      <c r="BT53" s="2132">
        <v>42862.011666666673</v>
      </c>
      <c r="BU53" s="2132">
        <v>436.66</v>
      </c>
      <c r="BV53" s="2132">
        <v>12209.73</v>
      </c>
      <c r="BW53" s="2132">
        <v>14723.980000000001</v>
      </c>
      <c r="BX53" s="2132">
        <v>48131.658333333333</v>
      </c>
      <c r="BY53" s="2132">
        <v>66867.759999999995</v>
      </c>
      <c r="BZ53" s="2132">
        <v>120236.81569444445</v>
      </c>
      <c r="CA53" s="2132">
        <v>14219</v>
      </c>
      <c r="CB53" s="2132">
        <v>32476.81</v>
      </c>
      <c r="CC53" s="2132"/>
      <c r="CD53" s="2133">
        <v>6348</v>
      </c>
      <c r="CE53" s="2131">
        <v>4121.71</v>
      </c>
      <c r="CF53" s="2132">
        <v>28402</v>
      </c>
      <c r="CG53" s="2132">
        <v>35240</v>
      </c>
      <c r="CH53" s="2132">
        <v>1504</v>
      </c>
      <c r="CI53" s="2132">
        <v>29967</v>
      </c>
      <c r="CJ53" s="2133">
        <v>330047</v>
      </c>
      <c r="CK53" s="2131">
        <v>22431</v>
      </c>
      <c r="CL53" s="2132">
        <v>0</v>
      </c>
      <c r="CM53" s="2132">
        <v>0</v>
      </c>
      <c r="CN53" s="2132">
        <v>0</v>
      </c>
      <c r="CO53" s="2132">
        <v>0</v>
      </c>
      <c r="CP53" s="2132">
        <v>22529</v>
      </c>
      <c r="CQ53" s="2132">
        <v>50497.42</v>
      </c>
      <c r="CR53" s="2132">
        <v>37534.5</v>
      </c>
      <c r="CS53" s="2132">
        <v>38345</v>
      </c>
      <c r="CT53" s="2133">
        <v>12041.66</v>
      </c>
      <c r="CU53" s="358">
        <v>1543366.1221388888</v>
      </c>
      <c r="CV53" s="358">
        <v>1042556.94</v>
      </c>
      <c r="CW53" s="358">
        <v>500809.18213888892</v>
      </c>
      <c r="CX53" s="691">
        <v>2019149.1221388888</v>
      </c>
      <c r="CY53">
        <v>506098.64</v>
      </c>
      <c r="CZ53">
        <v>475783</v>
      </c>
    </row>
    <row r="54" spans="1:104" hidden="1">
      <c r="A54" s="1309">
        <v>44652</v>
      </c>
      <c r="B54" s="1311">
        <f t="shared" si="76"/>
        <v>4077.86</v>
      </c>
      <c r="C54" s="1311">
        <f t="shared" si="77"/>
        <v>35301.360000000001</v>
      </c>
      <c r="D54" s="1311">
        <f t="shared" si="78"/>
        <v>42489.7</v>
      </c>
      <c r="E54" s="1311">
        <f t="shared" si="79"/>
        <v>73557.260000000009</v>
      </c>
      <c r="F54" s="1311">
        <f t="shared" si="80"/>
        <v>34325.67</v>
      </c>
      <c r="G54" s="1311">
        <f t="shared" si="81"/>
        <v>181813.98</v>
      </c>
      <c r="H54" s="1311">
        <f t="shared" si="82"/>
        <v>8554.32</v>
      </c>
      <c r="I54" s="1311">
        <f t="shared" si="83"/>
        <v>28952.510000000002</v>
      </c>
      <c r="J54" s="1311">
        <f t="shared" si="84"/>
        <v>48880.09</v>
      </c>
      <c r="K54" s="1311">
        <f t="shared" si="85"/>
        <v>174431.76</v>
      </c>
      <c r="L54" s="1311">
        <f t="shared" si="86"/>
        <v>112513.70999999999</v>
      </c>
      <c r="M54" s="1311">
        <f t="shared" si="87"/>
        <v>368075.86</v>
      </c>
      <c r="N54" s="1311">
        <f t="shared" si="88"/>
        <v>13095</v>
      </c>
      <c r="O54" s="1311">
        <f t="shared" si="89"/>
        <v>29929.4</v>
      </c>
      <c r="P54" s="1311">
        <f t="shared" si="90"/>
        <v>14974.65</v>
      </c>
      <c r="Q54" s="1311">
        <f t="shared" si="91"/>
        <v>6348</v>
      </c>
      <c r="R54" s="1311"/>
      <c r="S54" s="1311">
        <f t="shared" si="92"/>
        <v>11601.7</v>
      </c>
      <c r="T54" s="1311">
        <f t="shared" si="93"/>
        <v>122432.02999999998</v>
      </c>
      <c r="U54" s="1311">
        <f t="shared" si="94"/>
        <v>95637.5</v>
      </c>
      <c r="V54" s="1311">
        <f t="shared" si="95"/>
        <v>8155.95</v>
      </c>
      <c r="W54" s="1311">
        <f t="shared" si="96"/>
        <v>40126</v>
      </c>
      <c r="X54" s="1311">
        <f t="shared" si="97"/>
        <v>497721</v>
      </c>
      <c r="Y54" s="1311">
        <f t="shared" si="98"/>
        <v>100006.51</v>
      </c>
      <c r="Z54" s="1311">
        <f t="shared" si="99"/>
        <v>0</v>
      </c>
      <c r="AA54" s="1311">
        <f t="shared" si="100"/>
        <v>0</v>
      </c>
      <c r="AB54" s="1311">
        <f t="shared" si="101"/>
        <v>0</v>
      </c>
      <c r="AC54" s="1311">
        <f t="shared" si="102"/>
        <v>0</v>
      </c>
      <c r="AD54" s="1311">
        <f t="shared" si="103"/>
        <v>76162</v>
      </c>
      <c r="AE54" s="1311">
        <f t="shared" si="104"/>
        <v>81299.25</v>
      </c>
      <c r="AF54" s="1311">
        <f t="shared" si="105"/>
        <v>86935.040000000008</v>
      </c>
      <c r="AG54" s="1311">
        <f t="shared" si="106"/>
        <v>89753.5</v>
      </c>
      <c r="AH54" s="2136">
        <f t="shared" si="107"/>
        <v>21636.612399999998</v>
      </c>
      <c r="AI54" s="2127">
        <v>200</v>
      </c>
      <c r="AJ54" s="2128">
        <v>28345</v>
      </c>
      <c r="AK54" s="2128">
        <v>33297.5</v>
      </c>
      <c r="AL54" s="2128">
        <v>71005.200000000012</v>
      </c>
      <c r="AM54" s="2128">
        <v>24925.5</v>
      </c>
      <c r="AN54" s="2128">
        <v>146686.75</v>
      </c>
      <c r="AO54" s="2128">
        <v>8353</v>
      </c>
      <c r="AP54" s="2128">
        <v>18208.5</v>
      </c>
      <c r="AQ54" s="2128">
        <v>37120</v>
      </c>
      <c r="AR54" s="2128">
        <v>124480.17</v>
      </c>
      <c r="AS54" s="2128">
        <v>50091.46</v>
      </c>
      <c r="AT54" s="2128">
        <v>264900</v>
      </c>
      <c r="AU54" s="2128"/>
      <c r="AV54" s="2128"/>
      <c r="AW54" s="2128">
        <v>14974.65</v>
      </c>
      <c r="AX54" s="2129"/>
      <c r="AY54" s="1689">
        <v>7900.1500000000005</v>
      </c>
      <c r="AZ54" s="1950">
        <v>96263.029999999984</v>
      </c>
      <c r="BA54" s="1950">
        <v>64861.5</v>
      </c>
      <c r="BB54" s="1950">
        <v>6831.95</v>
      </c>
      <c r="BC54" s="1950">
        <v>11931</v>
      </c>
      <c r="BD54" s="2130">
        <v>145736</v>
      </c>
      <c r="BE54" s="2128">
        <v>79221.509999999995</v>
      </c>
      <c r="BF54" s="2128">
        <v>0</v>
      </c>
      <c r="BG54" s="2128">
        <v>0</v>
      </c>
      <c r="BH54" s="2128">
        <v>0</v>
      </c>
      <c r="BI54" s="2128">
        <v>0</v>
      </c>
      <c r="BJ54" s="2128">
        <v>53469</v>
      </c>
      <c r="BK54" s="2128">
        <v>43140.84</v>
      </c>
      <c r="BL54" s="2128">
        <v>50337.64</v>
      </c>
      <c r="BM54" s="2128">
        <v>68334.5</v>
      </c>
      <c r="BN54" s="2129">
        <v>9213</v>
      </c>
      <c r="BO54" s="2131">
        <v>3877.86</v>
      </c>
      <c r="BP54" s="2132">
        <v>6956.36</v>
      </c>
      <c r="BQ54" s="2132">
        <v>9192.2000000000007</v>
      </c>
      <c r="BR54" s="2132">
        <v>2552.06</v>
      </c>
      <c r="BS54" s="2132">
        <v>9400.17</v>
      </c>
      <c r="BT54" s="2132">
        <v>35127.230000000003</v>
      </c>
      <c r="BU54" s="2132">
        <v>201.32</v>
      </c>
      <c r="BV54" s="2132">
        <v>10744.01</v>
      </c>
      <c r="BW54" s="2132">
        <v>11760.089999999998</v>
      </c>
      <c r="BX54" s="2132">
        <v>49951.59</v>
      </c>
      <c r="BY54" s="2132">
        <v>62422.25</v>
      </c>
      <c r="BZ54" s="2132">
        <v>103175.86</v>
      </c>
      <c r="CA54" s="2132">
        <v>13095</v>
      </c>
      <c r="CB54" s="2132">
        <v>29929.4</v>
      </c>
      <c r="CC54" s="2132"/>
      <c r="CD54" s="2133">
        <v>6348</v>
      </c>
      <c r="CE54" s="2131">
        <v>3701.5499999999997</v>
      </c>
      <c r="CF54" s="2132">
        <v>26169</v>
      </c>
      <c r="CG54" s="2132">
        <v>30776</v>
      </c>
      <c r="CH54" s="2132">
        <v>1324</v>
      </c>
      <c r="CI54" s="2132">
        <v>28195</v>
      </c>
      <c r="CJ54" s="2133">
        <v>351985</v>
      </c>
      <c r="CK54" s="2131">
        <v>20785</v>
      </c>
      <c r="CL54" s="2132">
        <v>0</v>
      </c>
      <c r="CM54" s="2132">
        <v>0</v>
      </c>
      <c r="CN54" s="2132">
        <v>0</v>
      </c>
      <c r="CO54" s="2132">
        <v>0</v>
      </c>
      <c r="CP54" s="2132">
        <v>22693</v>
      </c>
      <c r="CQ54" s="2132">
        <v>38158.410000000003</v>
      </c>
      <c r="CR54" s="2132">
        <v>36597.4</v>
      </c>
      <c r="CS54" s="2132">
        <v>21419</v>
      </c>
      <c r="CT54" s="2133">
        <v>12423.6124</v>
      </c>
      <c r="CU54" s="358">
        <v>1455274.31</v>
      </c>
      <c r="CV54" s="358">
        <v>1010375.36</v>
      </c>
      <c r="CW54" s="358">
        <v>444898.95</v>
      </c>
      <c r="CX54" s="691">
        <v>1952995.31</v>
      </c>
      <c r="CY54">
        <v>455792.91240000003</v>
      </c>
      <c r="CZ54">
        <v>497721</v>
      </c>
    </row>
    <row r="55" spans="1:104" hidden="1">
      <c r="A55" s="1309">
        <v>44682</v>
      </c>
      <c r="B55" s="1311">
        <f t="shared" si="76"/>
        <v>4892.55</v>
      </c>
      <c r="C55" s="1311">
        <f t="shared" si="77"/>
        <v>35750.75</v>
      </c>
      <c r="D55" s="1311">
        <f t="shared" si="78"/>
        <v>39235.56</v>
      </c>
      <c r="E55" s="1311">
        <f t="shared" si="79"/>
        <v>78936.13</v>
      </c>
      <c r="F55" s="1311">
        <f t="shared" si="80"/>
        <v>38359.43</v>
      </c>
      <c r="G55" s="1311">
        <f t="shared" si="81"/>
        <v>187378.27</v>
      </c>
      <c r="H55" s="1311">
        <f t="shared" si="82"/>
        <v>8640.41</v>
      </c>
      <c r="I55" s="1311">
        <f t="shared" si="83"/>
        <v>29391.02</v>
      </c>
      <c r="J55" s="1311">
        <f t="shared" si="84"/>
        <v>45752.08</v>
      </c>
      <c r="K55" s="1311">
        <f t="shared" si="85"/>
        <v>182765.86</v>
      </c>
      <c r="L55" s="1311">
        <f t="shared" si="86"/>
        <v>113746.54999999999</v>
      </c>
      <c r="M55" s="1311">
        <f t="shared" si="87"/>
        <v>378587.43</v>
      </c>
      <c r="N55" s="1311">
        <f t="shared" si="88"/>
        <v>15011.93</v>
      </c>
      <c r="O55" s="1311">
        <f t="shared" si="89"/>
        <v>28308.620000000003</v>
      </c>
      <c r="P55" s="1311">
        <f t="shared" si="90"/>
        <v>16769.96</v>
      </c>
      <c r="Q55" s="1311">
        <f t="shared" si="91"/>
        <v>6348</v>
      </c>
      <c r="R55" s="1311"/>
      <c r="S55" s="1311">
        <f t="shared" si="92"/>
        <v>11779.35</v>
      </c>
      <c r="T55" s="1311">
        <f t="shared" si="93"/>
        <v>144002.93</v>
      </c>
      <c r="U55" s="1311">
        <f t="shared" si="94"/>
        <v>103548</v>
      </c>
      <c r="V55" s="1311">
        <f t="shared" si="95"/>
        <v>9857.16</v>
      </c>
      <c r="W55" s="1311">
        <f t="shared" si="96"/>
        <v>50709</v>
      </c>
      <c r="X55" s="1311">
        <f t="shared" si="97"/>
        <v>497721</v>
      </c>
      <c r="Y55" s="1311">
        <f t="shared" si="98"/>
        <v>101652.51</v>
      </c>
      <c r="Z55" s="1311">
        <f t="shared" si="99"/>
        <v>0</v>
      </c>
      <c r="AA55" s="1311">
        <f t="shared" si="100"/>
        <v>0</v>
      </c>
      <c r="AB55" s="1311">
        <f t="shared" si="101"/>
        <v>0</v>
      </c>
      <c r="AC55" s="1311">
        <f t="shared" si="102"/>
        <v>0</v>
      </c>
      <c r="AD55" s="1311">
        <f t="shared" si="103"/>
        <v>77342</v>
      </c>
      <c r="AE55" s="1311">
        <f t="shared" si="104"/>
        <v>67989</v>
      </c>
      <c r="AF55" s="1311">
        <f t="shared" si="105"/>
        <v>87105.8</v>
      </c>
      <c r="AG55" s="1311">
        <f t="shared" si="106"/>
        <v>91364</v>
      </c>
      <c r="AH55" s="2136">
        <f t="shared" si="107"/>
        <v>29888.18</v>
      </c>
      <c r="AI55" s="2127">
        <v>0</v>
      </c>
      <c r="AJ55" s="2128">
        <v>28425</v>
      </c>
      <c r="AK55" s="2128">
        <v>29482</v>
      </c>
      <c r="AL55" s="2128">
        <v>73889.650000000009</v>
      </c>
      <c r="AM55" s="2128">
        <v>26624.5</v>
      </c>
      <c r="AN55" s="2128">
        <v>156341.54999999999</v>
      </c>
      <c r="AO55" s="2128">
        <v>8353</v>
      </c>
      <c r="AP55" s="2128">
        <v>19049</v>
      </c>
      <c r="AQ55" s="2128">
        <v>37621</v>
      </c>
      <c r="AR55" s="2128">
        <v>130524.5</v>
      </c>
      <c r="AS55" s="2128">
        <v>51824.13</v>
      </c>
      <c r="AT55" s="2128">
        <v>262764</v>
      </c>
      <c r="AU55" s="2128"/>
      <c r="AV55" s="2128"/>
      <c r="AW55" s="2128">
        <v>16769.96</v>
      </c>
      <c r="AX55" s="2129"/>
      <c r="AY55" s="1689">
        <v>8216.85</v>
      </c>
      <c r="AZ55" s="1950">
        <v>114359.93</v>
      </c>
      <c r="BA55" s="1950">
        <v>70051</v>
      </c>
      <c r="BB55" s="1950">
        <v>8481.16</v>
      </c>
      <c r="BC55" s="1950">
        <v>20448</v>
      </c>
      <c r="BD55" s="2130">
        <v>145736</v>
      </c>
      <c r="BE55" s="2128">
        <v>80221.509999999995</v>
      </c>
      <c r="BF55" s="2128">
        <v>0</v>
      </c>
      <c r="BG55" s="2128">
        <v>0</v>
      </c>
      <c r="BH55" s="2128">
        <v>0</v>
      </c>
      <c r="BI55" s="2128">
        <v>0</v>
      </c>
      <c r="BJ55" s="2128">
        <v>55876</v>
      </c>
      <c r="BK55" s="2128">
        <v>37240</v>
      </c>
      <c r="BL55" s="2128">
        <v>46867.3</v>
      </c>
      <c r="BM55" s="2128">
        <v>65755</v>
      </c>
      <c r="BN55" s="2129">
        <v>14558</v>
      </c>
      <c r="BO55" s="2131">
        <v>4892.55</v>
      </c>
      <c r="BP55" s="2132">
        <v>7325.75</v>
      </c>
      <c r="BQ55" s="2132">
        <v>9753.5600000000013</v>
      </c>
      <c r="BR55" s="2132">
        <v>5046.4800000000005</v>
      </c>
      <c r="BS55" s="2132">
        <v>11734.93</v>
      </c>
      <c r="BT55" s="2132">
        <v>31036.719999999998</v>
      </c>
      <c r="BU55" s="2132">
        <v>287.41000000000003</v>
      </c>
      <c r="BV55" s="2132">
        <v>10342.02</v>
      </c>
      <c r="BW55" s="2132">
        <v>8131.08</v>
      </c>
      <c r="BX55" s="2132">
        <v>52241.36</v>
      </c>
      <c r="BY55" s="2132">
        <v>61922.42</v>
      </c>
      <c r="BZ55" s="2132">
        <v>115823.43000000001</v>
      </c>
      <c r="CA55" s="2132">
        <v>15011.93</v>
      </c>
      <c r="CB55" s="2132">
        <v>28308.620000000003</v>
      </c>
      <c r="CC55" s="2132"/>
      <c r="CD55" s="2133">
        <v>6348</v>
      </c>
      <c r="CE55" s="2131">
        <v>3562.5</v>
      </c>
      <c r="CF55" s="2132">
        <v>29643</v>
      </c>
      <c r="CG55" s="2132">
        <v>33497</v>
      </c>
      <c r="CH55" s="2132">
        <v>1376</v>
      </c>
      <c r="CI55" s="2132">
        <v>30261</v>
      </c>
      <c r="CJ55" s="2133">
        <v>351985</v>
      </c>
      <c r="CK55" s="2131">
        <v>21431</v>
      </c>
      <c r="CL55" s="2132">
        <v>0</v>
      </c>
      <c r="CM55" s="2132">
        <v>0</v>
      </c>
      <c r="CN55" s="2132">
        <v>0</v>
      </c>
      <c r="CO55" s="2132">
        <v>0</v>
      </c>
      <c r="CP55" s="2132">
        <v>21466</v>
      </c>
      <c r="CQ55" s="2132">
        <v>30749</v>
      </c>
      <c r="CR55" s="2132">
        <v>40238.5</v>
      </c>
      <c r="CS55" s="2132">
        <v>25609</v>
      </c>
      <c r="CT55" s="2133">
        <v>15330.18</v>
      </c>
      <c r="CU55" s="358">
        <v>1529770.99</v>
      </c>
      <c r="CV55" s="358">
        <v>1063225.23</v>
      </c>
      <c r="CW55" s="358">
        <v>466545.76</v>
      </c>
      <c r="CX55" s="691">
        <v>2027491.99</v>
      </c>
      <c r="CY55">
        <v>455341.49</v>
      </c>
      <c r="CZ55">
        <v>497721</v>
      </c>
    </row>
    <row r="56" spans="1:104" hidden="1">
      <c r="A56" s="1309">
        <v>44713</v>
      </c>
      <c r="B56" s="1311">
        <f t="shared" si="76"/>
        <v>3701.16</v>
      </c>
      <c r="C56" s="1311">
        <f t="shared" si="77"/>
        <v>34602.25</v>
      </c>
      <c r="D56" s="1311">
        <f t="shared" si="78"/>
        <v>34824.660000000003</v>
      </c>
      <c r="E56" s="1311">
        <f t="shared" si="79"/>
        <v>80386.3</v>
      </c>
      <c r="F56" s="1311">
        <f t="shared" si="80"/>
        <v>34794.07</v>
      </c>
      <c r="G56" s="1311">
        <f t="shared" si="81"/>
        <v>195250.22999999998</v>
      </c>
      <c r="H56" s="1311">
        <f t="shared" si="82"/>
        <v>10080.93</v>
      </c>
      <c r="I56" s="1311">
        <f t="shared" si="83"/>
        <v>32038.71</v>
      </c>
      <c r="J56" s="1311">
        <f t="shared" si="84"/>
        <v>50587.68</v>
      </c>
      <c r="K56" s="1311">
        <f t="shared" si="85"/>
        <v>173010.12</v>
      </c>
      <c r="L56" s="1311">
        <f t="shared" si="86"/>
        <v>114804.13</v>
      </c>
      <c r="M56" s="1311">
        <f t="shared" si="87"/>
        <v>374027.3</v>
      </c>
      <c r="N56" s="1311">
        <f t="shared" si="88"/>
        <v>14756.9</v>
      </c>
      <c r="O56" s="1311">
        <f t="shared" si="89"/>
        <v>12783.61</v>
      </c>
      <c r="P56" s="1311">
        <f t="shared" si="90"/>
        <v>16163.76</v>
      </c>
      <c r="Q56" s="1311">
        <f t="shared" si="91"/>
        <v>6348</v>
      </c>
      <c r="R56" s="1311"/>
      <c r="S56" s="1311">
        <f t="shared" si="92"/>
        <v>11829.12</v>
      </c>
      <c r="T56" s="1311">
        <f t="shared" si="93"/>
        <v>173720.05</v>
      </c>
      <c r="U56" s="1311">
        <f t="shared" si="94"/>
        <v>101423</v>
      </c>
      <c r="V56" s="1311">
        <f t="shared" si="95"/>
        <v>10856.800000000001</v>
      </c>
      <c r="W56" s="1311">
        <f t="shared" si="96"/>
        <v>49776</v>
      </c>
      <c r="X56" s="1311">
        <f t="shared" si="97"/>
        <v>670563</v>
      </c>
      <c r="Y56" s="1311">
        <f t="shared" si="98"/>
        <v>106435.68</v>
      </c>
      <c r="Z56" s="1311">
        <f t="shared" si="99"/>
        <v>0</v>
      </c>
      <c r="AA56" s="1311">
        <f t="shared" si="100"/>
        <v>0</v>
      </c>
      <c r="AB56" s="1311">
        <f t="shared" si="101"/>
        <v>0</v>
      </c>
      <c r="AC56" s="1311">
        <f t="shared" si="102"/>
        <v>0</v>
      </c>
      <c r="AD56" s="1311">
        <f t="shared" si="103"/>
        <v>73181</v>
      </c>
      <c r="AE56" s="1311">
        <f t="shared" si="104"/>
        <v>71552.5</v>
      </c>
      <c r="AF56" s="1311">
        <f t="shared" si="105"/>
        <v>89432.53</v>
      </c>
      <c r="AG56" s="1311">
        <f t="shared" si="106"/>
        <v>69362</v>
      </c>
      <c r="AH56" s="2136">
        <f t="shared" si="107"/>
        <v>29220.510000000002</v>
      </c>
      <c r="AI56" s="2127">
        <v>0</v>
      </c>
      <c r="AJ56" s="2128">
        <v>27268.25</v>
      </c>
      <c r="AK56" s="2128">
        <v>27927.5</v>
      </c>
      <c r="AL56" s="2128">
        <v>77038.64</v>
      </c>
      <c r="AM56" s="2128">
        <v>26061</v>
      </c>
      <c r="AN56" s="2128">
        <v>158472.29999999999</v>
      </c>
      <c r="AO56" s="2128">
        <v>8353</v>
      </c>
      <c r="AP56" s="2128">
        <v>17875</v>
      </c>
      <c r="AQ56" s="2128">
        <v>38836</v>
      </c>
      <c r="AR56" s="2128">
        <v>125905.26999999999</v>
      </c>
      <c r="AS56" s="2128">
        <v>51062</v>
      </c>
      <c r="AT56" s="2128">
        <v>265892</v>
      </c>
      <c r="AU56" s="2128"/>
      <c r="AV56" s="2128"/>
      <c r="AW56" s="2128">
        <v>16163.76</v>
      </c>
      <c r="AX56" s="2129"/>
      <c r="AY56" s="1689">
        <v>8110.3</v>
      </c>
      <c r="AZ56" s="1950">
        <v>142496.04999999999</v>
      </c>
      <c r="BA56" s="1950">
        <v>68904</v>
      </c>
      <c r="BB56" s="1950">
        <v>9321.8000000000011</v>
      </c>
      <c r="BC56" s="1950">
        <v>20264</v>
      </c>
      <c r="BD56" s="2130">
        <v>145736</v>
      </c>
      <c r="BE56" s="2128">
        <v>85075.68</v>
      </c>
      <c r="BF56" s="2128">
        <v>0</v>
      </c>
      <c r="BG56" s="2128">
        <v>0</v>
      </c>
      <c r="BH56" s="2128">
        <v>0</v>
      </c>
      <c r="BI56" s="2128">
        <v>0</v>
      </c>
      <c r="BJ56" s="2128">
        <v>50306</v>
      </c>
      <c r="BK56" s="2128">
        <v>38413.21</v>
      </c>
      <c r="BL56" s="2128">
        <v>49920.53</v>
      </c>
      <c r="BM56" s="2128">
        <v>47660</v>
      </c>
      <c r="BN56" s="2129">
        <v>13442</v>
      </c>
      <c r="BO56" s="2131">
        <v>3701.16</v>
      </c>
      <c r="BP56" s="2132">
        <v>7334</v>
      </c>
      <c r="BQ56" s="2132">
        <v>6897.16</v>
      </c>
      <c r="BR56" s="2132">
        <v>3347.6600000000003</v>
      </c>
      <c r="BS56" s="2132">
        <v>8733.07</v>
      </c>
      <c r="BT56" s="2132">
        <v>36777.93</v>
      </c>
      <c r="BU56" s="2132">
        <v>1727.93</v>
      </c>
      <c r="BV56" s="2132">
        <v>14163.71</v>
      </c>
      <c r="BW56" s="2132">
        <v>11751.68</v>
      </c>
      <c r="BX56" s="2132">
        <v>47104.85</v>
      </c>
      <c r="BY56" s="2132">
        <v>63742.130000000005</v>
      </c>
      <c r="BZ56" s="2132">
        <v>108135.3</v>
      </c>
      <c r="CA56" s="2132">
        <v>14756.9</v>
      </c>
      <c r="CB56" s="2132">
        <v>12783.61</v>
      </c>
      <c r="CC56" s="2132"/>
      <c r="CD56" s="2133">
        <v>6348</v>
      </c>
      <c r="CE56" s="2131">
        <v>3718.82</v>
      </c>
      <c r="CF56" s="2132">
        <v>31224</v>
      </c>
      <c r="CG56" s="2132">
        <v>32519</v>
      </c>
      <c r="CH56" s="2132">
        <v>1535</v>
      </c>
      <c r="CI56" s="2132">
        <v>29512</v>
      </c>
      <c r="CJ56" s="2133">
        <v>524827</v>
      </c>
      <c r="CK56" s="2131">
        <v>21360</v>
      </c>
      <c r="CL56" s="2132">
        <v>0</v>
      </c>
      <c r="CM56" s="2132">
        <v>0</v>
      </c>
      <c r="CN56" s="2132">
        <v>0</v>
      </c>
      <c r="CO56" s="2132">
        <v>0</v>
      </c>
      <c r="CP56" s="2132">
        <v>22875</v>
      </c>
      <c r="CQ56" s="2132">
        <v>33139.29</v>
      </c>
      <c r="CR56" s="2132">
        <v>39512</v>
      </c>
      <c r="CS56" s="2132">
        <v>21702</v>
      </c>
      <c r="CT56" s="2133">
        <v>15778.51</v>
      </c>
      <c r="CU56" s="358">
        <v>1535764.7800000003</v>
      </c>
      <c r="CV56" s="358">
        <v>1089950.8700000001</v>
      </c>
      <c r="CW56" s="358">
        <v>445813.91000000003</v>
      </c>
      <c r="CX56" s="691">
        <v>2206327.7800000003</v>
      </c>
      <c r="CY56">
        <v>439184.22</v>
      </c>
      <c r="CZ56">
        <v>670563</v>
      </c>
    </row>
    <row r="57" spans="1:104" hidden="1">
      <c r="A57" s="1309">
        <v>44743</v>
      </c>
      <c r="B57" s="1311">
        <f t="shared" si="76"/>
        <v>2568.0699999999997</v>
      </c>
      <c r="C57" s="1311">
        <f t="shared" si="77"/>
        <v>32457.78</v>
      </c>
      <c r="D57" s="1311">
        <f t="shared" si="78"/>
        <v>46438.28</v>
      </c>
      <c r="E57" s="1311">
        <f t="shared" si="79"/>
        <v>78128.90400000001</v>
      </c>
      <c r="F57" s="1311">
        <f t="shared" si="80"/>
        <v>33548.68</v>
      </c>
      <c r="G57" s="1311">
        <f t="shared" si="81"/>
        <v>189197.91800000001</v>
      </c>
      <c r="H57" s="1311">
        <f t="shared" si="82"/>
        <v>8839.24</v>
      </c>
      <c r="I57" s="1311">
        <f t="shared" si="83"/>
        <v>29898.47</v>
      </c>
      <c r="J57" s="1311">
        <f t="shared" si="84"/>
        <v>46913.53</v>
      </c>
      <c r="K57" s="1311">
        <f t="shared" si="85"/>
        <v>173025.78</v>
      </c>
      <c r="L57" s="1311">
        <f t="shared" si="86"/>
        <v>110274.04999999999</v>
      </c>
      <c r="M57" s="1311">
        <f t="shared" si="87"/>
        <v>383674.53</v>
      </c>
      <c r="N57" s="1311">
        <f t="shared" si="88"/>
        <v>14956</v>
      </c>
      <c r="O57" s="1311">
        <f t="shared" si="89"/>
        <v>33401.64</v>
      </c>
      <c r="P57" s="1311">
        <f t="shared" si="90"/>
        <v>15424.5</v>
      </c>
      <c r="Q57" s="1311">
        <f t="shared" si="91"/>
        <v>6348</v>
      </c>
      <c r="R57" s="1311"/>
      <c r="S57" s="1311">
        <f t="shared" si="92"/>
        <v>11611.78</v>
      </c>
      <c r="T57" s="1311">
        <f t="shared" si="93"/>
        <v>174633.97</v>
      </c>
      <c r="U57" s="1311">
        <f t="shared" si="94"/>
        <v>108029</v>
      </c>
      <c r="V57" s="1311">
        <f t="shared" si="95"/>
        <v>10123.23</v>
      </c>
      <c r="W57" s="1311">
        <f t="shared" si="96"/>
        <v>50807</v>
      </c>
      <c r="X57" s="1311">
        <f t="shared" si="97"/>
        <v>400536</v>
      </c>
      <c r="Y57" s="1311">
        <f t="shared" si="98"/>
        <v>111488.7</v>
      </c>
      <c r="Z57" s="1311">
        <f t="shared" si="99"/>
        <v>0</v>
      </c>
      <c r="AA57" s="1311">
        <f t="shared" si="100"/>
        <v>0</v>
      </c>
      <c r="AB57" s="1311">
        <f t="shared" si="101"/>
        <v>0</v>
      </c>
      <c r="AC57" s="1311">
        <f t="shared" si="102"/>
        <v>0</v>
      </c>
      <c r="AD57" s="1311">
        <f t="shared" si="103"/>
        <v>78367</v>
      </c>
      <c r="AE57" s="1311">
        <f t="shared" si="104"/>
        <v>86954</v>
      </c>
      <c r="AF57" s="1311">
        <f t="shared" si="105"/>
        <v>90292.44</v>
      </c>
      <c r="AG57" s="1311">
        <f t="shared" si="106"/>
        <v>86135.1</v>
      </c>
      <c r="AH57" s="2136">
        <f t="shared" si="107"/>
        <v>23557.5</v>
      </c>
      <c r="AI57" s="2127">
        <v>0</v>
      </c>
      <c r="AJ57" s="2128">
        <v>27118</v>
      </c>
      <c r="AK57" s="2128">
        <v>28295.75</v>
      </c>
      <c r="AL57" s="2128">
        <v>74272.98000000001</v>
      </c>
      <c r="AM57" s="2128">
        <v>24876</v>
      </c>
      <c r="AN57" s="2128">
        <v>159054.97</v>
      </c>
      <c r="AO57" s="2128">
        <v>8353</v>
      </c>
      <c r="AP57" s="2128">
        <v>18539</v>
      </c>
      <c r="AQ57" s="2128">
        <v>37029</v>
      </c>
      <c r="AR57" s="2128">
        <v>125048.54000000001</v>
      </c>
      <c r="AS57" s="2128">
        <v>50746.35</v>
      </c>
      <c r="AT57" s="2128">
        <v>268160</v>
      </c>
      <c r="AU57" s="2128"/>
      <c r="AV57" s="2128"/>
      <c r="AW57" s="2128">
        <v>15424.5</v>
      </c>
      <c r="AX57" s="2129"/>
      <c r="AY57" s="1689">
        <v>8453.51</v>
      </c>
      <c r="AZ57" s="1950">
        <v>145991.97</v>
      </c>
      <c r="BA57" s="1950">
        <v>69907</v>
      </c>
      <c r="BB57" s="1950">
        <v>8683.73</v>
      </c>
      <c r="BC57" s="1950">
        <v>20480</v>
      </c>
      <c r="BD57" s="2130">
        <v>145736</v>
      </c>
      <c r="BE57" s="2128">
        <v>86068.7</v>
      </c>
      <c r="BF57" s="2128">
        <v>0</v>
      </c>
      <c r="BG57" s="2128">
        <v>0</v>
      </c>
      <c r="BH57" s="2128">
        <v>0</v>
      </c>
      <c r="BI57" s="2128">
        <v>0</v>
      </c>
      <c r="BJ57" s="2128">
        <v>59102</v>
      </c>
      <c r="BK57" s="2128">
        <v>38040</v>
      </c>
      <c r="BL57" s="2128">
        <v>51330.44</v>
      </c>
      <c r="BM57" s="2128">
        <v>61338.1</v>
      </c>
      <c r="BN57" s="2129">
        <v>9879.5</v>
      </c>
      <c r="BO57" s="2131">
        <v>2568.0699999999997</v>
      </c>
      <c r="BP57" s="2132">
        <v>5339.7800000000007</v>
      </c>
      <c r="BQ57" s="2132">
        <v>18142.53</v>
      </c>
      <c r="BR57" s="2132">
        <v>3855.924</v>
      </c>
      <c r="BS57" s="2132">
        <v>8672.68</v>
      </c>
      <c r="BT57" s="2132">
        <v>30142.948</v>
      </c>
      <c r="BU57" s="2132">
        <v>486.24</v>
      </c>
      <c r="BV57" s="2132">
        <v>11359.47</v>
      </c>
      <c r="BW57" s="2132">
        <v>9884.5299999999988</v>
      </c>
      <c r="BX57" s="2132">
        <v>47977.24</v>
      </c>
      <c r="BY57" s="2132">
        <v>59527.7</v>
      </c>
      <c r="BZ57" s="2132">
        <v>115514.53</v>
      </c>
      <c r="CA57" s="2132">
        <v>14956</v>
      </c>
      <c r="CB57" s="2132">
        <v>33401.64</v>
      </c>
      <c r="CC57" s="2132"/>
      <c r="CD57" s="2133">
        <v>6348</v>
      </c>
      <c r="CE57" s="2131">
        <v>3158.27</v>
      </c>
      <c r="CF57" s="2132">
        <v>28642</v>
      </c>
      <c r="CG57" s="2132">
        <v>38122</v>
      </c>
      <c r="CH57" s="2132">
        <v>1439.5</v>
      </c>
      <c r="CI57" s="2132">
        <v>30327</v>
      </c>
      <c r="CJ57" s="2133">
        <v>254800</v>
      </c>
      <c r="CK57" s="2131">
        <v>25420</v>
      </c>
      <c r="CL57" s="2132">
        <v>0</v>
      </c>
      <c r="CM57" s="2132">
        <v>0</v>
      </c>
      <c r="CN57" s="2132">
        <v>0</v>
      </c>
      <c r="CO57" s="2132">
        <v>0</v>
      </c>
      <c r="CP57" s="2132">
        <v>19265</v>
      </c>
      <c r="CQ57" s="2132">
        <v>48914</v>
      </c>
      <c r="CR57" s="2132">
        <v>38962</v>
      </c>
      <c r="CS57" s="2132">
        <v>24797</v>
      </c>
      <c r="CT57" s="2133">
        <v>13678</v>
      </c>
      <c r="CU57" s="358">
        <v>1560300.352</v>
      </c>
      <c r="CV57" s="358">
        <v>1090434.2999999998</v>
      </c>
      <c r="CW57" s="358">
        <v>469866.05200000003</v>
      </c>
      <c r="CX57" s="691">
        <v>1960836.352</v>
      </c>
      <c r="CY57">
        <v>476794.74</v>
      </c>
      <c r="CZ57">
        <v>400536</v>
      </c>
    </row>
    <row r="58" spans="1:104" hidden="1">
      <c r="A58" s="1309">
        <v>44774</v>
      </c>
      <c r="B58" s="1311">
        <f t="shared" si="76"/>
        <v>3297.07</v>
      </c>
      <c r="C58" s="1311">
        <f t="shared" si="77"/>
        <v>34589.620000000003</v>
      </c>
      <c r="D58" s="1311">
        <f t="shared" si="78"/>
        <v>46785.979999999996</v>
      </c>
      <c r="E58" s="1311">
        <f t="shared" si="79"/>
        <v>79876.84</v>
      </c>
      <c r="F58" s="1311">
        <f t="shared" si="80"/>
        <v>32752.260000000002</v>
      </c>
      <c r="G58" s="1311">
        <f t="shared" si="81"/>
        <v>196381.38</v>
      </c>
      <c r="H58" s="1311">
        <f t="shared" si="82"/>
        <v>8694.27</v>
      </c>
      <c r="I58" s="1311">
        <f t="shared" si="83"/>
        <v>28587.67</v>
      </c>
      <c r="J58" s="1311">
        <f t="shared" si="84"/>
        <v>51917.54</v>
      </c>
      <c r="K58" s="1311">
        <f t="shared" si="85"/>
        <v>170262.90000000002</v>
      </c>
      <c r="L58" s="1311">
        <f t="shared" si="86"/>
        <v>111278.34</v>
      </c>
      <c r="M58" s="1311">
        <f t="shared" si="87"/>
        <v>388136.55</v>
      </c>
      <c r="N58" s="1311">
        <f t="shared" si="88"/>
        <v>15209</v>
      </c>
      <c r="O58" s="1311">
        <f t="shared" si="89"/>
        <v>33908.47</v>
      </c>
      <c r="P58" s="1311">
        <f t="shared" si="90"/>
        <v>15765.2</v>
      </c>
      <c r="Q58" s="1311">
        <f t="shared" si="91"/>
        <v>6348</v>
      </c>
      <c r="R58" s="1311"/>
      <c r="S58" s="1311">
        <f t="shared" si="92"/>
        <v>12078.45</v>
      </c>
      <c r="T58" s="1311">
        <f t="shared" si="93"/>
        <v>190825.56999999995</v>
      </c>
      <c r="U58" s="1311">
        <f t="shared" si="94"/>
        <v>111878</v>
      </c>
      <c r="V58" s="1311">
        <f t="shared" si="95"/>
        <v>10857.710000000001</v>
      </c>
      <c r="W58" s="1311">
        <f t="shared" si="96"/>
        <v>51238</v>
      </c>
      <c r="X58" s="1311">
        <f t="shared" si="97"/>
        <v>669281</v>
      </c>
      <c r="Y58" s="1311">
        <f t="shared" si="98"/>
        <v>114826.75</v>
      </c>
      <c r="Z58" s="1311">
        <f t="shared" si="99"/>
        <v>0</v>
      </c>
      <c r="AA58" s="1311">
        <f t="shared" si="100"/>
        <v>0</v>
      </c>
      <c r="AB58" s="1311">
        <f t="shared" si="101"/>
        <v>0</v>
      </c>
      <c r="AC58" s="1311">
        <f t="shared" si="102"/>
        <v>0</v>
      </c>
      <c r="AD58" s="1311">
        <f t="shared" si="103"/>
        <v>74885</v>
      </c>
      <c r="AE58" s="1311">
        <f t="shared" si="104"/>
        <v>108975.39472222471</v>
      </c>
      <c r="AF58" s="1311">
        <f t="shared" si="105"/>
        <v>85561.66</v>
      </c>
      <c r="AG58" s="1311">
        <f t="shared" si="106"/>
        <v>93130</v>
      </c>
      <c r="AH58" s="2136">
        <f t="shared" si="107"/>
        <v>32397.040000000001</v>
      </c>
      <c r="AI58" s="2127">
        <v>0</v>
      </c>
      <c r="AJ58" s="2128">
        <v>27585.5</v>
      </c>
      <c r="AK58" s="2128">
        <v>29509</v>
      </c>
      <c r="AL58" s="2128">
        <v>77869</v>
      </c>
      <c r="AM58" s="2128">
        <v>24765.5</v>
      </c>
      <c r="AN58" s="2128">
        <v>162675.34</v>
      </c>
      <c r="AO58" s="2128">
        <v>8353</v>
      </c>
      <c r="AP58" s="2128">
        <v>18231</v>
      </c>
      <c r="AQ58" s="2128">
        <v>39182</v>
      </c>
      <c r="AR58" s="2128">
        <v>125290.38</v>
      </c>
      <c r="AS58" s="2128">
        <v>52382.15</v>
      </c>
      <c r="AT58" s="2128">
        <v>272228</v>
      </c>
      <c r="AU58" s="2128"/>
      <c r="AV58" s="2128"/>
      <c r="AW58" s="2128">
        <v>15765.2</v>
      </c>
      <c r="AX58" s="2129"/>
      <c r="AY58" s="1689">
        <v>8702.7000000000007</v>
      </c>
      <c r="AZ58" s="1950">
        <v>160485.56999999995</v>
      </c>
      <c r="BA58" s="1950">
        <v>67323</v>
      </c>
      <c r="BB58" s="1950">
        <v>9417.7100000000009</v>
      </c>
      <c r="BC58" s="1950">
        <v>20843</v>
      </c>
      <c r="BD58" s="2130">
        <v>145736</v>
      </c>
      <c r="BE58" s="2128">
        <v>85856.75</v>
      </c>
      <c r="BF58" s="2128">
        <v>0</v>
      </c>
      <c r="BG58" s="2128">
        <v>0</v>
      </c>
      <c r="BH58" s="2128">
        <v>0</v>
      </c>
      <c r="BI58" s="2128">
        <v>0</v>
      </c>
      <c r="BJ58" s="2128">
        <v>55654</v>
      </c>
      <c r="BK58" s="2128">
        <v>46134.75</v>
      </c>
      <c r="BL58" s="2128">
        <v>47564.66</v>
      </c>
      <c r="BM58" s="2128">
        <v>63462</v>
      </c>
      <c r="BN58" s="2129">
        <v>14287</v>
      </c>
      <c r="BO58" s="2131">
        <v>3297.07</v>
      </c>
      <c r="BP58" s="2132">
        <v>7004.12</v>
      </c>
      <c r="BQ58" s="2132">
        <v>17276.98</v>
      </c>
      <c r="BR58" s="2132">
        <v>2007.84</v>
      </c>
      <c r="BS58" s="2132">
        <v>7986.76</v>
      </c>
      <c r="BT58" s="2132">
        <v>33706.04</v>
      </c>
      <c r="BU58" s="2132">
        <v>341.27</v>
      </c>
      <c r="BV58" s="2132">
        <v>10356.67</v>
      </c>
      <c r="BW58" s="2132">
        <v>12735.539999999999</v>
      </c>
      <c r="BX58" s="2132">
        <v>44972.520000000004</v>
      </c>
      <c r="BY58" s="2132">
        <v>58896.19</v>
      </c>
      <c r="BZ58" s="2132">
        <v>115908.55</v>
      </c>
      <c r="CA58" s="2132">
        <v>15209</v>
      </c>
      <c r="CB58" s="2132">
        <v>33908.47</v>
      </c>
      <c r="CC58" s="2132"/>
      <c r="CD58" s="2133">
        <v>6348</v>
      </c>
      <c r="CE58" s="2131">
        <v>3375.75</v>
      </c>
      <c r="CF58" s="2132">
        <v>30340</v>
      </c>
      <c r="CG58" s="2132">
        <v>44555</v>
      </c>
      <c r="CH58" s="2132">
        <v>1440</v>
      </c>
      <c r="CI58" s="2132">
        <v>30395</v>
      </c>
      <c r="CJ58" s="2133">
        <v>523545</v>
      </c>
      <c r="CK58" s="2131">
        <v>28970</v>
      </c>
      <c r="CL58" s="2132">
        <v>0</v>
      </c>
      <c r="CM58" s="2132">
        <v>0</v>
      </c>
      <c r="CN58" s="2132">
        <v>0</v>
      </c>
      <c r="CO58" s="2132">
        <v>0</v>
      </c>
      <c r="CP58" s="2132">
        <v>19231</v>
      </c>
      <c r="CQ58" s="2132">
        <v>62840.644722224701</v>
      </c>
      <c r="CR58" s="2132">
        <v>37997</v>
      </c>
      <c r="CS58" s="2132">
        <v>29668</v>
      </c>
      <c r="CT58" s="2133">
        <v>18110.04</v>
      </c>
      <c r="CU58" s="358">
        <v>1600668.8199999998</v>
      </c>
      <c r="CV58" s="358">
        <v>1120608.0499999998</v>
      </c>
      <c r="CW58" s="358">
        <v>480060.77</v>
      </c>
      <c r="CX58" s="691">
        <v>2269949.8199999998</v>
      </c>
      <c r="CY58">
        <v>509775.84472222475</v>
      </c>
      <c r="CZ58">
        <v>669281</v>
      </c>
    </row>
    <row r="59" spans="1:104" hidden="1">
      <c r="A59" s="1309">
        <v>44805</v>
      </c>
      <c r="B59" s="1311">
        <f t="shared" si="76"/>
        <v>2925.27</v>
      </c>
      <c r="C59" s="1311">
        <f t="shared" si="77"/>
        <v>37222.699999999997</v>
      </c>
      <c r="D59" s="1311">
        <f t="shared" si="78"/>
        <v>45117.13</v>
      </c>
      <c r="E59" s="1311">
        <f t="shared" si="79"/>
        <v>100351.67000000001</v>
      </c>
      <c r="F59" s="1311">
        <f t="shared" si="80"/>
        <v>34907.760000000002</v>
      </c>
      <c r="G59" s="1311">
        <f t="shared" si="81"/>
        <v>196137.65</v>
      </c>
      <c r="H59" s="1311">
        <f t="shared" si="82"/>
        <v>9070.6200000000008</v>
      </c>
      <c r="I59" s="1311">
        <f t="shared" si="83"/>
        <v>29462.2</v>
      </c>
      <c r="J59" s="1311">
        <f t="shared" si="84"/>
        <v>56486.270000000004</v>
      </c>
      <c r="K59" s="1311">
        <f t="shared" si="85"/>
        <v>176301.44</v>
      </c>
      <c r="L59" s="1311">
        <f t="shared" si="86"/>
        <v>108767.06</v>
      </c>
      <c r="M59" s="1311">
        <f t="shared" si="87"/>
        <v>385452.39</v>
      </c>
      <c r="N59" s="1311">
        <f t="shared" si="88"/>
        <v>14305</v>
      </c>
      <c r="O59" s="1311">
        <f t="shared" si="89"/>
        <v>29242.79</v>
      </c>
      <c r="P59" s="1311">
        <f t="shared" si="90"/>
        <v>16781.72</v>
      </c>
      <c r="Q59" s="1311">
        <f t="shared" si="91"/>
        <v>6348</v>
      </c>
      <c r="R59" s="1311"/>
      <c r="S59" s="1311">
        <f t="shared" si="92"/>
        <v>11612.2</v>
      </c>
      <c r="T59" s="1311">
        <f t="shared" si="93"/>
        <v>185997.49000000002</v>
      </c>
      <c r="U59" s="1311">
        <f t="shared" si="94"/>
        <v>109140.5</v>
      </c>
      <c r="V59" s="1311">
        <f t="shared" si="95"/>
        <v>11487.599999999999</v>
      </c>
      <c r="W59" s="1311">
        <f t="shared" si="96"/>
        <v>55072</v>
      </c>
      <c r="X59" s="1311">
        <f t="shared" si="97"/>
        <v>524957</v>
      </c>
      <c r="Y59" s="1311">
        <f t="shared" si="98"/>
        <v>112745.77</v>
      </c>
      <c r="Z59" s="1311">
        <f t="shared" si="99"/>
        <v>0</v>
      </c>
      <c r="AA59" s="1311">
        <f t="shared" si="100"/>
        <v>0</v>
      </c>
      <c r="AB59" s="1311">
        <f t="shared" si="101"/>
        <v>0</v>
      </c>
      <c r="AC59" s="1311">
        <f t="shared" si="102"/>
        <v>0</v>
      </c>
      <c r="AD59" s="1311">
        <f t="shared" si="103"/>
        <v>77060</v>
      </c>
      <c r="AE59" s="1311">
        <f t="shared" si="104"/>
        <v>86638</v>
      </c>
      <c r="AF59" s="1311">
        <f t="shared" si="105"/>
        <v>87847.8</v>
      </c>
      <c r="AG59" s="1311">
        <f t="shared" si="106"/>
        <v>96123</v>
      </c>
      <c r="AH59" s="2136">
        <f t="shared" si="107"/>
        <v>31644.799999999999</v>
      </c>
      <c r="AI59" s="2127">
        <v>0</v>
      </c>
      <c r="AJ59" s="2128">
        <v>28699</v>
      </c>
      <c r="AK59" s="2128">
        <v>29333.25</v>
      </c>
      <c r="AL59" s="2128">
        <v>85905.35</v>
      </c>
      <c r="AM59" s="2128">
        <v>25791</v>
      </c>
      <c r="AN59" s="2128">
        <v>160951.75</v>
      </c>
      <c r="AO59" s="2128">
        <v>8353</v>
      </c>
      <c r="AP59" s="2128">
        <v>20628.5</v>
      </c>
      <c r="AQ59" s="2128">
        <v>42644.5</v>
      </c>
      <c r="AR59" s="2128">
        <v>132993</v>
      </c>
      <c r="AS59" s="2128">
        <v>53134.85</v>
      </c>
      <c r="AT59" s="2128">
        <v>274364</v>
      </c>
      <c r="AU59" s="2128"/>
      <c r="AV59" s="2128"/>
      <c r="AW59" s="2128">
        <v>16781.72</v>
      </c>
      <c r="AX59" s="2129"/>
      <c r="AY59" s="1689">
        <v>8315.9600000000009</v>
      </c>
      <c r="AZ59" s="1950">
        <v>159556.49000000002</v>
      </c>
      <c r="BA59" s="1950">
        <v>68435.5</v>
      </c>
      <c r="BB59" s="1950">
        <v>9706.5999999999985</v>
      </c>
      <c r="BC59" s="1950">
        <v>22277</v>
      </c>
      <c r="BD59" s="2130">
        <v>145736</v>
      </c>
      <c r="BE59" s="2128">
        <v>83503.77</v>
      </c>
      <c r="BF59" s="2128">
        <v>0</v>
      </c>
      <c r="BG59" s="2128">
        <v>0</v>
      </c>
      <c r="BH59" s="2128">
        <v>0</v>
      </c>
      <c r="BI59" s="2128">
        <v>0</v>
      </c>
      <c r="BJ59" s="2128">
        <v>58741</v>
      </c>
      <c r="BK59" s="2128">
        <v>43643</v>
      </c>
      <c r="BL59" s="2128">
        <v>50250.3</v>
      </c>
      <c r="BM59" s="2128">
        <v>63013</v>
      </c>
      <c r="BN59" s="2129">
        <v>14236</v>
      </c>
      <c r="BO59" s="2131">
        <v>2925.27</v>
      </c>
      <c r="BP59" s="2132">
        <v>8523.7000000000007</v>
      </c>
      <c r="BQ59" s="2132">
        <v>15783.88</v>
      </c>
      <c r="BR59" s="2132">
        <v>14446.32</v>
      </c>
      <c r="BS59" s="2132">
        <v>9116.76</v>
      </c>
      <c r="BT59" s="2132">
        <v>35185.9</v>
      </c>
      <c r="BU59" s="2132">
        <v>717.62</v>
      </c>
      <c r="BV59" s="2132">
        <v>8833.7000000000007</v>
      </c>
      <c r="BW59" s="2132">
        <v>13841.77</v>
      </c>
      <c r="BX59" s="2132">
        <v>43308.439999999995</v>
      </c>
      <c r="BY59" s="2132">
        <v>55632.210000000006</v>
      </c>
      <c r="BZ59" s="2132">
        <v>111088.39</v>
      </c>
      <c r="CA59" s="2132">
        <v>14305</v>
      </c>
      <c r="CB59" s="2132">
        <v>29242.79</v>
      </c>
      <c r="CC59" s="2132"/>
      <c r="CD59" s="2133">
        <v>6348</v>
      </c>
      <c r="CE59" s="2131">
        <v>3296.24</v>
      </c>
      <c r="CF59" s="2132">
        <v>26441</v>
      </c>
      <c r="CG59" s="2132">
        <v>40705</v>
      </c>
      <c r="CH59" s="2132">
        <v>1781</v>
      </c>
      <c r="CI59" s="2132">
        <v>32795</v>
      </c>
      <c r="CJ59" s="2133">
        <v>379221</v>
      </c>
      <c r="CK59" s="2131">
        <v>29242</v>
      </c>
      <c r="CL59" s="2132">
        <v>0</v>
      </c>
      <c r="CM59" s="2132">
        <v>0</v>
      </c>
      <c r="CN59" s="2132">
        <v>0</v>
      </c>
      <c r="CO59" s="2132">
        <v>0</v>
      </c>
      <c r="CP59" s="2132">
        <v>18319</v>
      </c>
      <c r="CQ59" s="2132">
        <v>42995</v>
      </c>
      <c r="CR59" s="2132">
        <v>37597.5</v>
      </c>
      <c r="CS59" s="2132">
        <v>33110</v>
      </c>
      <c r="CT59" s="2133">
        <v>17408.8</v>
      </c>
      <c r="CU59" s="358">
        <v>1622189.46</v>
      </c>
      <c r="CV59" s="358">
        <v>1147871.47</v>
      </c>
      <c r="CW59" s="358">
        <v>474317.99</v>
      </c>
      <c r="CX59" s="691">
        <v>2147146.46</v>
      </c>
      <c r="CY59">
        <v>492059.37</v>
      </c>
      <c r="CZ59">
        <v>524957</v>
      </c>
    </row>
    <row r="60" spans="1:104" hidden="1">
      <c r="A60" s="1309">
        <v>44835</v>
      </c>
      <c r="B60" s="1311">
        <f t="shared" si="76"/>
        <v>3964.83</v>
      </c>
      <c r="C60" s="1311">
        <f t="shared" si="77"/>
        <v>35848.619999999995</v>
      </c>
      <c r="D60" s="1311">
        <f t="shared" si="78"/>
        <v>44898.67</v>
      </c>
      <c r="E60" s="1311">
        <f t="shared" si="79"/>
        <v>85181.483333333337</v>
      </c>
      <c r="F60" s="1311">
        <f t="shared" si="80"/>
        <v>31756.14</v>
      </c>
      <c r="G60" s="1311">
        <f t="shared" si="81"/>
        <v>190409.14</v>
      </c>
      <c r="H60" s="1311">
        <f t="shared" si="82"/>
        <v>9339.8799999999992</v>
      </c>
      <c r="I60" s="1311">
        <f t="shared" si="83"/>
        <v>31016.93</v>
      </c>
      <c r="J60" s="1311">
        <f t="shared" si="84"/>
        <v>47022.44</v>
      </c>
      <c r="K60" s="1311">
        <f t="shared" si="85"/>
        <v>175040.26</v>
      </c>
      <c r="L60" s="1311">
        <f t="shared" si="86"/>
        <v>111151.21</v>
      </c>
      <c r="M60" s="1311">
        <f t="shared" si="87"/>
        <v>383817.56</v>
      </c>
      <c r="N60" s="1311">
        <f t="shared" si="88"/>
        <v>14919.14</v>
      </c>
      <c r="O60" s="1311">
        <f t="shared" si="89"/>
        <v>31698.289999999997</v>
      </c>
      <c r="P60" s="1311">
        <f t="shared" si="90"/>
        <v>16561.88</v>
      </c>
      <c r="Q60" s="1311">
        <f t="shared" si="91"/>
        <v>6348</v>
      </c>
      <c r="R60" s="1311"/>
      <c r="S60" s="1311">
        <f t="shared" si="92"/>
        <v>12047.26</v>
      </c>
      <c r="T60" s="1311">
        <f t="shared" si="93"/>
        <v>187022.81</v>
      </c>
      <c r="U60" s="1311">
        <f t="shared" si="94"/>
        <v>110207</v>
      </c>
      <c r="V60" s="1311">
        <f t="shared" si="95"/>
        <v>11448.06</v>
      </c>
      <c r="W60" s="1311">
        <f t="shared" si="96"/>
        <v>51979</v>
      </c>
      <c r="X60" s="1311">
        <f t="shared" si="97"/>
        <v>580839</v>
      </c>
      <c r="Y60" s="1311">
        <f t="shared" si="98"/>
        <v>113893.17</v>
      </c>
      <c r="Z60" s="1311">
        <f t="shared" si="99"/>
        <v>0</v>
      </c>
      <c r="AA60" s="1311">
        <f t="shared" si="100"/>
        <v>0</v>
      </c>
      <c r="AB60" s="1311">
        <f t="shared" si="101"/>
        <v>0</v>
      </c>
      <c r="AC60" s="1311">
        <f t="shared" si="102"/>
        <v>0</v>
      </c>
      <c r="AD60" s="1311">
        <f t="shared" si="103"/>
        <v>76557</v>
      </c>
      <c r="AE60" s="1311">
        <f t="shared" si="104"/>
        <v>77152.22</v>
      </c>
      <c r="AF60" s="1311">
        <f t="shared" si="105"/>
        <v>85176.02</v>
      </c>
      <c r="AG60" s="1311">
        <f t="shared" si="106"/>
        <v>85985.5</v>
      </c>
      <c r="AH60" s="2136">
        <f t="shared" si="107"/>
        <v>26835.06</v>
      </c>
      <c r="AI60" s="2127">
        <v>0</v>
      </c>
      <c r="AJ60" s="2128">
        <v>27394.5</v>
      </c>
      <c r="AK60" s="2128">
        <v>30158.5</v>
      </c>
      <c r="AL60" s="2128">
        <v>74286.94</v>
      </c>
      <c r="AM60" s="2128">
        <v>23213</v>
      </c>
      <c r="AN60" s="2128">
        <v>154389.25</v>
      </c>
      <c r="AO60" s="2128">
        <v>8353</v>
      </c>
      <c r="AP60" s="2128">
        <v>21990.5</v>
      </c>
      <c r="AQ60" s="2128">
        <v>38380</v>
      </c>
      <c r="AR60" s="2128">
        <v>127027.5</v>
      </c>
      <c r="AS60" s="2128">
        <v>51791.020000000004</v>
      </c>
      <c r="AT60" s="2128">
        <v>272900</v>
      </c>
      <c r="AU60" s="2128"/>
      <c r="AV60" s="2128"/>
      <c r="AW60" s="2128">
        <v>16561.88</v>
      </c>
      <c r="AX60" s="2129"/>
      <c r="AY60" s="1689">
        <v>8504.16</v>
      </c>
      <c r="AZ60" s="1950">
        <v>154697.81</v>
      </c>
      <c r="BA60" s="1950">
        <v>67890</v>
      </c>
      <c r="BB60" s="1950">
        <v>9314.06</v>
      </c>
      <c r="BC60" s="1950">
        <v>20990</v>
      </c>
      <c r="BD60" s="2130">
        <v>145736</v>
      </c>
      <c r="BE60" s="2128">
        <v>87089.67</v>
      </c>
      <c r="BF60" s="2128">
        <v>0</v>
      </c>
      <c r="BG60" s="2128">
        <v>0</v>
      </c>
      <c r="BH60" s="2128">
        <v>0</v>
      </c>
      <c r="BI60" s="2128">
        <v>0</v>
      </c>
      <c r="BJ60" s="2128">
        <v>56417</v>
      </c>
      <c r="BK60" s="2128">
        <v>35942.22</v>
      </c>
      <c r="BL60" s="2128">
        <v>50227.62</v>
      </c>
      <c r="BM60" s="2128">
        <v>55146.5</v>
      </c>
      <c r="BN60" s="2129">
        <v>11270</v>
      </c>
      <c r="BO60" s="2131">
        <v>3964.83</v>
      </c>
      <c r="BP60" s="2132">
        <v>8454.119999999999</v>
      </c>
      <c r="BQ60" s="2132">
        <v>14740.17</v>
      </c>
      <c r="BR60" s="2132">
        <v>10894.543333333333</v>
      </c>
      <c r="BS60" s="2132">
        <v>8543.14</v>
      </c>
      <c r="BT60" s="2132">
        <v>36019.89</v>
      </c>
      <c r="BU60" s="2132">
        <v>986.88</v>
      </c>
      <c r="BV60" s="2132">
        <v>9026.43</v>
      </c>
      <c r="BW60" s="2132">
        <v>8642.44</v>
      </c>
      <c r="BX60" s="2132">
        <v>48012.759999999995</v>
      </c>
      <c r="BY60" s="2132">
        <v>59360.19</v>
      </c>
      <c r="BZ60" s="2132">
        <v>110917.56</v>
      </c>
      <c r="CA60" s="2132">
        <v>14919.14</v>
      </c>
      <c r="CB60" s="2132">
        <v>31698.289999999997</v>
      </c>
      <c r="CC60" s="2132"/>
      <c r="CD60" s="2133">
        <v>6348</v>
      </c>
      <c r="CE60" s="2131">
        <v>3543.1</v>
      </c>
      <c r="CF60" s="2132">
        <v>32325</v>
      </c>
      <c r="CG60" s="2132">
        <v>42317</v>
      </c>
      <c r="CH60" s="2132">
        <v>2134</v>
      </c>
      <c r="CI60" s="2132">
        <v>30989</v>
      </c>
      <c r="CJ60" s="2133">
        <v>435103</v>
      </c>
      <c r="CK60" s="2131">
        <v>26803.5</v>
      </c>
      <c r="CL60" s="2132">
        <v>0</v>
      </c>
      <c r="CM60" s="2132">
        <v>0</v>
      </c>
      <c r="CN60" s="2132">
        <v>0</v>
      </c>
      <c r="CO60" s="2132">
        <v>0</v>
      </c>
      <c r="CP60" s="2132">
        <v>20140</v>
      </c>
      <c r="CQ60" s="2132">
        <v>41210</v>
      </c>
      <c r="CR60" s="2132">
        <v>34948.400000000001</v>
      </c>
      <c r="CS60" s="2132">
        <v>30839</v>
      </c>
      <c r="CT60" s="2133">
        <v>15565.060000000001</v>
      </c>
      <c r="CU60" s="358">
        <v>1591678.6033333335</v>
      </c>
      <c r="CV60" s="358">
        <v>1107842.1200000001</v>
      </c>
      <c r="CW60" s="358">
        <v>483836.48333333328</v>
      </c>
      <c r="CX60" s="691">
        <v>2172517.6033333335</v>
      </c>
      <c r="CY60">
        <v>465598.97</v>
      </c>
      <c r="CZ60">
        <v>580839</v>
      </c>
    </row>
    <row r="61" spans="1:104" hidden="1">
      <c r="A61" s="1309">
        <v>44866</v>
      </c>
      <c r="B61" s="1311">
        <f t="shared" si="76"/>
        <v>1641.55</v>
      </c>
      <c r="C61" s="1311">
        <f t="shared" si="77"/>
        <v>30406.720000000001</v>
      </c>
      <c r="D61" s="1311">
        <f t="shared" si="78"/>
        <v>46324.47</v>
      </c>
      <c r="E61" s="1311">
        <f t="shared" si="79"/>
        <v>87946.89</v>
      </c>
      <c r="F61" s="1311">
        <f t="shared" si="80"/>
        <v>41901.94</v>
      </c>
      <c r="G61" s="1311">
        <f t="shared" si="81"/>
        <v>182257.59000000003</v>
      </c>
      <c r="H61" s="1311">
        <f t="shared" si="82"/>
        <v>8589.76</v>
      </c>
      <c r="I61" s="1311">
        <f t="shared" si="83"/>
        <v>29677.93</v>
      </c>
      <c r="J61" s="1311">
        <f t="shared" si="84"/>
        <v>43545.34</v>
      </c>
      <c r="K61" s="1311">
        <f t="shared" si="85"/>
        <v>159092.34</v>
      </c>
      <c r="L61" s="1311">
        <f t="shared" si="86"/>
        <v>106674.96</v>
      </c>
      <c r="M61" s="1311">
        <f t="shared" si="87"/>
        <v>369112.14</v>
      </c>
      <c r="N61" s="1311">
        <f t="shared" si="88"/>
        <v>14997</v>
      </c>
      <c r="O61" s="1311">
        <f t="shared" si="89"/>
        <v>37307.18</v>
      </c>
      <c r="P61" s="1311">
        <f t="shared" si="90"/>
        <v>15987.83</v>
      </c>
      <c r="Q61" s="1311">
        <f t="shared" si="91"/>
        <v>6348</v>
      </c>
      <c r="R61" s="1311"/>
      <c r="S61" s="1311">
        <f t="shared" si="92"/>
        <v>12893.95</v>
      </c>
      <c r="T61" s="1311">
        <f t="shared" si="93"/>
        <v>157997</v>
      </c>
      <c r="U61" s="1311">
        <f t="shared" si="94"/>
        <v>109733</v>
      </c>
      <c r="V61" s="1311">
        <f t="shared" si="95"/>
        <v>13297.48</v>
      </c>
      <c r="W61" s="1311">
        <f t="shared" si="96"/>
        <v>50507</v>
      </c>
      <c r="X61" s="1311">
        <f t="shared" si="97"/>
        <v>557767</v>
      </c>
      <c r="Y61" s="1311">
        <f t="shared" si="98"/>
        <v>116775.06</v>
      </c>
      <c r="Z61" s="1311">
        <f t="shared" si="99"/>
        <v>0</v>
      </c>
      <c r="AA61" s="1311">
        <f t="shared" si="100"/>
        <v>0</v>
      </c>
      <c r="AB61" s="1311">
        <f t="shared" si="101"/>
        <v>0</v>
      </c>
      <c r="AC61" s="1311">
        <f t="shared" si="102"/>
        <v>0</v>
      </c>
      <c r="AD61" s="1311">
        <f t="shared" si="103"/>
        <v>83313</v>
      </c>
      <c r="AE61" s="1311">
        <f t="shared" si="104"/>
        <v>73898.649999999994</v>
      </c>
      <c r="AF61" s="1311">
        <f t="shared" si="105"/>
        <v>82372.36</v>
      </c>
      <c r="AG61" s="1311">
        <f t="shared" si="106"/>
        <v>68985</v>
      </c>
      <c r="AH61" s="2136">
        <f t="shared" si="107"/>
        <v>26531.06</v>
      </c>
      <c r="AI61" s="2127">
        <v>0</v>
      </c>
      <c r="AJ61" s="2128">
        <v>26831.5</v>
      </c>
      <c r="AK61" s="2128">
        <v>29477</v>
      </c>
      <c r="AL61" s="2128">
        <v>76920.25</v>
      </c>
      <c r="AM61" s="2128">
        <v>24577.5</v>
      </c>
      <c r="AN61" s="2128">
        <v>156592.77000000002</v>
      </c>
      <c r="AO61" s="2128">
        <v>8353</v>
      </c>
      <c r="AP61" s="2128">
        <v>19990</v>
      </c>
      <c r="AQ61" s="2128">
        <v>37643.5</v>
      </c>
      <c r="AR61" s="2128">
        <v>121534.17</v>
      </c>
      <c r="AS61" s="2128">
        <v>51999.350000000006</v>
      </c>
      <c r="AT61" s="2128">
        <v>276824</v>
      </c>
      <c r="AU61" s="2128"/>
      <c r="AV61" s="2128"/>
      <c r="AW61" s="2128">
        <v>15987.83</v>
      </c>
      <c r="AX61" s="2129"/>
      <c r="AY61" s="1689">
        <v>8691.6</v>
      </c>
      <c r="AZ61" s="1950">
        <v>128080</v>
      </c>
      <c r="BA61" s="1950">
        <v>68053</v>
      </c>
      <c r="BB61" s="1950">
        <v>10788.48</v>
      </c>
      <c r="BC61" s="1950">
        <v>18902</v>
      </c>
      <c r="BD61" s="2130">
        <v>145736</v>
      </c>
      <c r="BE61" s="2128">
        <v>86071.56</v>
      </c>
      <c r="BF61" s="2128">
        <v>0</v>
      </c>
      <c r="BG61" s="2128">
        <v>0</v>
      </c>
      <c r="BH61" s="2128">
        <v>0</v>
      </c>
      <c r="BI61" s="2128">
        <v>0</v>
      </c>
      <c r="BJ61" s="2128">
        <v>61143</v>
      </c>
      <c r="BK61" s="2128">
        <v>39279.440000000002</v>
      </c>
      <c r="BL61" s="2128">
        <v>48554.36</v>
      </c>
      <c r="BM61" s="2128">
        <v>43028</v>
      </c>
      <c r="BN61" s="2129">
        <v>10966</v>
      </c>
      <c r="BO61" s="2131">
        <v>1641.55</v>
      </c>
      <c r="BP61" s="2132">
        <v>3575.22</v>
      </c>
      <c r="BQ61" s="2132">
        <v>16847.47</v>
      </c>
      <c r="BR61" s="2132">
        <v>11026.64</v>
      </c>
      <c r="BS61" s="2132">
        <v>17324.440000000002</v>
      </c>
      <c r="BT61" s="2132">
        <v>25664.819999999996</v>
      </c>
      <c r="BU61" s="2132">
        <v>236.76</v>
      </c>
      <c r="BV61" s="2132">
        <v>9687.93</v>
      </c>
      <c r="BW61" s="2132">
        <v>5901.84</v>
      </c>
      <c r="BX61" s="2132">
        <v>37558.17</v>
      </c>
      <c r="BY61" s="2132">
        <v>54675.61</v>
      </c>
      <c r="BZ61" s="2132">
        <v>92288.14</v>
      </c>
      <c r="CA61" s="2132">
        <v>14997</v>
      </c>
      <c r="CB61" s="2132">
        <v>37307.18</v>
      </c>
      <c r="CC61" s="2132"/>
      <c r="CD61" s="2133">
        <v>6348</v>
      </c>
      <c r="CE61" s="2131">
        <v>4202.3500000000004</v>
      </c>
      <c r="CF61" s="2132">
        <v>29917</v>
      </c>
      <c r="CG61" s="2132">
        <v>41680</v>
      </c>
      <c r="CH61" s="2132">
        <v>2509</v>
      </c>
      <c r="CI61" s="2132">
        <v>31605</v>
      </c>
      <c r="CJ61" s="2133">
        <v>412031</v>
      </c>
      <c r="CK61" s="2131">
        <v>30703.5</v>
      </c>
      <c r="CL61" s="2132">
        <v>0</v>
      </c>
      <c r="CM61" s="2132">
        <v>0</v>
      </c>
      <c r="CN61" s="2132">
        <v>0</v>
      </c>
      <c r="CO61" s="2132">
        <v>0</v>
      </c>
      <c r="CP61" s="2132">
        <v>22170</v>
      </c>
      <c r="CQ61" s="2132">
        <v>34619.21</v>
      </c>
      <c r="CR61" s="2132">
        <v>33818</v>
      </c>
      <c r="CS61" s="2132">
        <v>25957</v>
      </c>
      <c r="CT61" s="2133">
        <v>15565.060000000001</v>
      </c>
      <c r="CU61" s="358">
        <v>1526240.0699999998</v>
      </c>
      <c r="CV61" s="358">
        <v>1081245.95</v>
      </c>
      <c r="CW61" s="358">
        <v>444994.11999999994</v>
      </c>
      <c r="CX61" s="691">
        <v>2084007.0699999998</v>
      </c>
      <c r="CY61">
        <v>451875.13</v>
      </c>
      <c r="CZ61">
        <v>557767</v>
      </c>
    </row>
    <row r="62" spans="1:104" ht="13.8" hidden="1" thickBot="1">
      <c r="A62" s="1309">
        <v>44896</v>
      </c>
      <c r="B62" s="2137">
        <f t="shared" si="76"/>
        <v>3152.54</v>
      </c>
      <c r="C62" s="2137">
        <f t="shared" si="77"/>
        <v>35149.279999999999</v>
      </c>
      <c r="D62" s="2137">
        <f t="shared" si="78"/>
        <v>46510.62</v>
      </c>
      <c r="E62" s="2137">
        <f t="shared" si="79"/>
        <v>74062.429999999993</v>
      </c>
      <c r="F62" s="2137">
        <f t="shared" si="80"/>
        <v>41034.61</v>
      </c>
      <c r="G62" s="2137">
        <f t="shared" si="81"/>
        <v>196410.15</v>
      </c>
      <c r="H62" s="2137">
        <f t="shared" si="82"/>
        <v>8565.66</v>
      </c>
      <c r="I62" s="2137">
        <f t="shared" si="83"/>
        <v>24208.27</v>
      </c>
      <c r="J62" s="2137">
        <f t="shared" si="84"/>
        <v>56012.83</v>
      </c>
      <c r="K62" s="2137">
        <f t="shared" si="85"/>
        <v>167232.03999999998</v>
      </c>
      <c r="L62" s="2137">
        <f t="shared" si="86"/>
        <v>110175.1</v>
      </c>
      <c r="M62" s="2137">
        <f t="shared" si="87"/>
        <v>360271.18</v>
      </c>
      <c r="N62" s="2137">
        <f t="shared" si="88"/>
        <v>14882</v>
      </c>
      <c r="O62" s="2137">
        <f t="shared" si="89"/>
        <v>33756.479999999996</v>
      </c>
      <c r="P62" s="2137">
        <f t="shared" si="90"/>
        <v>16320.7</v>
      </c>
      <c r="Q62" s="2137">
        <f t="shared" si="91"/>
        <v>6348</v>
      </c>
      <c r="R62" s="2137"/>
      <c r="S62" s="2137">
        <f t="shared" si="92"/>
        <v>12227.08</v>
      </c>
      <c r="T62" s="2137">
        <f t="shared" si="93"/>
        <v>106803</v>
      </c>
      <c r="U62" s="2137">
        <f t="shared" si="94"/>
        <v>105551</v>
      </c>
      <c r="V62" s="2137">
        <f t="shared" si="95"/>
        <v>12920.395</v>
      </c>
      <c r="W62" s="2137">
        <f t="shared" si="96"/>
        <v>46180</v>
      </c>
      <c r="X62" s="2137">
        <f t="shared" si="97"/>
        <v>556088</v>
      </c>
      <c r="Y62" s="2137">
        <f t="shared" si="98"/>
        <v>108778.48</v>
      </c>
      <c r="Z62" s="2137">
        <f t="shared" si="99"/>
        <v>0</v>
      </c>
      <c r="AA62" s="2137">
        <f t="shared" si="100"/>
        <v>0</v>
      </c>
      <c r="AB62" s="2137">
        <f t="shared" si="101"/>
        <v>0</v>
      </c>
      <c r="AC62" s="2137">
        <f t="shared" si="102"/>
        <v>0</v>
      </c>
      <c r="AD62" s="2137">
        <f t="shared" si="103"/>
        <v>88749</v>
      </c>
      <c r="AE62" s="2137">
        <f t="shared" si="104"/>
        <v>68661</v>
      </c>
      <c r="AF62" s="2137">
        <f t="shared" si="105"/>
        <v>78929</v>
      </c>
      <c r="AG62" s="2137">
        <f t="shared" si="106"/>
        <v>84227</v>
      </c>
      <c r="AH62" s="2138">
        <f t="shared" si="107"/>
        <v>26184.59</v>
      </c>
      <c r="AI62" s="2127">
        <v>0</v>
      </c>
      <c r="AJ62" s="2128">
        <v>27611.5</v>
      </c>
      <c r="AK62" s="2128">
        <v>28735</v>
      </c>
      <c r="AL62" s="2128">
        <v>66658.179999999993</v>
      </c>
      <c r="AM62" s="2128">
        <v>25096</v>
      </c>
      <c r="AN62" s="2128">
        <v>164564.29999999999</v>
      </c>
      <c r="AO62" s="2128">
        <v>8353</v>
      </c>
      <c r="AP62" s="2128">
        <v>19359</v>
      </c>
      <c r="AQ62" s="2128">
        <v>40182.5</v>
      </c>
      <c r="AR62" s="2128">
        <v>126749.92</v>
      </c>
      <c r="AS62" s="2128">
        <v>53250.65</v>
      </c>
      <c r="AT62" s="2128">
        <v>273924</v>
      </c>
      <c r="AU62" s="2128"/>
      <c r="AV62" s="2128"/>
      <c r="AW62" s="2128">
        <v>16320.7</v>
      </c>
      <c r="AX62" s="2129"/>
      <c r="AY62" s="2244">
        <v>8577.75</v>
      </c>
      <c r="AZ62" s="2245">
        <v>81447</v>
      </c>
      <c r="BA62" s="2245">
        <v>66385</v>
      </c>
      <c r="BB62" s="2245">
        <v>10359.395</v>
      </c>
      <c r="BC62" s="2245">
        <v>16400</v>
      </c>
      <c r="BD62" s="2246">
        <v>145736</v>
      </c>
      <c r="BE62" s="2128">
        <v>84843.48</v>
      </c>
      <c r="BF62" s="2128">
        <v>0</v>
      </c>
      <c r="BG62" s="2128">
        <v>0</v>
      </c>
      <c r="BH62" s="2128">
        <v>0</v>
      </c>
      <c r="BI62" s="2128">
        <v>0</v>
      </c>
      <c r="BJ62" s="2128">
        <v>66675</v>
      </c>
      <c r="BK62" s="2128">
        <v>39083</v>
      </c>
      <c r="BL62" s="2128">
        <v>45111</v>
      </c>
      <c r="BM62" s="2128">
        <v>50513</v>
      </c>
      <c r="BN62" s="2129">
        <v>11206</v>
      </c>
      <c r="BO62" s="2131">
        <v>3152.54</v>
      </c>
      <c r="BP62" s="2132">
        <v>7537.7799999999988</v>
      </c>
      <c r="BQ62" s="2132">
        <v>17775.620000000003</v>
      </c>
      <c r="BR62" s="2132">
        <v>7404.2499999999991</v>
      </c>
      <c r="BS62" s="2132">
        <v>15938.61</v>
      </c>
      <c r="BT62" s="2132">
        <v>31845.85</v>
      </c>
      <c r="BU62" s="2132">
        <v>212.66</v>
      </c>
      <c r="BV62" s="2132">
        <v>4849.2700000000004</v>
      </c>
      <c r="BW62" s="2132">
        <v>15830.33</v>
      </c>
      <c r="BX62" s="2132">
        <v>40482.119999999995</v>
      </c>
      <c r="BY62" s="2132">
        <v>56924.45</v>
      </c>
      <c r="BZ62" s="2132">
        <v>86347.180000000008</v>
      </c>
      <c r="CA62" s="2132">
        <v>14882</v>
      </c>
      <c r="CB62" s="2132">
        <v>33756.479999999996</v>
      </c>
      <c r="CC62" s="2132"/>
      <c r="CD62" s="2133">
        <v>6348</v>
      </c>
      <c r="CE62" s="2131">
        <v>3649.33</v>
      </c>
      <c r="CF62" s="2132">
        <v>25356</v>
      </c>
      <c r="CG62" s="2132">
        <v>39166</v>
      </c>
      <c r="CH62" s="2132">
        <v>2561</v>
      </c>
      <c r="CI62" s="2132">
        <v>29780</v>
      </c>
      <c r="CJ62" s="2133">
        <v>410352</v>
      </c>
      <c r="CK62" s="2131">
        <v>23935</v>
      </c>
      <c r="CL62" s="2132">
        <v>0</v>
      </c>
      <c r="CM62" s="2132">
        <v>0</v>
      </c>
      <c r="CN62" s="2132">
        <v>0</v>
      </c>
      <c r="CO62" s="2132">
        <v>0</v>
      </c>
      <c r="CP62" s="2132">
        <v>22074</v>
      </c>
      <c r="CQ62" s="2132">
        <v>29578</v>
      </c>
      <c r="CR62" s="2132">
        <v>33818</v>
      </c>
      <c r="CS62" s="2132">
        <v>33714</v>
      </c>
      <c r="CT62" s="2133">
        <v>14978.59</v>
      </c>
      <c r="CU62" s="358">
        <v>1477773.3649999998</v>
      </c>
      <c r="CV62" s="358">
        <v>1033973.8949999999</v>
      </c>
      <c r="CW62" s="358">
        <v>443799.47</v>
      </c>
      <c r="CX62" s="691">
        <v>2033861.3649999998</v>
      </c>
      <c r="CY62">
        <v>455529.06999999995</v>
      </c>
      <c r="CZ62">
        <v>556088</v>
      </c>
    </row>
    <row r="63" spans="1:104" ht="13.8" thickBot="1">
      <c r="A63" s="1309">
        <v>44927</v>
      </c>
      <c r="B63" s="2134">
        <f t="shared" ref="B63:B74" si="108">+AI63+BO63</f>
        <v>2560.5699999999997</v>
      </c>
      <c r="C63" s="2134">
        <f t="shared" ref="C63:C74" si="109">+AJ63+BP63</f>
        <v>32383.52</v>
      </c>
      <c r="D63" s="2134">
        <f t="shared" ref="D63:D74" si="110">+AK63+BQ63</f>
        <v>45342.62</v>
      </c>
      <c r="E63" s="2134">
        <f>+AL63+BR63</f>
        <v>77022.640000000014</v>
      </c>
      <c r="F63" s="2134">
        <f t="shared" ref="F63:F74" si="111">+AM63+BS63</f>
        <v>31247.52</v>
      </c>
      <c r="G63" s="2134">
        <f t="shared" ref="G63:G74" si="112">+AN63+BT63</f>
        <v>198466.19</v>
      </c>
      <c r="H63" s="2134">
        <f t="shared" ref="H63:H74" si="113">+AO63+BU63</f>
        <v>8358.51</v>
      </c>
      <c r="I63" s="2134">
        <f t="shared" ref="I63:I74" si="114">+AP63+BV63</f>
        <v>25523.3</v>
      </c>
      <c r="J63" s="2134">
        <f t="shared" ref="J63:J74" si="115">+AQ63+BW63</f>
        <v>52238.520000000004</v>
      </c>
      <c r="K63" s="2134">
        <f t="shared" ref="K63:K74" si="116">+AR63+BX63</f>
        <v>306982.86000000004</v>
      </c>
      <c r="L63" s="2134">
        <f t="shared" ref="L63:L74" si="117">+AS63+BY63</f>
        <v>98996.670000000013</v>
      </c>
      <c r="M63" s="2134">
        <f t="shared" ref="M63:M74" si="118">+AT63+BZ63</f>
        <v>362634.14</v>
      </c>
      <c r="N63" s="2134">
        <f t="shared" ref="N63:N74" si="119">+AU63+CA63</f>
        <v>16787</v>
      </c>
      <c r="O63" s="2134">
        <f t="shared" ref="O63:O74" si="120">+AV63+CB63</f>
        <v>68896.03</v>
      </c>
      <c r="P63" s="2134">
        <f t="shared" ref="P63:P74" si="121">+AW63+CC63</f>
        <v>17315.73</v>
      </c>
      <c r="Q63" s="2134">
        <f t="shared" ref="Q63:Q74" si="122">+AX63+CD63</f>
        <v>6348</v>
      </c>
      <c r="R63" s="2134">
        <f>SUM(B63:Q63)</f>
        <v>1351103.82</v>
      </c>
      <c r="S63" s="2134">
        <f t="shared" ref="S63:S74" si="123">+AY63+CE63</f>
        <v>11615.93</v>
      </c>
      <c r="T63" s="2134">
        <f t="shared" ref="T63:T74" si="124">+AZ63+CF63</f>
        <v>111814.41999999998</v>
      </c>
      <c r="U63" s="2134">
        <f t="shared" ref="U63:U74" si="125">+BA63+CG63</f>
        <v>100448</v>
      </c>
      <c r="V63" s="2134">
        <f t="shared" ref="V63:V74" si="126">+BB63+CH63</f>
        <v>11630</v>
      </c>
      <c r="W63" s="2134">
        <f t="shared" ref="W63:W74" si="127">+BC63+CI63</f>
        <v>48466</v>
      </c>
      <c r="X63" s="2134">
        <f t="shared" ref="X63:X74" si="128">+BD63+CJ63</f>
        <v>509830</v>
      </c>
      <c r="Y63" s="2134">
        <f t="shared" ref="Y63:Y74" si="129">+BE63+CK63</f>
        <v>126690.75032258066</v>
      </c>
      <c r="Z63" s="2134">
        <f t="shared" ref="Z63:Z74" si="130">+BF63+CL63</f>
        <v>0</v>
      </c>
      <c r="AA63" s="2134">
        <f t="shared" ref="AA63:AA74" si="131">+BG63+CM63</f>
        <v>0</v>
      </c>
      <c r="AB63" s="2134">
        <f t="shared" ref="AB63:AB74" si="132">+BH63+CN63</f>
        <v>0</v>
      </c>
      <c r="AC63" s="2134">
        <f t="shared" ref="AC63:AC74" si="133">+BI63+CO63</f>
        <v>0</v>
      </c>
      <c r="AD63" s="2134">
        <f t="shared" ref="AD63:AD74" si="134">+BJ63+CP63</f>
        <v>91629</v>
      </c>
      <c r="AE63" s="2134">
        <f t="shared" ref="AE63:AE74" si="135">+BK63+CQ63</f>
        <v>93824.489999999991</v>
      </c>
      <c r="AF63" s="2134">
        <f t="shared" ref="AF63:AF74" si="136">+BL63+CR63</f>
        <v>78597.239999999991</v>
      </c>
      <c r="AG63" s="2134">
        <f t="shared" ref="AG63:AG74" si="137">+BM63+CS63</f>
        <v>75720.5</v>
      </c>
      <c r="AH63" s="2135">
        <f t="shared" ref="AH63:AH74" si="138">+BN63+CT63</f>
        <v>23705</v>
      </c>
      <c r="AI63" s="1936">
        <f>+'HH ALICORP'!B$3</f>
        <v>0</v>
      </c>
      <c r="AJ63" s="1937">
        <f>+'HH ALICORP'!$B$4</f>
        <v>24796.5</v>
      </c>
      <c r="AK63" s="1937">
        <f>+'HH ALICORP'!$B$5</f>
        <v>28198.5</v>
      </c>
      <c r="AL63" s="1937">
        <f>+'HH ALICORP'!B10</f>
        <v>68717.600000000006</v>
      </c>
      <c r="AM63" s="1937">
        <f>+'HH ALICORP'!$B6</f>
        <v>23226</v>
      </c>
      <c r="AN63" s="1937">
        <f>+'HH ALICORP'!$B14</f>
        <v>156121.91999999998</v>
      </c>
      <c r="AO63" s="1937">
        <f>+'HH ALICORP'!$B27</f>
        <v>8353</v>
      </c>
      <c r="AP63" s="1937">
        <f>+'HH ALICORP'!B8-AO63</f>
        <v>18000</v>
      </c>
      <c r="AQ63" s="1937">
        <f>+'HH ALICORP'!$B9</f>
        <v>37583.5</v>
      </c>
      <c r="AR63" s="1937">
        <f>+'HH ALICORP'!$B15+'HH ALICORP'!B36+'HH ALICORP'!B37+'HH ALICORP'!B39</f>
        <v>145733.09000000003</v>
      </c>
      <c r="AS63" s="1937">
        <f>+'HH ALICORP'!B16+'HH ALICORP'!B17+'HH ALICORP'!B18+'HH ALICORP'!B19+'HH ALICORP'!B32</f>
        <v>52421.97</v>
      </c>
      <c r="AT63" s="1937">
        <f>+'HH ALICORP'!B20+'HH ALICORP'!B21+'HH ALICORP'!B22</f>
        <v>279372</v>
      </c>
      <c r="AU63" s="1937"/>
      <c r="AV63" s="1937"/>
      <c r="AW63" s="1937">
        <f>+'HH ALICORP'!B$28+'HH ALICORP'!B$35+'HH ALICORP'!B$34</f>
        <v>17315.73</v>
      </c>
      <c r="AX63" s="1946"/>
      <c r="AY63" s="2247">
        <v>8506.19</v>
      </c>
      <c r="AZ63" s="2248">
        <v>87672.419999999984</v>
      </c>
      <c r="BA63" s="2248">
        <v>59717</v>
      </c>
      <c r="BB63" s="2248">
        <v>8846</v>
      </c>
      <c r="BC63" s="2248">
        <v>17304</v>
      </c>
      <c r="BD63" s="2249">
        <f t="shared" ref="BD63:BD74" si="139">145736</f>
        <v>145736</v>
      </c>
      <c r="BE63" s="1936">
        <v>81572.460000000006</v>
      </c>
      <c r="BF63" s="2243">
        <v>0</v>
      </c>
      <c r="BG63" s="2243">
        <v>0</v>
      </c>
      <c r="BH63" s="2243">
        <v>0</v>
      </c>
      <c r="BI63" s="2243">
        <v>0</v>
      </c>
      <c r="BJ63" s="1937">
        <v>69468</v>
      </c>
      <c r="BK63" s="1937">
        <v>36738.49</v>
      </c>
      <c r="BL63" s="1937">
        <v>45157.74</v>
      </c>
      <c r="BM63" s="1937">
        <v>39528.5</v>
      </c>
      <c r="BN63" s="1938">
        <v>10743.5</v>
      </c>
      <c r="BO63" s="3038">
        <f>+'HH 3EROS'!B152</f>
        <v>2560.5699999999997</v>
      </c>
      <c r="BP63" s="1933">
        <f>+'HH 3EROS'!B153</f>
        <v>7587.0199999999995</v>
      </c>
      <c r="BQ63" s="1933">
        <f>+'HH 3EROS'!B154</f>
        <v>17144.120000000003</v>
      </c>
      <c r="BR63" s="1933">
        <f>+'HH 3EROS'!B155</f>
        <v>8305.0400000000009</v>
      </c>
      <c r="BS63" s="1933">
        <f>+'HH 3EROS'!B156</f>
        <v>8021.52</v>
      </c>
      <c r="BT63" s="1933">
        <f>+'HH 3EROS'!B157</f>
        <v>42344.270000000004</v>
      </c>
      <c r="BU63" s="1933">
        <f>+'HH 3EROS'!B158</f>
        <v>5.51</v>
      </c>
      <c r="BV63" s="1933">
        <f>+'HH 3EROS'!$B$159</f>
        <v>7523.3</v>
      </c>
      <c r="BW63" s="1933">
        <f>+'HH 3EROS'!B$160</f>
        <v>14655.02</v>
      </c>
      <c r="BX63" s="1933">
        <f>+'HH 3EROS'!B$161+'HH 3EROS'!$B$177+'HH 3EROS'!B179+'HH 3EROS'!B180+'HH 3EROS'!B182+'HH 3EROS'!B184</f>
        <v>161249.77000000002</v>
      </c>
      <c r="BY63" s="1933">
        <f>+'HH 3EROS'!B$162+'HH 3EROS'!B$178</f>
        <v>46574.700000000004</v>
      </c>
      <c r="BZ63" s="1933">
        <f>+'HH 3EROS'!B$163</f>
        <v>83262.14</v>
      </c>
      <c r="CA63" s="1933">
        <f>+'HH 3EROS'!B$164</f>
        <v>16787</v>
      </c>
      <c r="CB63" s="1933">
        <f>+'HH 3EROS'!B$165+'HH 3EROS'!$B$175+'HH 3EROS'!$B$176+'HH 3EROS'!$B$181+'HH 3EROS'!$B$183</f>
        <v>68896.03</v>
      </c>
      <c r="CC63" s="1933"/>
      <c r="CD63" s="3039">
        <f>+'HH 3EROS'!B$168</f>
        <v>6348</v>
      </c>
      <c r="CE63" s="2239">
        <v>3109.74</v>
      </c>
      <c r="CF63" s="2240">
        <v>24142</v>
      </c>
      <c r="CG63" s="2240">
        <v>40731</v>
      </c>
      <c r="CH63" s="2240">
        <v>2784</v>
      </c>
      <c r="CI63" s="2240">
        <v>31162</v>
      </c>
      <c r="CJ63" s="2241">
        <f>364094</f>
        <v>364094</v>
      </c>
      <c r="CK63" s="3034">
        <v>45118.290322580644</v>
      </c>
      <c r="CL63" s="2242">
        <v>0</v>
      </c>
      <c r="CM63" s="2242">
        <v>0</v>
      </c>
      <c r="CN63" s="2242">
        <v>0</v>
      </c>
      <c r="CO63" s="2242">
        <v>0</v>
      </c>
      <c r="CP63" s="2242">
        <v>22161</v>
      </c>
      <c r="CQ63" s="2242">
        <v>57086</v>
      </c>
      <c r="CR63" s="2242">
        <v>33439.5</v>
      </c>
      <c r="CS63" s="2242">
        <v>36192</v>
      </c>
      <c r="CT63" s="1927">
        <v>12961.5</v>
      </c>
      <c r="CU63" s="358">
        <f t="shared" ref="CU63:CU74" si="140">SUM(AI63:BC63)+SUM(BO63:CI63)</f>
        <v>1635078.17</v>
      </c>
      <c r="CV63" s="358">
        <f t="shared" ref="CV63:CV74" si="141">SUM(AI63:BC63)</f>
        <v>1041885.4199999999</v>
      </c>
      <c r="CW63" s="358">
        <f t="shared" ref="CW63:CW74" si="142">+SUM(BO63:CI63)</f>
        <v>593192.75</v>
      </c>
      <c r="CX63" s="691">
        <f t="shared" ref="CX63:CX74" si="143">+CU63+BD63+CJ63</f>
        <v>2144908.17</v>
      </c>
      <c r="CY63" s="358">
        <f>SUM(CK63:CT63)+SUM(BE63:BN63)</f>
        <v>490166.98032258067</v>
      </c>
      <c r="CZ63" s="358">
        <f t="shared" ref="CZ63:CZ74" si="144">+CJ63+BD63</f>
        <v>509830</v>
      </c>
    </row>
    <row r="64" spans="1:104">
      <c r="A64" s="1309">
        <v>44958</v>
      </c>
      <c r="B64" s="1311">
        <f t="shared" si="108"/>
        <v>2421.81</v>
      </c>
      <c r="C64" s="1311">
        <f t="shared" si="109"/>
        <v>29821.010000000002</v>
      </c>
      <c r="D64" s="1311">
        <f t="shared" si="110"/>
        <v>43327.87</v>
      </c>
      <c r="E64" s="1311">
        <f t="shared" ref="E64:E74" si="145">+AL64+BR64</f>
        <v>60275.28</v>
      </c>
      <c r="F64" s="1311">
        <f t="shared" si="111"/>
        <v>33272.36</v>
      </c>
      <c r="G64" s="1311">
        <f t="shared" si="112"/>
        <v>179480.93</v>
      </c>
      <c r="H64" s="1311">
        <f t="shared" si="113"/>
        <v>8353</v>
      </c>
      <c r="I64" s="1311">
        <f t="shared" si="114"/>
        <v>20301.16</v>
      </c>
      <c r="J64" s="1311">
        <f t="shared" si="115"/>
        <v>50926.75</v>
      </c>
      <c r="K64" s="1311">
        <f t="shared" si="116"/>
        <v>289703.07999999996</v>
      </c>
      <c r="L64" s="1311">
        <f t="shared" si="117"/>
        <v>98034.1</v>
      </c>
      <c r="M64" s="1311">
        <f t="shared" si="118"/>
        <v>358562.82999999996</v>
      </c>
      <c r="N64" s="1311">
        <f t="shared" si="119"/>
        <v>15733</v>
      </c>
      <c r="O64" s="1311">
        <f t="shared" si="120"/>
        <v>54817.19</v>
      </c>
      <c r="P64" s="1311">
        <f t="shared" si="121"/>
        <v>15432.58</v>
      </c>
      <c r="Q64" s="1311">
        <f t="shared" si="122"/>
        <v>6348</v>
      </c>
      <c r="R64" s="2134">
        <f t="shared" ref="R64:R74" si="146">SUM(B64:Q64)</f>
        <v>1266810.95</v>
      </c>
      <c r="S64" s="1311">
        <f t="shared" si="123"/>
        <v>12800.380000000001</v>
      </c>
      <c r="T64" s="1311">
        <f t="shared" si="124"/>
        <v>85612.58</v>
      </c>
      <c r="U64" s="1311">
        <f t="shared" si="125"/>
        <v>89894</v>
      </c>
      <c r="V64" s="1311">
        <f t="shared" si="126"/>
        <v>11268</v>
      </c>
      <c r="W64" s="1311">
        <f t="shared" si="127"/>
        <v>48136</v>
      </c>
      <c r="X64" s="1311">
        <f t="shared" si="128"/>
        <v>494868</v>
      </c>
      <c r="Y64" s="1311">
        <f t="shared" si="129"/>
        <v>110690.05</v>
      </c>
      <c r="Z64" s="1311">
        <f t="shared" si="130"/>
        <v>0</v>
      </c>
      <c r="AA64" s="1311">
        <f t="shared" si="131"/>
        <v>0</v>
      </c>
      <c r="AB64" s="1311">
        <f t="shared" si="132"/>
        <v>0</v>
      </c>
      <c r="AC64" s="1311">
        <f t="shared" si="133"/>
        <v>0</v>
      </c>
      <c r="AD64" s="1311">
        <f t="shared" si="134"/>
        <v>88383</v>
      </c>
      <c r="AE64" s="1311">
        <f t="shared" si="135"/>
        <v>66982.899999999994</v>
      </c>
      <c r="AF64" s="1311">
        <f t="shared" si="136"/>
        <v>83730.549999999988</v>
      </c>
      <c r="AG64" s="1311">
        <f t="shared" si="137"/>
        <v>105566</v>
      </c>
      <c r="AH64" s="1694">
        <f t="shared" si="138"/>
        <v>24983.68</v>
      </c>
      <c r="AI64" s="1862">
        <f>+'HH ALICORP'!C$3</f>
        <v>0</v>
      </c>
      <c r="AJ64" s="1935">
        <f>+'HH ALICORP'!$C$4</f>
        <v>24634.5</v>
      </c>
      <c r="AK64" s="1935">
        <f>+'HH ALICORP'!$C$5</f>
        <v>25303.33</v>
      </c>
      <c r="AL64" s="1935">
        <f>+'HH ALICORP'!$C$10</f>
        <v>52553.65</v>
      </c>
      <c r="AM64" s="1935">
        <f>+'HH ALICORP'!$C6</f>
        <v>21309.5</v>
      </c>
      <c r="AN64" s="1935">
        <f>+'HH ALICORP'!$C14</f>
        <v>144662.85</v>
      </c>
      <c r="AO64" s="1935">
        <f>+'HH ALICORP'!$C27</f>
        <v>8353</v>
      </c>
      <c r="AP64" s="1935">
        <f>+'HH ALICORP'!C8-AO64</f>
        <v>13582</v>
      </c>
      <c r="AQ64" s="1935">
        <f>+'HH ALICORP'!$C9</f>
        <v>30917.5</v>
      </c>
      <c r="AR64" s="1935">
        <f>+'HH ALICORP'!$C15+'HH ALICORP'!C36+'HH ALICORP'!C37+'HH ALICORP'!C39</f>
        <v>136008.91999999998</v>
      </c>
      <c r="AS64" s="1935">
        <f>+'HH ALICORP'!C16+'HH ALICORP'!C17+'HH ALICORP'!C18+'HH ALICORP'!C19+'HH ALICORP'!C31</f>
        <v>47654</v>
      </c>
      <c r="AT64" s="1935">
        <f>+'HH ALICORP'!C20+'HH ALICORP'!C21+'HH ALICORP'!C22</f>
        <v>280032</v>
      </c>
      <c r="AU64" s="1935"/>
      <c r="AV64" s="1935"/>
      <c r="AW64" s="1937">
        <f>+'HH ALICORP'!C$28+'HH ALICORP'!C$35+'HH ALICORP'!C$34</f>
        <v>15432.58</v>
      </c>
      <c r="AX64" s="1947"/>
      <c r="AY64" s="1863">
        <v>8419.26</v>
      </c>
      <c r="AZ64" s="1951">
        <v>61513.58</v>
      </c>
      <c r="BA64" s="1951">
        <v>55720</v>
      </c>
      <c r="BB64" s="1951">
        <v>8484</v>
      </c>
      <c r="BC64" s="1951">
        <v>19934</v>
      </c>
      <c r="BD64" s="2250">
        <f t="shared" si="139"/>
        <v>145736</v>
      </c>
      <c r="BE64" s="1862">
        <v>75990.05</v>
      </c>
      <c r="BF64" s="1994">
        <v>0</v>
      </c>
      <c r="BG64" s="1994">
        <v>0</v>
      </c>
      <c r="BH64" s="1994">
        <v>0</v>
      </c>
      <c r="BI64" s="1994">
        <v>0</v>
      </c>
      <c r="BJ64" s="1935">
        <v>68923</v>
      </c>
      <c r="BK64" s="1935">
        <v>40495.549999999996</v>
      </c>
      <c r="BL64" s="1935">
        <v>48346.45</v>
      </c>
      <c r="BM64" s="1935">
        <v>69241</v>
      </c>
      <c r="BN64" s="1939">
        <v>10722</v>
      </c>
      <c r="BO64" s="3040">
        <f>+'HH 3EROS'!$C152</f>
        <v>2421.81</v>
      </c>
      <c r="BP64" s="1860">
        <f>+'HH 3EROS'!$C153</f>
        <v>5186.51</v>
      </c>
      <c r="BQ64" s="1860">
        <f>+'HH 3EROS'!$C154</f>
        <v>18024.54</v>
      </c>
      <c r="BR64" s="1860">
        <f>+'HH 3EROS'!$C155</f>
        <v>7721.63</v>
      </c>
      <c r="BS64" s="1860">
        <f>+'HH 3EROS'!$C156</f>
        <v>11962.86</v>
      </c>
      <c r="BT64" s="1860">
        <f>+'HH 3EROS'!$C157</f>
        <v>34818.080000000002</v>
      </c>
      <c r="BU64" s="1860">
        <f>+'HH 3EROS'!C$158</f>
        <v>0</v>
      </c>
      <c r="BV64" s="1860">
        <f>+'HH 3EROS'!C$159</f>
        <v>6719.16</v>
      </c>
      <c r="BW64" s="1860">
        <f>+'HH 3EROS'!C$160</f>
        <v>20009.25</v>
      </c>
      <c r="BX64" s="1860">
        <f>+'HH 3EROS'!C$161+'HH 3EROS'!$C$177+'HH 3EROS'!C179+'HH 3EROS'!C180+'HH 3EROS'!C182+'HH 3EROS'!C184</f>
        <v>153694.16</v>
      </c>
      <c r="BY64" s="1860">
        <f>+'HH 3EROS'!C$162+'HH 3EROS'!C$178</f>
        <v>50380.1</v>
      </c>
      <c r="BZ64" s="1860">
        <f>+'HH 3EROS'!C$163</f>
        <v>78530.829999999987</v>
      </c>
      <c r="CA64" s="1860">
        <f>+'HH 3EROS'!C$164</f>
        <v>15733</v>
      </c>
      <c r="CB64" s="1860">
        <f>+'HH 3EROS'!C$165+'HH 3EROS'!$C$175+'HH 3EROS'!$C$176+'HH 3EROS'!$C$181+'HH 3EROS'!$C$183</f>
        <v>54817.19</v>
      </c>
      <c r="CC64" s="1860"/>
      <c r="CD64" s="3041">
        <f>+'HH 3EROS'!C$168</f>
        <v>6348</v>
      </c>
      <c r="CE64" s="1930">
        <v>4381.12</v>
      </c>
      <c r="CF64" s="1861">
        <v>24099</v>
      </c>
      <c r="CG64" s="1861">
        <v>34174</v>
      </c>
      <c r="CH64" s="1861">
        <v>2784</v>
      </c>
      <c r="CI64" s="1861">
        <v>28202</v>
      </c>
      <c r="CJ64" s="1931">
        <v>349132</v>
      </c>
      <c r="CK64" s="3035">
        <v>34700</v>
      </c>
      <c r="CL64" s="1920">
        <v>0</v>
      </c>
      <c r="CM64" s="1920">
        <v>0</v>
      </c>
      <c r="CN64" s="1920">
        <v>0</v>
      </c>
      <c r="CO64" s="1920">
        <v>0</v>
      </c>
      <c r="CP64" s="1920">
        <v>19460</v>
      </c>
      <c r="CQ64" s="1920">
        <v>26487.35</v>
      </c>
      <c r="CR64" s="1920">
        <v>35384.1</v>
      </c>
      <c r="CS64" s="1920">
        <v>36325</v>
      </c>
      <c r="CT64" s="1928">
        <v>14261.68</v>
      </c>
      <c r="CU64" s="358">
        <f t="shared" si="140"/>
        <v>1514521.91</v>
      </c>
      <c r="CV64" s="358">
        <f t="shared" si="141"/>
        <v>954514.66999999993</v>
      </c>
      <c r="CW64" s="358">
        <f t="shared" si="142"/>
        <v>560007.24</v>
      </c>
      <c r="CX64" s="691">
        <f t="shared" si="143"/>
        <v>2009389.91</v>
      </c>
      <c r="CY64" s="358">
        <f t="shared" ref="CY64:CY74" si="147">SUM(CK64:CT64)+SUM(BE64:BN64)</f>
        <v>480336.18</v>
      </c>
      <c r="CZ64" s="358">
        <f t="shared" si="144"/>
        <v>494868</v>
      </c>
    </row>
    <row r="65" spans="1:104">
      <c r="A65" s="1309">
        <v>44986</v>
      </c>
      <c r="B65" s="1311">
        <f t="shared" si="108"/>
        <v>2828.97</v>
      </c>
      <c r="C65" s="1311">
        <f t="shared" si="109"/>
        <v>32837.370000000003</v>
      </c>
      <c r="D65" s="1311">
        <f t="shared" si="110"/>
        <v>47901.18</v>
      </c>
      <c r="E65" s="1311">
        <f t="shared" si="145"/>
        <v>80658.59</v>
      </c>
      <c r="F65" s="1311">
        <f t="shared" si="111"/>
        <v>36595.160000000003</v>
      </c>
      <c r="G65" s="1311">
        <f t="shared" si="112"/>
        <v>199837.63</v>
      </c>
      <c r="H65" s="1311">
        <f t="shared" si="113"/>
        <v>8395.7199999999993</v>
      </c>
      <c r="I65" s="1311">
        <f t="shared" si="114"/>
        <v>26144.3</v>
      </c>
      <c r="J65" s="1311">
        <f t="shared" si="115"/>
        <v>61753.93</v>
      </c>
      <c r="K65" s="1311">
        <f t="shared" si="116"/>
        <v>288841.92000000004</v>
      </c>
      <c r="L65" s="1311">
        <f t="shared" si="117"/>
        <v>106595.12</v>
      </c>
      <c r="M65" s="1311">
        <f t="shared" si="118"/>
        <v>369579.13</v>
      </c>
      <c r="N65" s="1311">
        <f t="shared" si="119"/>
        <v>17589</v>
      </c>
      <c r="O65" s="1311">
        <f t="shared" si="120"/>
        <v>54892.38</v>
      </c>
      <c r="P65" s="1311">
        <f t="shared" si="121"/>
        <v>17324.599999999999</v>
      </c>
      <c r="Q65" s="1311">
        <f t="shared" si="122"/>
        <v>6348</v>
      </c>
      <c r="R65" s="2134">
        <f t="shared" si="146"/>
        <v>1358123</v>
      </c>
      <c r="S65" s="1311">
        <f t="shared" si="123"/>
        <v>12763.42</v>
      </c>
      <c r="T65" s="1311">
        <f t="shared" si="124"/>
        <v>10729.66</v>
      </c>
      <c r="U65" s="1311">
        <f t="shared" si="125"/>
        <v>110779</v>
      </c>
      <c r="V65" s="1311">
        <f>+BB65+CH65</f>
        <v>11449</v>
      </c>
      <c r="W65" s="1311">
        <f t="shared" si="127"/>
        <v>48263</v>
      </c>
      <c r="X65" s="1311">
        <f t="shared" si="128"/>
        <v>502480</v>
      </c>
      <c r="Y65" s="1311">
        <f t="shared" si="129"/>
        <v>157439.18</v>
      </c>
      <c r="Z65" s="1311">
        <f t="shared" si="130"/>
        <v>0</v>
      </c>
      <c r="AA65" s="1311">
        <f t="shared" si="131"/>
        <v>0</v>
      </c>
      <c r="AB65" s="1311">
        <f t="shared" si="132"/>
        <v>0</v>
      </c>
      <c r="AC65" s="1311">
        <f t="shared" si="133"/>
        <v>0</v>
      </c>
      <c r="AD65" s="1311">
        <f t="shared" si="134"/>
        <v>89993</v>
      </c>
      <c r="AE65" s="1311">
        <f t="shared" si="135"/>
        <v>75552.989999999991</v>
      </c>
      <c r="AF65" s="1311">
        <f t="shared" si="136"/>
        <v>80183.87</v>
      </c>
      <c r="AG65" s="1311">
        <f t="shared" si="137"/>
        <v>172265.8</v>
      </c>
      <c r="AH65" s="1694">
        <f t="shared" si="138"/>
        <v>28831.33</v>
      </c>
      <c r="AI65" s="1862">
        <f>+'HH ALICORP'!$D$3</f>
        <v>0</v>
      </c>
      <c r="AJ65" s="1935">
        <f>+'HH ALICORP'!$D$4</f>
        <v>26511</v>
      </c>
      <c r="AK65" s="1935">
        <f>+'HH ALICORP'!$D$5</f>
        <v>30074</v>
      </c>
      <c r="AL65" s="1935">
        <f>+'HH ALICORP'!$D$10</f>
        <v>69514.02</v>
      </c>
      <c r="AM65" s="1935">
        <f>+'HH ALICORP'!D6</f>
        <v>23675.5</v>
      </c>
      <c r="AN65" s="1935">
        <f>+'HH ALICORP'!D14</f>
        <v>166573.29999999999</v>
      </c>
      <c r="AO65" s="1935">
        <f>+'HH ALICORP'!D27</f>
        <v>8353</v>
      </c>
      <c r="AP65" s="1935">
        <f>+'HH ALICORP'!D8-AO65</f>
        <v>18936</v>
      </c>
      <c r="AQ65" s="1935">
        <f>+'HH ALICORP'!D9</f>
        <v>40576</v>
      </c>
      <c r="AR65" s="1935">
        <f>+'HH ALICORP'!D15+'HH ALICORP'!D36+'HH ALICORP'!D37+'HH ALICORP'!D39</f>
        <v>146456.52000000002</v>
      </c>
      <c r="AS65" s="1935">
        <f>+'HH ALICORP'!D16+'HH ALICORP'!D17+'HH ALICORP'!D18+'HH ALICORP'!D19+'HH ALICORP'!D32</f>
        <v>52120.95</v>
      </c>
      <c r="AT65" s="1935">
        <f>+'HH ALICORP'!D20+'HH ALICORP'!D21+'HH ALICORP'!D22</f>
        <v>282892</v>
      </c>
      <c r="AU65" s="1935"/>
      <c r="AV65" s="1935"/>
      <c r="AW65" s="1935">
        <f>+'HH ALICORP'!D28+'HH ALICORP'!D35+'HH ALICORP'!D$34</f>
        <v>17324.599999999999</v>
      </c>
      <c r="AX65" s="1947"/>
      <c r="AY65" s="1863">
        <v>8549.98</v>
      </c>
      <c r="AZ65" s="1951">
        <v>4992.66</v>
      </c>
      <c r="BA65" s="1951">
        <v>71304</v>
      </c>
      <c r="BB65" s="1951">
        <v>8665</v>
      </c>
      <c r="BC65" s="1951">
        <v>19225</v>
      </c>
      <c r="BD65" s="2250">
        <f t="shared" si="139"/>
        <v>145736</v>
      </c>
      <c r="BE65" s="1862">
        <v>89446.18</v>
      </c>
      <c r="BF65" s="1994">
        <v>0</v>
      </c>
      <c r="BG65" s="1994">
        <v>0</v>
      </c>
      <c r="BH65" s="1994">
        <v>0</v>
      </c>
      <c r="BI65" s="1994">
        <v>0</v>
      </c>
      <c r="BJ65" s="1935">
        <v>65820</v>
      </c>
      <c r="BK65" s="1935">
        <v>37968.449999999997</v>
      </c>
      <c r="BL65" s="1935">
        <v>45410.37</v>
      </c>
      <c r="BM65" s="1935">
        <v>66303</v>
      </c>
      <c r="BN65" s="1939">
        <v>13183.5</v>
      </c>
      <c r="BO65" s="3040">
        <f>+'HH 3EROS'!$D152</f>
        <v>2828.97</v>
      </c>
      <c r="BP65" s="1860">
        <f>+'HH 3EROS'!$D153</f>
        <v>6326.37</v>
      </c>
      <c r="BQ65" s="1860">
        <f>+'HH 3EROS'!$D154</f>
        <v>17827.18</v>
      </c>
      <c r="BR65" s="1860">
        <f>+'HH 3EROS'!$D155</f>
        <v>11144.57</v>
      </c>
      <c r="BS65" s="1860">
        <f>+'HH 3EROS'!$D156</f>
        <v>12919.66</v>
      </c>
      <c r="BT65" s="1860">
        <f>+'HH 3EROS'!$D157</f>
        <v>33264.33</v>
      </c>
      <c r="BU65" s="1860">
        <f>+'HH 3EROS'!D$158</f>
        <v>42.72</v>
      </c>
      <c r="BV65" s="1860">
        <f>+'HH 3EROS'!D$159</f>
        <v>7208.3</v>
      </c>
      <c r="BW65" s="1860">
        <f>+'HH 3EROS'!D$160</f>
        <v>21177.93</v>
      </c>
      <c r="BX65" s="2252">
        <f>+'HH 3EROS'!D$161+'HH 3EROS'!$D$177+'HH 3EROS'!D179+'HH 3EROS'!D180+'HH 3EROS'!D182+'HH 3EROS'!D184</f>
        <v>142385.4</v>
      </c>
      <c r="BY65" s="1860">
        <f>+'HH 3EROS'!D$162+'HH 3EROS'!D$178</f>
        <v>54474.17</v>
      </c>
      <c r="BZ65" s="1860">
        <f>+'HH 3EROS'!D$163</f>
        <v>86687.130000000019</v>
      </c>
      <c r="CA65" s="1860">
        <f>+'HH 3EROS'!D$164</f>
        <v>17589</v>
      </c>
      <c r="CB65" s="1860">
        <f>+'HH 3EROS'!D$165+'HH 3EROS'!$D$175+'HH 3EROS'!$D$176+'HH 3EROS'!$D$181+'HH 3EROS'!$D$183</f>
        <v>54892.38</v>
      </c>
      <c r="CC65" s="1860"/>
      <c r="CD65" s="3041">
        <f>+'HH 3EROS'!D$168</f>
        <v>6348</v>
      </c>
      <c r="CE65" s="1930">
        <v>4213.4400000000005</v>
      </c>
      <c r="CF65" s="1861">
        <v>5737</v>
      </c>
      <c r="CG65" s="1861">
        <v>39475</v>
      </c>
      <c r="CH65" s="1861">
        <v>2784</v>
      </c>
      <c r="CI65" s="1861">
        <v>29038</v>
      </c>
      <c r="CJ65" s="1931">
        <v>356744</v>
      </c>
      <c r="CK65" s="3035">
        <v>67993</v>
      </c>
      <c r="CL65" s="1920">
        <v>0</v>
      </c>
      <c r="CM65" s="1920">
        <v>0</v>
      </c>
      <c r="CN65" s="1920">
        <v>0</v>
      </c>
      <c r="CO65" s="1920">
        <v>0</v>
      </c>
      <c r="CP65" s="1920">
        <v>24173</v>
      </c>
      <c r="CQ65" s="1920">
        <v>37584.54</v>
      </c>
      <c r="CR65" s="1920">
        <v>34773.5</v>
      </c>
      <c r="CS65" s="1920">
        <v>105962.8</v>
      </c>
      <c r="CT65" s="1928">
        <v>15647.830000000002</v>
      </c>
      <c r="CU65" s="358">
        <f t="shared" si="140"/>
        <v>1552107.08</v>
      </c>
      <c r="CV65" s="358">
        <f t="shared" si="141"/>
        <v>995743.53</v>
      </c>
      <c r="CW65" s="358">
        <f t="shared" si="142"/>
        <v>556363.55000000005</v>
      </c>
      <c r="CX65" s="691">
        <f t="shared" si="143"/>
        <v>2054587.08</v>
      </c>
      <c r="CY65" s="358">
        <f t="shared" si="147"/>
        <v>604266.17000000004</v>
      </c>
      <c r="CZ65" s="358">
        <f t="shared" si="144"/>
        <v>502480</v>
      </c>
    </row>
    <row r="66" spans="1:104">
      <c r="A66" s="1309">
        <v>45017</v>
      </c>
      <c r="B66" s="1311">
        <f t="shared" si="108"/>
        <v>2864.62</v>
      </c>
      <c r="C66" s="1311">
        <f t="shared" si="109"/>
        <v>32103.35</v>
      </c>
      <c r="D66" s="1311">
        <f t="shared" si="110"/>
        <v>48939.1</v>
      </c>
      <c r="E66" s="1311">
        <f t="shared" si="145"/>
        <v>64164.53</v>
      </c>
      <c r="F66" s="1311">
        <f t="shared" si="111"/>
        <v>36310.620000000003</v>
      </c>
      <c r="G66" s="1311">
        <f t="shared" si="112"/>
        <v>185661.44</v>
      </c>
      <c r="H66" s="1311">
        <f t="shared" si="113"/>
        <v>10316.450000000001</v>
      </c>
      <c r="I66" s="1311">
        <f t="shared" si="114"/>
        <v>23548.639999999999</v>
      </c>
      <c r="J66" s="1311">
        <f t="shared" si="115"/>
        <v>50220.85</v>
      </c>
      <c r="K66" s="1311">
        <f t="shared" si="116"/>
        <v>281025.15000000002</v>
      </c>
      <c r="L66" s="1311">
        <f t="shared" si="117"/>
        <v>94671.31</v>
      </c>
      <c r="M66" s="1311">
        <f t="shared" si="118"/>
        <v>376134.8</v>
      </c>
      <c r="N66" s="1311">
        <f t="shared" si="119"/>
        <v>17313</v>
      </c>
      <c r="O66" s="1311">
        <f t="shared" si="120"/>
        <v>50801.57</v>
      </c>
      <c r="P66" s="1311">
        <f t="shared" si="121"/>
        <v>15772.38</v>
      </c>
      <c r="Q66" s="1311">
        <f t="shared" si="122"/>
        <v>6348</v>
      </c>
      <c r="R66" s="2134">
        <f t="shared" si="146"/>
        <v>1296195.81</v>
      </c>
      <c r="S66" s="1311">
        <f t="shared" si="123"/>
        <v>14354.8</v>
      </c>
      <c r="T66" s="1311">
        <f t="shared" si="124"/>
        <v>56983.499999999993</v>
      </c>
      <c r="U66" s="1311">
        <f t="shared" si="125"/>
        <v>103776</v>
      </c>
      <c r="V66" s="1311">
        <f>+BB66+CH66</f>
        <v>11449</v>
      </c>
      <c r="W66" s="1311">
        <f>+BC66+CH66</f>
        <v>23693</v>
      </c>
      <c r="X66" s="1311">
        <f t="shared" si="128"/>
        <v>495851</v>
      </c>
      <c r="Y66" s="1311">
        <f t="shared" si="129"/>
        <v>159704.16</v>
      </c>
      <c r="Z66" s="1311">
        <f t="shared" si="130"/>
        <v>0</v>
      </c>
      <c r="AA66" s="1311">
        <f t="shared" si="131"/>
        <v>0</v>
      </c>
      <c r="AB66" s="1311">
        <f t="shared" si="132"/>
        <v>0</v>
      </c>
      <c r="AC66" s="1311">
        <f t="shared" si="133"/>
        <v>0</v>
      </c>
      <c r="AD66" s="1311">
        <f t="shared" si="134"/>
        <v>80172</v>
      </c>
      <c r="AE66" s="1311">
        <f t="shared" si="135"/>
        <v>85575.69</v>
      </c>
      <c r="AF66" s="1311">
        <f t="shared" si="136"/>
        <v>81853.94</v>
      </c>
      <c r="AG66" s="1311">
        <f t="shared" si="137"/>
        <v>228964.72</v>
      </c>
      <c r="AH66" s="1694">
        <f t="shared" si="138"/>
        <v>24705.8</v>
      </c>
      <c r="AI66" s="1862">
        <f>+'HH ALICORP'!E$3</f>
        <v>0</v>
      </c>
      <c r="AJ66" s="1935">
        <f>+'HH ALICORP'!$E$4</f>
        <v>24890</v>
      </c>
      <c r="AK66" s="1935">
        <f>+'HH ALICORP'!$E$5</f>
        <v>29095</v>
      </c>
      <c r="AL66" s="1935">
        <f>+'HH ALICORP'!$E$10</f>
        <v>53527</v>
      </c>
      <c r="AM66" s="1935">
        <f>+'HH ALICORP'!E6</f>
        <v>21809</v>
      </c>
      <c r="AN66" s="1935">
        <f>+'HH ALICORP'!E14</f>
        <v>149238.45000000001</v>
      </c>
      <c r="AO66" s="1935">
        <f>+'HH ALICORP'!E27</f>
        <v>8353</v>
      </c>
      <c r="AP66" s="1935">
        <f>+'HH ALICORP'!E8-AO66</f>
        <v>15223</v>
      </c>
      <c r="AQ66" s="1935">
        <f>+'HH ALICORP'!E9</f>
        <v>36556.5</v>
      </c>
      <c r="AR66" s="1935">
        <f>+'HH ALICORP'!E15+'HH ALICORP'!E36+'HH ALICORP'!E37+'HH ALICORP'!E39</f>
        <v>141436.60999999999</v>
      </c>
      <c r="AS66" s="1935">
        <f>+'HH ALICORP'!E16+'HH ALICORP'!E17+'HH ALICORP'!E18+'HH ALICORP'!E19+'HH ALICORP'!E32</f>
        <v>48503.93</v>
      </c>
      <c r="AT66" s="1935">
        <f>+'HH ALICORP'!E20+'HH ALICORP'!E21+'HH ALICORP'!E22</f>
        <v>284288</v>
      </c>
      <c r="AU66" s="1935"/>
      <c r="AV66" s="1935"/>
      <c r="AW66" s="1935">
        <f>+'HH ALICORP'!E28+'HH ALICORP'!E35+'HH ALICORP'!E$34</f>
        <v>15772.38</v>
      </c>
      <c r="AX66" s="1947"/>
      <c r="AY66" s="1863">
        <v>8105.75</v>
      </c>
      <c r="AZ66" s="1951">
        <v>41137.499999999993</v>
      </c>
      <c r="BA66" s="1951">
        <v>66055</v>
      </c>
      <c r="BB66" s="1951">
        <v>8665</v>
      </c>
      <c r="BC66" s="1951">
        <v>20909</v>
      </c>
      <c r="BD66" s="2250">
        <f t="shared" si="139"/>
        <v>145736</v>
      </c>
      <c r="BE66" s="1862">
        <v>75360.160000000003</v>
      </c>
      <c r="BF66" s="1994">
        <v>0</v>
      </c>
      <c r="BG66" s="1994">
        <v>0</v>
      </c>
      <c r="BH66" s="1994">
        <v>0</v>
      </c>
      <c r="BI66" s="1994">
        <v>0</v>
      </c>
      <c r="BJ66" s="1935">
        <v>61515</v>
      </c>
      <c r="BK66" s="1935">
        <v>40142.28</v>
      </c>
      <c r="BL66" s="1935">
        <v>46894.94</v>
      </c>
      <c r="BM66" s="1935">
        <v>69667</v>
      </c>
      <c r="BN66" s="1939">
        <v>10401.5</v>
      </c>
      <c r="BO66" s="3040">
        <f>+'HH 3EROS'!$E152</f>
        <v>2864.62</v>
      </c>
      <c r="BP66" s="1860">
        <f>+'HH 3EROS'!$E153</f>
        <v>7213.3499999999995</v>
      </c>
      <c r="BQ66" s="1860">
        <f>+'HH 3EROS'!$E154</f>
        <v>19844.099999999999</v>
      </c>
      <c r="BR66" s="1860">
        <f>+'HH 3EROS'!$E155</f>
        <v>10637.53</v>
      </c>
      <c r="BS66" s="1860">
        <f>+'HH 3EROS'!$E156</f>
        <v>14501.62</v>
      </c>
      <c r="BT66" s="1860">
        <f>+'HH 3EROS'!$E157</f>
        <v>36422.990000000005</v>
      </c>
      <c r="BU66" s="1860">
        <f>+'HH 3EROS'!E$158</f>
        <v>1963.45</v>
      </c>
      <c r="BV66" s="1860">
        <f>+'HH 3EROS'!E$159</f>
        <v>8325.64</v>
      </c>
      <c r="BW66" s="1860">
        <f>+'HH 3EROS'!E$160</f>
        <v>13664.349999999999</v>
      </c>
      <c r="BX66" s="1860">
        <f>+'HH 3EROS'!E$161+'HH 3EROS'!$E$177+'HH 3EROS'!E179+'HH 3EROS'!E180+'HH 3EROS'!E182+'HH 3EROS'!E184</f>
        <v>139588.54</v>
      </c>
      <c r="BY66" s="1860">
        <f>+'HH 3EROS'!E$162+'HH 3EROS'!E$178</f>
        <v>46167.38</v>
      </c>
      <c r="BZ66" s="1860">
        <f>+'HH 3EROS'!E$163</f>
        <v>91846.8</v>
      </c>
      <c r="CA66" s="1860">
        <f>+'HH 3EROS'!E$164</f>
        <v>17313</v>
      </c>
      <c r="CB66" s="1860">
        <f>+'HH 3EROS'!E$165+'HH 3EROS'!$E$175+'HH 3EROS'!$E$176+'HH 3EROS'!$E$181+'HH 3EROS'!$E$183</f>
        <v>50801.57</v>
      </c>
      <c r="CC66" s="1860"/>
      <c r="CD66" s="3041">
        <f>+'HH 3EROS'!E$168</f>
        <v>6348</v>
      </c>
      <c r="CE66" s="1930">
        <v>6249.0499999999993</v>
      </c>
      <c r="CF66" s="1861">
        <v>15846</v>
      </c>
      <c r="CG66" s="1861">
        <v>37721</v>
      </c>
      <c r="CH66" s="1861">
        <v>2784</v>
      </c>
      <c r="CI66" s="1861">
        <v>28006</v>
      </c>
      <c r="CJ66" s="1931">
        <v>350115</v>
      </c>
      <c r="CK66" s="3035">
        <v>84344</v>
      </c>
      <c r="CL66" s="1920">
        <v>0</v>
      </c>
      <c r="CM66" s="1920">
        <v>0</v>
      </c>
      <c r="CN66" s="1920">
        <v>0</v>
      </c>
      <c r="CO66" s="1920">
        <v>0</v>
      </c>
      <c r="CP66" s="1920">
        <v>18657</v>
      </c>
      <c r="CQ66" s="1920">
        <v>45433.41</v>
      </c>
      <c r="CR66" s="1920">
        <v>34959</v>
      </c>
      <c r="CS66" s="1920">
        <v>159297.72</v>
      </c>
      <c r="CT66" s="1928">
        <v>14304.3</v>
      </c>
      <c r="CU66" s="358">
        <f>SUM(AI66:BC66)+SUM(BO66:CH66)</f>
        <v>1503668.1099999999</v>
      </c>
      <c r="CV66" s="358">
        <f t="shared" si="141"/>
        <v>973565.12</v>
      </c>
      <c r="CW66" s="358">
        <f>+SUM(BO66:CH66)</f>
        <v>530102.99</v>
      </c>
      <c r="CX66" s="691">
        <f t="shared" si="143"/>
        <v>1999519.1099999999</v>
      </c>
      <c r="CY66" s="358">
        <f t="shared" si="147"/>
        <v>660976.31000000006</v>
      </c>
      <c r="CZ66" s="358">
        <f t="shared" si="144"/>
        <v>495851</v>
      </c>
    </row>
    <row r="67" spans="1:104">
      <c r="A67" s="1309">
        <v>45047</v>
      </c>
      <c r="B67" s="1311">
        <f t="shared" si="108"/>
        <v>5594.12</v>
      </c>
      <c r="C67" s="1311">
        <f t="shared" si="109"/>
        <v>36660.699999999997</v>
      </c>
      <c r="D67" s="1311">
        <f t="shared" si="110"/>
        <v>55907.81</v>
      </c>
      <c r="E67" s="1311">
        <f t="shared" si="145"/>
        <v>89197.25</v>
      </c>
      <c r="F67" s="1311">
        <f t="shared" si="111"/>
        <v>35944.51</v>
      </c>
      <c r="G67" s="1311">
        <f t="shared" si="112"/>
        <v>227177.18</v>
      </c>
      <c r="H67" s="1311">
        <f t="shared" si="113"/>
        <v>8397.65</v>
      </c>
      <c r="I67" s="1311">
        <f t="shared" si="114"/>
        <v>26862.75</v>
      </c>
      <c r="J67" s="1311">
        <f t="shared" si="115"/>
        <v>56044.68</v>
      </c>
      <c r="K67" s="1311">
        <f t="shared" si="116"/>
        <v>288232.48</v>
      </c>
      <c r="L67" s="1311">
        <f t="shared" si="117"/>
        <v>98084.239999999991</v>
      </c>
      <c r="M67" s="1311">
        <f t="shared" si="118"/>
        <v>374446.07</v>
      </c>
      <c r="N67" s="1311">
        <f t="shared" si="119"/>
        <v>17748</v>
      </c>
      <c r="O67" s="1311">
        <f t="shared" si="120"/>
        <v>39024.39</v>
      </c>
      <c r="P67" s="1311">
        <f t="shared" si="121"/>
        <v>18217.580000000002</v>
      </c>
      <c r="Q67" s="1311">
        <f t="shared" si="122"/>
        <v>6348</v>
      </c>
      <c r="R67" s="2134">
        <f t="shared" si="146"/>
        <v>1383887.41</v>
      </c>
      <c r="S67" s="1311">
        <f t="shared" si="123"/>
        <v>13499.41</v>
      </c>
      <c r="T67" s="1311">
        <f t="shared" si="124"/>
        <v>109283.13999999998</v>
      </c>
      <c r="U67" s="1311">
        <f t="shared" si="125"/>
        <v>112898</v>
      </c>
      <c r="V67" s="1311">
        <f t="shared" si="126"/>
        <v>0</v>
      </c>
      <c r="W67" s="1311">
        <f t="shared" si="127"/>
        <v>43791</v>
      </c>
      <c r="X67" s="1311">
        <f t="shared" si="128"/>
        <v>491472</v>
      </c>
      <c r="Y67" s="1311">
        <f t="shared" si="129"/>
        <v>210196.79</v>
      </c>
      <c r="Z67" s="1311">
        <f t="shared" si="130"/>
        <v>0</v>
      </c>
      <c r="AA67" s="1311">
        <f t="shared" si="131"/>
        <v>0</v>
      </c>
      <c r="AB67" s="1311">
        <f t="shared" si="132"/>
        <v>0</v>
      </c>
      <c r="AC67" s="1311">
        <f t="shared" si="133"/>
        <v>0</v>
      </c>
      <c r="AD67" s="1311">
        <f t="shared" si="134"/>
        <v>75624</v>
      </c>
      <c r="AE67" s="1311">
        <f t="shared" si="135"/>
        <v>79288.38055556122</v>
      </c>
      <c r="AF67" s="1311">
        <f t="shared" si="136"/>
        <v>85137.33</v>
      </c>
      <c r="AG67" s="1311">
        <f t="shared" si="137"/>
        <v>164667.4</v>
      </c>
      <c r="AH67" s="1694">
        <f t="shared" si="138"/>
        <v>30208.559999999998</v>
      </c>
      <c r="AI67" s="1862">
        <f>+'HH ALICORP'!F$3</f>
        <v>0</v>
      </c>
      <c r="AJ67" s="1935">
        <f>+'HH ALICORP'!F$4</f>
        <v>27204</v>
      </c>
      <c r="AK67" s="1935">
        <f>+'HH ALICORP'!F$5</f>
        <v>31260</v>
      </c>
      <c r="AL67" s="1935">
        <f>+'HH ALICORP'!F$10</f>
        <v>70541.05</v>
      </c>
      <c r="AM67" s="1935">
        <f>+'HH ALICORP'!F$6</f>
        <v>23963.5</v>
      </c>
      <c r="AN67" s="1935">
        <f>+'HH ALICORP'!F$14</f>
        <v>167711.35</v>
      </c>
      <c r="AO67" s="1935">
        <f>+'HH ALICORP'!F$27</f>
        <v>8353</v>
      </c>
      <c r="AP67" s="1935">
        <f>+'HH ALICORP'!F$8-AO67</f>
        <v>18113</v>
      </c>
      <c r="AQ67" s="1935">
        <f>+'HH ALICORP'!F$9</f>
        <v>42297.5</v>
      </c>
      <c r="AR67" s="1935">
        <f>+'HH ALICORP'!F$15+'HH ALICORP'!F36+'HH ALICORP'!F37+'HH ALICORP'!F39</f>
        <v>151906.95000000001</v>
      </c>
      <c r="AS67" s="1935">
        <f>+'HH ALICORP'!F$16+'HH ALICORP'!F$17+'HH ALICORP'!F$18+'HH ALICORP'!F$19+'HH ALICORP'!F32</f>
        <v>50933.58</v>
      </c>
      <c r="AT67" s="1935">
        <f>+'HH ALICORP'!F$20+'HH ALICORP'!F$21+'HH ALICORP'!F$22</f>
        <v>287820</v>
      </c>
      <c r="AU67" s="1935"/>
      <c r="AV67" s="1935"/>
      <c r="AW67" s="1935">
        <f>+'HH ALICORP'!F28+'HH ALICORP'!F35+'HH ALICORP'!F$34</f>
        <v>18217.580000000002</v>
      </c>
      <c r="AX67" s="1947"/>
      <c r="AY67" s="1863">
        <v>9290.19</v>
      </c>
      <c r="AZ67" s="1951">
        <v>78150.139999999985</v>
      </c>
      <c r="BA67" s="1951">
        <v>72013</v>
      </c>
      <c r="BB67" s="1951">
        <v>0</v>
      </c>
      <c r="BC67" s="1951">
        <v>21304</v>
      </c>
      <c r="BD67" s="2250">
        <f t="shared" si="139"/>
        <v>145736</v>
      </c>
      <c r="BE67" s="1862">
        <v>89794.290000000008</v>
      </c>
      <c r="BF67" s="2068">
        <v>0</v>
      </c>
      <c r="BG67" s="2068">
        <v>0</v>
      </c>
      <c r="BH67" s="2068">
        <v>0</v>
      </c>
      <c r="BI67" s="2068">
        <v>0</v>
      </c>
      <c r="BJ67" s="1935">
        <v>55721</v>
      </c>
      <c r="BK67" s="1935">
        <v>37488.870000000003</v>
      </c>
      <c r="BL67" s="1935">
        <v>46565.73</v>
      </c>
      <c r="BM67" s="1935">
        <v>53339.5</v>
      </c>
      <c r="BN67" s="1939">
        <v>13875</v>
      </c>
      <c r="BO67" s="3040">
        <f>+'HH 3EROS'!$F152</f>
        <v>5594.12</v>
      </c>
      <c r="BP67" s="1860">
        <f>+'HH 3EROS'!$F153</f>
        <v>9456.6999999999989</v>
      </c>
      <c r="BQ67" s="1860">
        <f>+'HH 3EROS'!$F154</f>
        <v>24647.81</v>
      </c>
      <c r="BR67" s="1860">
        <f>+'HH 3EROS'!$F155</f>
        <v>18656.199999999997</v>
      </c>
      <c r="BS67" s="1860">
        <f>+'HH 3EROS'!$F156</f>
        <v>11981.01</v>
      </c>
      <c r="BT67" s="1860">
        <f>+'HH 3EROS'!$F157</f>
        <v>59465.83</v>
      </c>
      <c r="BU67" s="1860">
        <f>+'HH 3EROS'!F$158</f>
        <v>44.65</v>
      </c>
      <c r="BV67" s="1860">
        <f>+'HH 3EROS'!F$159</f>
        <v>8749.75</v>
      </c>
      <c r="BW67" s="1860">
        <f>+'HH 3EROS'!F$160</f>
        <v>13747.18</v>
      </c>
      <c r="BX67" s="1860">
        <f>+'HH 3EROS'!F$161+'HH 3EROS'!$F$177+'HH 3EROS'!F179+'HH 3EROS'!F180+'HH 3EROS'!F182+'HH 3EROS'!F184</f>
        <v>136325.53</v>
      </c>
      <c r="BY67" s="1860">
        <f>+'HH 3EROS'!F$162+'HH 3EROS'!F$178</f>
        <v>47150.659999999996</v>
      </c>
      <c r="BZ67" s="1860">
        <f>+'HH 3EROS'!F$163</f>
        <v>86626.07</v>
      </c>
      <c r="CA67" s="1860">
        <f>+'HH 3EROS'!F$164</f>
        <v>17748</v>
      </c>
      <c r="CB67" s="1860">
        <f>+'HH 3EROS'!F$165+'HH 3EROS'!$F$175+'HH 3EROS'!$F$176+'HH 3EROS'!$F$181+'HH 3EROS'!$F$183</f>
        <v>39024.39</v>
      </c>
      <c r="CC67" s="1860"/>
      <c r="CD67" s="3041">
        <f>+'HH 3EROS'!F$168</f>
        <v>6348</v>
      </c>
      <c r="CE67" s="1930">
        <v>4209.22</v>
      </c>
      <c r="CF67" s="1861">
        <v>31133</v>
      </c>
      <c r="CG67" s="1861">
        <v>40885</v>
      </c>
      <c r="CH67" s="1861">
        <v>0</v>
      </c>
      <c r="CI67" s="1861">
        <v>22487</v>
      </c>
      <c r="CJ67" s="1931">
        <v>345736</v>
      </c>
      <c r="CK67" s="3035">
        <v>120402.5</v>
      </c>
      <c r="CL67" s="1920">
        <v>0</v>
      </c>
      <c r="CM67" s="1920">
        <v>0</v>
      </c>
      <c r="CN67" s="1920">
        <v>0</v>
      </c>
      <c r="CO67" s="1920">
        <v>0</v>
      </c>
      <c r="CP67" s="1920">
        <v>19903</v>
      </c>
      <c r="CQ67" s="1920">
        <v>41799.510555561224</v>
      </c>
      <c r="CR67" s="1920">
        <v>38571.599999999999</v>
      </c>
      <c r="CS67" s="1920">
        <v>111327.9</v>
      </c>
      <c r="CT67" s="1928">
        <v>16333.56</v>
      </c>
      <c r="CU67" s="358">
        <f t="shared" si="140"/>
        <v>1663358.96</v>
      </c>
      <c r="CV67" s="358">
        <f t="shared" si="141"/>
        <v>1079078.8399999999</v>
      </c>
      <c r="CW67" s="358">
        <f t="shared" si="142"/>
        <v>584280.12</v>
      </c>
      <c r="CX67" s="691">
        <f t="shared" si="143"/>
        <v>2154830.96</v>
      </c>
      <c r="CY67" s="358">
        <f t="shared" si="147"/>
        <v>645122.46055556124</v>
      </c>
      <c r="CZ67" s="358">
        <f t="shared" si="144"/>
        <v>491472</v>
      </c>
    </row>
    <row r="68" spans="1:104">
      <c r="A68" s="1309">
        <v>45078</v>
      </c>
      <c r="B68" s="1311">
        <f t="shared" si="108"/>
        <v>1850.07</v>
      </c>
      <c r="C68" s="1311">
        <f t="shared" si="109"/>
        <v>34385.39</v>
      </c>
      <c r="D68" s="1311">
        <f t="shared" si="110"/>
        <v>52897.45</v>
      </c>
      <c r="E68" s="1311">
        <f t="shared" si="145"/>
        <v>79475.06</v>
      </c>
      <c r="F68" s="1311">
        <f t="shared" si="111"/>
        <v>40431.490000000005</v>
      </c>
      <c r="G68" s="1311">
        <f t="shared" si="112"/>
        <v>181734.63999999998</v>
      </c>
      <c r="H68" s="1311">
        <f t="shared" si="113"/>
        <v>8417.16</v>
      </c>
      <c r="I68" s="1311">
        <f t="shared" si="114"/>
        <v>28097.79</v>
      </c>
      <c r="J68" s="1311">
        <f t="shared" si="115"/>
        <v>58859.180000000008</v>
      </c>
      <c r="K68" s="1311">
        <f t="shared" si="116"/>
        <v>279986.08999999997</v>
      </c>
      <c r="L68" s="1311">
        <f t="shared" si="117"/>
        <v>100334.65</v>
      </c>
      <c r="M68" s="1311">
        <f t="shared" si="118"/>
        <v>395011.76</v>
      </c>
      <c r="N68" s="1311">
        <f t="shared" si="119"/>
        <v>17405</v>
      </c>
      <c r="O68" s="1311">
        <f t="shared" si="120"/>
        <v>57059.86</v>
      </c>
      <c r="P68" s="1311">
        <f t="shared" si="121"/>
        <v>17845.3</v>
      </c>
      <c r="Q68" s="1311">
        <f t="shared" si="122"/>
        <v>3744</v>
      </c>
      <c r="R68" s="2134">
        <f t="shared" si="146"/>
        <v>1357534.8900000001</v>
      </c>
      <c r="S68" s="1311">
        <f t="shared" si="123"/>
        <v>13946.66</v>
      </c>
      <c r="T68" s="1311">
        <f t="shared" si="124"/>
        <v>96128.125</v>
      </c>
      <c r="U68" s="1311">
        <f t="shared" si="125"/>
        <v>113589</v>
      </c>
      <c r="V68" s="1311">
        <f t="shared" si="126"/>
        <v>0</v>
      </c>
      <c r="W68" s="1311">
        <f t="shared" si="127"/>
        <v>44964</v>
      </c>
      <c r="X68" s="1311">
        <f t="shared" si="128"/>
        <v>500229</v>
      </c>
      <c r="Y68" s="1311">
        <f t="shared" si="129"/>
        <v>210366.41</v>
      </c>
      <c r="Z68" s="1311">
        <f t="shared" si="130"/>
        <v>0</v>
      </c>
      <c r="AA68" s="1311">
        <f t="shared" si="131"/>
        <v>0</v>
      </c>
      <c r="AB68" s="1311">
        <f t="shared" si="132"/>
        <v>0</v>
      </c>
      <c r="AC68" s="1311">
        <f t="shared" si="133"/>
        <v>0</v>
      </c>
      <c r="AD68" s="1311">
        <f t="shared" si="134"/>
        <v>76279</v>
      </c>
      <c r="AE68" s="1311">
        <f t="shared" si="135"/>
        <v>76113.25</v>
      </c>
      <c r="AF68" s="1311">
        <f t="shared" si="136"/>
        <v>83403.61</v>
      </c>
      <c r="AG68" s="1311">
        <f t="shared" si="137"/>
        <v>134009.1</v>
      </c>
      <c r="AH68" s="1694">
        <f t="shared" si="138"/>
        <v>30990.71</v>
      </c>
      <c r="AI68" s="1862">
        <f>+'HH ALICORP'!$G$3</f>
        <v>0</v>
      </c>
      <c r="AJ68" s="1935">
        <f>+'HH ALICORP'!$G4</f>
        <v>27075.5</v>
      </c>
      <c r="AK68" s="1935">
        <f>+'HH ALICORP'!G$5</f>
        <v>29938</v>
      </c>
      <c r="AL68" s="1935">
        <f>+'HH ALICORP'!G$10</f>
        <v>61611.740000000005</v>
      </c>
      <c r="AM68" s="1935">
        <f>+'HH ALICORP'!G$6</f>
        <v>24721.5</v>
      </c>
      <c r="AN68" s="1935">
        <f>+'HH ALICORP'!G$14</f>
        <v>160490.54999999999</v>
      </c>
      <c r="AO68" s="1935">
        <f>+'HH ALICORP'!G$27</f>
        <v>8353</v>
      </c>
      <c r="AP68" s="1935">
        <f>+'HH ALICORP'!G$8-AO68</f>
        <v>19458</v>
      </c>
      <c r="AQ68" s="1935">
        <f>+'HH ALICORP'!G$9</f>
        <v>41371.300000000003</v>
      </c>
      <c r="AR68" s="1935">
        <f>+'HH ALICORP'!G$15+'HH ALICORP'!G36+'HH ALICORP'!G37+'HH ALICORP'!G39</f>
        <v>135213.53</v>
      </c>
      <c r="AS68" s="1935">
        <f>+'HH ALICORP'!G$16+'HH ALICORP'!G$17+'HH ALICORP'!G$18+'HH ALICORP'!G$19+'HH ALICORP'!G32</f>
        <v>51286.97</v>
      </c>
      <c r="AT68" s="1935">
        <f>+'HH ALICORP'!G$20+'HH ALICORP'!G$21+'HH ALICORP'!G$22</f>
        <v>290552</v>
      </c>
      <c r="AU68" s="1935"/>
      <c r="AV68" s="1935"/>
      <c r="AW68" s="1935">
        <f>+'HH ALICORP'!G28+'HH ALICORP'!G35+'HH ALICORP'!G$34</f>
        <v>17845.3</v>
      </c>
      <c r="AX68" s="1947"/>
      <c r="AY68" s="1863">
        <v>9241.86</v>
      </c>
      <c r="AZ68" s="1951">
        <v>69584.125</v>
      </c>
      <c r="BA68" s="1951">
        <v>70317</v>
      </c>
      <c r="BB68" s="1951">
        <v>0</v>
      </c>
      <c r="BC68" s="1951">
        <v>23555</v>
      </c>
      <c r="BD68" s="2250">
        <f t="shared" si="139"/>
        <v>145736</v>
      </c>
      <c r="BE68" s="1862">
        <v>86112.41</v>
      </c>
      <c r="BF68" s="1994">
        <v>0</v>
      </c>
      <c r="BG68" s="1994">
        <v>0</v>
      </c>
      <c r="BH68" s="1994">
        <v>0</v>
      </c>
      <c r="BI68" s="1994">
        <v>0</v>
      </c>
      <c r="BJ68" s="1935">
        <v>57612</v>
      </c>
      <c r="BK68" s="1935">
        <v>37556.25</v>
      </c>
      <c r="BL68" s="1935">
        <v>48849.31</v>
      </c>
      <c r="BM68" s="1935">
        <v>46928</v>
      </c>
      <c r="BN68" s="1939">
        <v>13921</v>
      </c>
      <c r="BO68" s="3040">
        <f>+'HH 3EROS'!$G152</f>
        <v>1850.07</v>
      </c>
      <c r="BP68" s="1860">
        <f>+'HH 3EROS'!$G153</f>
        <v>7309.89</v>
      </c>
      <c r="BQ68" s="1860">
        <f>+'HH 3EROS'!$G154</f>
        <v>22959.45</v>
      </c>
      <c r="BR68" s="1860">
        <f>+'HH 3EROS'!$G155</f>
        <v>17863.32</v>
      </c>
      <c r="BS68" s="1860">
        <f>+'HH 3EROS'!$G156</f>
        <v>15709.990000000002</v>
      </c>
      <c r="BT68" s="1860">
        <f>+'HH 3EROS'!$G157</f>
        <v>21244.09</v>
      </c>
      <c r="BU68" s="1860">
        <f>+'HH 3EROS'!G$158</f>
        <v>64.16</v>
      </c>
      <c r="BV68" s="1860">
        <f>+'HH 3EROS'!G$159</f>
        <v>8639.7900000000009</v>
      </c>
      <c r="BW68" s="1860">
        <f>+'HH 3EROS'!G$160</f>
        <v>17487.88</v>
      </c>
      <c r="BX68" s="1860">
        <f>+'HH 3EROS'!G$161+'HH 3EROS'!$G$177+'HH 3EROS'!G179+'HH 3EROS'!G180+'HH 3EROS'!G182+'HH 3EROS'!G184</f>
        <v>144772.56</v>
      </c>
      <c r="BY68" s="1860">
        <f>+'HH 3EROS'!G$162+'HH 3EROS'!G$178</f>
        <v>49047.68</v>
      </c>
      <c r="BZ68" s="1860">
        <f>+'HH 3EROS'!G$163</f>
        <v>104459.76000000001</v>
      </c>
      <c r="CA68" s="1860">
        <f>+'HH 3EROS'!G$164</f>
        <v>17405</v>
      </c>
      <c r="CB68" s="1860">
        <f>+'HH 3EROS'!G$165+'HH 3EROS'!$G$175+'HH 3EROS'!$G$176+'HH 3EROS'!$G$181+'HH 3EROS'!$G$183</f>
        <v>57059.86</v>
      </c>
      <c r="CC68" s="1860"/>
      <c r="CD68" s="3041">
        <f>+'HH 3EROS'!G$168</f>
        <v>3744</v>
      </c>
      <c r="CE68" s="1930">
        <v>4704.7999999999993</v>
      </c>
      <c r="CF68" s="1861">
        <v>26544</v>
      </c>
      <c r="CG68" s="1861">
        <v>43272</v>
      </c>
      <c r="CH68" s="1861">
        <v>0</v>
      </c>
      <c r="CI68" s="1861">
        <v>21409</v>
      </c>
      <c r="CJ68" s="1931">
        <v>354493</v>
      </c>
      <c r="CK68" s="3035">
        <v>124254</v>
      </c>
      <c r="CL68" s="1920">
        <v>0</v>
      </c>
      <c r="CM68" s="1920">
        <v>0</v>
      </c>
      <c r="CN68" s="1920">
        <v>0</v>
      </c>
      <c r="CO68" s="1920">
        <v>0</v>
      </c>
      <c r="CP68" s="1920">
        <v>18667</v>
      </c>
      <c r="CQ68" s="1920">
        <v>38557</v>
      </c>
      <c r="CR68" s="1920">
        <v>34554.300000000003</v>
      </c>
      <c r="CS68" s="1920">
        <v>87081.1</v>
      </c>
      <c r="CT68" s="1928">
        <v>17069.71</v>
      </c>
      <c r="CU68" s="358">
        <f t="shared" si="140"/>
        <v>1626162.675</v>
      </c>
      <c r="CV68" s="358">
        <f t="shared" si="141"/>
        <v>1040615.375</v>
      </c>
      <c r="CW68" s="358">
        <f t="shared" si="142"/>
        <v>585547.30000000005</v>
      </c>
      <c r="CX68" s="691">
        <f t="shared" si="143"/>
        <v>2126391.6749999998</v>
      </c>
      <c r="CY68" s="358">
        <f t="shared" si="147"/>
        <v>611162.08000000007</v>
      </c>
      <c r="CZ68" s="358">
        <f t="shared" si="144"/>
        <v>500229</v>
      </c>
    </row>
    <row r="69" spans="1:104">
      <c r="A69" s="1309">
        <v>45108</v>
      </c>
      <c r="B69" s="1311">
        <f t="shared" si="108"/>
        <v>1217.1199999999999</v>
      </c>
      <c r="C69" s="1311">
        <f t="shared" si="109"/>
        <v>38125.199999999997</v>
      </c>
      <c r="D69" s="1311">
        <f t="shared" si="110"/>
        <v>45189.350000000006</v>
      </c>
      <c r="E69" s="1311">
        <f t="shared" si="145"/>
        <v>85483</v>
      </c>
      <c r="F69" s="1311">
        <f t="shared" si="111"/>
        <v>29411.33</v>
      </c>
      <c r="G69" s="1311">
        <f t="shared" si="112"/>
        <v>178064.47</v>
      </c>
      <c r="H69" s="1311">
        <f t="shared" si="113"/>
        <v>10480.81</v>
      </c>
      <c r="I69" s="1311">
        <f t="shared" si="114"/>
        <v>19982.310000000001</v>
      </c>
      <c r="J69" s="1311">
        <f t="shared" si="115"/>
        <v>62226.86</v>
      </c>
      <c r="K69" s="1311">
        <f t="shared" si="116"/>
        <v>279798.43</v>
      </c>
      <c r="L69" s="1311">
        <f t="shared" si="117"/>
        <v>97573.68</v>
      </c>
      <c r="M69" s="1311">
        <f t="shared" si="118"/>
        <v>396904.03</v>
      </c>
      <c r="N69" s="1311">
        <f t="shared" si="119"/>
        <v>20464.400000000001</v>
      </c>
      <c r="O69" s="1311">
        <f t="shared" si="120"/>
        <v>39914.36</v>
      </c>
      <c r="P69" s="1311">
        <f t="shared" si="121"/>
        <v>16336.33</v>
      </c>
      <c r="Q69" s="1311">
        <f t="shared" si="122"/>
        <v>3744</v>
      </c>
      <c r="R69" s="2134">
        <f t="shared" si="146"/>
        <v>1324915.68</v>
      </c>
      <c r="S69" s="1311">
        <f t="shared" si="123"/>
        <v>13642.27</v>
      </c>
      <c r="T69" s="1311">
        <f t="shared" si="124"/>
        <v>90885</v>
      </c>
      <c r="U69" s="1311">
        <f t="shared" si="125"/>
        <v>115383</v>
      </c>
      <c r="V69" s="1311">
        <f t="shared" si="126"/>
        <v>0</v>
      </c>
      <c r="W69" s="1311">
        <f>+BC69+CI69</f>
        <v>42986</v>
      </c>
      <c r="X69" s="1311">
        <f t="shared" si="128"/>
        <v>495850</v>
      </c>
      <c r="Y69" s="1311">
        <f t="shared" si="129"/>
        <v>224405.52000000002</v>
      </c>
      <c r="Z69" s="1311">
        <f t="shared" si="130"/>
        <v>0</v>
      </c>
      <c r="AA69" s="1311">
        <f t="shared" si="131"/>
        <v>0</v>
      </c>
      <c r="AB69" s="1311">
        <f t="shared" si="132"/>
        <v>0</v>
      </c>
      <c r="AC69" s="1311">
        <f t="shared" si="133"/>
        <v>0</v>
      </c>
      <c r="AD69" s="1311">
        <f t="shared" si="134"/>
        <v>77681</v>
      </c>
      <c r="AE69" s="1311">
        <f t="shared" si="135"/>
        <v>81698.62</v>
      </c>
      <c r="AF69" s="1311">
        <f t="shared" si="136"/>
        <v>84040.760000000009</v>
      </c>
      <c r="AG69" s="1311">
        <f t="shared" si="137"/>
        <v>142512.71</v>
      </c>
      <c r="AH69" s="1694">
        <f t="shared" si="138"/>
        <v>28147.06</v>
      </c>
      <c r="AI69" s="1862">
        <f>+'HH ALICORP'!$H$3</f>
        <v>0</v>
      </c>
      <c r="AJ69" s="1935">
        <f>+'HH ALICORP'!H$4</f>
        <v>23368.5</v>
      </c>
      <c r="AK69" s="1935">
        <f>+'HH ALICORP'!H$5</f>
        <v>27813.95</v>
      </c>
      <c r="AL69" s="1935">
        <f>+'HH ALICORP'!H$10</f>
        <v>66082.5</v>
      </c>
      <c r="AM69" s="1935">
        <f>+'HH ALICORP'!H$6</f>
        <v>21160</v>
      </c>
      <c r="AN69" s="1935">
        <f>+'HH ALICORP'!H$14</f>
        <v>147957.95000000001</v>
      </c>
      <c r="AO69" s="1935">
        <f>+'HH ALICORP'!H$27</f>
        <v>8353</v>
      </c>
      <c r="AP69" s="1935">
        <f>+'HH ALICORP'!H8-AO69</f>
        <v>17854.5</v>
      </c>
      <c r="AQ69" s="1935">
        <f>+'HH ALICORP'!H$9</f>
        <v>45526</v>
      </c>
      <c r="AR69" s="1935">
        <f>+'HH ALICORP'!H$15+'HH ALICORP'!H36+'HH ALICORP'!H37+'HH ALICORP'!H39</f>
        <v>139332.57</v>
      </c>
      <c r="AS69" s="1935">
        <f>+'HH ALICORP'!H$16+'HH ALICORP'!H$17+'HH ALICORP'!H$18+'HH ALICORP'!H$19+'HH ALICORP'!H32</f>
        <v>48979.43</v>
      </c>
      <c r="AT69" s="1935">
        <f>+'HH ALICORP'!H$20+'HH ALICORP'!H$21+'HH ALICORP'!H$22</f>
        <v>291676</v>
      </c>
      <c r="AU69" s="1935"/>
      <c r="AV69" s="1935"/>
      <c r="AW69" s="1935">
        <f>+'HH ALICORP'!H28++'HH ALICORP'!H35+'HH ALICORP'!H$34</f>
        <v>16336.33</v>
      </c>
      <c r="AX69" s="1947"/>
      <c r="AY69" s="1863">
        <v>8935.14</v>
      </c>
      <c r="AZ69" s="1951">
        <v>66972</v>
      </c>
      <c r="BA69" s="1951">
        <v>66550</v>
      </c>
      <c r="BB69" s="1951">
        <v>0</v>
      </c>
      <c r="BC69" s="1951">
        <v>21810</v>
      </c>
      <c r="BD69" s="2250">
        <f t="shared" si="139"/>
        <v>145736</v>
      </c>
      <c r="BE69" s="1862">
        <v>81069.52</v>
      </c>
      <c r="BF69" s="1994">
        <v>0</v>
      </c>
      <c r="BG69" s="1994">
        <v>0</v>
      </c>
      <c r="BH69" s="1994">
        <v>0</v>
      </c>
      <c r="BI69" s="1994">
        <v>0</v>
      </c>
      <c r="BJ69" s="1935">
        <v>60174</v>
      </c>
      <c r="BK69" s="1935">
        <v>40709.980000000003</v>
      </c>
      <c r="BL69" s="1935">
        <v>47191.76</v>
      </c>
      <c r="BM69" s="1935">
        <v>52645</v>
      </c>
      <c r="BN69" s="1939">
        <v>13260.5</v>
      </c>
      <c r="BO69" s="3040">
        <f>+'HH 3EROS'!$H152</f>
        <v>1217.1199999999999</v>
      </c>
      <c r="BP69" s="1860">
        <f>+'HH 3EROS'!$H153</f>
        <v>14756.7</v>
      </c>
      <c r="BQ69" s="1860">
        <f>+'HH 3EROS'!$H154</f>
        <v>17375.400000000001</v>
      </c>
      <c r="BR69" s="1860">
        <f>+'HH 3EROS'!$H155</f>
        <v>19400.5</v>
      </c>
      <c r="BS69" s="1860">
        <f>+'HH 3EROS'!$H156</f>
        <v>8251.33</v>
      </c>
      <c r="BT69" s="1860">
        <f>+'HH 3EROS'!$H157</f>
        <v>30106.519999999997</v>
      </c>
      <c r="BU69" s="1860">
        <f>+'HH 3EROS'!H$158</f>
        <v>2127.81</v>
      </c>
      <c r="BV69" s="1860">
        <f>+'HH 3EROS'!H$159</f>
        <v>2127.81</v>
      </c>
      <c r="BW69" s="1860">
        <f>+'HH 3EROS'!H$160</f>
        <v>16700.86</v>
      </c>
      <c r="BX69" s="1860">
        <f>+'HH 3EROS'!H$161+'HH 3EROS'!$H$177+'HH 3EROS'!H179+'HH 3EROS'!H180+'HH 3EROS'!H182+'HH 3EROS'!H184</f>
        <v>140465.85999999999</v>
      </c>
      <c r="BY69" s="1860">
        <f>+'HH 3EROS'!H$162+'HH 3EROS'!H$178</f>
        <v>48594.25</v>
      </c>
      <c r="BZ69" s="1860">
        <f>+'HH 3EROS'!H$163</f>
        <v>105228.03</v>
      </c>
      <c r="CA69" s="1860">
        <f>+'HH 3EROS'!H$164</f>
        <v>20464.400000000001</v>
      </c>
      <c r="CB69" s="1860">
        <f>+'HH 3EROS'!H$165+'HH 3EROS'!$H$175+'HH 3EROS'!$H$176+'HH 3EROS'!$H$181+'HH 3EROS'!$H$183</f>
        <v>39914.36</v>
      </c>
      <c r="CC69" s="1860"/>
      <c r="CD69" s="3041">
        <f>+'HH 3EROS'!H$168</f>
        <v>3744</v>
      </c>
      <c r="CE69" s="1930">
        <v>4707.13</v>
      </c>
      <c r="CF69" s="1861">
        <v>23913</v>
      </c>
      <c r="CG69" s="1861">
        <v>48833</v>
      </c>
      <c r="CH69" s="1861">
        <v>0</v>
      </c>
      <c r="CI69" s="1861">
        <v>21176</v>
      </c>
      <c r="CJ69" s="1931">
        <v>350114</v>
      </c>
      <c r="CK69" s="3035">
        <v>143336</v>
      </c>
      <c r="CL69" s="1920">
        <v>0</v>
      </c>
      <c r="CM69" s="1920">
        <v>0</v>
      </c>
      <c r="CN69" s="1920">
        <v>0</v>
      </c>
      <c r="CO69" s="1920">
        <v>0</v>
      </c>
      <c r="CP69" s="1920">
        <v>17507</v>
      </c>
      <c r="CQ69" s="1920">
        <v>40988.639999999999</v>
      </c>
      <c r="CR69" s="1920">
        <v>36849</v>
      </c>
      <c r="CS69" s="1920">
        <v>89867.709999999992</v>
      </c>
      <c r="CT69" s="1928">
        <v>14886.560000000001</v>
      </c>
      <c r="CU69" s="358">
        <f>SUM(AI69:BC69)+SUM(BO69:CI69)</f>
        <v>1587811.95</v>
      </c>
      <c r="CV69" s="358">
        <f t="shared" si="141"/>
        <v>1018707.87</v>
      </c>
      <c r="CW69" s="358">
        <f>+SUM(BO69:CI69)</f>
        <v>569104.07999999996</v>
      </c>
      <c r="CX69" s="691">
        <f t="shared" si="143"/>
        <v>2083661.95</v>
      </c>
      <c r="CY69" s="358">
        <f t="shared" si="147"/>
        <v>638485.66999999993</v>
      </c>
      <c r="CZ69" s="358">
        <f t="shared" si="144"/>
        <v>495850</v>
      </c>
    </row>
    <row r="70" spans="1:104">
      <c r="A70" s="1309">
        <v>45139</v>
      </c>
      <c r="B70" s="1311">
        <f t="shared" si="108"/>
        <v>2086.7399999999998</v>
      </c>
      <c r="C70" s="1311">
        <f t="shared" si="109"/>
        <v>33293.050000000003</v>
      </c>
      <c r="D70" s="1311">
        <f t="shared" si="110"/>
        <v>47984.369999999995</v>
      </c>
      <c r="E70" s="1311">
        <f t="shared" si="145"/>
        <v>100695.11</v>
      </c>
      <c r="F70" s="1311">
        <f t="shared" si="111"/>
        <v>34558.19</v>
      </c>
      <c r="G70" s="1311">
        <f t="shared" si="112"/>
        <v>163573.79999999999</v>
      </c>
      <c r="H70" s="1311">
        <f t="shared" si="113"/>
        <v>10184.15</v>
      </c>
      <c r="I70" s="1311">
        <f t="shared" si="114"/>
        <v>23314.37</v>
      </c>
      <c r="J70" s="1311">
        <f t="shared" si="115"/>
        <v>66937</v>
      </c>
      <c r="K70" s="1311">
        <f t="shared" si="116"/>
        <v>312054.42000000732</v>
      </c>
      <c r="L70" s="1311">
        <f t="shared" si="117"/>
        <v>99872.43</v>
      </c>
      <c r="M70" s="1311">
        <f t="shared" si="118"/>
        <v>399190.83999999997</v>
      </c>
      <c r="N70" s="1311">
        <f t="shared" si="119"/>
        <v>18327.78</v>
      </c>
      <c r="O70" s="1311">
        <f t="shared" si="120"/>
        <v>45037.709999999992</v>
      </c>
      <c r="P70" s="1311">
        <f t="shared" si="121"/>
        <v>17524.52</v>
      </c>
      <c r="Q70" s="1311">
        <f t="shared" si="122"/>
        <v>3744</v>
      </c>
      <c r="R70" s="2134">
        <f t="shared" si="146"/>
        <v>1378378.4800000072</v>
      </c>
      <c r="S70" s="1311">
        <f>+AY70+CE70</f>
        <v>12967.349999999999</v>
      </c>
      <c r="T70" s="1311">
        <f>+AZ70+CF70</f>
        <v>100063.78</v>
      </c>
      <c r="U70" s="1311">
        <f t="shared" si="125"/>
        <v>97838</v>
      </c>
      <c r="V70" s="1311">
        <f t="shared" si="126"/>
        <v>0</v>
      </c>
      <c r="W70" s="1311">
        <f>+BC70+CI70</f>
        <v>43653</v>
      </c>
      <c r="X70" s="1311">
        <f t="shared" si="128"/>
        <v>495851</v>
      </c>
      <c r="Y70" s="1311">
        <f t="shared" si="129"/>
        <v>224451.9</v>
      </c>
      <c r="Z70" s="1311">
        <f t="shared" si="130"/>
        <v>0</v>
      </c>
      <c r="AA70" s="1311">
        <f t="shared" si="131"/>
        <v>0</v>
      </c>
      <c r="AB70" s="1311">
        <f t="shared" si="132"/>
        <v>0</v>
      </c>
      <c r="AC70" s="1311">
        <f t="shared" si="133"/>
        <v>0</v>
      </c>
      <c r="AD70" s="1311">
        <f t="shared" si="134"/>
        <v>77082</v>
      </c>
      <c r="AE70" s="1311">
        <f t="shared" si="135"/>
        <v>79858</v>
      </c>
      <c r="AF70" s="1311">
        <f>+BL70+CR70</f>
        <v>83628.2</v>
      </c>
      <c r="AG70" s="1311">
        <f t="shared" si="137"/>
        <v>149437.29999999999</v>
      </c>
      <c r="AH70" s="1694">
        <f t="shared" si="138"/>
        <v>30993.010000000002</v>
      </c>
      <c r="AI70" s="1862">
        <f>+'HH ALICORP'!$I$3</f>
        <v>0</v>
      </c>
      <c r="AJ70" s="1935">
        <f>+'HH ALICORP'!$I4</f>
        <v>25739</v>
      </c>
      <c r="AK70" s="1935">
        <f>+'HH ALICORP'!I$5</f>
        <v>29947.35</v>
      </c>
      <c r="AL70" s="1935">
        <f>+'HH ALICORP'!I$10</f>
        <v>83672</v>
      </c>
      <c r="AM70" s="1935">
        <f>+'HH ALICORP'!I$6</f>
        <v>23829</v>
      </c>
      <c r="AN70" s="1935">
        <f>+'HH ALICORP'!I$14</f>
        <v>148480.25</v>
      </c>
      <c r="AO70" s="1935">
        <f>+'HH ALICORP'!I$27</f>
        <v>8353</v>
      </c>
      <c r="AP70" s="1935">
        <f>+'HH ALICORP'!I8-AO70</f>
        <v>19632</v>
      </c>
      <c r="AQ70" s="1935">
        <f>+'HH ALICORP'!I$9</f>
        <v>47979</v>
      </c>
      <c r="AR70" s="1935">
        <f>+'HH ALICORP'!I$15+'HH ALICORP'!I37+'HH ALICORP'!I38+'HH ALICORP'!I39</f>
        <v>181681.87000000733</v>
      </c>
      <c r="AS70" s="1935">
        <f>+'HH ALICORP'!I$16+'HH ALICORP'!I$17+'HH ALICORP'!I$18+'HH ALICORP'!I$19+'HH ALICORP'!I32</f>
        <v>49552.15</v>
      </c>
      <c r="AT70" s="1935">
        <f>+'HH ALICORP'!I$20+'HH ALICORP'!I$21+'HH ALICORP'!I$22</f>
        <v>291144</v>
      </c>
      <c r="AU70" s="1935"/>
      <c r="AV70" s="1935"/>
      <c r="AW70" s="1935">
        <f>+'HH ALICORP'!I28+'HH ALICORP'!I36+'HH ALICORP'!I$34</f>
        <v>17524.52</v>
      </c>
      <c r="AX70" s="1947"/>
      <c r="AY70" s="1863">
        <v>9371.4199999999983</v>
      </c>
      <c r="AZ70" s="1951">
        <v>79470.78</v>
      </c>
      <c r="BA70" s="1951">
        <v>52659</v>
      </c>
      <c r="BB70" s="1951">
        <v>0</v>
      </c>
      <c r="BC70" s="1951">
        <v>21273</v>
      </c>
      <c r="BD70" s="2250">
        <f t="shared" si="139"/>
        <v>145736</v>
      </c>
      <c r="BE70" s="1862">
        <v>88119.9</v>
      </c>
      <c r="BF70" s="1994">
        <v>0</v>
      </c>
      <c r="BG70" s="1994">
        <v>0</v>
      </c>
      <c r="BH70" s="1994">
        <v>0</v>
      </c>
      <c r="BI70" s="1994">
        <v>0</v>
      </c>
      <c r="BJ70" s="1935">
        <v>57217</v>
      </c>
      <c r="BK70" s="1935">
        <v>34487</v>
      </c>
      <c r="BL70" s="1935">
        <v>45632.2</v>
      </c>
      <c r="BM70" s="1935">
        <v>62406</v>
      </c>
      <c r="BN70" s="1939">
        <v>14110.6</v>
      </c>
      <c r="BO70" s="3040">
        <f>+'HH 3EROS'!$I152</f>
        <v>2086.7399999999998</v>
      </c>
      <c r="BP70" s="1860">
        <f>+'HH 3EROS'!$I153</f>
        <v>7554.0499999999993</v>
      </c>
      <c r="BQ70" s="1860">
        <f>+'HH 3EROS'!$I154</f>
        <v>18037.02</v>
      </c>
      <c r="BR70" s="1860">
        <f>+'HH 3EROS'!$I155</f>
        <v>17023.11</v>
      </c>
      <c r="BS70" s="1860">
        <f>+'HH 3EROS'!$I156</f>
        <v>10729.19</v>
      </c>
      <c r="BT70" s="1860">
        <f>+'HH 3EROS'!$I157</f>
        <v>15093.550000000001</v>
      </c>
      <c r="BU70" s="1860">
        <f>+'HH 3EROS'!I$158</f>
        <v>1831.15</v>
      </c>
      <c r="BV70" s="1860">
        <f>+'HH 3EROS'!I$159</f>
        <v>3682.37</v>
      </c>
      <c r="BW70" s="1860">
        <f>+'HH 3EROS'!I$160</f>
        <v>18958</v>
      </c>
      <c r="BX70" s="1860">
        <f>+'HH 3EROS'!I$161+'HH 3EROS'!$I$177+'HH 3EROS'!I179+'HH 3EROS'!I180+'HH 3EROS'!I182+'HH 3EROS'!I184</f>
        <v>130372.55</v>
      </c>
      <c r="BY70" s="1860">
        <f>+'HH 3EROS'!I$162+'HH 3EROS'!I$178</f>
        <v>50320.28</v>
      </c>
      <c r="BZ70" s="1860">
        <f>+'HH 3EROS'!I$163</f>
        <v>108046.84</v>
      </c>
      <c r="CA70" s="1860">
        <f>+'HH 3EROS'!I$164</f>
        <v>18327.78</v>
      </c>
      <c r="CB70" s="1860">
        <f>+'HH 3EROS'!I$165+'HH 3EROS'!$I$175+'HH 3EROS'!$I$176+'HH 3EROS'!$I$181+'HH 3EROS'!$I$183</f>
        <v>45037.709999999992</v>
      </c>
      <c r="CC70" s="1860"/>
      <c r="CD70" s="3041">
        <f>+'HH 3EROS'!I$168</f>
        <v>3744</v>
      </c>
      <c r="CE70" s="1930">
        <v>3595.9300000000003</v>
      </c>
      <c r="CF70" s="1861">
        <v>20593</v>
      </c>
      <c r="CG70" s="1861">
        <v>45179</v>
      </c>
      <c r="CH70" s="1861">
        <v>0</v>
      </c>
      <c r="CI70" s="1861">
        <v>22380</v>
      </c>
      <c r="CJ70" s="1931">
        <v>350115</v>
      </c>
      <c r="CK70" s="3035">
        <v>136332</v>
      </c>
      <c r="CL70" s="1920">
        <v>0</v>
      </c>
      <c r="CM70" s="1920">
        <v>0</v>
      </c>
      <c r="CN70" s="1920">
        <v>0</v>
      </c>
      <c r="CO70" s="1920">
        <v>0</v>
      </c>
      <c r="CP70" s="1920">
        <v>19865</v>
      </c>
      <c r="CQ70" s="1920">
        <v>45371</v>
      </c>
      <c r="CR70" s="1920">
        <v>37996</v>
      </c>
      <c r="CS70" s="1920">
        <v>87031.3</v>
      </c>
      <c r="CT70" s="1928">
        <v>16882.41</v>
      </c>
      <c r="CU70" s="358">
        <f>SUM(AI70:BC70)+SUM(BO70:CI70)</f>
        <v>1632900.6100000073</v>
      </c>
      <c r="CV70" s="358">
        <f t="shared" si="141"/>
        <v>1090308.3400000073</v>
      </c>
      <c r="CW70" s="358">
        <f>+SUM(BO70:CI70)</f>
        <v>542592.27</v>
      </c>
      <c r="CX70" s="691">
        <f t="shared" si="143"/>
        <v>2128751.6100000073</v>
      </c>
      <c r="CY70" s="358">
        <f t="shared" si="147"/>
        <v>645450.40999999992</v>
      </c>
      <c r="CZ70" s="358">
        <f t="shared" si="144"/>
        <v>495851</v>
      </c>
    </row>
    <row r="71" spans="1:104">
      <c r="A71" s="1309">
        <v>45170</v>
      </c>
      <c r="B71" s="1311">
        <f t="shared" si="108"/>
        <v>2513.66</v>
      </c>
      <c r="C71" s="1311">
        <f t="shared" si="109"/>
        <v>45684.909999999996</v>
      </c>
      <c r="D71" s="1311">
        <f t="shared" si="110"/>
        <v>38814.78</v>
      </c>
      <c r="E71" s="1311">
        <f t="shared" si="145"/>
        <v>92276.450000000012</v>
      </c>
      <c r="F71" s="1311">
        <f t="shared" si="111"/>
        <v>34803.85</v>
      </c>
      <c r="G71" s="1311">
        <f t="shared" si="112"/>
        <v>171427.35</v>
      </c>
      <c r="H71" s="1311">
        <f t="shared" si="113"/>
        <v>8383.31</v>
      </c>
      <c r="I71" s="1311">
        <f t="shared" si="114"/>
        <v>22762.23</v>
      </c>
      <c r="J71" s="1311">
        <f t="shared" si="115"/>
        <v>62667.35</v>
      </c>
      <c r="K71" s="1311">
        <f t="shared" si="116"/>
        <v>290814.12</v>
      </c>
      <c r="L71" s="1311">
        <f t="shared" si="117"/>
        <v>98670.610000000015</v>
      </c>
      <c r="M71" s="1311">
        <f t="shared" si="118"/>
        <v>409448.95</v>
      </c>
      <c r="N71" s="1311">
        <f t="shared" si="119"/>
        <v>16154.07</v>
      </c>
      <c r="O71" s="1311">
        <f t="shared" si="120"/>
        <v>53961.120000000003</v>
      </c>
      <c r="P71" s="1311">
        <f t="shared" si="121"/>
        <v>16821.579999999998</v>
      </c>
      <c r="Q71" s="1311">
        <f t="shared" si="122"/>
        <v>3744</v>
      </c>
      <c r="R71" s="2134">
        <f t="shared" si="146"/>
        <v>1368948.3400000003</v>
      </c>
      <c r="S71" s="1311">
        <f t="shared" si="123"/>
        <v>13144.93</v>
      </c>
      <c r="T71" s="1311">
        <f t="shared" si="124"/>
        <v>99357.939999999988</v>
      </c>
      <c r="U71" s="1311">
        <f t="shared" si="125"/>
        <v>96958</v>
      </c>
      <c r="V71" s="1311">
        <f t="shared" si="126"/>
        <v>0</v>
      </c>
      <c r="W71" s="1311">
        <f t="shared" si="127"/>
        <v>42804</v>
      </c>
      <c r="X71" s="1311">
        <f t="shared" si="128"/>
        <v>495833</v>
      </c>
      <c r="Y71" s="1311">
        <f t="shared" si="129"/>
        <v>232148.53333333333</v>
      </c>
      <c r="Z71" s="1311">
        <f t="shared" si="130"/>
        <v>0</v>
      </c>
      <c r="AA71" s="1311">
        <f t="shared" si="131"/>
        <v>0</v>
      </c>
      <c r="AB71" s="1311">
        <f t="shared" si="132"/>
        <v>0</v>
      </c>
      <c r="AC71" s="1311">
        <f t="shared" si="133"/>
        <v>0</v>
      </c>
      <c r="AD71" s="1311">
        <f t="shared" si="134"/>
        <v>71731</v>
      </c>
      <c r="AE71" s="1311">
        <f t="shared" si="135"/>
        <v>77581.485277777028</v>
      </c>
      <c r="AF71" s="1311">
        <f>+BL71+CR71</f>
        <v>85012</v>
      </c>
      <c r="AG71" s="1311">
        <f t="shared" si="137"/>
        <v>127157.2</v>
      </c>
      <c r="AH71" s="1694">
        <f t="shared" si="138"/>
        <v>34675.040000000001</v>
      </c>
      <c r="AI71" s="1862">
        <f>+'HH ALICORP'!$J$3</f>
        <v>0</v>
      </c>
      <c r="AJ71" s="1935">
        <f>+'HH ALICORP'!J$4</f>
        <v>25870.5</v>
      </c>
      <c r="AK71" s="1935">
        <f>+'HH ALICORP'!J$5</f>
        <v>28619.769999999997</v>
      </c>
      <c r="AL71" s="1935">
        <f>+'HH ALICORP'!J$10</f>
        <v>80963.41</v>
      </c>
      <c r="AM71" s="1935">
        <f>+'HH ALICORP'!J$6</f>
        <v>23275</v>
      </c>
      <c r="AN71" s="1935">
        <f>+'HH ALICORP'!J$14</f>
        <v>156737.72</v>
      </c>
      <c r="AO71" s="1935">
        <f>+'HH ALICORP'!J$27</f>
        <v>8353</v>
      </c>
      <c r="AP71" s="1935">
        <f>+'HH ALICORP'!J8-AO71</f>
        <v>17590</v>
      </c>
      <c r="AQ71" s="1935">
        <f>+'HH ALICORP'!J$9</f>
        <v>47529</v>
      </c>
      <c r="AR71" s="1935">
        <f>+'HH ALICORP'!J$15+'HH ALICORP'!J36+'HH ALICORP'!J37+'HH ALICORP'!J39</f>
        <v>149449.16999999998</v>
      </c>
      <c r="AS71" s="1935">
        <f>+'HH ALICORP'!J$16+'HH ALICORP'!J$17+'HH ALICORP'!J$18+'HH ALICORP'!J$19+'HH ALICORP'!J32</f>
        <v>47209.210000000006</v>
      </c>
      <c r="AT71" s="1935">
        <f>+'HH ALICORP'!J$20+'HH ALICORP'!J$21+'HH ALICORP'!J$22</f>
        <v>292616</v>
      </c>
      <c r="AU71" s="1935"/>
      <c r="AV71" s="1935"/>
      <c r="AW71" s="1935">
        <f>+'HH ALICORP'!J28+'HH ALICORP'!J35+'HH ALICORP'!J$34</f>
        <v>16821.579999999998</v>
      </c>
      <c r="AX71" s="1947"/>
      <c r="AY71" s="1863">
        <v>9168.51</v>
      </c>
      <c r="AZ71" s="1951">
        <v>78793.939999999988</v>
      </c>
      <c r="BA71" s="1951">
        <v>56170</v>
      </c>
      <c r="BB71" s="1951">
        <v>0</v>
      </c>
      <c r="BC71" s="1951">
        <v>21040</v>
      </c>
      <c r="BD71" s="2250">
        <f t="shared" si="139"/>
        <v>145736</v>
      </c>
      <c r="BE71" s="1862">
        <v>83367.199999999997</v>
      </c>
      <c r="BF71" s="1994">
        <v>0</v>
      </c>
      <c r="BG71" s="1994">
        <v>0</v>
      </c>
      <c r="BH71" s="1994">
        <v>0</v>
      </c>
      <c r="BI71" s="1994">
        <v>0</v>
      </c>
      <c r="BJ71" s="1935">
        <v>55149</v>
      </c>
      <c r="BK71" s="1935">
        <v>41716.36</v>
      </c>
      <c r="BL71" s="1935">
        <v>47867</v>
      </c>
      <c r="BM71" s="1935">
        <v>53096</v>
      </c>
      <c r="BN71" s="1939">
        <v>14503.9</v>
      </c>
      <c r="BO71" s="3040">
        <f>+'HH 3EROS'!$J152</f>
        <v>2513.66</v>
      </c>
      <c r="BP71" s="1860">
        <f>+'HH 3EROS'!$J153</f>
        <v>19814.409999999996</v>
      </c>
      <c r="BQ71" s="1860">
        <f>+'HH 3EROS'!$J154</f>
        <v>10195.01</v>
      </c>
      <c r="BR71" s="1860">
        <f>+'HH 3EROS'!$J155</f>
        <v>11313.04</v>
      </c>
      <c r="BS71" s="1860">
        <f>+'HH 3EROS'!$J156</f>
        <v>11528.85</v>
      </c>
      <c r="BT71" s="1860">
        <f>+'HH 3EROS'!$J157</f>
        <v>14689.63</v>
      </c>
      <c r="BU71" s="1860">
        <f>+'HH 3EROS'!J$158</f>
        <v>30.31</v>
      </c>
      <c r="BV71" s="1860">
        <f>+'HH 3EROS'!J$159</f>
        <v>5172.2299999999996</v>
      </c>
      <c r="BW71" s="1860">
        <f>+'HH 3EROS'!J$160</f>
        <v>15138.35</v>
      </c>
      <c r="BX71" s="1860">
        <f>+'HH 3EROS'!J$161+'HH 3EROS'!$J$177+'HH 3EROS'!J179+'HH 3EROS'!J180+'HH 3EROS'!J182+'HH 3EROS'!J184</f>
        <v>141364.95000000001</v>
      </c>
      <c r="BY71" s="1860">
        <f>+'HH 3EROS'!J$162+'HH 3EROS'!J$178</f>
        <v>51461.4</v>
      </c>
      <c r="BZ71" s="1860">
        <f>+'HH 3EROS'!J$163</f>
        <v>116832.95</v>
      </c>
      <c r="CA71" s="1860">
        <f>+'HH 3EROS'!J$164</f>
        <v>16154.07</v>
      </c>
      <c r="CB71" s="1860">
        <f>+'HH 3EROS'!J$165+'HH 3EROS'!$J$175+'HH 3EROS'!$J$176+'HH 3EROS'!$J$181+'HH 3EROS'!$J$183</f>
        <v>53961.120000000003</v>
      </c>
      <c r="CC71" s="1860"/>
      <c r="CD71" s="3041">
        <f>+'HH 3EROS'!J$168</f>
        <v>3744</v>
      </c>
      <c r="CE71" s="1930">
        <v>3976.42</v>
      </c>
      <c r="CF71" s="1861">
        <v>20564</v>
      </c>
      <c r="CG71" s="1861">
        <v>40788</v>
      </c>
      <c r="CH71" s="1861">
        <v>0</v>
      </c>
      <c r="CI71" s="1861">
        <v>21764</v>
      </c>
      <c r="CJ71" s="1931">
        <v>350097</v>
      </c>
      <c r="CK71" s="3035">
        <v>148781.33333333334</v>
      </c>
      <c r="CL71" s="1920">
        <v>0</v>
      </c>
      <c r="CM71" s="1920">
        <v>0</v>
      </c>
      <c r="CN71" s="1920">
        <v>0</v>
      </c>
      <c r="CO71" s="1920">
        <v>0</v>
      </c>
      <c r="CP71" s="1920">
        <v>16582</v>
      </c>
      <c r="CQ71" s="1920">
        <v>35865.125277777028</v>
      </c>
      <c r="CR71" s="1920">
        <v>37145</v>
      </c>
      <c r="CS71" s="1920">
        <v>74061.2</v>
      </c>
      <c r="CT71" s="1928">
        <v>20171.14</v>
      </c>
      <c r="CU71" s="358">
        <f t="shared" si="140"/>
        <v>1621213.21</v>
      </c>
      <c r="CV71" s="358">
        <f t="shared" si="141"/>
        <v>1060206.81</v>
      </c>
      <c r="CW71" s="358">
        <f t="shared" si="142"/>
        <v>561006.4</v>
      </c>
      <c r="CX71" s="691">
        <f t="shared" si="143"/>
        <v>2117046.21</v>
      </c>
      <c r="CY71" s="358">
        <f t="shared" si="147"/>
        <v>628305.25861111039</v>
      </c>
      <c r="CZ71" s="358">
        <f t="shared" si="144"/>
        <v>495833</v>
      </c>
    </row>
    <row r="72" spans="1:104">
      <c r="A72" s="1309">
        <v>45200</v>
      </c>
      <c r="B72" s="1311">
        <f t="shared" si="108"/>
        <v>1833.54</v>
      </c>
      <c r="C72" s="1311">
        <f t="shared" si="109"/>
        <v>31077.914000000001</v>
      </c>
      <c r="D72" s="1311">
        <f t="shared" si="110"/>
        <v>37401.440000000002</v>
      </c>
      <c r="E72" s="1311">
        <f t="shared" si="145"/>
        <v>94542.260000000009</v>
      </c>
      <c r="F72" s="1311">
        <f t="shared" si="111"/>
        <v>30032.739999999998</v>
      </c>
      <c r="G72" s="1311">
        <f t="shared" si="112"/>
        <v>176159.43</v>
      </c>
      <c r="H72" s="1311">
        <f t="shared" si="113"/>
        <v>8401.68</v>
      </c>
      <c r="I72" s="1311">
        <f t="shared" si="114"/>
        <v>25151.89</v>
      </c>
      <c r="J72" s="1311">
        <f t="shared" si="115"/>
        <v>62571.24</v>
      </c>
      <c r="K72" s="1311">
        <f t="shared" si="116"/>
        <v>289385.21999999997</v>
      </c>
      <c r="L72" s="1311">
        <f t="shared" si="117"/>
        <v>98785.65</v>
      </c>
      <c r="M72" s="1311">
        <f t="shared" si="118"/>
        <v>412038.84791666665</v>
      </c>
      <c r="N72" s="1311">
        <f t="shared" si="119"/>
        <v>16554.349999999999</v>
      </c>
      <c r="O72" s="1311">
        <f t="shared" si="120"/>
        <v>41403.699999999997</v>
      </c>
      <c r="P72" s="1311">
        <f t="shared" si="121"/>
        <v>16895.87</v>
      </c>
      <c r="Q72" s="1311">
        <f t="shared" si="122"/>
        <v>3744</v>
      </c>
      <c r="R72" s="2134">
        <f t="shared" si="146"/>
        <v>1345979.7719166668</v>
      </c>
      <c r="S72" s="1311">
        <f t="shared" si="123"/>
        <v>12141.060000000001</v>
      </c>
      <c r="T72" s="1311">
        <f t="shared" si="124"/>
        <v>95944.340000000011</v>
      </c>
      <c r="U72" s="1311">
        <f t="shared" si="125"/>
        <v>102348</v>
      </c>
      <c r="V72" s="1311">
        <f t="shared" si="126"/>
        <v>0</v>
      </c>
      <c r="W72" s="1311">
        <f>+BC72+CI72</f>
        <v>44371</v>
      </c>
      <c r="X72" s="1311">
        <f t="shared" si="128"/>
        <v>428374</v>
      </c>
      <c r="Y72" s="1311">
        <f t="shared" si="129"/>
        <v>224830.6</v>
      </c>
      <c r="Z72" s="1311">
        <f t="shared" si="130"/>
        <v>0</v>
      </c>
      <c r="AA72" s="1311">
        <f t="shared" si="131"/>
        <v>0</v>
      </c>
      <c r="AB72" s="1311">
        <f t="shared" si="132"/>
        <v>0</v>
      </c>
      <c r="AC72" s="1311">
        <f t="shared" si="133"/>
        <v>0</v>
      </c>
      <c r="AD72" s="1311">
        <f t="shared" si="134"/>
        <v>72581</v>
      </c>
      <c r="AE72" s="1311">
        <f t="shared" si="135"/>
        <v>92953.17</v>
      </c>
      <c r="AF72" s="1311">
        <f t="shared" si="136"/>
        <v>82781</v>
      </c>
      <c r="AG72" s="1311">
        <f t="shared" si="137"/>
        <v>102167.93</v>
      </c>
      <c r="AH72" s="1694">
        <f t="shared" si="138"/>
        <v>31331.39</v>
      </c>
      <c r="AI72" s="1862">
        <f>+'HH ALICORP'!$K$3</f>
        <v>0</v>
      </c>
      <c r="AJ72" s="1935">
        <f>+'HH ALICORP'!K$4</f>
        <v>25839</v>
      </c>
      <c r="AK72" s="1935">
        <f>+'HH ALICORP'!K$5</f>
        <v>27409</v>
      </c>
      <c r="AL72" s="1935">
        <f>+'HH ALICORP'!K$10</f>
        <v>79662</v>
      </c>
      <c r="AM72" s="1935">
        <f>+'HH ALICORP'!K$6</f>
        <v>22075</v>
      </c>
      <c r="AN72" s="1935">
        <f>+'HH ALICORP'!K$14</f>
        <v>150586</v>
      </c>
      <c r="AO72" s="1935">
        <f>+'HH ALICORP'!K$27</f>
        <v>8353</v>
      </c>
      <c r="AP72" s="1935">
        <f>+'HH ALICORP'!K8-AO72</f>
        <v>18340</v>
      </c>
      <c r="AQ72" s="1935">
        <f>+'HH ALICORP'!K$9</f>
        <v>46601</v>
      </c>
      <c r="AR72" s="1935">
        <f>+'HH ALICORP'!K$15+'HH ALICORP'!K36+'HH ALICORP'!K37+'HH ALICORP'!K39</f>
        <v>150647.16</v>
      </c>
      <c r="AS72" s="1935">
        <f>+'HH ALICORP'!K$16+'HH ALICORP'!K$17+'HH ALICORP'!K$18+'HH ALICORP'!K$19+'HH ALICORP'!K32</f>
        <v>48333.2</v>
      </c>
      <c r="AT72" s="1935">
        <f>+'HH ALICORP'!K$20+'HH ALICORP'!K$21+'HH ALICORP'!K$22</f>
        <v>291126</v>
      </c>
      <c r="AU72" s="1935"/>
      <c r="AV72" s="1935"/>
      <c r="AW72" s="1935">
        <f>+'HH ALICORP'!K28+'HH ALICORP'!K35+'HH ALICORP'!K$34</f>
        <v>16895.87</v>
      </c>
      <c r="AX72" s="1947"/>
      <c r="AY72" s="1863">
        <v>8899.09</v>
      </c>
      <c r="AZ72" s="1951">
        <v>77718.340000000011</v>
      </c>
      <c r="BA72" s="1951">
        <v>62231</v>
      </c>
      <c r="BB72" s="1951">
        <v>0</v>
      </c>
      <c r="BC72" s="1951">
        <v>22045</v>
      </c>
      <c r="BD72" s="2250">
        <f t="shared" si="139"/>
        <v>145736</v>
      </c>
      <c r="BE72" s="1862">
        <v>83721.600000000006</v>
      </c>
      <c r="BF72" s="1994">
        <v>0</v>
      </c>
      <c r="BG72" s="1994">
        <v>0</v>
      </c>
      <c r="BH72" s="1994">
        <v>0</v>
      </c>
      <c r="BI72" s="1994">
        <v>0</v>
      </c>
      <c r="BJ72" s="1935">
        <v>54797</v>
      </c>
      <c r="BK72" s="1935">
        <v>38423.67</v>
      </c>
      <c r="BL72" s="1935">
        <v>45976</v>
      </c>
      <c r="BM72" s="1935">
        <v>33921</v>
      </c>
      <c r="BN72" s="1939">
        <v>13975</v>
      </c>
      <c r="BO72" s="3040">
        <f>+'HH 3EROS'!$K152</f>
        <v>1833.54</v>
      </c>
      <c r="BP72" s="1860">
        <f>+'HH 3EROS'!$K153</f>
        <v>5238.9140000000007</v>
      </c>
      <c r="BQ72" s="1860">
        <f>+'HH 3EROS'!$K154</f>
        <v>9992.4399999999987</v>
      </c>
      <c r="BR72" s="1860">
        <f>+'HH 3EROS'!$K155</f>
        <v>14880.260000000002</v>
      </c>
      <c r="BS72" s="1860">
        <f>+'HH 3EROS'!$K156</f>
        <v>7957.74</v>
      </c>
      <c r="BT72" s="1860">
        <f>+'HH 3EROS'!$K157</f>
        <v>25573.43</v>
      </c>
      <c r="BU72" s="1860">
        <f>+'HH 3EROS'!K$158</f>
        <v>48.68</v>
      </c>
      <c r="BV72" s="1860">
        <f>+'HH 3EROS'!K$159</f>
        <v>6811.89</v>
      </c>
      <c r="BW72" s="1860">
        <f>+'HH 3EROS'!K$160</f>
        <v>15970.24</v>
      </c>
      <c r="BX72" s="1860">
        <f>+'HH 3EROS'!K$161+'HH 3EROS'!$K$177+'HH 3EROS'!K179+'HH 3EROS'!K180+'HH 3EROS'!K182+'HH 3EROS'!K184</f>
        <v>138738.06</v>
      </c>
      <c r="BY72" s="1860">
        <f>+'HH 3EROS'!K$162+'HH 3EROS'!K$178</f>
        <v>50452.45</v>
      </c>
      <c r="BZ72" s="1860">
        <f>+'HH 3EROS'!K$163</f>
        <v>120912.84791666668</v>
      </c>
      <c r="CA72" s="1860">
        <f>+'HH 3EROS'!K$164</f>
        <v>16554.349999999999</v>
      </c>
      <c r="CB72" s="1860">
        <f>+'HH 3EROS'!K$165+'HH 3EROS'!$K$175+'HH 3EROS'!$K$176+'HH 3EROS'!$K$181+'HH 3EROS'!$K$183</f>
        <v>41403.699999999997</v>
      </c>
      <c r="CC72" s="1860"/>
      <c r="CD72" s="3041">
        <f>+'HH 3EROS'!K$168</f>
        <v>3744</v>
      </c>
      <c r="CE72" s="1930">
        <v>3241.9700000000003</v>
      </c>
      <c r="CF72" s="1861">
        <v>18226</v>
      </c>
      <c r="CG72" s="1861">
        <v>40117</v>
      </c>
      <c r="CH72" s="1861">
        <v>0</v>
      </c>
      <c r="CI72" s="1861">
        <v>22326</v>
      </c>
      <c r="CJ72" s="1931">
        <v>282638</v>
      </c>
      <c r="CK72" s="3035">
        <v>141109</v>
      </c>
      <c r="CL72" s="1920">
        <v>0</v>
      </c>
      <c r="CM72" s="1920">
        <v>0</v>
      </c>
      <c r="CN72" s="1920">
        <v>0</v>
      </c>
      <c r="CO72" s="1920">
        <v>0</v>
      </c>
      <c r="CP72" s="1920">
        <v>17784</v>
      </c>
      <c r="CQ72" s="1920">
        <v>54529.5</v>
      </c>
      <c r="CR72" s="1920">
        <v>36805</v>
      </c>
      <c r="CS72" s="1920">
        <v>68246.929999999993</v>
      </c>
      <c r="CT72" s="1928">
        <v>17356.39</v>
      </c>
      <c r="CU72" s="358">
        <f>SUM(AI72:BC72)+SUM(BO72:CI72)</f>
        <v>1600784.1719166667</v>
      </c>
      <c r="CV72" s="358">
        <f t="shared" si="141"/>
        <v>1056760.6599999999</v>
      </c>
      <c r="CW72" s="358">
        <f>+SUM(BO72:CI72)</f>
        <v>544023.51191666676</v>
      </c>
      <c r="CX72" s="691">
        <f t="shared" si="143"/>
        <v>2029158.1719166667</v>
      </c>
      <c r="CY72" s="358">
        <f t="shared" si="147"/>
        <v>606645.09000000008</v>
      </c>
      <c r="CZ72" s="358">
        <f t="shared" si="144"/>
        <v>428374</v>
      </c>
    </row>
    <row r="73" spans="1:104">
      <c r="A73" s="1309">
        <v>45231</v>
      </c>
      <c r="B73" s="1311">
        <f t="shared" si="108"/>
        <v>2780.88</v>
      </c>
      <c r="C73" s="1311">
        <f t="shared" si="109"/>
        <v>32681.309999999998</v>
      </c>
      <c r="D73" s="1311">
        <f t="shared" si="110"/>
        <v>37304.75</v>
      </c>
      <c r="E73" s="1311">
        <f t="shared" si="145"/>
        <v>85351.02</v>
      </c>
      <c r="F73" s="1311">
        <f t="shared" si="111"/>
        <v>34019.149999999994</v>
      </c>
      <c r="G73" s="1311">
        <f t="shared" si="112"/>
        <v>168801.94</v>
      </c>
      <c r="H73" s="1311">
        <f t="shared" si="113"/>
        <v>10197.959999999999</v>
      </c>
      <c r="I73" s="1311">
        <f t="shared" si="114"/>
        <v>21194.5</v>
      </c>
      <c r="J73" s="1311">
        <f t="shared" si="115"/>
        <v>61586.400000000001</v>
      </c>
      <c r="K73" s="1311">
        <f t="shared" si="116"/>
        <v>288530.21999999997</v>
      </c>
      <c r="L73" s="1311">
        <f t="shared" si="117"/>
        <v>99064.510000000009</v>
      </c>
      <c r="M73" s="1311">
        <f t="shared" si="118"/>
        <v>385412.13</v>
      </c>
      <c r="N73" s="1311">
        <f t="shared" si="119"/>
        <v>15894.869999999999</v>
      </c>
      <c r="O73" s="1311">
        <f t="shared" si="120"/>
        <v>28706.07</v>
      </c>
      <c r="P73" s="1311">
        <f t="shared" si="121"/>
        <v>15438</v>
      </c>
      <c r="Q73" s="1311">
        <f t="shared" si="122"/>
        <v>3744</v>
      </c>
      <c r="R73" s="2134">
        <f t="shared" si="146"/>
        <v>1290707.7100000002</v>
      </c>
      <c r="S73" s="1311">
        <f t="shared" si="123"/>
        <v>14209.96</v>
      </c>
      <c r="T73" s="1311">
        <f t="shared" si="124"/>
        <v>67032.2</v>
      </c>
      <c r="U73" s="1311">
        <f t="shared" si="125"/>
        <v>104013</v>
      </c>
      <c r="V73" s="1311">
        <f t="shared" si="126"/>
        <v>0</v>
      </c>
      <c r="W73" s="1311">
        <f>+BC73+CI73</f>
        <v>42800</v>
      </c>
      <c r="X73" s="1311">
        <f t="shared" si="128"/>
        <v>179275</v>
      </c>
      <c r="Y73" s="1311">
        <f t="shared" si="129"/>
        <v>267452.94</v>
      </c>
      <c r="Z73" s="1311">
        <f t="shared" si="130"/>
        <v>0</v>
      </c>
      <c r="AA73" s="1311">
        <f t="shared" si="131"/>
        <v>0</v>
      </c>
      <c r="AB73" s="1311">
        <f t="shared" si="132"/>
        <v>0</v>
      </c>
      <c r="AC73" s="1311">
        <f t="shared" si="133"/>
        <v>0</v>
      </c>
      <c r="AD73" s="1311">
        <f t="shared" si="134"/>
        <v>74964</v>
      </c>
      <c r="AE73" s="1311">
        <f t="shared" si="135"/>
        <v>91359.7</v>
      </c>
      <c r="AF73" s="1311">
        <f t="shared" si="136"/>
        <v>83893.36</v>
      </c>
      <c r="AG73" s="1311">
        <f t="shared" si="137"/>
        <v>109830</v>
      </c>
      <c r="AH73" s="1694">
        <f t="shared" si="138"/>
        <v>30212.420000000002</v>
      </c>
      <c r="AI73" s="1862">
        <f>+'HH ALICORP'!$L$3</f>
        <v>0</v>
      </c>
      <c r="AJ73" s="1935">
        <f>+'HH ALICORP'!L$4</f>
        <v>25207</v>
      </c>
      <c r="AK73" s="1935">
        <f>+'HH ALICORP'!L$5</f>
        <v>26309</v>
      </c>
      <c r="AL73" s="1935">
        <f>+'HH ALICORP'!L$10</f>
        <v>75868</v>
      </c>
      <c r="AM73" s="1935">
        <f>+'HH ALICORP'!L$6</f>
        <v>23900</v>
      </c>
      <c r="AN73" s="1935">
        <f>+'HH ALICORP'!L$14</f>
        <v>149171</v>
      </c>
      <c r="AO73" s="1935">
        <f>+'HH ALICORP'!L$27</f>
        <v>8353</v>
      </c>
      <c r="AP73" s="1935">
        <f>+'HH ALICORP'!L8-AO73</f>
        <v>17330</v>
      </c>
      <c r="AQ73" s="1935">
        <f>+'HH ALICORP'!L$9</f>
        <v>44652</v>
      </c>
      <c r="AR73" s="1935">
        <f>+'HH ALICORP'!L$15+'HH ALICORP'!L36+'HH ALICORP'!L37+'HH ALICORP'!L39</f>
        <v>148767</v>
      </c>
      <c r="AS73" s="1935">
        <f>+'HH ALICORP'!L$16+'HH ALICORP'!L$17+'HH ALICORP'!L$18+'HH ALICORP'!L$19+'HH ALICORP'!L32</f>
        <v>46963.94</v>
      </c>
      <c r="AT73" s="1935">
        <f>+'HH ALICORP'!L$20+'HH ALICORP'!L$21+'HH ALICORP'!L$22</f>
        <v>277536</v>
      </c>
      <c r="AU73" s="1935"/>
      <c r="AV73" s="1935"/>
      <c r="AW73" s="1935">
        <f>+'HH ALICORP'!L28+'HH ALICORP'!L35+'HH ALICORP'!L$34</f>
        <v>15438</v>
      </c>
      <c r="AX73" s="1947"/>
      <c r="AY73" s="1863">
        <v>8391.65</v>
      </c>
      <c r="AZ73" s="1951">
        <v>51700.2</v>
      </c>
      <c r="BA73" s="1951">
        <v>61262</v>
      </c>
      <c r="BB73" s="1951">
        <v>0</v>
      </c>
      <c r="BC73" s="1951">
        <v>21086</v>
      </c>
      <c r="BD73" s="2250">
        <f t="shared" si="139"/>
        <v>145736</v>
      </c>
      <c r="BE73" s="1862">
        <v>84398.94</v>
      </c>
      <c r="BF73" s="1994">
        <v>0</v>
      </c>
      <c r="BG73" s="1994">
        <v>0</v>
      </c>
      <c r="BH73" s="1994">
        <v>0</v>
      </c>
      <c r="BI73" s="1994">
        <v>0</v>
      </c>
      <c r="BJ73" s="1935">
        <v>57058</v>
      </c>
      <c r="BK73" s="1935">
        <v>43040.7</v>
      </c>
      <c r="BL73" s="1935">
        <v>51210.36</v>
      </c>
      <c r="BM73" s="1935">
        <v>41030</v>
      </c>
      <c r="BN73" s="1939">
        <v>13775.3</v>
      </c>
      <c r="BO73" s="3040">
        <f>+'HH 3EROS'!$L152</f>
        <v>2780.88</v>
      </c>
      <c r="BP73" s="1860">
        <f>+'HH 3EROS'!$L153</f>
        <v>7474.3099999999995</v>
      </c>
      <c r="BQ73" s="1860">
        <f>+'HH 3EROS'!$L154</f>
        <v>10995.75</v>
      </c>
      <c r="BR73" s="1860">
        <f>+'HH 3EROS'!$L155</f>
        <v>9483.02</v>
      </c>
      <c r="BS73" s="1860">
        <f>+'HH 3EROS'!$L156</f>
        <v>10119.149999999998</v>
      </c>
      <c r="BT73" s="1860">
        <f>+'HH 3EROS'!$L157</f>
        <v>19630.940000000002</v>
      </c>
      <c r="BU73" s="1860">
        <f>+'HH 3EROS'!L$158</f>
        <v>1844.96</v>
      </c>
      <c r="BV73" s="1860">
        <f>+'HH 3EROS'!L$159</f>
        <v>3864.5</v>
      </c>
      <c r="BW73" s="1860">
        <f>+'HH 3EROS'!L$160</f>
        <v>16934.400000000001</v>
      </c>
      <c r="BX73" s="1860">
        <f>+'HH 3EROS'!L$161+'HH 3EROS'!$L$177+'HH 3EROS'!L179+'HH 3EROS'!L180+'HH 3EROS'!L182+'HH 3EROS'!L184</f>
        <v>139763.22</v>
      </c>
      <c r="BY73" s="1860">
        <f>+'HH 3EROS'!L$162+'HH 3EROS'!L$178</f>
        <v>52100.57</v>
      </c>
      <c r="BZ73" s="1860">
        <f>+'HH 3EROS'!L$163</f>
        <v>107876.12999999999</v>
      </c>
      <c r="CA73" s="1860">
        <f>+'HH 3EROS'!L$164</f>
        <v>15894.869999999999</v>
      </c>
      <c r="CB73" s="1860">
        <f>+'HH 3EROS'!L$165+'HH 3EROS'!$L$175+'HH 3EROS'!$L$176+'HH 3EROS'!$L$181+'HH 3EROS'!$L$183</f>
        <v>28706.07</v>
      </c>
      <c r="CC73" s="1860"/>
      <c r="CD73" s="3041">
        <f>+'HH 3EROS'!L$168</f>
        <v>3744</v>
      </c>
      <c r="CE73" s="1930">
        <v>5818.31</v>
      </c>
      <c r="CF73" s="1861">
        <v>15332</v>
      </c>
      <c r="CG73" s="1861">
        <v>42751</v>
      </c>
      <c r="CH73" s="1861">
        <v>0</v>
      </c>
      <c r="CI73" s="1861">
        <v>21714</v>
      </c>
      <c r="CJ73" s="1931">
        <v>33539</v>
      </c>
      <c r="CK73" s="3035">
        <v>183054</v>
      </c>
      <c r="CL73" s="1920">
        <v>0</v>
      </c>
      <c r="CM73" s="1920">
        <v>0</v>
      </c>
      <c r="CN73" s="1920">
        <v>0</v>
      </c>
      <c r="CO73" s="1920">
        <v>0</v>
      </c>
      <c r="CP73" s="1920">
        <v>17906</v>
      </c>
      <c r="CQ73" s="1920">
        <v>48319</v>
      </c>
      <c r="CR73" s="1920">
        <v>32683</v>
      </c>
      <c r="CS73" s="1920">
        <v>68800</v>
      </c>
      <c r="CT73" s="1928">
        <v>16437.120000000003</v>
      </c>
      <c r="CU73" s="358">
        <f t="shared" si="140"/>
        <v>1518762.8699999999</v>
      </c>
      <c r="CV73" s="358">
        <f t="shared" si="141"/>
        <v>1001934.7899999999</v>
      </c>
      <c r="CW73" s="358">
        <f t="shared" si="142"/>
        <v>516828.08</v>
      </c>
      <c r="CX73" s="691">
        <f t="shared" si="143"/>
        <v>1698037.8699999999</v>
      </c>
      <c r="CY73" s="358">
        <f t="shared" si="147"/>
        <v>657712.41999999993</v>
      </c>
      <c r="CZ73" s="358">
        <f t="shared" si="144"/>
        <v>179275</v>
      </c>
    </row>
    <row r="74" spans="1:104" ht="13.8" thickBot="1">
      <c r="A74" s="1309">
        <v>45261</v>
      </c>
      <c r="B74" s="1311">
        <f t="shared" si="108"/>
        <v>2163.8599999999997</v>
      </c>
      <c r="C74" s="1311">
        <f t="shared" si="109"/>
        <v>34375.279999999999</v>
      </c>
      <c r="D74" s="1311">
        <f t="shared" si="110"/>
        <v>41899.43</v>
      </c>
      <c r="E74" s="1311">
        <f t="shared" si="145"/>
        <v>73772.09</v>
      </c>
      <c r="F74" s="1311">
        <f t="shared" si="111"/>
        <v>28119.69</v>
      </c>
      <c r="G74" s="1311">
        <f t="shared" si="112"/>
        <v>177342.47</v>
      </c>
      <c r="H74" s="1311">
        <f t="shared" si="113"/>
        <v>8574.36</v>
      </c>
      <c r="I74" s="1311">
        <f t="shared" si="114"/>
        <v>18391.349999999999</v>
      </c>
      <c r="J74" s="1311">
        <f t="shared" si="115"/>
        <v>65048.979999999996</v>
      </c>
      <c r="K74" s="1311">
        <f t="shared" si="116"/>
        <v>279710.39</v>
      </c>
      <c r="L74" s="1311">
        <f t="shared" si="117"/>
        <v>99053.99</v>
      </c>
      <c r="M74" s="1311">
        <f t="shared" si="118"/>
        <v>370700.7</v>
      </c>
      <c r="N74" s="1311">
        <f t="shared" si="119"/>
        <v>17080.13</v>
      </c>
      <c r="O74" s="1311">
        <f t="shared" si="120"/>
        <v>31442.080000000002</v>
      </c>
      <c r="P74" s="1311">
        <f t="shared" si="121"/>
        <v>16838.59</v>
      </c>
      <c r="Q74" s="1311">
        <f t="shared" si="122"/>
        <v>3744</v>
      </c>
      <c r="R74" s="2134">
        <f t="shared" si="146"/>
        <v>1268257.3899999999</v>
      </c>
      <c r="S74" s="1311">
        <f t="shared" si="123"/>
        <v>12077.98</v>
      </c>
      <c r="T74" s="1311">
        <f t="shared" si="124"/>
        <v>24938.059999999998</v>
      </c>
      <c r="U74" s="1311">
        <f t="shared" si="125"/>
        <v>95943</v>
      </c>
      <c r="V74" s="1311">
        <f t="shared" si="126"/>
        <v>0</v>
      </c>
      <c r="W74" s="1311">
        <f t="shared" si="127"/>
        <v>39776</v>
      </c>
      <c r="X74" s="1311">
        <f t="shared" si="128"/>
        <v>531708</v>
      </c>
      <c r="Y74" s="1311">
        <f t="shared" si="129"/>
        <v>253547.7</v>
      </c>
      <c r="Z74" s="1311">
        <f t="shared" si="130"/>
        <v>0</v>
      </c>
      <c r="AA74" s="1311">
        <f t="shared" si="131"/>
        <v>0</v>
      </c>
      <c r="AB74" s="1311">
        <f t="shared" si="132"/>
        <v>0</v>
      </c>
      <c r="AC74" s="1311">
        <f t="shared" si="133"/>
        <v>0</v>
      </c>
      <c r="AD74" s="1311">
        <f t="shared" si="134"/>
        <v>72511</v>
      </c>
      <c r="AE74" s="1311">
        <f t="shared" si="135"/>
        <v>69711</v>
      </c>
      <c r="AF74" s="1311">
        <f t="shared" si="136"/>
        <v>77381</v>
      </c>
      <c r="AG74" s="1311">
        <f t="shared" si="137"/>
        <v>101359</v>
      </c>
      <c r="AH74" s="1694">
        <f t="shared" si="138"/>
        <v>24918.41</v>
      </c>
      <c r="AI74" s="1940">
        <f>+'HH ALICORP'!$M$3</f>
        <v>0</v>
      </c>
      <c r="AJ74" s="1941">
        <f>+'HH ALICORP'!M$4</f>
        <v>25286</v>
      </c>
      <c r="AK74" s="1941">
        <f>+'HH ALICORP'!M$5</f>
        <v>26620</v>
      </c>
      <c r="AL74" s="1941">
        <f>+'HH ALICORP'!M$10</f>
        <v>65877</v>
      </c>
      <c r="AM74" s="1941">
        <f>+'HH ALICORP'!M$6</f>
        <v>22458</v>
      </c>
      <c r="AN74" s="1941">
        <f>+'HH ALICORP'!M$14</f>
        <v>152542</v>
      </c>
      <c r="AO74" s="1941">
        <f>+'HH ALICORP'!M$27</f>
        <v>8353</v>
      </c>
      <c r="AP74" s="1941">
        <f>+'HH ALICORP'!M8-AO74</f>
        <v>17725</v>
      </c>
      <c r="AQ74" s="1941">
        <f>+'HH ALICORP'!M$9</f>
        <v>46791</v>
      </c>
      <c r="AR74" s="1941">
        <f>+'HH ALICORP'!M$15+'HH ALICORP'!M36+'HH ALICORP'!M37+'HH ALICORP'!M39</f>
        <v>149428</v>
      </c>
      <c r="AS74" s="1941">
        <f>+'HH ALICORP'!M$16+'HH ALICORP'!M$17+'HH ALICORP'!M$18+'HH ALICORP'!M$19+'HH ALICORP'!M32</f>
        <v>48654.8</v>
      </c>
      <c r="AT74" s="1941">
        <f>+'HH ALICORP'!M$20+'HH ALICORP'!M$21+'HH ALICORP'!M$22</f>
        <v>279653</v>
      </c>
      <c r="AU74" s="1941"/>
      <c r="AV74" s="1941"/>
      <c r="AW74" s="1941">
        <f>+'HH ALICORP'!M28+'HH ALICORP'!M35+'HH ALICORP'!M$34</f>
        <v>16838.59</v>
      </c>
      <c r="AX74" s="1948"/>
      <c r="AY74" s="3044">
        <v>8035.67</v>
      </c>
      <c r="AZ74" s="1941">
        <v>18847.059999999998</v>
      </c>
      <c r="BA74" s="3027">
        <v>56790</v>
      </c>
      <c r="BB74" s="3027">
        <v>0</v>
      </c>
      <c r="BC74" s="3027">
        <v>18056</v>
      </c>
      <c r="BD74" s="3045">
        <f t="shared" si="139"/>
        <v>145736</v>
      </c>
      <c r="BE74" s="1940">
        <v>79439.7</v>
      </c>
      <c r="BF74" s="3025">
        <v>0</v>
      </c>
      <c r="BG74" s="3025">
        <v>0</v>
      </c>
      <c r="BH74" s="3025">
        <v>0</v>
      </c>
      <c r="BI74" s="3025">
        <v>0</v>
      </c>
      <c r="BJ74" s="1941">
        <v>56090</v>
      </c>
      <c r="BK74" s="1941">
        <v>38240</v>
      </c>
      <c r="BL74" s="1941">
        <v>45000</v>
      </c>
      <c r="BM74" s="1941">
        <v>37734</v>
      </c>
      <c r="BN74" s="3026">
        <v>12956</v>
      </c>
      <c r="BO74" s="3042">
        <f>+'HH 3EROS'!$M152</f>
        <v>2163.8599999999997</v>
      </c>
      <c r="BP74" s="1934">
        <f>+'HH 3EROS'!$M153</f>
        <v>9089.2800000000007</v>
      </c>
      <c r="BQ74" s="1934">
        <f>+'HH 3EROS'!$M154</f>
        <v>15279.43</v>
      </c>
      <c r="BR74" s="1934">
        <f>+'HH 3EROS'!$M155</f>
        <v>7895.0899999999992</v>
      </c>
      <c r="BS74" s="1934">
        <f>+'HH 3EROS'!$M156</f>
        <v>5661.69</v>
      </c>
      <c r="BT74" s="1934">
        <f>+'HH 3EROS'!$M157</f>
        <v>24800.470000000005</v>
      </c>
      <c r="BU74" s="1934">
        <f>+'HH 3EROS'!M$158</f>
        <v>221.36</v>
      </c>
      <c r="BV74" s="1934">
        <f>+'HH 3EROS'!M$159</f>
        <v>666.35</v>
      </c>
      <c r="BW74" s="1934">
        <f>+'HH 3EROS'!M$160</f>
        <v>18257.98</v>
      </c>
      <c r="BX74" s="1934">
        <f>+'HH 3EROS'!M$161+'HH 3EROS'!$M$177+'HH 3EROS'!M179+'HH 3EROS'!M180+'HH 3EROS'!M182+'HH 3EROS'!M184</f>
        <v>130282.39</v>
      </c>
      <c r="BY74" s="1934">
        <f>+'HH 3EROS'!M$162+'HH 3EROS'!M$178</f>
        <v>50399.19</v>
      </c>
      <c r="BZ74" s="1934">
        <f>+'HH 3EROS'!M$163</f>
        <v>91047.700000000012</v>
      </c>
      <c r="CA74" s="1934">
        <f>+'HH 3EROS'!M$164</f>
        <v>17080.13</v>
      </c>
      <c r="CB74" s="1934">
        <f>+'HH 3EROS'!M$165+'HH 3EROS'!$M$175+'HH 3EROS'!$M$176+'HH 3EROS'!$M$181+'HH 3EROS'!$M$183</f>
        <v>31442.080000000002</v>
      </c>
      <c r="CC74" s="1934"/>
      <c r="CD74" s="3043">
        <f>+'HH 3EROS'!M$168</f>
        <v>3744</v>
      </c>
      <c r="CE74" s="3028">
        <v>4042.31</v>
      </c>
      <c r="CF74" s="1932">
        <v>6091</v>
      </c>
      <c r="CG74" s="1932">
        <v>39153</v>
      </c>
      <c r="CH74" s="1932">
        <v>0</v>
      </c>
      <c r="CI74" s="1932">
        <v>21720</v>
      </c>
      <c r="CJ74" s="3033">
        <v>385972</v>
      </c>
      <c r="CK74" s="3036">
        <v>174108</v>
      </c>
      <c r="CL74" s="1929">
        <v>0</v>
      </c>
      <c r="CM74" s="1929">
        <v>0</v>
      </c>
      <c r="CN74" s="1929">
        <v>0</v>
      </c>
      <c r="CO74" s="1929">
        <v>0</v>
      </c>
      <c r="CP74" s="1929">
        <v>16421</v>
      </c>
      <c r="CQ74" s="1929">
        <v>31471</v>
      </c>
      <c r="CR74" s="1929">
        <v>32381</v>
      </c>
      <c r="CS74" s="1929">
        <v>63625</v>
      </c>
      <c r="CT74" s="3037">
        <v>11962.41</v>
      </c>
      <c r="CU74" s="358">
        <f t="shared" si="140"/>
        <v>1440992.4300000002</v>
      </c>
      <c r="CV74" s="358">
        <f t="shared" si="141"/>
        <v>961955.12000000011</v>
      </c>
      <c r="CW74" s="358">
        <f t="shared" si="142"/>
        <v>479037.31000000006</v>
      </c>
      <c r="CX74" s="691">
        <f t="shared" si="143"/>
        <v>1972700.4300000002</v>
      </c>
      <c r="CY74" s="358">
        <f t="shared" si="147"/>
        <v>599428.11</v>
      </c>
      <c r="CZ74" s="358">
        <f t="shared" si="144"/>
        <v>531708</v>
      </c>
    </row>
    <row r="75" spans="1:104">
      <c r="A75" s="1315" t="s">
        <v>6072</v>
      </c>
      <c r="B75" s="262">
        <f>SUM(B63:B74)</f>
        <v>30715.96</v>
      </c>
      <c r="C75" s="262">
        <f t="shared" ref="C75:AH75" si="148">SUM(C63:C74)</f>
        <v>413429.00399999996</v>
      </c>
      <c r="D75" s="262">
        <f t="shared" si="148"/>
        <v>542910.15</v>
      </c>
      <c r="E75" s="262">
        <f t="shared" si="148"/>
        <v>982913.28000000014</v>
      </c>
      <c r="F75" s="262">
        <f t="shared" si="148"/>
        <v>404746.61000000004</v>
      </c>
      <c r="G75" s="262">
        <f t="shared" si="148"/>
        <v>2207727.4699999997</v>
      </c>
      <c r="H75" s="262">
        <f t="shared" si="148"/>
        <v>108460.76</v>
      </c>
      <c r="I75" s="262">
        <f t="shared" si="148"/>
        <v>281274.58999999997</v>
      </c>
      <c r="J75" s="262">
        <f t="shared" si="148"/>
        <v>711081.74</v>
      </c>
      <c r="K75" s="262">
        <f t="shared" si="148"/>
        <v>3475064.3800000069</v>
      </c>
      <c r="L75" s="262">
        <f t="shared" si="148"/>
        <v>1189736.96</v>
      </c>
      <c r="M75" s="262">
        <f t="shared" si="148"/>
        <v>4610064.2279166672</v>
      </c>
      <c r="N75" s="262">
        <f t="shared" si="148"/>
        <v>207050.6</v>
      </c>
      <c r="O75" s="262">
        <f t="shared" si="148"/>
        <v>565956.46</v>
      </c>
      <c r="P75" s="262">
        <f t="shared" si="148"/>
        <v>201763.05999999997</v>
      </c>
      <c r="Q75" s="262">
        <f t="shared" si="148"/>
        <v>57948</v>
      </c>
      <c r="R75" s="262"/>
      <c r="S75" s="262">
        <f t="shared" si="148"/>
        <v>157164.15</v>
      </c>
      <c r="T75" s="262">
        <f t="shared" si="148"/>
        <v>948772.74499999988</v>
      </c>
      <c r="U75" s="262">
        <f t="shared" si="148"/>
        <v>1243867</v>
      </c>
      <c r="V75" s="262">
        <f t="shared" si="148"/>
        <v>45796</v>
      </c>
      <c r="W75" s="262">
        <f t="shared" si="148"/>
        <v>513703</v>
      </c>
      <c r="X75" s="262">
        <f t="shared" si="148"/>
        <v>5621621</v>
      </c>
      <c r="Y75" s="262">
        <f t="shared" si="148"/>
        <v>2401924.533655914</v>
      </c>
      <c r="Z75" s="262">
        <f t="shared" si="148"/>
        <v>0</v>
      </c>
      <c r="AA75" s="262">
        <f t="shared" si="148"/>
        <v>0</v>
      </c>
      <c r="AB75" s="262">
        <f t="shared" si="148"/>
        <v>0</v>
      </c>
      <c r="AC75" s="262">
        <f t="shared" si="148"/>
        <v>0</v>
      </c>
      <c r="AD75" s="262">
        <f t="shared" si="148"/>
        <v>948630</v>
      </c>
      <c r="AE75" s="262">
        <f t="shared" si="148"/>
        <v>970499.67583333829</v>
      </c>
      <c r="AF75" s="262">
        <f t="shared" si="148"/>
        <v>989642.86</v>
      </c>
      <c r="AG75" s="262">
        <f t="shared" si="148"/>
        <v>1613657.66</v>
      </c>
      <c r="AH75" s="262">
        <f t="shared" si="148"/>
        <v>343702.41</v>
      </c>
      <c r="AI75" s="358"/>
      <c r="AJ75" s="358"/>
      <c r="AK75" s="358"/>
      <c r="AL75" s="358"/>
      <c r="AM75" s="358"/>
      <c r="AN75" s="358"/>
      <c r="AO75" s="358"/>
      <c r="AP75" s="358"/>
      <c r="AQ75" s="358"/>
      <c r="AR75" s="358"/>
      <c r="AS75" s="358"/>
      <c r="AT75" s="358"/>
      <c r="AU75" s="358"/>
      <c r="AV75" s="358"/>
      <c r="AW75" s="358"/>
      <c r="AX75" s="358"/>
      <c r="AY75" s="358"/>
      <c r="AZ75" s="1036"/>
      <c r="BA75" s="358"/>
      <c r="BB75" s="358"/>
      <c r="BC75" s="358"/>
      <c r="BD75" s="358">
        <f>SUM(BD63:BD74)</f>
        <v>1748832</v>
      </c>
      <c r="BE75" s="358"/>
      <c r="BF75" s="358"/>
      <c r="BG75" s="358"/>
      <c r="BH75" s="358"/>
      <c r="BI75" s="358"/>
      <c r="BJ75" s="358"/>
      <c r="BK75" s="358"/>
      <c r="BL75" s="358"/>
      <c r="BM75" s="358"/>
      <c r="BN75" s="358"/>
      <c r="BO75" s="358"/>
      <c r="BP75" s="358">
        <f>SUM(BP63:BP74)</f>
        <v>107007.504</v>
      </c>
      <c r="BQ75" s="358">
        <f t="shared" ref="BQ75:CB75" si="149">SUM(BQ63:BQ74)</f>
        <v>202322.25</v>
      </c>
      <c r="BR75" s="358">
        <f t="shared" si="149"/>
        <v>154323.31</v>
      </c>
      <c r="BS75" s="358">
        <f t="shared" si="149"/>
        <v>129344.61000000002</v>
      </c>
      <c r="BT75" s="358">
        <f t="shared" si="149"/>
        <v>357454.13</v>
      </c>
      <c r="BU75" s="358">
        <f t="shared" si="149"/>
        <v>8224.76</v>
      </c>
      <c r="BV75" s="358">
        <f t="shared" si="149"/>
        <v>69491.09</v>
      </c>
      <c r="BW75" s="358">
        <f t="shared" si="149"/>
        <v>202701.44000000003</v>
      </c>
      <c r="BX75" s="358">
        <f t="shared" si="149"/>
        <v>1699002.99</v>
      </c>
      <c r="BY75" s="358">
        <f t="shared" si="149"/>
        <v>597122.83000000007</v>
      </c>
      <c r="BZ75" s="358">
        <f t="shared" si="149"/>
        <v>1181357.2279166665</v>
      </c>
      <c r="CA75" s="358">
        <f t="shared" si="149"/>
        <v>207050.6</v>
      </c>
      <c r="CB75" s="358">
        <f t="shared" si="149"/>
        <v>565956.46</v>
      </c>
      <c r="CE75" s="358">
        <f t="shared" ref="CE75:CI75" si="150">SUM(CE63:CE74)</f>
        <v>52249.439999999995</v>
      </c>
      <c r="CF75" s="358">
        <f t="shared" si="150"/>
        <v>232220</v>
      </c>
      <c r="CG75" s="358">
        <f t="shared" si="150"/>
        <v>493079</v>
      </c>
      <c r="CH75" s="358">
        <f t="shared" si="150"/>
        <v>11136</v>
      </c>
      <c r="CI75" s="358">
        <f t="shared" si="150"/>
        <v>291384</v>
      </c>
      <c r="CJ75" s="2193">
        <f>SUM(CJ63:CJ73)</f>
        <v>3486817</v>
      </c>
      <c r="CK75" s="358"/>
      <c r="CL75" s="358"/>
      <c r="CM75" s="358"/>
      <c r="CN75" s="358"/>
      <c r="CO75" s="358"/>
      <c r="CP75" s="358"/>
      <c r="CQ75" s="358"/>
      <c r="CR75" s="358"/>
      <c r="CS75" s="358"/>
      <c r="CT75" s="358"/>
      <c r="CU75" s="358"/>
      <c r="CV75" s="358"/>
      <c r="CW75" s="358"/>
      <c r="CX75" s="691"/>
      <c r="CY75" s="358"/>
    </row>
    <row r="76" spans="1:104">
      <c r="A76" s="1309" t="s">
        <v>2914</v>
      </c>
      <c r="B76" s="262">
        <f>SUM(B50:B73)</f>
        <v>107782.31</v>
      </c>
      <c r="C76" s="262">
        <f t="shared" ref="C76:AH76" si="151">SUM(C50:C73)</f>
        <v>833893.38266666676</v>
      </c>
      <c r="D76" s="262">
        <f t="shared" si="151"/>
        <v>1045116.6699999999</v>
      </c>
      <c r="E76" s="262">
        <f t="shared" si="151"/>
        <v>1909569.3756666672</v>
      </c>
      <c r="F76" s="262">
        <f t="shared" si="151"/>
        <v>836131.86944444431</v>
      </c>
      <c r="G76" s="262">
        <f t="shared" si="151"/>
        <v>4456404.3296666676</v>
      </c>
      <c r="H76" s="262">
        <f t="shared" si="151"/>
        <v>209856.20999999996</v>
      </c>
      <c r="I76" s="262">
        <f t="shared" si="151"/>
        <v>675751.53</v>
      </c>
      <c r="J76" s="262">
        <f t="shared" si="151"/>
        <v>1293245.7300000002</v>
      </c>
      <c r="K76" s="262">
        <f t="shared" si="151"/>
        <v>5428428.7583333403</v>
      </c>
      <c r="L76" s="262">
        <f t="shared" si="151"/>
        <v>2541880.8899999997</v>
      </c>
      <c r="M76" s="262">
        <f t="shared" si="151"/>
        <v>9208632.3136111107</v>
      </c>
      <c r="N76" s="262">
        <f t="shared" si="151"/>
        <v>377423.44</v>
      </c>
      <c r="O76" s="262">
        <f t="shared" si="151"/>
        <v>940579.03999999969</v>
      </c>
      <c r="P76" s="262">
        <f t="shared" si="151"/>
        <v>392907.71</v>
      </c>
      <c r="Q76" s="262">
        <f t="shared" si="151"/>
        <v>165804</v>
      </c>
      <c r="R76" s="262"/>
      <c r="S76" s="262">
        <f t="shared" si="151"/>
        <v>298012.02</v>
      </c>
      <c r="T76" s="262">
        <f t="shared" si="151"/>
        <v>2866729.9749999996</v>
      </c>
      <c r="U76" s="262">
        <f t="shared" si="151"/>
        <v>2526797.5</v>
      </c>
      <c r="V76" s="262">
        <f t="shared" si="151"/>
        <v>179852.54500000001</v>
      </c>
      <c r="W76" s="262">
        <f t="shared" si="151"/>
        <v>1120789</v>
      </c>
      <c r="X76" s="262">
        <f t="shared" si="151"/>
        <v>11913371</v>
      </c>
      <c r="Y76" s="262">
        <f t="shared" si="151"/>
        <v>3556284.2936559138</v>
      </c>
      <c r="Z76" s="262">
        <f t="shared" si="151"/>
        <v>0</v>
      </c>
      <c r="AA76" s="262">
        <f t="shared" si="151"/>
        <v>0</v>
      </c>
      <c r="AB76" s="262">
        <f t="shared" si="151"/>
        <v>0</v>
      </c>
      <c r="AC76" s="262">
        <f t="shared" si="151"/>
        <v>0</v>
      </c>
      <c r="AD76" s="262">
        <f t="shared" si="151"/>
        <v>1891904</v>
      </c>
      <c r="AE76" s="262">
        <f t="shared" si="151"/>
        <v>1999883.2841666711</v>
      </c>
      <c r="AF76" s="262">
        <f t="shared" si="151"/>
        <v>2004546.0200000005</v>
      </c>
      <c r="AG76" s="262">
        <f t="shared" si="151"/>
        <v>2593716.2600000002</v>
      </c>
      <c r="AH76" s="262">
        <f t="shared" si="151"/>
        <v>648469.79240000015</v>
      </c>
      <c r="AI76" s="262"/>
      <c r="AJ76" s="358"/>
      <c r="AK76" s="358"/>
      <c r="AL76" s="358"/>
      <c r="AM76" s="358"/>
      <c r="AN76" s="358"/>
      <c r="AO76" s="358"/>
      <c r="AP76" s="358"/>
      <c r="AQ76" s="358"/>
      <c r="AR76" s="358"/>
      <c r="AS76" s="358"/>
      <c r="AT76" s="358"/>
      <c r="AU76" s="358"/>
      <c r="AV76" s="358"/>
      <c r="AW76" s="358"/>
      <c r="AX76" s="358"/>
      <c r="AY76" s="358"/>
      <c r="AZ76" s="691"/>
      <c r="BA76" s="358"/>
      <c r="BB76" s="358"/>
      <c r="BC76" s="358"/>
      <c r="BD76" s="2300">
        <v>5621621</v>
      </c>
      <c r="BE76" s="691" t="s">
        <v>6339</v>
      </c>
      <c r="BF76" s="358"/>
      <c r="BG76" s="358"/>
      <c r="BH76" s="358"/>
      <c r="BI76" s="358"/>
      <c r="BJ76" s="358"/>
      <c r="BK76" s="358"/>
      <c r="BL76" s="358"/>
      <c r="BM76" s="358"/>
      <c r="BN76" s="358"/>
      <c r="BO76" s="358"/>
      <c r="BP76" s="358">
        <f>(BP75/12)*4</f>
        <v>35669.167999999998</v>
      </c>
      <c r="BQ76" s="358">
        <f t="shared" ref="BQ76:CB76" si="152">(BQ75/12)*4</f>
        <v>67440.75</v>
      </c>
      <c r="BR76" s="358">
        <f t="shared" si="152"/>
        <v>51441.103333333333</v>
      </c>
      <c r="BS76" s="358">
        <f t="shared" si="152"/>
        <v>43114.87</v>
      </c>
      <c r="BT76" s="358">
        <f t="shared" si="152"/>
        <v>119151.37666666666</v>
      </c>
      <c r="BU76" s="358">
        <f t="shared" si="152"/>
        <v>2741.5866666666666</v>
      </c>
      <c r="BV76" s="358">
        <f t="shared" si="152"/>
        <v>23163.696666666667</v>
      </c>
      <c r="BW76" s="358">
        <f t="shared" si="152"/>
        <v>67567.146666666682</v>
      </c>
      <c r="BX76" s="358">
        <f t="shared" si="152"/>
        <v>566334.32999999996</v>
      </c>
      <c r="BY76" s="358">
        <f t="shared" si="152"/>
        <v>199040.94333333336</v>
      </c>
      <c r="BZ76" s="358">
        <f t="shared" si="152"/>
        <v>393785.74263888883</v>
      </c>
      <c r="CA76" s="358">
        <f t="shared" si="152"/>
        <v>69016.866666666669</v>
      </c>
      <c r="CB76" s="358">
        <f t="shared" si="152"/>
        <v>188652.15333333332</v>
      </c>
      <c r="CE76" s="358">
        <f t="shared" ref="CE76:CI76" si="153">(CE75/12)*4</f>
        <v>17416.48</v>
      </c>
      <c r="CF76" s="358">
        <f t="shared" si="153"/>
        <v>77406.666666666672</v>
      </c>
      <c r="CG76" s="358">
        <f t="shared" si="153"/>
        <v>164359.66666666666</v>
      </c>
      <c r="CH76" s="358">
        <f t="shared" si="153"/>
        <v>3712</v>
      </c>
      <c r="CI76" s="358">
        <f t="shared" si="153"/>
        <v>97128</v>
      </c>
      <c r="CJ76" s="2193">
        <f>BD76-BD75-CJ75</f>
        <v>385972</v>
      </c>
      <c r="CK76" s="691" t="s">
        <v>6181</v>
      </c>
      <c r="CL76" s="358"/>
      <c r="CM76" s="358"/>
      <c r="CN76" s="358"/>
      <c r="CO76" s="358"/>
      <c r="CP76" s="358"/>
      <c r="CQ76" s="358"/>
      <c r="CR76" s="358"/>
      <c r="CS76" s="358"/>
      <c r="CT76" s="358"/>
      <c r="CU76" s="358"/>
      <c r="CV76" s="358"/>
      <c r="CW76" s="358"/>
      <c r="CX76" s="691"/>
    </row>
    <row r="77" spans="1:104">
      <c r="A77" s="1309"/>
      <c r="B77" s="262"/>
      <c r="C77" s="262"/>
      <c r="D77" s="262"/>
      <c r="E77" s="262"/>
      <c r="F77" s="262"/>
      <c r="G77" s="262"/>
      <c r="H77" s="262"/>
      <c r="I77" s="262"/>
      <c r="J77" s="262"/>
      <c r="K77" s="262"/>
      <c r="L77" s="262"/>
      <c r="M77" s="262"/>
      <c r="N77" s="262"/>
      <c r="O77" s="262"/>
      <c r="P77" s="262"/>
      <c r="Q77" s="262"/>
      <c r="R77" s="262"/>
      <c r="S77" s="262"/>
      <c r="T77" s="262"/>
      <c r="U77" s="262"/>
      <c r="V77" s="262"/>
      <c r="W77" s="262"/>
      <c r="X77" s="262"/>
      <c r="Y77" s="262"/>
      <c r="Z77" s="262"/>
      <c r="AA77" s="262"/>
      <c r="AB77" s="262"/>
      <c r="AC77" s="262"/>
      <c r="AD77" s="262"/>
      <c r="AE77" s="262"/>
      <c r="AF77" s="262"/>
      <c r="AG77" s="262"/>
      <c r="AH77" s="262"/>
      <c r="AI77" s="358"/>
      <c r="AJ77" s="358"/>
      <c r="AL77" s="358"/>
      <c r="AM77" s="358"/>
      <c r="AN77" s="358"/>
      <c r="AO77" s="358"/>
      <c r="AP77" s="358"/>
      <c r="AQ77" s="358"/>
      <c r="AR77" s="358"/>
      <c r="AS77" s="358"/>
      <c r="AT77" s="358"/>
      <c r="AU77" s="358"/>
      <c r="AV77" s="358"/>
      <c r="AW77" s="358"/>
      <c r="AX77" s="358"/>
      <c r="AY77" s="358"/>
      <c r="AZ77" s="567"/>
      <c r="BA77" s="358"/>
      <c r="BB77" s="358"/>
      <c r="BC77" s="691"/>
      <c r="BD77" s="358"/>
      <c r="BE77" s="358"/>
      <c r="BF77" s="358"/>
      <c r="BG77" s="358"/>
      <c r="BH77" s="358"/>
      <c r="BI77" s="358"/>
      <c r="BJ77" s="358"/>
      <c r="BK77" s="358"/>
      <c r="BL77" s="358"/>
      <c r="BM77" s="358"/>
      <c r="BN77" s="358"/>
      <c r="BO77" s="358"/>
      <c r="BP77" s="358"/>
      <c r="BQ77" s="358"/>
      <c r="BR77" s="358"/>
      <c r="BS77" s="358"/>
      <c r="BT77" s="358"/>
      <c r="BU77" s="358"/>
      <c r="BV77" s="358"/>
      <c r="BW77" s="358"/>
      <c r="BX77" s="358"/>
      <c r="BY77" s="358"/>
      <c r="CF77" s="358"/>
      <c r="CG77" s="358"/>
      <c r="CH77" s="358"/>
      <c r="CI77" s="358"/>
      <c r="CJ77" s="358"/>
      <c r="CK77" s="358"/>
      <c r="CL77" s="358"/>
      <c r="CM77" s="358"/>
      <c r="CN77" s="358"/>
      <c r="CO77" s="358"/>
      <c r="CP77" s="358"/>
      <c r="CQ77" s="358"/>
      <c r="CR77" s="358"/>
      <c r="CS77" s="358"/>
      <c r="CT77" s="358"/>
      <c r="CU77" s="358"/>
      <c r="CV77" s="358"/>
      <c r="CW77" s="358"/>
      <c r="CX77" s="691"/>
    </row>
    <row r="78" spans="1:104">
      <c r="A78" s="1309"/>
      <c r="B78" s="262"/>
      <c r="C78" s="262"/>
      <c r="D78" s="262"/>
      <c r="E78" s="262"/>
      <c r="F78" s="262"/>
      <c r="G78" s="262"/>
      <c r="H78" s="262"/>
      <c r="I78" s="262"/>
      <c r="J78" s="262"/>
      <c r="K78" s="262"/>
      <c r="L78" s="262"/>
      <c r="M78" s="262"/>
      <c r="N78" s="262"/>
      <c r="O78" s="262"/>
      <c r="P78" s="262"/>
      <c r="Q78" s="262"/>
      <c r="R78" s="262"/>
      <c r="S78" s="262"/>
      <c r="T78" s="262"/>
      <c r="U78" s="262"/>
      <c r="V78" s="262"/>
      <c r="W78" s="262"/>
      <c r="X78" s="262"/>
      <c r="Y78" s="262"/>
      <c r="Z78" s="262"/>
      <c r="AA78" s="262"/>
      <c r="AB78" s="262"/>
      <c r="AC78" s="262"/>
      <c r="AD78" s="262"/>
      <c r="AE78" s="262"/>
      <c r="AF78" s="262"/>
      <c r="AG78" s="262"/>
      <c r="AH78" s="262"/>
      <c r="AI78" s="358"/>
      <c r="AJ78" s="358"/>
      <c r="AL78" s="358"/>
      <c r="AM78" s="358"/>
      <c r="AN78" s="358"/>
      <c r="AO78" s="358"/>
      <c r="AP78" s="358"/>
      <c r="AQ78" s="358"/>
      <c r="AR78" s="358"/>
      <c r="AS78" s="358"/>
      <c r="AT78" s="358"/>
      <c r="AU78" s="358"/>
      <c r="AV78" s="358"/>
      <c r="AW78" s="358"/>
      <c r="AX78" s="358"/>
      <c r="AY78" s="358"/>
      <c r="AZ78" s="567"/>
      <c r="BA78" s="358"/>
      <c r="BB78" s="358"/>
      <c r="BC78" s="691"/>
      <c r="BD78" s="358"/>
      <c r="BE78" s="358"/>
      <c r="BF78" s="358"/>
      <c r="BG78" s="358"/>
      <c r="BH78" s="358"/>
      <c r="BI78" s="358"/>
      <c r="BJ78" s="358"/>
      <c r="BK78" s="358"/>
      <c r="BL78" s="358"/>
      <c r="BM78" s="358"/>
      <c r="BN78" s="358"/>
      <c r="BO78" s="358"/>
      <c r="BP78" s="358"/>
      <c r="BQ78" s="358"/>
      <c r="BR78" s="358"/>
      <c r="BS78" s="358"/>
      <c r="BT78" s="358"/>
      <c r="BU78" s="358">
        <f>BT76+BU76</f>
        <v>121892.96333333333</v>
      </c>
      <c r="BV78" s="358"/>
      <c r="BW78" s="358"/>
      <c r="BX78" s="358"/>
      <c r="BY78" s="358"/>
      <c r="CF78" s="358"/>
      <c r="CG78" s="358"/>
      <c r="CH78" s="358"/>
      <c r="CI78" s="358"/>
      <c r="CJ78" s="358"/>
      <c r="CK78" s="358"/>
      <c r="CL78" s="358"/>
      <c r="CM78" s="358"/>
      <c r="CN78" s="358"/>
      <c r="CO78" s="358"/>
      <c r="CP78" s="358"/>
      <c r="CQ78" s="358"/>
      <c r="CR78" s="358"/>
      <c r="CS78" s="358"/>
      <c r="CT78" s="358"/>
      <c r="CU78" s="358"/>
      <c r="CV78" s="358"/>
      <c r="CW78" s="358"/>
      <c r="CX78" s="691"/>
    </row>
    <row r="79" spans="1:104">
      <c r="A79" s="1309"/>
      <c r="B79" s="262"/>
      <c r="C79" s="262"/>
      <c r="D79" s="262"/>
      <c r="E79" s="262"/>
      <c r="F79" s="262"/>
      <c r="G79" s="262"/>
      <c r="H79" s="262"/>
      <c r="I79" s="262"/>
      <c r="J79" s="262"/>
      <c r="K79" s="262"/>
      <c r="L79" s="262"/>
      <c r="M79" s="262"/>
      <c r="N79" s="262"/>
      <c r="O79" s="262"/>
      <c r="P79" s="262"/>
      <c r="Q79" s="262"/>
      <c r="R79" s="262"/>
      <c r="S79" s="262"/>
      <c r="T79" s="262"/>
      <c r="U79" s="262"/>
      <c r="V79" s="262"/>
      <c r="W79" s="262"/>
      <c r="X79" s="262"/>
      <c r="Y79" s="262"/>
      <c r="Z79" s="262"/>
      <c r="AA79" s="262"/>
      <c r="AB79" s="262"/>
      <c r="AC79" s="262"/>
      <c r="AD79" s="262"/>
      <c r="AE79" s="262"/>
      <c r="AF79" s="262"/>
      <c r="AG79" s="262"/>
      <c r="AH79" s="262"/>
      <c r="AI79" s="358"/>
      <c r="AJ79" s="358"/>
      <c r="AL79" s="358"/>
      <c r="AM79" s="358"/>
      <c r="AN79" s="358"/>
      <c r="AO79" s="358"/>
      <c r="AP79" s="358"/>
      <c r="AQ79" s="358"/>
      <c r="AR79" s="358"/>
      <c r="AS79" s="358"/>
      <c r="AT79" s="358"/>
      <c r="AU79" s="358"/>
      <c r="AV79" s="358"/>
      <c r="AW79" s="358"/>
      <c r="AX79" s="358"/>
      <c r="AY79" s="358"/>
      <c r="AZ79" s="567"/>
      <c r="BA79" s="358"/>
      <c r="BB79" s="358"/>
      <c r="BC79" s="691"/>
      <c r="BE79" s="358"/>
      <c r="BF79" s="358"/>
      <c r="BG79" s="358"/>
      <c r="BH79" s="358"/>
      <c r="BI79" s="358"/>
      <c r="BJ79" s="358"/>
      <c r="BK79" s="358"/>
      <c r="BL79" s="358"/>
      <c r="BM79" s="358"/>
      <c r="BN79" s="358"/>
      <c r="BO79" s="358"/>
      <c r="BP79" s="358"/>
      <c r="BQ79" s="358"/>
      <c r="BR79" s="358"/>
      <c r="BS79" s="358"/>
      <c r="BT79" s="358"/>
      <c r="BU79" s="358"/>
      <c r="BV79" s="358"/>
      <c r="BW79" s="358"/>
      <c r="BX79" s="358"/>
      <c r="BY79" s="358"/>
      <c r="CF79" s="358"/>
      <c r="CG79" s="358"/>
      <c r="CH79" s="358"/>
      <c r="CI79" s="358"/>
      <c r="CJ79" s="358"/>
      <c r="CK79" s="358"/>
      <c r="CL79" s="358"/>
      <c r="CM79" s="358"/>
      <c r="CN79" s="358"/>
      <c r="CO79" s="358"/>
      <c r="CP79" s="358"/>
      <c r="CQ79" s="358"/>
      <c r="CR79" s="358"/>
      <c r="CS79" s="358"/>
      <c r="CT79" s="358"/>
      <c r="CU79" s="358"/>
      <c r="CV79" s="358"/>
      <c r="CW79" s="358"/>
      <c r="CX79" s="691"/>
    </row>
    <row r="80" spans="1:104">
      <c r="A80" s="1309"/>
      <c r="B80" s="262"/>
      <c r="C80" s="262"/>
      <c r="D80" s="262"/>
      <c r="E80" s="262"/>
      <c r="F80" s="262"/>
      <c r="G80" s="262"/>
      <c r="H80" s="262"/>
      <c r="I80" s="262"/>
      <c r="J80" s="262"/>
      <c r="K80" s="262"/>
      <c r="L80" s="262"/>
      <c r="M80" s="262"/>
      <c r="N80" s="262"/>
      <c r="O80" s="262"/>
      <c r="P80" s="262"/>
      <c r="Q80" s="262"/>
      <c r="R80" s="262"/>
      <c r="S80" s="262"/>
      <c r="T80" s="262"/>
      <c r="U80" s="262"/>
      <c r="V80" s="262"/>
      <c r="W80" s="262"/>
      <c r="X80" s="262"/>
      <c r="Y80" s="262"/>
      <c r="Z80" s="262"/>
      <c r="AA80" s="262"/>
      <c r="AB80" s="262"/>
      <c r="AC80" s="262"/>
      <c r="AD80" s="262"/>
      <c r="AE80" s="262"/>
      <c r="AF80" s="262"/>
      <c r="AG80" s="262"/>
      <c r="AH80" s="262"/>
      <c r="AI80" s="358"/>
      <c r="AJ80" s="358"/>
      <c r="AL80" s="358"/>
      <c r="AM80" s="358"/>
      <c r="AN80" s="358"/>
      <c r="AO80" s="358"/>
      <c r="AP80" s="358"/>
      <c r="AQ80" s="358"/>
      <c r="AR80" s="358"/>
      <c r="AS80" s="358"/>
      <c r="AT80" s="358"/>
      <c r="AU80" s="358"/>
      <c r="AV80" s="358"/>
      <c r="AW80" s="358"/>
      <c r="AX80" s="358"/>
      <c r="AZ80" s="567"/>
      <c r="BA80" s="358"/>
      <c r="BB80" s="358"/>
      <c r="BC80" s="358"/>
      <c r="BD80" s="358"/>
      <c r="BE80" s="358"/>
      <c r="BF80" s="358"/>
      <c r="BG80" s="358"/>
      <c r="BH80" s="358"/>
      <c r="BI80" s="358"/>
      <c r="BJ80" s="358"/>
      <c r="BK80" s="358"/>
      <c r="BL80" s="358"/>
      <c r="BM80" s="358"/>
      <c r="BN80" s="358"/>
      <c r="BO80" s="358"/>
      <c r="BP80" s="358"/>
      <c r="BQ80" s="358"/>
      <c r="BR80" s="358"/>
      <c r="BS80" s="358"/>
      <c r="BT80" s="358"/>
      <c r="BU80" s="358"/>
      <c r="BV80" s="358"/>
      <c r="BW80" s="358"/>
      <c r="BX80" s="358"/>
      <c r="BY80" s="358"/>
      <c r="BZ80" s="358"/>
      <c r="CA80" s="358"/>
      <c r="CB80" s="358"/>
      <c r="CC80" s="358"/>
      <c r="CD80" s="358"/>
      <c r="CE80" s="358"/>
      <c r="CF80" s="358"/>
      <c r="CG80" s="358"/>
      <c r="CH80" s="358"/>
      <c r="CI80" s="358"/>
      <c r="CJ80" s="358">
        <f>+BD76-BD75-CJ75</f>
        <v>385972</v>
      </c>
      <c r="CK80" s="691"/>
      <c r="CL80" s="358"/>
      <c r="CM80" s="358"/>
      <c r="CN80" s="358"/>
      <c r="CO80" s="358"/>
      <c r="CP80" s="358"/>
      <c r="CQ80" s="358"/>
      <c r="CR80" s="358"/>
      <c r="CS80" s="358"/>
      <c r="CT80" s="358"/>
      <c r="CU80" s="358"/>
      <c r="CV80" s="358"/>
      <c r="CW80" s="358"/>
      <c r="CX80" s="691"/>
    </row>
    <row r="81" spans="1:102">
      <c r="A81" s="1309"/>
      <c r="B81" s="262"/>
      <c r="C81" s="262"/>
      <c r="D81" s="262"/>
      <c r="E81" s="262"/>
      <c r="F81" s="262"/>
      <c r="G81" s="262"/>
      <c r="H81" s="262"/>
      <c r="I81" s="262"/>
      <c r="J81" s="262"/>
      <c r="K81" s="262"/>
      <c r="L81" s="262"/>
      <c r="M81" s="262"/>
      <c r="N81" s="262"/>
      <c r="O81" s="262"/>
      <c r="P81" s="262"/>
      <c r="Q81" s="262"/>
      <c r="R81" s="262"/>
      <c r="S81" s="262"/>
      <c r="T81" s="262"/>
      <c r="U81" s="262"/>
      <c r="V81" s="262"/>
      <c r="W81" s="262"/>
      <c r="X81" s="262"/>
      <c r="Y81" s="262"/>
      <c r="Z81" s="262"/>
      <c r="AA81" s="262"/>
      <c r="AB81" s="262"/>
      <c r="AC81" s="262"/>
      <c r="AD81" s="262"/>
      <c r="AE81" s="262"/>
      <c r="AF81" s="262"/>
      <c r="AG81" s="262"/>
      <c r="AH81" s="262"/>
      <c r="AI81" s="358"/>
      <c r="AJ81" s="358"/>
      <c r="AL81" s="358"/>
      <c r="AM81" s="358"/>
      <c r="AN81" s="358"/>
      <c r="AO81" s="358"/>
      <c r="AP81" s="358"/>
      <c r="AQ81" s="358"/>
      <c r="AR81" s="358"/>
      <c r="AS81" s="358"/>
      <c r="AT81" s="358"/>
      <c r="AU81" s="358"/>
      <c r="AV81" s="358"/>
      <c r="AW81" s="358"/>
      <c r="AX81" s="358"/>
      <c r="AY81" s="262"/>
      <c r="AZ81" s="262"/>
      <c r="BA81" s="358"/>
      <c r="BB81" s="358"/>
      <c r="BC81" s="358"/>
      <c r="BD81" s="358"/>
      <c r="BE81" s="691"/>
      <c r="BF81" s="358"/>
      <c r="BG81" s="358"/>
      <c r="BH81" s="358"/>
      <c r="BI81" s="358"/>
      <c r="BJ81" s="358"/>
      <c r="BK81" s="358"/>
      <c r="BL81" s="358"/>
      <c r="BM81" s="358"/>
      <c r="BN81" s="358"/>
      <c r="BO81" s="358"/>
      <c r="BP81" s="358"/>
      <c r="BQ81" s="358"/>
      <c r="BR81" s="358"/>
      <c r="BS81" s="358"/>
      <c r="BT81" s="358"/>
      <c r="BU81" s="358"/>
      <c r="BV81" s="358"/>
      <c r="BW81" s="358"/>
      <c r="BX81" s="358"/>
      <c r="BY81" s="358"/>
      <c r="BZ81" s="358"/>
      <c r="CA81" s="358"/>
      <c r="CB81" s="358"/>
      <c r="CC81" s="358"/>
      <c r="CD81" s="358"/>
      <c r="CE81" s="358"/>
      <c r="CF81" s="358"/>
      <c r="CG81" s="358"/>
      <c r="CH81" s="358"/>
      <c r="CI81" s="358"/>
      <c r="CJ81" s="358"/>
      <c r="CK81" s="358"/>
      <c r="CL81" s="358"/>
      <c r="CM81" s="358"/>
      <c r="CN81" s="358"/>
      <c r="CO81" s="358"/>
      <c r="CP81" s="358"/>
      <c r="CQ81" s="358"/>
      <c r="CR81" s="358"/>
      <c r="CS81" s="358"/>
      <c r="CT81" s="358"/>
      <c r="CU81" s="358"/>
      <c r="CV81" s="358"/>
      <c r="CW81" s="358"/>
      <c r="CX81" s="691"/>
    </row>
    <row r="82" spans="1:102">
      <c r="A82" s="1309"/>
      <c r="B82" s="262"/>
      <c r="C82" s="262"/>
      <c r="D82" s="262"/>
      <c r="E82" s="262"/>
      <c r="F82" s="262"/>
      <c r="G82" s="262"/>
      <c r="H82" s="262"/>
      <c r="I82" s="262"/>
      <c r="J82" s="262"/>
      <c r="K82" s="262"/>
      <c r="L82" s="262"/>
      <c r="M82" s="262"/>
      <c r="N82" s="262"/>
      <c r="O82" s="262"/>
      <c r="P82" s="262"/>
      <c r="Q82" s="262"/>
      <c r="R82" s="262"/>
      <c r="S82" s="262"/>
      <c r="T82" s="262"/>
      <c r="U82" s="262"/>
      <c r="V82" s="262"/>
      <c r="W82" s="262"/>
      <c r="X82" s="262"/>
      <c r="Y82" s="262"/>
      <c r="Z82" s="262"/>
      <c r="AA82" s="262"/>
      <c r="AB82" s="262"/>
      <c r="AC82" s="262"/>
      <c r="AD82" s="262"/>
      <c r="AE82" s="262"/>
      <c r="AF82" s="262"/>
      <c r="AG82" s="262"/>
      <c r="AH82" s="262"/>
      <c r="AI82" s="358"/>
      <c r="AJ82" s="358"/>
      <c r="AK82" s="358"/>
      <c r="AL82" s="358"/>
      <c r="AM82" s="358"/>
      <c r="AN82" s="358"/>
      <c r="AO82" s="358"/>
      <c r="AP82" s="358"/>
      <c r="AQ82" s="358"/>
      <c r="AR82" s="358"/>
      <c r="AS82" s="358"/>
      <c r="AT82" s="358"/>
      <c r="AU82" s="358"/>
      <c r="AV82" s="358"/>
      <c r="AW82" s="358"/>
      <c r="AX82" s="358"/>
      <c r="AY82" s="358"/>
      <c r="AZ82" s="358"/>
      <c r="BA82" s="358"/>
      <c r="BB82" s="358"/>
      <c r="BC82" s="358"/>
      <c r="BD82" s="2182"/>
      <c r="BE82" s="358"/>
      <c r="BF82" s="358"/>
      <c r="BG82" s="358"/>
      <c r="BH82" s="358"/>
      <c r="BI82" s="358"/>
      <c r="BJ82" s="358"/>
      <c r="BK82" s="358"/>
      <c r="BL82" s="358"/>
      <c r="BM82" s="358"/>
      <c r="BN82" s="358"/>
      <c r="BO82" s="358"/>
      <c r="BP82" s="358"/>
      <c r="BQ82" s="358"/>
      <c r="BR82" s="358"/>
      <c r="BS82" s="358"/>
      <c r="BT82" s="358"/>
      <c r="BU82" s="358"/>
      <c r="BV82" s="358"/>
      <c r="BW82" s="358"/>
      <c r="BX82" s="358"/>
      <c r="BY82" s="358"/>
      <c r="BZ82" s="358"/>
      <c r="CA82" s="358"/>
      <c r="CB82" s="358"/>
      <c r="CC82" s="358"/>
      <c r="CD82" s="358"/>
      <c r="CE82" s="358"/>
      <c r="CF82" s="358"/>
      <c r="CG82" s="358"/>
      <c r="CH82" s="358"/>
      <c r="CI82" s="358"/>
      <c r="CJ82" s="691"/>
      <c r="CK82" s="358"/>
      <c r="CL82" s="358"/>
      <c r="CM82" s="358"/>
      <c r="CN82" s="358"/>
      <c r="CO82" s="358"/>
      <c r="CP82" s="358"/>
      <c r="CQ82" s="358"/>
      <c r="CR82" s="358"/>
      <c r="CS82" s="358"/>
      <c r="CT82" s="358"/>
      <c r="CU82" s="358"/>
      <c r="CV82" s="358"/>
      <c r="CW82" s="358"/>
      <c r="CX82" s="691"/>
    </row>
    <row r="83" spans="1:102">
      <c r="A83" s="1309"/>
      <c r="B83" s="262"/>
      <c r="C83" s="262"/>
      <c r="D83" s="262"/>
      <c r="E83" s="262"/>
      <c r="F83" s="262"/>
      <c r="G83" s="262"/>
      <c r="H83" s="262"/>
      <c r="I83" s="262"/>
      <c r="J83" s="262"/>
      <c r="K83" s="262"/>
      <c r="L83" s="262"/>
      <c r="M83" s="262"/>
      <c r="N83" s="262"/>
      <c r="O83" s="262"/>
      <c r="P83" s="262"/>
      <c r="Q83" s="262"/>
      <c r="R83" s="262"/>
      <c r="S83" s="262"/>
      <c r="T83" s="262"/>
      <c r="U83" s="262"/>
      <c r="V83" s="262"/>
      <c r="W83" s="262"/>
      <c r="X83" s="262"/>
      <c r="Y83" s="262"/>
      <c r="Z83" s="262"/>
      <c r="AA83" s="262"/>
      <c r="AB83" s="262"/>
      <c r="AC83" s="262"/>
      <c r="AD83" s="262"/>
      <c r="AE83" s="262"/>
      <c r="AF83" s="262"/>
      <c r="AG83" s="262"/>
      <c r="AH83" s="262"/>
      <c r="AI83" s="358"/>
      <c r="AJ83" s="358"/>
      <c r="AK83" s="358"/>
      <c r="AL83" s="358"/>
      <c r="AM83" s="358"/>
      <c r="AN83" s="358"/>
      <c r="AO83" s="358"/>
      <c r="AP83" s="358"/>
      <c r="AQ83" s="358"/>
      <c r="AR83" s="358"/>
      <c r="AS83" s="358"/>
      <c r="AT83" s="358"/>
      <c r="AU83" s="358"/>
      <c r="AV83" s="358"/>
      <c r="AW83" s="358"/>
      <c r="AX83" s="358"/>
      <c r="AY83" s="358"/>
      <c r="AZ83" s="358"/>
      <c r="BA83" s="358"/>
      <c r="BB83" s="358"/>
      <c r="BC83" s="358"/>
      <c r="BD83" s="358"/>
      <c r="BE83" s="358"/>
      <c r="BF83" s="358"/>
      <c r="BG83" s="358"/>
      <c r="BH83" s="358"/>
      <c r="BI83" s="358"/>
      <c r="BJ83" s="358"/>
      <c r="BK83" s="358"/>
      <c r="BL83" s="358"/>
      <c r="BM83" s="358"/>
      <c r="BN83" s="358"/>
      <c r="BO83" s="358"/>
      <c r="BP83" s="358"/>
      <c r="BQ83" s="358"/>
      <c r="BR83" s="358"/>
      <c r="BS83" s="358"/>
      <c r="BT83" s="358"/>
      <c r="BU83" s="358"/>
      <c r="BV83" s="358"/>
      <c r="BW83" s="358"/>
      <c r="BX83" s="358"/>
      <c r="BY83" s="358"/>
      <c r="BZ83" s="358"/>
      <c r="CA83" s="358"/>
      <c r="CB83" s="358"/>
      <c r="CC83" s="358"/>
      <c r="CD83" s="358"/>
      <c r="CE83" s="358"/>
      <c r="CF83" s="358"/>
      <c r="CG83" s="358"/>
      <c r="CH83" s="358"/>
      <c r="CI83" s="358"/>
      <c r="CJ83" s="358"/>
      <c r="CK83" s="358"/>
      <c r="CM83" s="358"/>
      <c r="CN83" s="358"/>
      <c r="CO83" s="358"/>
      <c r="CP83" s="358"/>
      <c r="CQ83" s="358"/>
      <c r="CR83" s="358"/>
      <c r="CS83" s="358"/>
      <c r="CT83" s="358"/>
      <c r="CU83" s="358"/>
      <c r="CV83" s="358"/>
    </row>
    <row r="84" spans="1:102" ht="13.8" thickBot="1">
      <c r="A84" s="1309"/>
      <c r="B84" s="262"/>
      <c r="C84" s="262"/>
      <c r="D84" s="262"/>
      <c r="E84" s="262"/>
      <c r="F84" s="262"/>
      <c r="G84" s="262"/>
      <c r="H84" s="262"/>
      <c r="I84" s="262"/>
      <c r="J84" s="262"/>
      <c r="K84" s="262"/>
      <c r="L84" s="262"/>
      <c r="M84" s="262"/>
      <c r="N84" s="262"/>
      <c r="O84" s="262"/>
      <c r="P84" s="262"/>
      <c r="Q84" s="262"/>
      <c r="R84" s="262"/>
      <c r="S84" s="262"/>
      <c r="T84" s="262"/>
      <c r="U84" s="262"/>
      <c r="V84" s="262"/>
      <c r="W84" s="262"/>
      <c r="X84" s="262"/>
      <c r="Y84" s="262"/>
      <c r="Z84" s="262"/>
      <c r="AA84" s="262"/>
      <c r="AB84" s="262"/>
      <c r="AC84" s="262"/>
      <c r="AD84" s="262"/>
      <c r="AE84" s="262"/>
      <c r="AF84" s="262"/>
      <c r="AG84" s="262"/>
      <c r="AH84" s="262"/>
      <c r="AI84" s="358"/>
      <c r="AJ84" s="358"/>
      <c r="AK84" s="358"/>
      <c r="AL84" s="358"/>
      <c r="AM84" s="358"/>
      <c r="AN84" s="358"/>
      <c r="AO84" s="358"/>
      <c r="AP84" s="358"/>
      <c r="AQ84" s="358"/>
      <c r="AR84" s="358"/>
      <c r="AS84" s="358"/>
      <c r="AT84" s="358"/>
      <c r="AU84" s="358"/>
      <c r="AV84" s="358"/>
      <c r="AW84" s="358"/>
      <c r="AX84" s="358"/>
      <c r="AY84" s="358"/>
      <c r="AZ84" s="358"/>
      <c r="BA84" s="358"/>
      <c r="BB84" s="358"/>
      <c r="BC84" s="358"/>
      <c r="BD84" s="358"/>
      <c r="BE84" s="358"/>
      <c r="BF84" s="358"/>
      <c r="BG84" s="358"/>
      <c r="BH84" s="358"/>
      <c r="BI84" s="358"/>
      <c r="BJ84" s="358"/>
      <c r="BK84" s="358"/>
      <c r="BL84" s="358"/>
      <c r="BM84" s="358"/>
      <c r="BN84" s="358"/>
      <c r="BO84" s="358"/>
      <c r="BP84" s="358"/>
      <c r="BQ84" s="358"/>
      <c r="BR84" s="358"/>
      <c r="BS84" s="358"/>
      <c r="BT84" s="358"/>
      <c r="BU84" s="358"/>
      <c r="BV84" s="358"/>
      <c r="BW84" s="358"/>
      <c r="BX84" s="358"/>
      <c r="BY84" s="358"/>
      <c r="BZ84" s="358"/>
      <c r="CA84" s="358"/>
      <c r="CB84" s="358"/>
      <c r="CC84" s="358"/>
      <c r="CD84" s="358"/>
      <c r="CE84" s="358"/>
      <c r="CF84" s="358"/>
      <c r="CI84" s="358"/>
      <c r="CJ84" s="358"/>
      <c r="CK84" s="358"/>
      <c r="CL84" s="3030" t="s">
        <v>6344</v>
      </c>
      <c r="CM84" s="358"/>
      <c r="CN84" s="358"/>
      <c r="CO84" s="358"/>
      <c r="CP84" s="358"/>
      <c r="CQ84" s="358"/>
      <c r="CR84" s="358"/>
      <c r="CS84" s="358"/>
      <c r="CT84" s="358"/>
      <c r="CU84" s="358"/>
      <c r="CV84" s="358"/>
      <c r="CW84" s="358"/>
    </row>
    <row r="85" spans="1:102" ht="13.8" thickBot="1">
      <c r="A85" s="1309"/>
      <c r="B85" s="262"/>
      <c r="C85" s="262"/>
      <c r="D85" s="262"/>
      <c r="E85" s="262"/>
      <c r="F85" s="262"/>
      <c r="G85" s="262"/>
      <c r="H85" s="262"/>
      <c r="I85" s="262"/>
      <c r="J85" s="262"/>
      <c r="K85" s="262"/>
      <c r="L85" s="262"/>
      <c r="M85" s="262"/>
      <c r="N85" s="262"/>
      <c r="O85" s="262"/>
      <c r="P85" s="262"/>
      <c r="Q85" s="262"/>
      <c r="R85" s="262"/>
      <c r="S85" s="262"/>
      <c r="T85" s="262"/>
      <c r="U85" s="262"/>
      <c r="V85" s="262"/>
      <c r="W85" s="262"/>
      <c r="X85" s="262"/>
      <c r="Y85" s="262"/>
      <c r="Z85" s="262"/>
      <c r="AA85" s="262"/>
      <c r="AB85" s="262"/>
      <c r="AC85" s="262"/>
      <c r="AD85" s="262"/>
      <c r="AE85" s="262"/>
      <c r="AF85" s="262"/>
      <c r="AG85" s="262"/>
      <c r="AH85" s="262"/>
      <c r="AI85" s="358"/>
      <c r="AJ85" s="358"/>
      <c r="AK85" s="358"/>
      <c r="AL85" s="358"/>
      <c r="AM85" s="358"/>
      <c r="AN85" s="358"/>
      <c r="AO85" s="358"/>
      <c r="AP85" s="358"/>
      <c r="AQ85" s="358"/>
      <c r="AR85" s="358"/>
      <c r="AS85" s="358"/>
      <c r="AT85" s="358"/>
      <c r="AU85" s="358"/>
      <c r="AV85" s="358"/>
      <c r="AW85" s="358"/>
      <c r="AX85" s="358"/>
      <c r="AY85" s="358"/>
      <c r="AZ85" s="8"/>
      <c r="BA85" s="358"/>
      <c r="BB85" s="358"/>
      <c r="BC85" s="358"/>
      <c r="BD85" s="358"/>
      <c r="BE85" s="358"/>
      <c r="BF85" s="358"/>
      <c r="BG85" s="358"/>
      <c r="BH85" s="358"/>
      <c r="BI85" s="358"/>
      <c r="BJ85" s="358"/>
      <c r="BN85" s="358"/>
      <c r="BO85" s="358"/>
      <c r="BP85" s="358"/>
      <c r="BQ85" s="358"/>
      <c r="BR85" s="358"/>
      <c r="BS85" s="358"/>
      <c r="BT85" s="358"/>
      <c r="BU85" s="358"/>
      <c r="BV85" s="358"/>
      <c r="BW85" s="358"/>
      <c r="BX85" s="358"/>
      <c r="BY85" s="358"/>
      <c r="BZ85" s="358"/>
      <c r="CA85" s="358"/>
      <c r="CB85" s="358"/>
      <c r="CC85" s="358"/>
      <c r="CD85" s="358"/>
      <c r="CE85" s="358"/>
      <c r="CF85" s="358"/>
      <c r="CG85" s="358"/>
      <c r="CH85" s="358"/>
      <c r="CI85" s="358"/>
      <c r="CJ85" s="358"/>
      <c r="CK85" s="358"/>
      <c r="CL85" s="3030" t="s">
        <v>6345</v>
      </c>
      <c r="CM85" s="358"/>
      <c r="CN85" s="358"/>
      <c r="CO85" s="3031">
        <v>14858.33</v>
      </c>
      <c r="CP85" s="358"/>
      <c r="CQ85" s="358"/>
      <c r="CR85" s="358"/>
      <c r="CS85" s="358"/>
      <c r="CT85" s="358"/>
      <c r="CU85" s="358"/>
      <c r="CV85" s="358"/>
    </row>
    <row r="86" spans="1:102" ht="13.8" thickBot="1">
      <c r="A86" s="1309"/>
      <c r="B86" s="262"/>
      <c r="C86" s="262"/>
      <c r="D86" s="262"/>
      <c r="E86" s="262"/>
      <c r="F86" s="262"/>
      <c r="G86" s="262"/>
      <c r="H86" s="262"/>
      <c r="I86" s="262"/>
      <c r="J86" s="262"/>
      <c r="K86" s="262"/>
      <c r="L86" s="262"/>
      <c r="M86" s="262"/>
      <c r="N86" s="262"/>
      <c r="O86" s="262"/>
      <c r="P86" s="262"/>
      <c r="Q86" s="262"/>
      <c r="R86" s="262"/>
      <c r="S86" s="262"/>
      <c r="T86" s="262"/>
      <c r="U86" s="262"/>
      <c r="V86" s="262"/>
      <c r="W86" s="262"/>
      <c r="X86" s="262"/>
      <c r="Y86" s="262"/>
      <c r="Z86" s="262"/>
      <c r="AA86" s="262"/>
      <c r="AB86" s="262"/>
      <c r="AC86" s="262"/>
      <c r="AD86" s="262"/>
      <c r="AE86" s="262"/>
      <c r="AF86" s="262"/>
      <c r="AG86" s="262"/>
      <c r="AH86" s="262"/>
      <c r="AI86" s="358"/>
      <c r="AJ86" s="358"/>
      <c r="AK86" s="358"/>
      <c r="AL86" s="358"/>
      <c r="AM86" s="358"/>
      <c r="AN86" s="358"/>
      <c r="AO86" s="358"/>
      <c r="AP86" s="358"/>
      <c r="AQ86" s="358"/>
      <c r="AR86" s="358"/>
      <c r="AS86" s="358"/>
      <c r="AT86" s="358"/>
      <c r="AU86" s="358"/>
      <c r="AV86" s="358"/>
      <c r="AW86" s="358"/>
      <c r="AX86" s="358"/>
      <c r="AY86" s="358"/>
      <c r="AZ86" s="8"/>
      <c r="BA86" s="358"/>
      <c r="BB86" s="358"/>
      <c r="BC86" s="358"/>
      <c r="BD86" s="358"/>
      <c r="BE86" s="358"/>
      <c r="BF86" s="358"/>
      <c r="BG86" s="358"/>
      <c r="BH86" s="358"/>
      <c r="BI86" s="358"/>
      <c r="BJ86" s="358"/>
      <c r="BK86" s="358"/>
      <c r="BL86" s="358"/>
      <c r="BM86" s="358"/>
      <c r="BN86" s="358"/>
      <c r="BO86" s="358"/>
      <c r="BP86" s="358"/>
      <c r="BQ86" s="358"/>
      <c r="BR86" s="358"/>
      <c r="BS86" s="358"/>
      <c r="BT86" s="358"/>
      <c r="BU86" s="358"/>
      <c r="BV86" s="358"/>
      <c r="BW86" s="358"/>
      <c r="BX86" s="358"/>
      <c r="BY86" s="358"/>
      <c r="BZ86" s="358"/>
      <c r="CA86" s="358"/>
      <c r="CB86" s="358"/>
      <c r="CC86" s="358"/>
      <c r="CD86" s="358"/>
      <c r="CE86" s="358"/>
      <c r="CF86" s="358"/>
      <c r="CG86" s="358"/>
      <c r="CH86" s="358"/>
      <c r="CI86" s="358"/>
      <c r="CJ86" s="358"/>
      <c r="CK86" s="358"/>
      <c r="CL86" s="3030" t="s">
        <v>6346</v>
      </c>
      <c r="CM86" s="358"/>
      <c r="CN86" s="358"/>
      <c r="CO86" s="3029" t="s">
        <v>6349</v>
      </c>
      <c r="CP86" s="358"/>
      <c r="CQ86" s="358"/>
      <c r="CR86" s="358"/>
      <c r="CS86" s="358"/>
      <c r="CT86" s="358"/>
      <c r="CU86" s="358"/>
      <c r="CV86" s="358"/>
    </row>
    <row r="87" spans="1:102" ht="13.8" thickBot="1">
      <c r="A87" s="1309"/>
      <c r="B87" s="262"/>
      <c r="C87" s="262"/>
      <c r="D87" s="262"/>
      <c r="E87" s="262"/>
      <c r="F87" s="262"/>
      <c r="G87" s="262"/>
      <c r="H87" s="262"/>
      <c r="I87" s="262"/>
      <c r="J87" s="262"/>
      <c r="K87" s="262"/>
      <c r="L87" s="262"/>
      <c r="M87" s="262"/>
      <c r="N87" s="262"/>
      <c r="O87" s="262"/>
      <c r="P87" s="262"/>
      <c r="Q87" s="262"/>
      <c r="R87" s="262"/>
      <c r="S87" s="262"/>
      <c r="T87" s="262"/>
      <c r="U87" s="262"/>
      <c r="V87" s="262"/>
      <c r="W87" s="262"/>
      <c r="X87" s="262"/>
      <c r="Y87" s="262"/>
      <c r="Z87" s="262"/>
      <c r="AA87" s="262"/>
      <c r="AB87" s="262"/>
      <c r="AC87" s="262"/>
      <c r="AD87" s="262"/>
      <c r="AE87" s="262"/>
      <c r="AF87" s="262"/>
      <c r="AG87" s="262"/>
      <c r="AH87" s="262"/>
      <c r="AI87" s="358"/>
      <c r="AJ87" s="358"/>
      <c r="AK87" s="358"/>
      <c r="AL87" s="358"/>
      <c r="AM87" s="358"/>
      <c r="AN87" s="358"/>
      <c r="AO87" s="358"/>
      <c r="AP87" s="358"/>
      <c r="AQ87" s="358"/>
      <c r="AR87" s="358"/>
      <c r="AS87" s="358"/>
      <c r="AT87" s="358"/>
      <c r="AU87" s="358"/>
      <c r="AV87" s="358"/>
      <c r="AW87" s="358"/>
      <c r="AX87" s="358"/>
      <c r="AY87" s="358"/>
      <c r="AZ87" s="8"/>
      <c r="BA87" s="358"/>
      <c r="BB87" s="358"/>
      <c r="BC87" s="358"/>
      <c r="BD87" s="358"/>
      <c r="BE87" s="358"/>
      <c r="BF87" s="358"/>
      <c r="BG87" s="358"/>
      <c r="BH87" s="358"/>
      <c r="BI87" s="358"/>
      <c r="BJ87" s="358"/>
      <c r="BK87" s="358"/>
      <c r="BL87" s="358"/>
      <c r="BM87" s="358"/>
      <c r="BN87" s="358"/>
      <c r="BO87" s="358"/>
      <c r="BP87" s="358"/>
      <c r="BQ87" s="358"/>
      <c r="BR87" s="358"/>
      <c r="BS87" s="358"/>
      <c r="BT87" s="358"/>
      <c r="BU87" s="358"/>
      <c r="BV87" s="358"/>
      <c r="BW87" s="358"/>
      <c r="BX87" s="358"/>
      <c r="BY87" s="358"/>
      <c r="BZ87" s="358"/>
      <c r="CA87" s="358"/>
      <c r="CB87" s="358"/>
      <c r="CC87" s="358"/>
      <c r="CD87" s="358"/>
      <c r="CE87" s="358"/>
      <c r="CF87" s="358"/>
      <c r="CG87" s="358"/>
      <c r="CH87" s="358"/>
      <c r="CI87" s="358"/>
      <c r="CJ87" s="358"/>
      <c r="CK87" s="358"/>
      <c r="CL87" s="3030" t="s">
        <v>6347</v>
      </c>
      <c r="CM87" s="358"/>
      <c r="CN87" s="358"/>
      <c r="CO87" s="358"/>
      <c r="CP87" s="358"/>
      <c r="CQ87" s="358"/>
      <c r="CR87" s="358"/>
      <c r="CS87" s="358"/>
      <c r="CT87" s="358"/>
    </row>
    <row r="88" spans="1:102" ht="13.8" thickBot="1">
      <c r="A88" s="1309"/>
      <c r="B88" s="262"/>
      <c r="C88" s="262"/>
      <c r="D88" s="262"/>
      <c r="E88" s="262"/>
      <c r="F88" s="262"/>
      <c r="G88" s="262"/>
      <c r="H88" s="262"/>
      <c r="I88" s="262"/>
      <c r="J88" s="262"/>
      <c r="K88" s="262"/>
      <c r="L88" s="262"/>
      <c r="M88" s="262"/>
      <c r="N88" s="262"/>
      <c r="O88" s="262"/>
      <c r="P88" s="262"/>
      <c r="Q88" s="262"/>
      <c r="R88" s="262"/>
      <c r="S88" s="262"/>
      <c r="T88" s="262"/>
      <c r="U88" s="262"/>
      <c r="V88" s="262"/>
      <c r="W88" s="262"/>
      <c r="X88" s="262"/>
      <c r="Y88" s="262"/>
      <c r="Z88" s="262"/>
      <c r="AA88" s="262"/>
      <c r="AB88" s="262"/>
      <c r="AC88" s="262"/>
      <c r="AD88" s="262"/>
      <c r="AE88" s="262"/>
      <c r="AF88" s="262"/>
      <c r="AG88" s="262"/>
      <c r="AH88" s="262"/>
      <c r="AI88" s="358"/>
      <c r="AJ88" s="358"/>
      <c r="AK88" s="358"/>
      <c r="AL88" s="358"/>
      <c r="AM88" s="358"/>
      <c r="AN88" s="358"/>
      <c r="AO88" s="358"/>
      <c r="AP88" s="358"/>
      <c r="AQ88" s="358"/>
      <c r="AR88" s="358"/>
      <c r="AS88" s="358"/>
      <c r="AT88" s="358"/>
      <c r="AU88" s="358"/>
      <c r="AV88" s="358"/>
      <c r="AW88" s="358"/>
      <c r="AX88" s="358"/>
      <c r="AY88" s="358"/>
      <c r="AZ88" s="8"/>
      <c r="BA88" s="358"/>
      <c r="BB88" s="358"/>
      <c r="BC88" s="358"/>
      <c r="BD88" s="358"/>
      <c r="BE88" s="358"/>
      <c r="BF88" s="358"/>
      <c r="BG88" s="358"/>
      <c r="BH88" s="358"/>
      <c r="BI88" s="358"/>
      <c r="BJ88" s="358"/>
      <c r="BK88" s="358"/>
      <c r="BL88" s="358"/>
      <c r="BM88" s="358"/>
      <c r="BN88" s="358"/>
      <c r="BO88" s="358"/>
      <c r="BP88" s="358"/>
      <c r="BQ88" s="358"/>
      <c r="BR88" s="358"/>
      <c r="BS88" s="358"/>
      <c r="BT88" s="358"/>
      <c r="BU88" s="358"/>
      <c r="BV88" s="358"/>
      <c r="BW88" s="358"/>
      <c r="BX88" s="358"/>
      <c r="BY88" s="358"/>
      <c r="BZ88" s="358"/>
      <c r="CA88" s="358"/>
      <c r="CB88" s="358"/>
      <c r="CC88" s="358"/>
      <c r="CD88" s="358"/>
      <c r="CE88" s="358"/>
      <c r="CF88" s="358"/>
      <c r="CG88" s="358"/>
      <c r="CH88" s="358"/>
      <c r="CI88" s="358"/>
      <c r="CJ88" s="358"/>
      <c r="CK88" s="358"/>
      <c r="CL88" s="3030" t="s">
        <v>6348</v>
      </c>
      <c r="CM88" s="358"/>
      <c r="CN88" s="358"/>
      <c r="CO88" s="358"/>
      <c r="CP88" s="358"/>
      <c r="CQ88" s="358"/>
      <c r="CR88" s="358"/>
      <c r="CS88" s="358"/>
      <c r="CT88" s="358"/>
    </row>
    <row r="89" spans="1:102">
      <c r="A89" s="1309"/>
      <c r="B89" s="262"/>
      <c r="C89" s="262"/>
      <c r="D89" s="262"/>
      <c r="E89" s="262"/>
      <c r="F89" s="262"/>
      <c r="G89" s="262"/>
      <c r="H89" s="262"/>
      <c r="I89" s="262"/>
      <c r="J89" s="262"/>
      <c r="K89" s="262"/>
      <c r="L89" s="262"/>
      <c r="M89" s="262"/>
      <c r="N89" s="262"/>
      <c r="O89" s="262"/>
      <c r="P89" s="262"/>
      <c r="Q89" s="262"/>
      <c r="R89" s="262"/>
      <c r="S89" s="262"/>
      <c r="T89" s="262"/>
      <c r="U89" s="262"/>
      <c r="V89" s="262"/>
      <c r="W89" s="262"/>
      <c r="X89" s="262"/>
      <c r="Y89" s="262"/>
      <c r="Z89" s="262"/>
      <c r="AA89" s="262"/>
      <c r="AB89" s="262"/>
      <c r="AC89" s="262"/>
      <c r="AD89" s="262"/>
      <c r="AE89" s="262"/>
      <c r="AF89" s="262"/>
      <c r="AG89" s="262"/>
      <c r="AH89" s="262"/>
      <c r="AI89" s="358"/>
      <c r="AJ89" s="358"/>
      <c r="AK89" s="358"/>
      <c r="AL89" s="358"/>
      <c r="AM89" s="358"/>
      <c r="AN89" s="358"/>
      <c r="AO89" s="358"/>
      <c r="AP89" s="358"/>
      <c r="AQ89" s="358"/>
      <c r="AR89" s="358"/>
      <c r="AS89" s="358"/>
      <c r="AT89" s="358"/>
      <c r="AU89" s="358"/>
      <c r="AV89" s="358"/>
      <c r="AW89" s="358"/>
      <c r="AX89" s="358"/>
      <c r="AY89" s="358"/>
      <c r="AZ89" s="8"/>
      <c r="BA89" s="358"/>
      <c r="BB89" s="358"/>
      <c r="BC89" s="358"/>
      <c r="BD89" s="358"/>
      <c r="BE89" s="358"/>
      <c r="BF89" s="358"/>
      <c r="BG89" s="358"/>
      <c r="BH89" s="358"/>
      <c r="BI89" s="358"/>
      <c r="BJ89" s="358"/>
      <c r="BK89" s="358"/>
      <c r="BL89" s="358"/>
      <c r="BM89" s="358"/>
      <c r="BN89" s="358"/>
      <c r="BO89" s="358"/>
      <c r="BP89" s="358"/>
      <c r="BQ89" s="358"/>
      <c r="BR89" s="358"/>
      <c r="BS89" s="358"/>
      <c r="BT89" s="358"/>
      <c r="BU89" s="358"/>
      <c r="BV89" s="358"/>
      <c r="BW89" s="358"/>
      <c r="BX89" s="358"/>
      <c r="BY89" s="358"/>
      <c r="BZ89" s="358"/>
      <c r="CA89" s="358"/>
      <c r="CB89" s="358"/>
      <c r="CC89" s="358"/>
      <c r="CD89" s="358"/>
      <c r="CE89" s="358"/>
      <c r="CF89" s="358"/>
      <c r="CG89" s="358"/>
      <c r="CH89" s="358"/>
      <c r="CI89" s="358"/>
      <c r="CJ89" s="358"/>
      <c r="CK89" s="358"/>
      <c r="CL89" s="358"/>
      <c r="CM89" s="358"/>
      <c r="CN89" s="358"/>
      <c r="CO89" s="358"/>
      <c r="CP89" s="358"/>
      <c r="CQ89" s="358"/>
      <c r="CR89" s="358"/>
      <c r="CS89" s="358"/>
      <c r="CT89" s="358"/>
    </row>
    <row r="90" spans="1:102">
      <c r="A90" s="1309"/>
      <c r="B90" s="262"/>
      <c r="C90" s="262"/>
      <c r="D90" s="262"/>
      <c r="E90" s="262"/>
      <c r="F90" s="262"/>
      <c r="G90" s="262"/>
      <c r="H90" s="262"/>
      <c r="I90" s="262"/>
      <c r="J90" s="262"/>
      <c r="K90" s="262"/>
      <c r="L90" s="262"/>
      <c r="M90" s="262"/>
      <c r="N90" s="262"/>
      <c r="O90" s="262"/>
      <c r="P90" s="262"/>
      <c r="Q90" s="262"/>
      <c r="R90" s="262"/>
      <c r="S90" s="262"/>
      <c r="T90" s="262"/>
      <c r="U90" s="262"/>
      <c r="V90" s="262"/>
      <c r="W90" s="262"/>
      <c r="X90" s="262"/>
      <c r="Y90" s="262"/>
      <c r="Z90" s="262"/>
      <c r="AA90" s="262"/>
      <c r="AB90" s="262"/>
      <c r="AC90" s="262"/>
      <c r="AD90" s="262"/>
      <c r="AE90" s="262"/>
      <c r="AF90" s="262"/>
      <c r="AG90" s="262"/>
      <c r="AH90" s="262"/>
      <c r="AI90" s="358"/>
      <c r="AJ90" s="358"/>
      <c r="AK90" s="358"/>
      <c r="AL90" s="151"/>
      <c r="AM90" s="358"/>
      <c r="AN90" s="358"/>
      <c r="AO90" s="358"/>
      <c r="AP90" s="358"/>
      <c r="AQ90" s="358"/>
      <c r="AR90" s="358"/>
      <c r="AS90" s="358"/>
      <c r="AT90" s="358"/>
      <c r="AU90" s="358"/>
      <c r="AV90" s="358"/>
      <c r="AW90" s="358"/>
      <c r="AX90" s="358"/>
      <c r="AY90" s="358"/>
      <c r="AZ90" s="8"/>
      <c r="BA90" s="358"/>
      <c r="BB90" s="358"/>
      <c r="BC90" s="358"/>
      <c r="BD90" s="358"/>
      <c r="BE90" s="358"/>
      <c r="BF90" s="358"/>
      <c r="BG90" s="358"/>
      <c r="BH90" s="358"/>
      <c r="BI90" s="358"/>
      <c r="BJ90" s="358"/>
      <c r="BK90" s="358"/>
      <c r="BL90" s="358"/>
      <c r="BM90" s="358"/>
      <c r="BN90" s="358"/>
      <c r="BO90" s="358"/>
      <c r="BP90" s="358"/>
      <c r="BQ90" s="358"/>
      <c r="BR90" s="358"/>
      <c r="BS90" s="358"/>
      <c r="BT90" s="358"/>
      <c r="BU90" s="358"/>
      <c r="BV90" s="358"/>
      <c r="BW90" s="358"/>
      <c r="BX90" s="358"/>
      <c r="BY90" s="358"/>
      <c r="BZ90" s="358"/>
      <c r="CA90" s="358"/>
      <c r="CB90" s="358"/>
      <c r="CC90" s="358"/>
      <c r="CD90" s="358"/>
      <c r="CE90" s="358"/>
      <c r="CF90" s="358"/>
      <c r="CG90" s="358"/>
      <c r="CH90" s="358"/>
      <c r="CI90" s="358"/>
      <c r="CJ90" s="358"/>
      <c r="CK90" s="358"/>
      <c r="CL90" s="358"/>
      <c r="CM90" s="358"/>
      <c r="CN90" s="358"/>
      <c r="CO90" s="358"/>
      <c r="CP90" s="358"/>
      <c r="CQ90" s="358"/>
      <c r="CR90" s="358"/>
      <c r="CS90" s="358"/>
      <c r="CT90" s="358"/>
    </row>
    <row r="91" spans="1:102">
      <c r="A91" s="1309"/>
      <c r="B91" s="262"/>
      <c r="C91" s="262"/>
      <c r="D91" s="262"/>
      <c r="E91" s="262"/>
      <c r="F91" s="262"/>
      <c r="G91" s="262"/>
      <c r="H91" s="262"/>
      <c r="I91" s="262"/>
      <c r="J91" s="262"/>
      <c r="K91" s="262"/>
      <c r="L91" s="262"/>
      <c r="M91" s="262"/>
      <c r="N91" s="262"/>
      <c r="O91" s="262"/>
      <c r="P91" s="262"/>
      <c r="Q91" s="262"/>
      <c r="R91" s="262"/>
      <c r="S91" s="262"/>
      <c r="T91" s="262"/>
      <c r="U91" s="262"/>
      <c r="V91" s="262"/>
      <c r="W91" s="262"/>
      <c r="X91" s="262"/>
      <c r="Y91" s="262"/>
      <c r="Z91" s="262"/>
      <c r="AA91" s="262"/>
      <c r="AB91" s="262"/>
      <c r="AC91" s="262"/>
      <c r="AD91" s="262"/>
      <c r="AE91" s="262"/>
      <c r="AF91" s="262"/>
      <c r="AG91" s="262"/>
      <c r="AH91" s="262"/>
      <c r="AI91" s="358"/>
      <c r="AJ91" s="358"/>
      <c r="AK91" s="358"/>
      <c r="AL91" s="151"/>
      <c r="AM91" s="358"/>
      <c r="AN91" s="358"/>
      <c r="AO91" s="358"/>
      <c r="AP91" s="358"/>
      <c r="AQ91" s="358"/>
      <c r="AR91" s="358"/>
      <c r="AS91" s="358"/>
      <c r="AT91" s="358"/>
      <c r="AU91" s="358"/>
      <c r="AV91" s="358"/>
      <c r="AW91" s="358"/>
      <c r="AX91" s="358"/>
      <c r="AY91" s="358"/>
      <c r="AZ91" s="358"/>
      <c r="BA91" s="358"/>
      <c r="BB91" s="358"/>
      <c r="BC91" s="358"/>
      <c r="BD91" s="358"/>
      <c r="BE91" s="358"/>
      <c r="BF91" s="358"/>
      <c r="BG91" s="358"/>
      <c r="BH91" s="358"/>
      <c r="BI91" s="358"/>
      <c r="BJ91" s="358"/>
      <c r="BK91" s="358"/>
      <c r="BL91" s="358"/>
      <c r="BM91" s="358"/>
      <c r="BN91" s="358"/>
      <c r="BO91" s="358"/>
      <c r="BP91" s="358"/>
      <c r="BQ91" s="358"/>
      <c r="BR91" s="358"/>
      <c r="BS91" s="358"/>
      <c r="BT91" s="358"/>
      <c r="BU91" s="358"/>
      <c r="BV91" s="358"/>
      <c r="BW91" s="358"/>
      <c r="BX91" s="358"/>
      <c r="BY91" s="358"/>
      <c r="BZ91" s="358"/>
      <c r="CA91" s="358"/>
      <c r="CB91" s="358"/>
      <c r="CC91" s="358"/>
      <c r="CD91" s="358"/>
      <c r="CE91" s="358"/>
      <c r="CF91" s="358"/>
      <c r="CG91" s="358"/>
      <c r="CH91" s="358"/>
      <c r="CI91" s="358"/>
      <c r="CJ91" s="358"/>
      <c r="CK91" s="358"/>
      <c r="CL91" s="358"/>
      <c r="CM91" s="358"/>
      <c r="CN91" s="358"/>
      <c r="CO91" s="358"/>
      <c r="CP91" s="358"/>
      <c r="CQ91" s="358"/>
      <c r="CR91" s="358"/>
      <c r="CS91" s="358"/>
      <c r="CT91" s="358"/>
    </row>
    <row r="92" spans="1:102">
      <c r="A92" s="1309"/>
      <c r="B92" s="262"/>
      <c r="C92" s="262"/>
      <c r="D92" s="262"/>
      <c r="E92" s="262"/>
      <c r="F92" s="262"/>
      <c r="G92" s="262"/>
      <c r="H92" s="262"/>
      <c r="I92" s="262"/>
      <c r="J92" s="262"/>
      <c r="K92" s="262"/>
      <c r="L92" s="262"/>
      <c r="M92" s="262"/>
      <c r="N92" s="262"/>
      <c r="O92" s="262"/>
      <c r="P92" s="262"/>
      <c r="Q92" s="262"/>
      <c r="R92" s="262"/>
      <c r="S92" s="262"/>
      <c r="T92" s="262"/>
      <c r="U92" s="262"/>
      <c r="V92" s="262"/>
      <c r="W92" s="262"/>
      <c r="X92" s="262"/>
      <c r="Y92" s="262"/>
      <c r="Z92" s="262"/>
      <c r="AA92" s="262"/>
      <c r="AB92" s="262"/>
      <c r="AC92" s="262"/>
      <c r="AD92" s="262"/>
      <c r="AE92" s="262"/>
      <c r="AF92" s="262"/>
      <c r="AG92" s="262"/>
      <c r="AH92" s="262"/>
      <c r="AI92" s="358"/>
      <c r="AJ92" s="358"/>
      <c r="AK92" s="358"/>
      <c r="AL92" s="151"/>
      <c r="AM92" s="358"/>
      <c r="AN92" s="358"/>
      <c r="AO92" s="358"/>
      <c r="AP92" s="358"/>
      <c r="AQ92" s="358"/>
      <c r="AR92" s="358"/>
      <c r="AS92" s="358"/>
      <c r="AT92" s="358"/>
      <c r="AU92" s="358"/>
      <c r="AV92" s="358"/>
      <c r="AW92" s="358"/>
      <c r="AX92" s="358"/>
      <c r="AY92" s="358"/>
      <c r="AZ92" s="358"/>
      <c r="BA92" s="358"/>
      <c r="BB92" s="358"/>
      <c r="BC92" s="358"/>
      <c r="BD92" s="358"/>
      <c r="BE92" s="358"/>
      <c r="BF92" s="358"/>
      <c r="BG92" s="358"/>
      <c r="BH92" s="358"/>
      <c r="BI92" s="358"/>
      <c r="BJ92" s="358"/>
      <c r="BK92" s="358"/>
      <c r="BL92" s="358"/>
      <c r="BM92" s="358"/>
      <c r="BN92" s="358"/>
      <c r="BO92" s="358"/>
      <c r="BP92" s="358"/>
      <c r="BQ92" s="358"/>
      <c r="BR92" s="358"/>
      <c r="BS92" s="358"/>
      <c r="BT92" s="358"/>
      <c r="BU92" s="358"/>
      <c r="BV92" s="358"/>
      <c r="BW92" s="358"/>
      <c r="BX92" s="358"/>
      <c r="BY92" s="358"/>
      <c r="BZ92" s="358"/>
      <c r="CA92" s="358"/>
      <c r="CB92" s="358"/>
      <c r="CC92" s="358"/>
      <c r="CD92" s="358"/>
      <c r="CE92" s="358"/>
      <c r="CF92" s="358"/>
      <c r="CG92" s="358"/>
      <c r="CH92" s="358"/>
      <c r="CI92" s="358"/>
      <c r="CJ92" s="358"/>
      <c r="CK92" s="358"/>
      <c r="CL92" s="358"/>
      <c r="CM92" s="358"/>
      <c r="CN92" s="358"/>
      <c r="CO92" s="358"/>
      <c r="CP92" s="358"/>
      <c r="CQ92" s="358"/>
      <c r="CR92" s="358"/>
      <c r="CS92" s="358"/>
      <c r="CT92" s="358"/>
    </row>
    <row r="93" spans="1:102">
      <c r="A93" s="1309"/>
      <c r="B93" s="262"/>
      <c r="C93" s="262"/>
      <c r="D93" s="262"/>
      <c r="E93" s="262"/>
      <c r="F93" s="262"/>
      <c r="G93" s="262"/>
      <c r="H93" s="262"/>
      <c r="I93" s="262"/>
      <c r="J93" s="262"/>
      <c r="K93" s="262"/>
      <c r="L93" s="262"/>
      <c r="M93" s="262"/>
      <c r="N93" s="262"/>
      <c r="O93" s="262"/>
      <c r="P93" s="262"/>
      <c r="Q93" s="262"/>
      <c r="R93" s="262"/>
      <c r="S93" s="262"/>
      <c r="T93" s="262"/>
      <c r="U93" s="262"/>
      <c r="V93" s="262"/>
      <c r="W93" s="262"/>
      <c r="X93" s="262"/>
      <c r="Y93" s="262"/>
      <c r="Z93" s="262"/>
      <c r="AA93" s="262"/>
      <c r="AB93" s="262"/>
      <c r="AC93" s="262"/>
      <c r="AD93" s="262"/>
      <c r="AE93" s="262"/>
      <c r="AF93" s="262"/>
      <c r="AG93" s="262"/>
      <c r="AH93" s="262"/>
      <c r="AI93" s="358"/>
      <c r="AJ93" s="358"/>
      <c r="AK93" s="358"/>
      <c r="AL93" s="151"/>
      <c r="AM93" s="358"/>
      <c r="AN93" s="358"/>
      <c r="AO93" s="358"/>
      <c r="AP93" s="358"/>
      <c r="AQ93" s="358"/>
      <c r="AR93" s="358"/>
      <c r="AS93" s="358"/>
      <c r="AT93" s="358"/>
      <c r="AU93" s="358"/>
      <c r="AV93" s="358"/>
      <c r="AW93" s="358"/>
      <c r="AX93" s="358"/>
      <c r="AY93" s="358"/>
      <c r="AZ93" s="358"/>
      <c r="BA93" s="358"/>
      <c r="BB93" s="358"/>
      <c r="BC93" s="358"/>
      <c r="BD93" s="358"/>
      <c r="BE93" s="358"/>
      <c r="BF93" s="358"/>
      <c r="BG93" s="358"/>
      <c r="BH93" s="358"/>
      <c r="BI93" s="358"/>
      <c r="BJ93" s="358"/>
      <c r="BK93" s="358"/>
      <c r="BL93" s="358"/>
      <c r="BM93" s="358"/>
      <c r="BN93" s="358"/>
      <c r="BO93" s="358"/>
      <c r="BP93" s="358"/>
      <c r="BQ93" s="358"/>
      <c r="BR93" s="358"/>
      <c r="BS93" s="358"/>
      <c r="BT93" s="358"/>
      <c r="BU93" s="358"/>
      <c r="BV93" s="358"/>
      <c r="BW93" s="358"/>
      <c r="BX93" s="358"/>
      <c r="BY93" s="358"/>
      <c r="BZ93" s="358"/>
      <c r="CA93" s="358"/>
      <c r="CB93" s="358"/>
      <c r="CC93" s="358"/>
      <c r="CD93" s="358"/>
      <c r="CE93" s="358"/>
      <c r="CF93" s="358"/>
      <c r="CG93" s="358"/>
      <c r="CH93" s="358"/>
      <c r="CI93" s="358"/>
      <c r="CJ93" s="358"/>
      <c r="CK93" s="358"/>
      <c r="CL93" s="358"/>
      <c r="CM93" s="358"/>
      <c r="CN93" s="358"/>
      <c r="CO93" s="358"/>
      <c r="CP93" s="358"/>
      <c r="CQ93" s="358"/>
      <c r="CR93" s="358"/>
      <c r="CS93" s="358"/>
      <c r="CT93" s="358"/>
    </row>
    <row r="94" spans="1:102">
      <c r="A94" s="1309"/>
      <c r="B94" s="262"/>
      <c r="C94" s="262"/>
      <c r="D94" s="262"/>
      <c r="E94" s="262"/>
      <c r="F94" s="262"/>
      <c r="G94" s="262"/>
      <c r="H94" s="262"/>
      <c r="I94" s="262"/>
      <c r="J94" s="262"/>
      <c r="K94" s="262"/>
      <c r="L94" s="262"/>
      <c r="M94" s="262"/>
      <c r="N94" s="262"/>
      <c r="O94" s="262"/>
      <c r="P94" s="262"/>
      <c r="Q94" s="262"/>
      <c r="R94" s="262"/>
      <c r="S94" s="262"/>
      <c r="T94" s="262"/>
      <c r="U94" s="262"/>
      <c r="V94" s="262"/>
      <c r="W94" s="262"/>
      <c r="X94" s="262"/>
      <c r="Y94" s="262"/>
      <c r="Z94" s="262"/>
      <c r="AA94" s="262"/>
      <c r="AB94" s="262"/>
      <c r="AC94" s="262"/>
      <c r="AD94" s="262"/>
      <c r="AE94" s="262"/>
      <c r="AF94" s="262"/>
      <c r="AG94" s="262"/>
      <c r="AH94" s="262"/>
      <c r="AI94" s="358"/>
      <c r="AJ94" s="358"/>
      <c r="AK94" s="358"/>
      <c r="AL94" s="151"/>
      <c r="AM94" s="358"/>
      <c r="AN94" s="358"/>
      <c r="AO94" s="358"/>
      <c r="AP94" s="358"/>
      <c r="AQ94" s="358"/>
      <c r="AR94" s="358"/>
      <c r="AS94" s="358"/>
      <c r="AT94" s="358"/>
      <c r="AU94" s="358"/>
      <c r="AV94" s="358"/>
      <c r="AW94" s="358"/>
      <c r="AX94" s="358"/>
      <c r="AY94" s="358"/>
      <c r="AZ94" s="358"/>
      <c r="BA94" s="358"/>
      <c r="BB94" s="358"/>
      <c r="BC94" s="358"/>
      <c r="BD94" s="358"/>
      <c r="BE94" s="358"/>
      <c r="BF94" s="358"/>
      <c r="BG94" s="358"/>
      <c r="BH94" s="358"/>
      <c r="BI94" s="358"/>
      <c r="BJ94" s="358"/>
      <c r="BK94" s="358"/>
      <c r="BL94" s="358"/>
      <c r="BM94" s="358"/>
      <c r="BN94" s="358"/>
      <c r="BO94" s="358"/>
      <c r="BP94" s="358"/>
      <c r="BQ94" s="358"/>
      <c r="BR94" s="358"/>
      <c r="BS94" s="358"/>
      <c r="BT94" s="358"/>
      <c r="BU94" s="358"/>
      <c r="BV94" s="358"/>
      <c r="BW94" s="358"/>
      <c r="BX94" s="358"/>
      <c r="BY94" s="358"/>
      <c r="BZ94" s="358"/>
      <c r="CA94" s="358"/>
      <c r="CB94" s="358"/>
      <c r="CC94" s="358"/>
      <c r="CD94" s="358"/>
      <c r="CE94" s="358"/>
      <c r="CF94" s="358"/>
      <c r="CG94" s="358"/>
      <c r="CH94" s="358"/>
      <c r="CI94" s="358"/>
      <c r="CJ94" s="358"/>
      <c r="CK94" s="358"/>
      <c r="CL94" s="358"/>
      <c r="CM94" s="358"/>
      <c r="CN94" s="358"/>
      <c r="CO94" s="358"/>
      <c r="CP94" s="358"/>
      <c r="CQ94" s="358"/>
      <c r="CR94" s="358"/>
      <c r="CS94" s="358"/>
      <c r="CT94" s="358"/>
    </row>
    <row r="95" spans="1:102">
      <c r="A95" s="1309"/>
      <c r="B95" s="262"/>
      <c r="C95" s="262"/>
      <c r="D95" s="262"/>
      <c r="E95" s="262"/>
      <c r="F95" s="262"/>
      <c r="G95" s="262"/>
      <c r="H95" s="262"/>
      <c r="I95" s="262"/>
      <c r="J95" s="262"/>
      <c r="K95" s="262"/>
      <c r="L95" s="262"/>
      <c r="M95" s="262"/>
      <c r="N95" s="262"/>
      <c r="O95" s="262"/>
      <c r="P95" s="262"/>
      <c r="Q95" s="262"/>
      <c r="R95" s="262"/>
      <c r="S95" s="262"/>
      <c r="T95" s="262"/>
      <c r="U95" s="262"/>
      <c r="V95" s="262"/>
      <c r="W95" s="262"/>
      <c r="X95" s="262"/>
      <c r="Y95" s="262"/>
      <c r="Z95" s="262"/>
      <c r="AA95" s="262"/>
      <c r="AB95" s="262"/>
      <c r="AC95" s="262"/>
      <c r="AD95" s="262"/>
      <c r="AE95" s="262"/>
      <c r="AF95" s="262"/>
      <c r="AG95" s="262"/>
      <c r="AH95" s="262"/>
      <c r="AI95" s="358"/>
      <c r="AJ95" s="358"/>
      <c r="AK95" s="358"/>
      <c r="AL95" s="151"/>
      <c r="AM95" s="358"/>
      <c r="AN95" s="358"/>
      <c r="AO95" s="358"/>
      <c r="AP95" s="358"/>
      <c r="AQ95" s="358"/>
      <c r="AR95" s="358"/>
      <c r="AS95" s="358"/>
      <c r="AT95" s="358"/>
      <c r="AU95" s="358"/>
      <c r="AV95" s="358"/>
      <c r="AW95" s="358"/>
      <c r="AX95" s="358"/>
      <c r="AY95" s="358"/>
      <c r="AZ95" s="358"/>
      <c r="BA95" s="358"/>
      <c r="BB95" s="358"/>
      <c r="BC95" s="358"/>
      <c r="BD95" s="358"/>
      <c r="BE95" s="358"/>
      <c r="BF95" s="358"/>
      <c r="BG95" s="358"/>
      <c r="BH95" s="358"/>
      <c r="BI95" s="358"/>
      <c r="BJ95" s="358"/>
      <c r="BK95" s="358"/>
      <c r="BL95" s="358"/>
      <c r="BM95" s="358"/>
      <c r="BN95" s="358"/>
      <c r="BO95" s="358"/>
      <c r="BP95" s="358"/>
      <c r="BQ95" s="358"/>
      <c r="BR95" s="358"/>
      <c r="BS95" s="358"/>
      <c r="BT95" s="358"/>
      <c r="BU95" s="358"/>
      <c r="BV95" s="358"/>
      <c r="BW95" s="358"/>
      <c r="BX95" s="358"/>
      <c r="BY95" s="358"/>
      <c r="BZ95" s="358"/>
      <c r="CA95" s="358"/>
      <c r="CB95" s="358"/>
      <c r="CC95" s="358"/>
      <c r="CD95" s="358"/>
      <c r="CE95" s="358"/>
      <c r="CF95" s="358"/>
      <c r="CG95" s="358"/>
      <c r="CH95" s="358"/>
      <c r="CI95" s="358"/>
      <c r="CJ95" s="358"/>
      <c r="CK95" s="358"/>
      <c r="CL95" s="358"/>
      <c r="CM95" s="358"/>
      <c r="CN95" s="358"/>
      <c r="CO95" s="358"/>
      <c r="CP95" s="358"/>
      <c r="CQ95" s="358"/>
      <c r="CR95" s="358"/>
      <c r="CS95" s="358"/>
      <c r="CT95" s="358"/>
    </row>
    <row r="96" spans="1:102">
      <c r="A96" s="1309"/>
      <c r="B96" s="262"/>
      <c r="C96" s="262"/>
      <c r="D96" s="262"/>
      <c r="E96" s="262"/>
      <c r="F96" s="262"/>
      <c r="G96" s="262"/>
      <c r="H96" s="262"/>
      <c r="I96" s="262"/>
      <c r="J96" s="262"/>
      <c r="K96" s="262"/>
      <c r="L96" s="262"/>
      <c r="M96" s="262"/>
      <c r="N96" s="262"/>
      <c r="O96" s="262"/>
      <c r="P96" s="262"/>
      <c r="Q96" s="262"/>
      <c r="R96" s="262"/>
      <c r="S96" s="262"/>
      <c r="T96" s="262"/>
      <c r="U96" s="262"/>
      <c r="V96" s="262"/>
      <c r="W96" s="262"/>
      <c r="X96" s="262"/>
      <c r="Y96" s="262"/>
      <c r="Z96" s="262"/>
      <c r="AA96" s="262"/>
      <c r="AB96" s="262"/>
      <c r="AC96" s="262"/>
      <c r="AD96" s="262"/>
      <c r="AE96" s="262"/>
      <c r="AF96" s="262"/>
      <c r="AG96" s="262"/>
      <c r="AH96" s="262"/>
      <c r="AI96" s="358"/>
      <c r="AJ96" s="358"/>
      <c r="AK96" s="358"/>
      <c r="AL96" s="358"/>
      <c r="AM96" s="358"/>
      <c r="AN96" s="358"/>
      <c r="AO96" s="358"/>
      <c r="AP96" s="358"/>
      <c r="AQ96" s="358"/>
      <c r="AR96" s="358"/>
      <c r="AS96" s="358"/>
      <c r="AT96" s="358"/>
      <c r="AU96" s="358"/>
      <c r="AV96" s="358"/>
      <c r="AW96" s="358"/>
      <c r="AX96" s="358"/>
      <c r="AY96" s="358"/>
      <c r="AZ96" s="358"/>
      <c r="BA96" s="358"/>
      <c r="BB96" s="358"/>
      <c r="BC96" s="358"/>
      <c r="BD96" s="358"/>
      <c r="BE96" s="358"/>
      <c r="BF96" s="358"/>
      <c r="BG96" s="358"/>
      <c r="BH96" s="358"/>
      <c r="BI96" s="358"/>
      <c r="BJ96" s="358"/>
      <c r="BK96" s="358"/>
      <c r="BL96" s="358"/>
      <c r="BM96" s="358"/>
      <c r="BN96" s="358"/>
      <c r="BO96" s="358"/>
      <c r="BP96" s="358"/>
      <c r="BQ96" s="358"/>
      <c r="BR96" s="358"/>
      <c r="BS96" s="358"/>
      <c r="BT96" s="358"/>
      <c r="BU96" s="358"/>
      <c r="BV96" s="358"/>
      <c r="BW96" s="358"/>
      <c r="BX96" s="358"/>
      <c r="BY96" s="358"/>
      <c r="BZ96" s="358"/>
      <c r="CA96" s="358"/>
      <c r="CB96" s="358"/>
      <c r="CC96" s="358"/>
      <c r="CD96" s="358"/>
      <c r="CE96" s="358"/>
      <c r="CF96" s="358"/>
      <c r="CG96" s="358"/>
      <c r="CH96" s="358"/>
      <c r="CI96" s="358"/>
      <c r="CJ96" s="358"/>
      <c r="CK96" s="358"/>
      <c r="CL96" s="358"/>
      <c r="CM96" s="358"/>
      <c r="CN96" s="358"/>
      <c r="CO96" s="358"/>
      <c r="CP96" s="358"/>
      <c r="CQ96" s="358"/>
      <c r="CR96" s="358"/>
      <c r="CS96" s="358"/>
      <c r="CT96" s="358"/>
    </row>
    <row r="97" spans="1:98">
      <c r="A97" s="1309"/>
      <c r="B97" s="262"/>
      <c r="C97" s="262"/>
      <c r="D97" s="262"/>
      <c r="E97" s="262"/>
      <c r="F97" s="262"/>
      <c r="G97" s="262"/>
      <c r="H97" s="262"/>
      <c r="I97" s="262"/>
      <c r="J97" s="262"/>
      <c r="K97" s="262"/>
      <c r="L97" s="262"/>
      <c r="M97" s="262"/>
      <c r="N97" s="262"/>
      <c r="O97" s="262"/>
      <c r="P97" s="262"/>
      <c r="Q97" s="262"/>
      <c r="R97" s="262"/>
      <c r="S97" s="262"/>
      <c r="T97" s="262"/>
      <c r="U97" s="262"/>
      <c r="V97" s="262"/>
      <c r="W97" s="262"/>
      <c r="X97" s="262"/>
      <c r="Y97" s="262"/>
      <c r="Z97" s="262"/>
      <c r="AA97" s="262"/>
      <c r="AB97" s="262"/>
      <c r="AC97" s="262"/>
      <c r="AD97" s="262"/>
      <c r="AE97" s="262"/>
      <c r="AF97" s="262"/>
      <c r="AG97" s="262"/>
      <c r="AH97" s="262"/>
      <c r="AI97" s="358"/>
      <c r="AJ97" s="358"/>
      <c r="AK97" s="358"/>
      <c r="AL97" s="358"/>
      <c r="AM97" s="358"/>
      <c r="AN97" s="358"/>
      <c r="AO97" s="358"/>
      <c r="AP97" s="358"/>
      <c r="AQ97" s="358"/>
      <c r="AR97" s="358"/>
      <c r="AS97" s="358"/>
      <c r="AT97" s="358"/>
      <c r="AU97" s="358"/>
      <c r="AV97" s="358"/>
      <c r="AW97" s="358"/>
      <c r="AX97" s="358"/>
      <c r="AY97" s="358"/>
      <c r="AZ97" s="358"/>
      <c r="BA97" s="358"/>
      <c r="BB97" s="358"/>
      <c r="BC97" s="358"/>
      <c r="BD97" s="358"/>
      <c r="BE97" s="358"/>
      <c r="BF97" s="358"/>
      <c r="BG97" s="358"/>
      <c r="BH97" s="358"/>
      <c r="BI97" s="358"/>
      <c r="BJ97" s="358"/>
      <c r="BK97" s="358"/>
      <c r="BL97" s="358"/>
      <c r="BM97" s="358"/>
      <c r="BN97" s="358"/>
      <c r="BO97" s="358"/>
      <c r="BP97" s="358"/>
      <c r="BQ97" s="358"/>
      <c r="BR97" s="358"/>
      <c r="BS97" s="358"/>
      <c r="BT97" s="358"/>
      <c r="BU97" s="358"/>
      <c r="BV97" s="358"/>
      <c r="BW97" s="358"/>
      <c r="BX97" s="358"/>
      <c r="BY97" s="358"/>
      <c r="BZ97" s="358"/>
      <c r="CA97" s="358"/>
      <c r="CB97" s="358"/>
      <c r="CC97" s="358"/>
      <c r="CD97" s="358"/>
      <c r="CE97" s="358"/>
      <c r="CF97" s="358"/>
      <c r="CG97" s="358"/>
      <c r="CH97" s="358"/>
      <c r="CI97" s="358"/>
      <c r="CJ97" s="358"/>
      <c r="CK97" s="358"/>
      <c r="CL97" s="358"/>
      <c r="CM97" s="358"/>
      <c r="CN97" s="358"/>
      <c r="CO97" s="358"/>
      <c r="CP97" s="358"/>
      <c r="CQ97" s="358"/>
      <c r="CR97" s="358"/>
      <c r="CS97" s="358"/>
      <c r="CT97" s="358"/>
    </row>
    <row r="98" spans="1:98">
      <c r="A98" s="1309"/>
      <c r="B98" s="262"/>
      <c r="C98" s="262"/>
      <c r="D98" s="262"/>
      <c r="E98" s="262"/>
      <c r="F98" s="262"/>
      <c r="G98" s="262"/>
      <c r="H98" s="262"/>
      <c r="I98" s="262"/>
      <c r="J98" s="262"/>
      <c r="K98" s="262"/>
      <c r="L98" s="262"/>
      <c r="M98" s="262"/>
      <c r="N98" s="262"/>
      <c r="O98" s="262"/>
      <c r="P98" s="262"/>
      <c r="Q98" s="262"/>
      <c r="R98" s="262"/>
      <c r="S98" s="262"/>
      <c r="T98" s="262"/>
      <c r="U98" s="262"/>
      <c r="V98" s="262"/>
      <c r="W98" s="262"/>
      <c r="X98" s="262"/>
      <c r="Y98" s="262"/>
      <c r="Z98" s="262"/>
      <c r="AA98" s="262"/>
      <c r="AB98" s="262"/>
      <c r="AC98" s="262"/>
      <c r="AD98" s="262"/>
      <c r="AE98" s="262"/>
      <c r="AF98" s="262"/>
      <c r="AG98" s="262"/>
      <c r="AH98" s="262"/>
      <c r="AI98" s="358"/>
      <c r="AJ98" s="358"/>
      <c r="AK98" s="358"/>
      <c r="AL98" s="358"/>
      <c r="AM98" s="358"/>
      <c r="AN98" s="358"/>
      <c r="AO98" s="358"/>
      <c r="AP98" s="358"/>
      <c r="AQ98" s="358"/>
      <c r="AR98" s="358"/>
      <c r="AS98" s="358"/>
      <c r="AT98" s="358"/>
      <c r="AU98" s="358"/>
      <c r="AV98" s="358"/>
      <c r="AW98" s="358"/>
      <c r="AX98" s="358"/>
      <c r="AY98" s="358"/>
      <c r="AZ98" s="358"/>
      <c r="BA98" s="358"/>
      <c r="BB98" s="358"/>
      <c r="BC98" s="358"/>
      <c r="BD98" s="358"/>
      <c r="BE98" s="358"/>
      <c r="BF98" s="358"/>
      <c r="BG98" s="358"/>
      <c r="BH98" s="358"/>
      <c r="BI98" s="358"/>
      <c r="BJ98" s="358"/>
      <c r="BK98" s="358"/>
      <c r="BL98" s="358"/>
      <c r="BM98" s="358"/>
      <c r="BN98" s="358"/>
      <c r="BO98" s="358"/>
      <c r="BP98" s="358"/>
      <c r="BQ98" s="358"/>
      <c r="BR98" s="358"/>
      <c r="BS98" s="358"/>
      <c r="BT98" s="358"/>
      <c r="BU98" s="358"/>
      <c r="BV98" s="358"/>
      <c r="BW98" s="358"/>
      <c r="BX98" s="358"/>
      <c r="BY98" s="358"/>
      <c r="BZ98" s="358"/>
      <c r="CA98" s="358"/>
      <c r="CB98" s="358"/>
      <c r="CC98" s="358"/>
      <c r="CD98" s="358"/>
      <c r="CE98" s="358"/>
      <c r="CF98" s="358"/>
      <c r="CG98" s="358"/>
      <c r="CH98" s="358"/>
      <c r="CI98" s="358"/>
      <c r="CJ98" s="358"/>
      <c r="CK98" s="358"/>
      <c r="CL98" s="358"/>
      <c r="CM98" s="358"/>
      <c r="CN98" s="358"/>
      <c r="CO98" s="358"/>
      <c r="CP98" s="358"/>
      <c r="CQ98" s="358"/>
      <c r="CR98" s="358"/>
      <c r="CS98" s="358"/>
      <c r="CT98" s="358"/>
    </row>
    <row r="99" spans="1:98">
      <c r="A99" s="1309"/>
      <c r="B99" s="262"/>
      <c r="C99" s="262"/>
      <c r="D99" s="262"/>
      <c r="E99" s="262"/>
      <c r="F99" s="262"/>
      <c r="G99" s="262"/>
      <c r="H99" s="262"/>
      <c r="I99" s="262"/>
      <c r="J99" s="262"/>
      <c r="K99" s="262"/>
      <c r="L99" s="262"/>
      <c r="M99" s="262"/>
      <c r="N99" s="262"/>
      <c r="O99" s="262"/>
      <c r="P99" s="262"/>
      <c r="Q99" s="262"/>
      <c r="R99" s="262"/>
      <c r="S99" s="262"/>
      <c r="T99" s="262"/>
      <c r="U99" s="262"/>
      <c r="V99" s="262"/>
      <c r="W99" s="262"/>
      <c r="X99" s="262"/>
      <c r="Y99" s="262"/>
      <c r="Z99" s="262"/>
      <c r="AA99" s="262"/>
      <c r="AB99" s="262"/>
      <c r="AC99" s="262"/>
      <c r="AD99" s="262"/>
      <c r="AE99" s="262"/>
      <c r="AF99" s="262"/>
      <c r="AG99" s="262"/>
      <c r="AH99" s="262"/>
      <c r="AI99" s="358"/>
      <c r="AJ99" s="358"/>
      <c r="AK99" s="358"/>
      <c r="AL99" s="358"/>
      <c r="AM99" s="358"/>
      <c r="AN99" s="358"/>
      <c r="AO99" s="358"/>
      <c r="AP99" s="358"/>
      <c r="AQ99" s="358"/>
      <c r="AR99" s="358"/>
      <c r="AS99" s="358"/>
      <c r="AT99" s="358"/>
      <c r="AU99" s="358"/>
      <c r="AV99" s="358"/>
      <c r="AW99" s="358"/>
      <c r="AX99" s="358"/>
      <c r="AY99" s="358"/>
      <c r="AZ99" s="358"/>
      <c r="BA99" s="358"/>
      <c r="BB99" s="358"/>
      <c r="BC99" s="358"/>
      <c r="BD99" s="358"/>
      <c r="BE99" s="358"/>
      <c r="BF99" s="358"/>
      <c r="BG99" s="358"/>
      <c r="BH99" s="358"/>
      <c r="BI99" s="358"/>
      <c r="BJ99" s="358"/>
      <c r="BK99" s="358"/>
      <c r="BL99" s="358"/>
      <c r="BM99" s="358"/>
      <c r="BN99" s="358"/>
      <c r="BO99" s="358"/>
      <c r="BP99" s="358"/>
      <c r="BQ99" s="358"/>
      <c r="BR99" s="358"/>
      <c r="BS99" s="358"/>
      <c r="BT99" s="358"/>
      <c r="BU99" s="358"/>
      <c r="BV99" s="358"/>
      <c r="BW99" s="358"/>
      <c r="BX99" s="358"/>
      <c r="BY99" s="358"/>
      <c r="BZ99" s="358"/>
      <c r="CA99" s="358"/>
      <c r="CB99" s="358"/>
      <c r="CC99" s="358"/>
      <c r="CD99" s="358"/>
      <c r="CE99" s="358"/>
      <c r="CF99" s="358"/>
      <c r="CG99" s="358"/>
      <c r="CH99" s="358"/>
      <c r="CI99" s="358"/>
      <c r="CJ99" s="358"/>
      <c r="CK99" s="358"/>
      <c r="CL99" s="358"/>
      <c r="CM99" s="358"/>
      <c r="CN99" s="358"/>
      <c r="CO99" s="358"/>
      <c r="CP99" s="358"/>
      <c r="CQ99" s="358"/>
      <c r="CR99" s="358"/>
      <c r="CS99" s="358"/>
      <c r="CT99" s="358"/>
    </row>
    <row r="100" spans="1:98">
      <c r="A100" s="1309"/>
      <c r="B100" s="262"/>
      <c r="C100" s="262"/>
      <c r="D100" s="262"/>
      <c r="E100" s="262"/>
      <c r="F100" s="262"/>
      <c r="G100" s="262"/>
      <c r="H100" s="262"/>
      <c r="I100" s="262"/>
      <c r="J100" s="262"/>
      <c r="K100" s="262"/>
      <c r="L100" s="262"/>
      <c r="M100" s="262"/>
      <c r="N100" s="262"/>
      <c r="O100" s="262"/>
      <c r="P100" s="262"/>
      <c r="Q100" s="262"/>
      <c r="R100" s="262"/>
      <c r="S100" s="262"/>
      <c r="T100" s="262"/>
      <c r="U100" s="262"/>
      <c r="V100" s="262"/>
      <c r="W100" s="262"/>
      <c r="X100" s="262"/>
      <c r="Y100" s="262"/>
      <c r="Z100" s="262"/>
      <c r="AA100" s="262"/>
      <c r="AB100" s="262"/>
      <c r="AC100" s="262"/>
      <c r="AD100" s="262"/>
      <c r="AE100" s="262"/>
      <c r="AF100" s="262"/>
      <c r="AG100" s="262"/>
      <c r="AH100" s="262"/>
      <c r="AI100" s="358"/>
      <c r="AJ100" s="358"/>
      <c r="AK100" s="358"/>
      <c r="AL100" s="358"/>
      <c r="AM100" s="358"/>
      <c r="AN100" s="358"/>
      <c r="AO100" s="358"/>
      <c r="AP100" s="358"/>
      <c r="AQ100" s="358"/>
      <c r="AR100" s="358"/>
      <c r="AS100" s="358"/>
      <c r="AT100" s="358"/>
      <c r="AU100" s="358"/>
      <c r="AV100" s="358"/>
      <c r="AW100" s="358"/>
      <c r="AX100" s="358"/>
      <c r="AY100" s="358"/>
      <c r="AZ100" s="358"/>
      <c r="BA100" s="358"/>
      <c r="BB100" s="358"/>
      <c r="BC100" s="358"/>
      <c r="BD100" s="358"/>
      <c r="BE100" s="358"/>
      <c r="BF100" s="358"/>
      <c r="BG100" s="358"/>
      <c r="BH100" s="358"/>
      <c r="BI100" s="358"/>
      <c r="BJ100" s="358"/>
      <c r="BK100" s="358"/>
      <c r="BL100" s="358"/>
      <c r="BM100" s="358"/>
      <c r="BN100" s="358"/>
      <c r="BO100" s="358"/>
      <c r="BP100" s="358"/>
      <c r="BQ100" s="358"/>
      <c r="BR100" s="358"/>
      <c r="BS100" s="358"/>
      <c r="BT100" s="358"/>
      <c r="BU100" s="358"/>
      <c r="BV100" s="358"/>
      <c r="BW100" s="358"/>
      <c r="BX100" s="358"/>
      <c r="BY100" s="358"/>
      <c r="BZ100" s="358"/>
      <c r="CA100" s="358"/>
      <c r="CB100" s="358"/>
      <c r="CC100" s="358"/>
      <c r="CD100" s="358"/>
      <c r="CE100" s="358"/>
      <c r="CF100" s="358"/>
      <c r="CG100" s="358"/>
      <c r="CH100" s="358"/>
      <c r="CI100" s="358"/>
      <c r="CJ100" s="358"/>
      <c r="CK100" s="358"/>
      <c r="CL100" s="358"/>
      <c r="CM100" s="358"/>
      <c r="CN100" s="358"/>
      <c r="CO100" s="358"/>
      <c r="CP100" s="358"/>
      <c r="CQ100" s="358"/>
      <c r="CR100" s="358"/>
      <c r="CS100" s="358"/>
      <c r="CT100" s="358"/>
    </row>
    <row r="101" spans="1:98">
      <c r="A101" s="1309"/>
      <c r="B101" s="262"/>
      <c r="C101" s="262"/>
      <c r="D101" s="262"/>
      <c r="E101" s="262"/>
      <c r="F101" s="262"/>
      <c r="G101" s="262"/>
      <c r="H101" s="262"/>
      <c r="I101" s="262"/>
      <c r="J101" s="262"/>
      <c r="K101" s="262"/>
      <c r="L101" s="262"/>
      <c r="M101" s="262"/>
      <c r="N101" s="262"/>
      <c r="O101" s="262"/>
      <c r="P101" s="262"/>
      <c r="Q101" s="262"/>
      <c r="R101" s="262"/>
      <c r="S101" s="262"/>
      <c r="T101" s="262"/>
      <c r="U101" s="262"/>
      <c r="V101" s="262"/>
      <c r="W101" s="262"/>
      <c r="X101" s="262"/>
      <c r="Y101" s="262"/>
      <c r="Z101" s="262"/>
      <c r="AA101" s="262"/>
      <c r="AB101" s="262"/>
      <c r="AC101" s="262"/>
      <c r="AD101" s="262"/>
      <c r="AE101" s="262"/>
      <c r="AF101" s="262"/>
      <c r="AG101" s="262"/>
      <c r="AH101" s="262"/>
      <c r="AI101" s="358"/>
      <c r="AJ101" s="358"/>
      <c r="AK101" s="358"/>
      <c r="AL101" s="358"/>
      <c r="AM101" s="358"/>
      <c r="AN101" s="358"/>
      <c r="AO101" s="358"/>
      <c r="AP101" s="358"/>
      <c r="AQ101" s="358"/>
      <c r="AR101" s="358"/>
      <c r="AS101" s="358"/>
      <c r="AT101" s="358"/>
      <c r="AU101" s="358"/>
      <c r="AV101" s="358"/>
      <c r="AW101" s="358"/>
      <c r="AX101" s="358"/>
      <c r="AY101" s="358"/>
      <c r="AZ101" s="358"/>
      <c r="BA101" s="358"/>
      <c r="BB101" s="358"/>
      <c r="BC101" s="358"/>
      <c r="BD101" s="358"/>
      <c r="BE101" s="358"/>
      <c r="BF101" s="358"/>
      <c r="BG101" s="358"/>
      <c r="BH101" s="358"/>
      <c r="BI101" s="358"/>
      <c r="BJ101" s="358"/>
      <c r="BK101" s="358"/>
      <c r="BL101" s="358"/>
      <c r="BM101" s="358"/>
      <c r="BN101" s="358"/>
      <c r="BO101" s="358"/>
      <c r="BP101" s="358"/>
      <c r="BQ101" s="358"/>
      <c r="BR101" s="358"/>
      <c r="BS101" s="358"/>
      <c r="BT101" s="358"/>
      <c r="BU101" s="358"/>
      <c r="BV101" s="358"/>
      <c r="BW101" s="358"/>
      <c r="BX101" s="358"/>
      <c r="BY101" s="358"/>
      <c r="BZ101" s="358"/>
      <c r="CA101" s="358"/>
      <c r="CB101" s="358"/>
      <c r="CC101" s="358"/>
      <c r="CD101" s="358"/>
      <c r="CE101" s="358"/>
      <c r="CF101" s="358"/>
      <c r="CG101" s="358"/>
      <c r="CH101" s="358"/>
      <c r="CI101" s="358"/>
      <c r="CJ101" s="358"/>
      <c r="CK101" s="358"/>
      <c r="CL101" s="358"/>
      <c r="CM101" s="358"/>
      <c r="CN101" s="358"/>
      <c r="CO101" s="358"/>
      <c r="CP101" s="358"/>
      <c r="CQ101" s="358"/>
      <c r="CR101" s="358"/>
      <c r="CS101" s="358"/>
      <c r="CT101" s="358"/>
    </row>
    <row r="102" spans="1:98">
      <c r="A102" s="1309"/>
      <c r="B102" s="262"/>
      <c r="C102" s="262"/>
      <c r="D102" s="262"/>
      <c r="E102" s="262"/>
      <c r="F102" s="262"/>
      <c r="G102" s="262"/>
      <c r="H102" s="262"/>
      <c r="I102" s="262"/>
      <c r="J102" s="262"/>
      <c r="K102" s="262"/>
      <c r="L102" s="262"/>
      <c r="M102" s="262"/>
      <c r="N102" s="262"/>
      <c r="O102" s="262"/>
      <c r="P102" s="262"/>
      <c r="Q102" s="262"/>
      <c r="R102" s="262"/>
      <c r="S102" s="262"/>
      <c r="T102" s="262"/>
      <c r="U102" s="262"/>
      <c r="V102" s="262"/>
      <c r="W102" s="262"/>
      <c r="X102" s="262"/>
      <c r="Y102" s="262"/>
      <c r="Z102" s="262"/>
      <c r="AA102" s="262"/>
      <c r="AB102" s="262"/>
      <c r="AC102" s="262"/>
      <c r="AD102" s="262"/>
      <c r="AE102" s="262"/>
      <c r="AF102" s="262"/>
      <c r="AG102" s="262"/>
      <c r="AH102" s="262"/>
      <c r="AI102" s="358"/>
      <c r="AJ102" s="358"/>
      <c r="AK102" s="358"/>
      <c r="AL102" s="358"/>
      <c r="AM102" s="358"/>
      <c r="AN102" s="358"/>
      <c r="AO102" s="358"/>
      <c r="AP102" s="358"/>
      <c r="AQ102" s="358"/>
      <c r="AR102" s="358"/>
      <c r="AS102" s="358"/>
      <c r="AT102" s="358"/>
      <c r="AU102" s="358"/>
      <c r="AV102" s="358"/>
      <c r="AW102" s="358"/>
      <c r="AX102" s="358"/>
      <c r="AY102" s="358"/>
      <c r="AZ102" s="358"/>
      <c r="BA102" s="358"/>
      <c r="BB102" s="358"/>
      <c r="BC102" s="358"/>
      <c r="BD102" s="358"/>
      <c r="BE102" s="358"/>
      <c r="BF102" s="358"/>
      <c r="BG102" s="358"/>
      <c r="BH102" s="358"/>
      <c r="BI102" s="358"/>
      <c r="BJ102" s="358"/>
      <c r="BK102" s="358"/>
      <c r="BL102" s="358"/>
      <c r="BM102" s="358"/>
      <c r="BN102" s="358"/>
      <c r="BO102" s="358"/>
      <c r="BP102" s="358"/>
      <c r="BQ102" s="358"/>
      <c r="BR102" s="358"/>
      <c r="BS102" s="358"/>
      <c r="BT102" s="358"/>
      <c r="BU102" s="358"/>
      <c r="BV102" s="358"/>
      <c r="BW102" s="358"/>
      <c r="BX102" s="358"/>
      <c r="BY102" s="358"/>
      <c r="BZ102" s="358"/>
      <c r="CA102" s="358"/>
      <c r="CB102" s="358"/>
      <c r="CC102" s="358"/>
      <c r="CD102" s="358"/>
      <c r="CE102" s="358"/>
      <c r="CF102" s="358"/>
      <c r="CG102" s="358"/>
      <c r="CH102" s="358"/>
      <c r="CI102" s="358"/>
      <c r="CJ102" s="358"/>
      <c r="CK102" s="358"/>
      <c r="CL102" s="358"/>
      <c r="CM102" s="358"/>
      <c r="CN102" s="358"/>
      <c r="CO102" s="358"/>
      <c r="CP102" s="358"/>
      <c r="CQ102" s="358"/>
      <c r="CR102" s="358"/>
      <c r="CS102" s="358"/>
      <c r="CT102" s="358"/>
    </row>
    <row r="103" spans="1:98">
      <c r="A103" s="1309"/>
      <c r="B103" s="262"/>
      <c r="C103" s="262"/>
      <c r="D103" s="262"/>
      <c r="E103" s="262"/>
      <c r="F103" s="262"/>
      <c r="G103" s="262"/>
      <c r="H103" s="262"/>
      <c r="I103" s="262"/>
      <c r="J103" s="262"/>
      <c r="K103" s="262"/>
      <c r="L103" s="262"/>
      <c r="M103" s="262"/>
      <c r="N103" s="262"/>
      <c r="O103" s="262"/>
      <c r="P103" s="262"/>
      <c r="Q103" s="262"/>
      <c r="R103" s="262"/>
      <c r="S103" s="262"/>
      <c r="T103" s="262"/>
      <c r="U103" s="262"/>
      <c r="V103" s="262"/>
      <c r="W103" s="262"/>
      <c r="X103" s="262"/>
      <c r="Y103" s="262"/>
      <c r="Z103" s="262"/>
      <c r="AA103" s="262"/>
      <c r="AB103" s="262"/>
      <c r="AC103" s="262"/>
      <c r="AD103" s="262"/>
      <c r="AE103" s="262"/>
      <c r="AF103" s="262"/>
      <c r="AG103" s="262"/>
      <c r="AH103" s="262"/>
      <c r="AI103" s="358"/>
      <c r="AJ103" s="358"/>
      <c r="AK103" s="358"/>
      <c r="AL103" s="358"/>
      <c r="AM103" s="358"/>
      <c r="AN103" s="358"/>
      <c r="AO103" s="358"/>
      <c r="AP103" s="358"/>
      <c r="AQ103" s="358"/>
      <c r="AR103" s="358"/>
      <c r="AS103" s="358"/>
      <c r="AT103" s="358"/>
      <c r="AU103" s="358"/>
      <c r="AV103" s="358"/>
      <c r="AW103" s="358"/>
      <c r="AX103" s="358"/>
      <c r="AY103" s="358"/>
      <c r="AZ103" s="358"/>
      <c r="BA103" s="358"/>
      <c r="BB103" s="358"/>
      <c r="BC103" s="358"/>
      <c r="BD103" s="358"/>
      <c r="BE103" s="358"/>
      <c r="BF103" s="358"/>
      <c r="BG103" s="358"/>
      <c r="BH103" s="358"/>
      <c r="BI103" s="358"/>
      <c r="BJ103" s="358"/>
      <c r="BK103" s="358"/>
      <c r="BL103" s="358"/>
      <c r="BM103" s="358"/>
      <c r="BN103" s="358"/>
      <c r="BO103" s="358"/>
      <c r="BP103" s="358"/>
      <c r="BQ103" s="358"/>
      <c r="BR103" s="358"/>
      <c r="BS103" s="358"/>
      <c r="BT103" s="358"/>
      <c r="BU103" s="358"/>
      <c r="BV103" s="358"/>
      <c r="BW103" s="358"/>
      <c r="BX103" s="358"/>
      <c r="BY103" s="358"/>
      <c r="BZ103" s="358"/>
      <c r="CA103" s="358"/>
      <c r="CB103" s="358"/>
      <c r="CC103" s="358"/>
      <c r="CD103" s="358"/>
      <c r="CE103" s="358"/>
      <c r="CF103" s="358"/>
      <c r="CG103" s="358"/>
      <c r="CH103" s="358"/>
      <c r="CI103" s="358"/>
      <c r="CJ103" s="358"/>
      <c r="CK103" s="358"/>
      <c r="CL103" s="358"/>
      <c r="CM103" s="358"/>
      <c r="CN103" s="358"/>
      <c r="CO103" s="358"/>
      <c r="CP103" s="358"/>
      <c r="CQ103" s="358"/>
      <c r="CR103" s="358"/>
      <c r="CS103" s="358"/>
      <c r="CT103" s="358"/>
    </row>
    <row r="104" spans="1:98">
      <c r="A104" s="1309"/>
      <c r="B104" s="262"/>
      <c r="C104" s="262"/>
      <c r="D104" s="262"/>
      <c r="E104" s="262"/>
      <c r="F104" s="262"/>
      <c r="G104" s="262"/>
      <c r="H104" s="262"/>
      <c r="I104" s="262"/>
      <c r="J104" s="262"/>
      <c r="K104" s="262"/>
      <c r="L104" s="262"/>
      <c r="M104" s="262"/>
      <c r="N104" s="262"/>
      <c r="O104" s="262"/>
      <c r="P104" s="262"/>
      <c r="Q104" s="262"/>
      <c r="R104" s="262"/>
      <c r="S104" s="262"/>
      <c r="T104" s="262"/>
      <c r="U104" s="262"/>
      <c r="V104" s="262"/>
      <c r="W104" s="262"/>
      <c r="X104" s="262"/>
      <c r="Y104" s="262"/>
      <c r="Z104" s="262"/>
      <c r="AA104" s="262"/>
      <c r="AB104" s="262"/>
      <c r="AC104" s="262"/>
      <c r="AD104" s="262"/>
      <c r="AE104" s="262"/>
      <c r="AF104" s="262"/>
      <c r="AG104" s="262"/>
      <c r="AH104" s="262"/>
      <c r="AI104" s="358"/>
      <c r="AJ104" s="358"/>
      <c r="AK104" s="358"/>
      <c r="AL104" s="358"/>
      <c r="AM104" s="358"/>
      <c r="AN104" s="358"/>
      <c r="AO104" s="358"/>
      <c r="AP104" s="358"/>
      <c r="AQ104" s="358"/>
      <c r="AR104" s="358"/>
      <c r="AS104" s="358"/>
      <c r="AT104" s="358"/>
      <c r="AU104" s="358"/>
      <c r="AV104" s="358"/>
      <c r="AW104" s="358"/>
      <c r="AX104" s="358"/>
      <c r="AY104" s="358"/>
      <c r="AZ104" s="358"/>
      <c r="BA104" s="358"/>
      <c r="BB104" s="358"/>
      <c r="BC104" s="358"/>
      <c r="BD104" s="358"/>
      <c r="BE104" s="358"/>
      <c r="BF104" s="358"/>
      <c r="BG104" s="358"/>
      <c r="BH104" s="358"/>
      <c r="BI104" s="358"/>
      <c r="BJ104" s="358"/>
      <c r="BK104" s="358"/>
      <c r="BL104" s="358"/>
      <c r="BM104" s="358"/>
      <c r="BN104" s="358"/>
      <c r="BO104" s="358"/>
      <c r="BP104" s="358"/>
      <c r="BQ104" s="358"/>
      <c r="BR104" s="358"/>
      <c r="BS104" s="358"/>
      <c r="BT104" s="358"/>
      <c r="BU104" s="358"/>
      <c r="BV104" s="358"/>
      <c r="BW104" s="358"/>
      <c r="BX104" s="358"/>
      <c r="BY104" s="358"/>
      <c r="BZ104" s="358"/>
      <c r="CA104" s="358"/>
      <c r="CB104" s="358"/>
      <c r="CC104" s="358"/>
      <c r="CD104" s="358"/>
      <c r="CE104" s="358"/>
      <c r="CF104" s="358"/>
      <c r="CG104" s="358"/>
      <c r="CH104" s="358"/>
      <c r="CI104" s="358"/>
      <c r="CJ104" s="358"/>
      <c r="CK104" s="358"/>
      <c r="CL104" s="358"/>
      <c r="CM104" s="358"/>
      <c r="CN104" s="358"/>
      <c r="CO104" s="358"/>
      <c r="CP104" s="358"/>
      <c r="CQ104" s="358"/>
      <c r="CR104" s="358"/>
      <c r="CS104" s="358"/>
      <c r="CT104" s="358"/>
    </row>
    <row r="105" spans="1:98">
      <c r="A105" s="1309"/>
      <c r="B105" s="262"/>
      <c r="C105" s="262"/>
      <c r="D105" s="262"/>
      <c r="E105" s="262"/>
      <c r="F105" s="262"/>
      <c r="G105" s="262"/>
      <c r="H105" s="262"/>
      <c r="I105" s="262"/>
      <c r="J105" s="262"/>
      <c r="K105" s="262"/>
      <c r="L105" s="262"/>
      <c r="M105" s="262"/>
      <c r="N105" s="262"/>
      <c r="O105" s="262"/>
      <c r="P105" s="262"/>
      <c r="Q105" s="262"/>
      <c r="R105" s="262"/>
      <c r="S105" s="262"/>
      <c r="T105" s="262"/>
      <c r="U105" s="262"/>
      <c r="V105" s="262"/>
      <c r="W105" s="262"/>
      <c r="X105" s="262"/>
      <c r="Y105" s="262"/>
      <c r="Z105" s="262"/>
      <c r="AA105" s="262"/>
      <c r="AB105" s="262"/>
      <c r="AC105" s="262"/>
      <c r="AD105" s="262"/>
      <c r="AE105" s="262"/>
      <c r="AF105" s="262"/>
      <c r="AG105" s="262"/>
      <c r="AH105" s="262"/>
      <c r="AI105" s="358"/>
      <c r="AJ105" s="358"/>
      <c r="AK105" s="358"/>
      <c r="AL105" s="358"/>
      <c r="AM105" s="358"/>
      <c r="AN105" s="358"/>
      <c r="AO105" s="358"/>
      <c r="AP105" s="358"/>
      <c r="AQ105" s="358"/>
      <c r="AR105" s="358"/>
      <c r="AS105" s="358"/>
      <c r="AT105" s="358"/>
      <c r="AU105" s="358"/>
      <c r="AV105" s="358"/>
      <c r="AW105" s="358"/>
      <c r="AX105" s="358"/>
      <c r="AY105" s="358"/>
      <c r="AZ105" s="358"/>
      <c r="BA105" s="358"/>
      <c r="BB105" s="358"/>
      <c r="BC105" s="358"/>
      <c r="BD105" s="358"/>
      <c r="BE105" s="358"/>
      <c r="BF105" s="358"/>
      <c r="BG105" s="358"/>
      <c r="BH105" s="358"/>
      <c r="BI105" s="358"/>
      <c r="BJ105" s="358"/>
      <c r="BK105" s="358"/>
      <c r="BL105" s="358"/>
      <c r="BM105" s="358"/>
      <c r="BN105" s="358"/>
      <c r="BO105" s="358"/>
      <c r="BP105" s="358"/>
      <c r="BQ105" s="358"/>
      <c r="BR105" s="358"/>
      <c r="BS105" s="358"/>
      <c r="BT105" s="358"/>
      <c r="BU105" s="358"/>
      <c r="BV105" s="358"/>
      <c r="BW105" s="358"/>
      <c r="BX105" s="358"/>
      <c r="BY105" s="358"/>
      <c r="BZ105" s="358"/>
      <c r="CA105" s="358"/>
      <c r="CB105" s="358"/>
      <c r="CC105" s="358"/>
      <c r="CD105" s="358"/>
      <c r="CE105" s="358"/>
      <c r="CF105" s="358"/>
      <c r="CG105" s="358"/>
      <c r="CH105" s="358"/>
      <c r="CI105" s="358"/>
      <c r="CJ105" s="358"/>
      <c r="CK105" s="358"/>
      <c r="CL105" s="358"/>
      <c r="CM105" s="358"/>
      <c r="CN105" s="358"/>
      <c r="CO105" s="358"/>
      <c r="CP105" s="358"/>
      <c r="CQ105" s="358"/>
      <c r="CR105" s="358"/>
      <c r="CS105" s="358"/>
      <c r="CT105" s="358"/>
    </row>
    <row r="106" spans="1:98">
      <c r="A106" s="1309"/>
      <c r="B106" s="262"/>
      <c r="C106" s="262"/>
      <c r="D106" s="262"/>
      <c r="E106" s="262"/>
      <c r="F106" s="262"/>
      <c r="G106" s="262"/>
      <c r="H106" s="262"/>
      <c r="I106" s="262"/>
      <c r="J106" s="262"/>
      <c r="K106" s="262"/>
      <c r="L106" s="262"/>
      <c r="M106" s="262"/>
      <c r="N106" s="262"/>
      <c r="O106" s="262"/>
      <c r="P106" s="262"/>
      <c r="Q106" s="262"/>
      <c r="R106" s="262"/>
      <c r="S106" s="262"/>
      <c r="T106" s="262"/>
      <c r="U106" s="262"/>
      <c r="V106" s="262"/>
      <c r="W106" s="262"/>
      <c r="X106" s="262"/>
      <c r="Y106" s="262"/>
      <c r="Z106" s="262"/>
      <c r="AA106" s="262"/>
      <c r="AB106" s="262"/>
      <c r="AC106" s="262"/>
      <c r="AD106" s="262"/>
      <c r="AE106" s="262"/>
      <c r="AF106" s="262"/>
      <c r="AG106" s="262"/>
      <c r="AH106" s="262"/>
      <c r="AI106" s="358"/>
      <c r="AJ106" s="358"/>
      <c r="AK106" s="358"/>
      <c r="AL106" s="358"/>
      <c r="AM106" s="358"/>
      <c r="AN106" s="358"/>
      <c r="AO106" s="358"/>
      <c r="AP106" s="358"/>
      <c r="AQ106" s="358"/>
      <c r="AR106" s="358"/>
      <c r="AS106" s="358"/>
      <c r="AT106" s="358"/>
      <c r="AU106" s="358"/>
      <c r="AV106" s="358"/>
      <c r="AW106" s="358"/>
      <c r="AX106" s="358"/>
      <c r="AY106" s="358"/>
      <c r="AZ106" s="358"/>
      <c r="BA106" s="358"/>
      <c r="BB106" s="358"/>
      <c r="BC106" s="358"/>
      <c r="BD106" s="358"/>
      <c r="BE106" s="358"/>
      <c r="BF106" s="358"/>
      <c r="BG106" s="358"/>
      <c r="BH106" s="358"/>
      <c r="BI106" s="358"/>
      <c r="BJ106" s="358"/>
      <c r="BK106" s="358"/>
      <c r="BL106" s="358"/>
      <c r="BM106" s="358"/>
      <c r="BN106" s="358"/>
      <c r="BO106" s="358"/>
      <c r="BP106" s="358"/>
      <c r="BQ106" s="358"/>
      <c r="BR106" s="358"/>
      <c r="BS106" s="358"/>
      <c r="BT106" s="358"/>
      <c r="BU106" s="358"/>
      <c r="BV106" s="358"/>
      <c r="BW106" s="358"/>
      <c r="BX106" s="358"/>
      <c r="BY106" s="358"/>
      <c r="BZ106" s="358"/>
      <c r="CA106" s="358"/>
      <c r="CB106" s="358"/>
      <c r="CC106" s="358"/>
      <c r="CD106" s="358"/>
      <c r="CE106" s="358"/>
      <c r="CF106" s="358"/>
      <c r="CG106" s="358"/>
      <c r="CH106" s="358"/>
      <c r="CI106" s="358"/>
      <c r="CJ106" s="358"/>
      <c r="CK106" s="358"/>
      <c r="CL106" s="358"/>
      <c r="CM106" s="358"/>
      <c r="CN106" s="358"/>
      <c r="CO106" s="358"/>
      <c r="CP106" s="358"/>
      <c r="CQ106" s="358"/>
      <c r="CR106" s="358"/>
      <c r="CS106" s="358"/>
      <c r="CT106" s="358"/>
    </row>
    <row r="107" spans="1:98">
      <c r="A107" s="1309"/>
      <c r="B107" s="262"/>
      <c r="C107" s="262"/>
      <c r="D107" s="262"/>
      <c r="E107" s="262"/>
      <c r="F107" s="262"/>
      <c r="G107" s="262"/>
      <c r="H107" s="262"/>
      <c r="I107" s="262"/>
      <c r="J107" s="262"/>
      <c r="K107" s="262"/>
      <c r="L107" s="262"/>
      <c r="M107" s="262"/>
      <c r="N107" s="262"/>
      <c r="O107" s="262"/>
      <c r="P107" s="262"/>
      <c r="Q107" s="262"/>
      <c r="R107" s="262"/>
      <c r="S107" s="262"/>
      <c r="T107" s="262"/>
      <c r="U107" s="262"/>
      <c r="V107" s="262"/>
      <c r="W107" s="262"/>
      <c r="X107" s="262"/>
      <c r="Y107" s="262"/>
      <c r="Z107" s="262"/>
      <c r="AA107" s="262"/>
      <c r="AB107" s="262"/>
      <c r="AC107" s="262"/>
      <c r="AD107" s="262"/>
      <c r="AE107" s="262"/>
      <c r="AF107" s="262"/>
      <c r="AG107" s="262"/>
      <c r="AH107" s="262"/>
      <c r="AI107" s="358"/>
      <c r="AJ107" s="358"/>
      <c r="AK107" s="358"/>
      <c r="AL107" s="358"/>
      <c r="AM107" s="358"/>
      <c r="AN107" s="358"/>
      <c r="AO107" s="358"/>
      <c r="AP107" s="358"/>
      <c r="AQ107" s="358"/>
      <c r="AR107" s="358"/>
      <c r="AS107" s="358"/>
      <c r="AT107" s="358"/>
      <c r="AU107" s="358"/>
      <c r="AV107" s="358"/>
      <c r="AW107" s="358"/>
      <c r="AX107" s="358"/>
      <c r="AY107" s="358"/>
      <c r="AZ107" s="358"/>
      <c r="BA107" s="358"/>
      <c r="BB107" s="358"/>
      <c r="BC107" s="358"/>
      <c r="BD107" s="358"/>
      <c r="BE107" s="358"/>
      <c r="BF107" s="358"/>
      <c r="BG107" s="358"/>
      <c r="BH107" s="358"/>
      <c r="BI107" s="358"/>
      <c r="BJ107" s="358"/>
      <c r="BK107" s="358"/>
      <c r="BL107" s="358"/>
      <c r="BM107" s="358"/>
      <c r="BN107" s="358"/>
      <c r="BO107" s="358"/>
      <c r="BP107" s="358"/>
      <c r="BQ107" s="358"/>
      <c r="BR107" s="358"/>
      <c r="BS107" s="358"/>
      <c r="BT107" s="358"/>
      <c r="BU107" s="358"/>
      <c r="BV107" s="358"/>
      <c r="BW107" s="358"/>
      <c r="BX107" s="358"/>
      <c r="BY107" s="358"/>
      <c r="BZ107" s="358"/>
      <c r="CA107" s="358"/>
      <c r="CB107" s="358"/>
      <c r="CC107" s="358"/>
      <c r="CD107" s="358"/>
      <c r="CE107" s="358"/>
      <c r="CF107" s="358"/>
      <c r="CG107" s="358"/>
      <c r="CH107" s="358"/>
      <c r="CI107" s="358"/>
      <c r="CJ107" s="358"/>
      <c r="CK107" s="358"/>
      <c r="CL107" s="358"/>
      <c r="CM107" s="358"/>
      <c r="CN107" s="358"/>
      <c r="CO107" s="358"/>
      <c r="CP107" s="358"/>
      <c r="CQ107" s="358"/>
      <c r="CR107" s="358"/>
      <c r="CS107" s="358"/>
      <c r="CT107" s="358"/>
    </row>
    <row r="108" spans="1:98">
      <c r="A108" s="1309"/>
      <c r="B108" s="262"/>
      <c r="C108" s="262"/>
      <c r="D108" s="262"/>
      <c r="E108" s="262"/>
      <c r="F108" s="262"/>
      <c r="G108" s="262"/>
      <c r="H108" s="262"/>
      <c r="I108" s="262"/>
      <c r="J108" s="262"/>
      <c r="K108" s="262"/>
      <c r="L108" s="262"/>
      <c r="M108" s="262"/>
      <c r="N108" s="262"/>
      <c r="O108" s="262"/>
      <c r="P108" s="262"/>
      <c r="Q108" s="262"/>
      <c r="R108" s="262"/>
      <c r="S108" s="262"/>
      <c r="T108" s="262"/>
      <c r="U108" s="262"/>
      <c r="V108" s="262"/>
      <c r="W108" s="262"/>
      <c r="X108" s="262"/>
      <c r="Y108" s="262"/>
      <c r="Z108" s="262"/>
      <c r="AA108" s="262"/>
      <c r="AB108" s="262"/>
      <c r="AC108" s="262"/>
      <c r="AD108" s="262"/>
      <c r="AE108" s="262"/>
      <c r="AF108" s="262"/>
      <c r="AG108" s="262"/>
      <c r="AH108" s="262"/>
      <c r="AI108" s="358"/>
      <c r="AJ108" s="358"/>
      <c r="AK108" s="358"/>
      <c r="AL108" s="358"/>
      <c r="AM108" s="358"/>
      <c r="AN108" s="358"/>
      <c r="AO108" s="358"/>
      <c r="AP108" s="358"/>
      <c r="AQ108" s="358"/>
      <c r="AR108" s="358"/>
      <c r="AS108" s="358"/>
      <c r="AT108" s="358"/>
      <c r="AU108" s="358"/>
      <c r="AV108" s="358"/>
      <c r="AW108" s="358"/>
      <c r="AX108" s="358"/>
      <c r="AY108" s="358"/>
      <c r="AZ108" s="358"/>
      <c r="BA108" s="358"/>
      <c r="BB108" s="358"/>
      <c r="BC108" s="358"/>
      <c r="BD108" s="358"/>
      <c r="BE108" s="358"/>
      <c r="BF108" s="358"/>
      <c r="BG108" s="358"/>
      <c r="BH108" s="358"/>
      <c r="BI108" s="358"/>
      <c r="BJ108" s="358"/>
      <c r="BK108" s="358"/>
      <c r="BL108" s="358"/>
      <c r="BM108" s="358"/>
      <c r="BN108" s="358"/>
      <c r="BO108" s="358"/>
      <c r="BP108" s="358"/>
      <c r="BQ108" s="358"/>
      <c r="BR108" s="358"/>
      <c r="BS108" s="358"/>
      <c r="BT108" s="358"/>
      <c r="BU108" s="358"/>
      <c r="BV108" s="358"/>
      <c r="BW108" s="358"/>
      <c r="BX108" s="358"/>
      <c r="BY108" s="358"/>
      <c r="BZ108" s="358"/>
      <c r="CA108" s="358"/>
      <c r="CB108" s="358"/>
      <c r="CC108" s="358"/>
      <c r="CD108" s="358"/>
      <c r="CE108" s="358"/>
      <c r="CF108" s="358"/>
      <c r="CG108" s="358"/>
      <c r="CH108" s="358"/>
      <c r="CI108" s="358"/>
      <c r="CJ108" s="358"/>
      <c r="CK108" s="358"/>
      <c r="CL108" s="358"/>
      <c r="CM108" s="358"/>
      <c r="CN108" s="358"/>
      <c r="CO108" s="358"/>
      <c r="CP108" s="358"/>
      <c r="CQ108" s="358"/>
      <c r="CR108" s="358"/>
      <c r="CS108" s="358"/>
      <c r="CT108" s="358"/>
    </row>
    <row r="109" spans="1:98">
      <c r="A109" s="1309"/>
      <c r="B109" s="262"/>
      <c r="C109" s="262"/>
      <c r="D109" s="262"/>
      <c r="E109" s="262"/>
      <c r="F109" s="262"/>
      <c r="G109" s="262"/>
      <c r="H109" s="262"/>
      <c r="I109" s="262"/>
      <c r="J109" s="262"/>
      <c r="K109" s="262"/>
      <c r="L109" s="262"/>
      <c r="M109" s="262"/>
      <c r="N109" s="262"/>
      <c r="O109" s="262"/>
      <c r="P109" s="262"/>
      <c r="Q109" s="262"/>
      <c r="R109" s="262"/>
      <c r="S109" s="262"/>
      <c r="T109" s="262"/>
      <c r="U109" s="262"/>
      <c r="V109" s="262"/>
      <c r="W109" s="262"/>
      <c r="X109" s="262"/>
      <c r="Y109" s="262"/>
      <c r="Z109" s="262"/>
      <c r="AA109" s="262"/>
      <c r="AB109" s="262"/>
      <c r="AC109" s="262"/>
      <c r="AD109" s="262"/>
      <c r="AE109" s="262"/>
      <c r="AF109" s="262"/>
      <c r="AG109" s="262"/>
      <c r="AH109" s="262"/>
      <c r="AI109" s="358"/>
      <c r="AJ109" s="358"/>
      <c r="AK109" s="358"/>
      <c r="AL109" s="358"/>
      <c r="AM109" s="358"/>
      <c r="AN109" s="358"/>
      <c r="AO109" s="358"/>
      <c r="AP109" s="358"/>
      <c r="AQ109" s="358"/>
      <c r="AR109" s="358"/>
      <c r="AS109" s="358"/>
      <c r="AT109" s="358"/>
      <c r="AU109" s="358"/>
      <c r="AV109" s="358"/>
      <c r="AW109" s="358"/>
      <c r="AX109" s="358"/>
      <c r="AY109" s="358"/>
      <c r="AZ109" s="358"/>
      <c r="BA109" s="358"/>
      <c r="BB109" s="358"/>
      <c r="BC109" s="358"/>
      <c r="BD109" s="358"/>
      <c r="BE109" s="358"/>
      <c r="BF109" s="358"/>
      <c r="BG109" s="358"/>
      <c r="BH109" s="358"/>
      <c r="BI109" s="358"/>
      <c r="BJ109" s="358"/>
      <c r="BK109" s="358"/>
      <c r="BL109" s="358"/>
      <c r="BM109" s="358"/>
      <c r="BN109" s="358"/>
      <c r="BO109" s="358"/>
      <c r="BP109" s="358"/>
      <c r="BQ109" s="358"/>
      <c r="BR109" s="358"/>
      <c r="BS109" s="358"/>
      <c r="BT109" s="358"/>
      <c r="BU109" s="358"/>
      <c r="BV109" s="358"/>
      <c r="BW109" s="358"/>
      <c r="BX109" s="358"/>
      <c r="BY109" s="358"/>
      <c r="BZ109" s="358"/>
      <c r="CA109" s="358"/>
      <c r="CB109" s="358"/>
      <c r="CC109" s="358"/>
      <c r="CD109" s="358"/>
      <c r="CE109" s="358"/>
      <c r="CF109" s="358"/>
      <c r="CG109" s="358"/>
      <c r="CH109" s="358"/>
      <c r="CI109" s="358"/>
      <c r="CJ109" s="358"/>
      <c r="CK109" s="358"/>
      <c r="CL109" s="358"/>
      <c r="CM109" s="358"/>
      <c r="CN109" s="358"/>
      <c r="CO109" s="358"/>
      <c r="CP109" s="358"/>
      <c r="CQ109" s="358"/>
      <c r="CR109" s="358"/>
      <c r="CS109" s="358"/>
      <c r="CT109" s="358"/>
    </row>
    <row r="110" spans="1:98">
      <c r="A110" s="1309"/>
      <c r="B110" s="262"/>
      <c r="C110" s="262"/>
      <c r="D110" s="262"/>
      <c r="E110" s="262"/>
      <c r="F110" s="262"/>
      <c r="G110" s="262"/>
      <c r="H110" s="262"/>
      <c r="I110" s="262"/>
      <c r="J110" s="262"/>
      <c r="K110" s="262"/>
      <c r="L110" s="262"/>
      <c r="M110" s="262"/>
      <c r="N110" s="262"/>
      <c r="O110" s="262"/>
      <c r="P110" s="262"/>
      <c r="Q110" s="262"/>
      <c r="R110" s="262"/>
      <c r="S110" s="262"/>
      <c r="T110" s="262"/>
      <c r="U110" s="262"/>
      <c r="V110" s="262"/>
      <c r="W110" s="262"/>
      <c r="X110" s="262"/>
      <c r="Y110" s="262"/>
      <c r="Z110" s="262"/>
      <c r="AA110" s="262"/>
      <c r="AB110" s="262"/>
      <c r="AC110" s="262"/>
      <c r="AD110" s="262"/>
      <c r="AE110" s="262"/>
      <c r="AF110" s="262"/>
      <c r="AG110" s="262"/>
      <c r="AH110" s="262"/>
      <c r="AI110" s="358"/>
      <c r="AJ110" s="358"/>
      <c r="AK110" s="358"/>
      <c r="AL110" s="358"/>
      <c r="AM110" s="358"/>
      <c r="AN110" s="358"/>
      <c r="AO110" s="358"/>
      <c r="AP110" s="358"/>
      <c r="AQ110" s="358"/>
      <c r="AR110" s="358"/>
      <c r="AS110" s="358"/>
      <c r="AT110" s="358"/>
      <c r="AU110" s="358"/>
      <c r="AV110" s="358"/>
      <c r="AW110" s="358"/>
      <c r="AX110" s="358"/>
      <c r="AY110" s="358"/>
      <c r="AZ110" s="358"/>
      <c r="BA110" s="358"/>
      <c r="BB110" s="358"/>
      <c r="BC110" s="358"/>
      <c r="BD110" s="358"/>
      <c r="BE110" s="358"/>
      <c r="BF110" s="358"/>
      <c r="BG110" s="358"/>
      <c r="BH110" s="358"/>
      <c r="BI110" s="358"/>
      <c r="BJ110" s="358"/>
      <c r="BK110" s="358"/>
      <c r="BL110" s="358"/>
      <c r="BM110" s="358"/>
      <c r="BN110" s="358"/>
      <c r="BO110" s="358"/>
      <c r="BP110" s="358"/>
      <c r="BQ110" s="358"/>
      <c r="BR110" s="358"/>
      <c r="BS110" s="358"/>
      <c r="BT110" s="358"/>
      <c r="BU110" s="358"/>
      <c r="BV110" s="358"/>
      <c r="BW110" s="358"/>
      <c r="BX110" s="358"/>
      <c r="BY110" s="358"/>
      <c r="BZ110" s="358"/>
      <c r="CA110" s="358"/>
      <c r="CB110" s="358"/>
      <c r="CC110" s="358"/>
      <c r="CD110" s="358"/>
      <c r="CE110" s="358"/>
      <c r="CF110" s="358"/>
      <c r="CG110" s="358"/>
      <c r="CH110" s="358"/>
      <c r="CI110" s="358"/>
      <c r="CJ110" s="358"/>
      <c r="CK110" s="358"/>
      <c r="CL110" s="358"/>
      <c r="CM110" s="358"/>
      <c r="CN110" s="358"/>
      <c r="CO110" s="358"/>
      <c r="CP110" s="358"/>
      <c r="CQ110" s="358"/>
      <c r="CR110" s="358"/>
      <c r="CS110" s="358"/>
      <c r="CT110" s="358"/>
    </row>
    <row r="111" spans="1:98">
      <c r="A111" s="1309"/>
      <c r="B111" s="262"/>
      <c r="C111" s="262"/>
      <c r="D111" s="262"/>
      <c r="E111" s="262"/>
      <c r="F111" s="262"/>
      <c r="G111" s="262"/>
      <c r="H111" s="262"/>
      <c r="I111" s="262"/>
      <c r="J111" s="262"/>
      <c r="K111" s="262"/>
      <c r="L111" s="262"/>
      <c r="M111" s="262"/>
      <c r="N111" s="262"/>
      <c r="O111" s="262"/>
      <c r="P111" s="262"/>
      <c r="Q111" s="262"/>
      <c r="R111" s="262"/>
      <c r="S111" s="262"/>
      <c r="T111" s="262"/>
      <c r="U111" s="262"/>
      <c r="V111" s="262"/>
      <c r="W111" s="262"/>
      <c r="X111" s="262"/>
      <c r="Y111" s="262"/>
      <c r="Z111" s="262"/>
      <c r="AA111" s="262"/>
      <c r="AB111" s="262"/>
      <c r="AC111" s="262"/>
      <c r="AD111" s="262"/>
      <c r="AE111" s="262"/>
      <c r="AF111" s="262"/>
      <c r="AG111" s="262"/>
      <c r="AH111" s="262"/>
      <c r="AI111" s="358"/>
      <c r="AJ111" s="358"/>
      <c r="AK111" s="358"/>
      <c r="AL111" s="358"/>
      <c r="AM111" s="358"/>
      <c r="AN111" s="358"/>
      <c r="AO111" s="358"/>
      <c r="AP111" s="358"/>
      <c r="AQ111" s="358"/>
      <c r="AR111" s="358"/>
      <c r="AS111" s="358"/>
      <c r="AT111" s="358"/>
      <c r="AU111" s="358"/>
      <c r="AV111" s="358"/>
      <c r="AW111" s="358"/>
      <c r="AX111" s="358"/>
      <c r="AY111" s="358"/>
      <c r="AZ111" s="358"/>
      <c r="BA111" s="358"/>
      <c r="BB111" s="358"/>
      <c r="BC111" s="358"/>
      <c r="BD111" s="358"/>
      <c r="BE111" s="358"/>
      <c r="BF111" s="358"/>
      <c r="BG111" s="358"/>
      <c r="BH111" s="358"/>
      <c r="BI111" s="358"/>
      <c r="BJ111" s="358"/>
      <c r="BK111" s="358"/>
      <c r="BL111" s="358"/>
      <c r="BM111" s="358"/>
      <c r="BN111" s="358"/>
      <c r="BO111" s="358"/>
      <c r="BP111" s="358"/>
      <c r="BQ111" s="358"/>
      <c r="BR111" s="358"/>
      <c r="BS111" s="358"/>
      <c r="BT111" s="358"/>
      <c r="BU111" s="358"/>
      <c r="BV111" s="358"/>
      <c r="BW111" s="358"/>
      <c r="BX111" s="358"/>
      <c r="BY111" s="358"/>
      <c r="BZ111" s="358"/>
      <c r="CA111" s="358"/>
      <c r="CB111" s="358"/>
      <c r="CC111" s="358"/>
      <c r="CD111" s="358"/>
      <c r="CE111" s="358"/>
      <c r="CF111" s="358"/>
      <c r="CG111" s="358"/>
      <c r="CH111" s="358"/>
      <c r="CI111" s="358"/>
      <c r="CJ111" s="358"/>
      <c r="CK111" s="358"/>
      <c r="CL111" s="358"/>
      <c r="CM111" s="358"/>
      <c r="CN111" s="358"/>
      <c r="CO111" s="358"/>
      <c r="CP111" s="358"/>
      <c r="CQ111" s="358"/>
      <c r="CR111" s="358"/>
      <c r="CS111" s="358"/>
      <c r="CT111" s="358"/>
    </row>
    <row r="112" spans="1:98">
      <c r="A112" s="1309"/>
      <c r="B112" s="262"/>
      <c r="C112" s="262"/>
      <c r="D112" s="262"/>
      <c r="E112" s="262"/>
      <c r="F112" s="262"/>
      <c r="G112" s="262"/>
      <c r="H112" s="262"/>
      <c r="I112" s="262"/>
      <c r="J112" s="262"/>
      <c r="K112" s="262"/>
      <c r="L112" s="262"/>
      <c r="M112" s="262"/>
      <c r="N112" s="262"/>
      <c r="O112" s="262"/>
      <c r="P112" s="262"/>
      <c r="Q112" s="262"/>
      <c r="R112" s="262"/>
      <c r="S112" s="262"/>
      <c r="T112" s="262"/>
      <c r="U112" s="262"/>
      <c r="V112" s="262"/>
      <c r="W112" s="262"/>
      <c r="X112" s="262"/>
      <c r="Y112" s="262"/>
      <c r="Z112" s="262"/>
      <c r="AA112" s="262"/>
      <c r="AB112" s="262"/>
      <c r="AC112" s="262"/>
      <c r="AD112" s="262"/>
      <c r="AE112" s="262"/>
      <c r="AF112" s="262"/>
      <c r="AG112" s="262"/>
      <c r="AH112" s="262"/>
      <c r="AI112" s="358"/>
      <c r="AJ112" s="358"/>
      <c r="AK112" s="358"/>
      <c r="AL112" s="358"/>
      <c r="AM112" s="358"/>
      <c r="AN112" s="358"/>
      <c r="AO112" s="358"/>
      <c r="AP112" s="358"/>
      <c r="AQ112" s="358"/>
      <c r="AR112" s="358"/>
      <c r="AS112" s="358"/>
      <c r="AT112" s="358"/>
      <c r="AU112" s="358"/>
      <c r="AV112" s="358"/>
      <c r="AW112" s="358"/>
      <c r="AX112" s="358"/>
      <c r="AY112" s="358"/>
      <c r="AZ112" s="358"/>
      <c r="BA112" s="358"/>
      <c r="BB112" s="358"/>
      <c r="BC112" s="358"/>
      <c r="BD112" s="358"/>
      <c r="BE112" s="358"/>
      <c r="BF112" s="358"/>
      <c r="BG112" s="358"/>
      <c r="BH112" s="358"/>
      <c r="BI112" s="358"/>
      <c r="BJ112" s="358"/>
      <c r="BK112" s="358"/>
      <c r="BL112" s="358"/>
      <c r="BM112" s="358"/>
      <c r="BN112" s="358"/>
      <c r="BO112" s="358"/>
      <c r="BP112" s="358"/>
      <c r="BQ112" s="358"/>
      <c r="BR112" s="358"/>
      <c r="BS112" s="358"/>
      <c r="BT112" s="358"/>
      <c r="BU112" s="358"/>
      <c r="BV112" s="358"/>
      <c r="BW112" s="358"/>
      <c r="BX112" s="358"/>
      <c r="BY112" s="358"/>
      <c r="BZ112" s="358"/>
      <c r="CA112" s="358"/>
      <c r="CB112" s="358"/>
      <c r="CC112" s="358"/>
      <c r="CD112" s="358"/>
      <c r="CE112" s="358"/>
      <c r="CF112" s="358"/>
      <c r="CG112" s="358"/>
      <c r="CH112" s="358"/>
      <c r="CI112" s="358"/>
      <c r="CJ112" s="358"/>
      <c r="CK112" s="358"/>
      <c r="CL112" s="358"/>
      <c r="CM112" s="358"/>
      <c r="CN112" s="358"/>
      <c r="CO112" s="358"/>
      <c r="CP112" s="358"/>
      <c r="CQ112" s="358"/>
      <c r="CR112" s="358"/>
      <c r="CS112" s="358"/>
      <c r="CT112" s="358"/>
    </row>
    <row r="113" spans="1:98">
      <c r="A113" s="1309"/>
      <c r="B113" s="262"/>
      <c r="C113" s="262"/>
      <c r="D113" s="262"/>
      <c r="E113" s="262"/>
      <c r="F113" s="262"/>
      <c r="G113" s="262"/>
      <c r="H113" s="262"/>
      <c r="I113" s="262"/>
      <c r="J113" s="262"/>
      <c r="K113" s="262"/>
      <c r="L113" s="262"/>
      <c r="M113" s="262"/>
      <c r="N113" s="262"/>
      <c r="O113" s="262"/>
      <c r="P113" s="262"/>
      <c r="Q113" s="262"/>
      <c r="R113" s="262"/>
      <c r="S113" s="262"/>
      <c r="T113" s="262"/>
      <c r="U113" s="262"/>
      <c r="V113" s="262"/>
      <c r="W113" s="262"/>
      <c r="X113" s="262"/>
      <c r="Y113" s="262"/>
      <c r="Z113" s="262"/>
      <c r="AA113" s="262"/>
      <c r="AB113" s="262"/>
      <c r="AC113" s="262"/>
      <c r="AD113" s="262"/>
      <c r="AE113" s="262"/>
      <c r="AF113" s="262"/>
      <c r="AG113" s="262"/>
      <c r="AH113" s="262"/>
      <c r="AI113" s="358"/>
      <c r="AJ113" s="358"/>
      <c r="AK113" s="358"/>
      <c r="AL113" s="358"/>
      <c r="AM113" s="358"/>
      <c r="AN113" s="358"/>
      <c r="AO113" s="358"/>
      <c r="AP113" s="358"/>
      <c r="AQ113" s="358"/>
      <c r="AR113" s="358"/>
      <c r="AS113" s="358"/>
      <c r="AT113" s="358"/>
      <c r="AU113" s="358"/>
      <c r="AV113" s="358"/>
      <c r="AW113" s="358"/>
      <c r="AX113" s="358"/>
      <c r="AY113" s="358"/>
      <c r="AZ113" s="358"/>
      <c r="BA113" s="358"/>
      <c r="BB113" s="358"/>
      <c r="BC113" s="358"/>
      <c r="BD113" s="358"/>
      <c r="BE113" s="358"/>
      <c r="BF113" s="358"/>
      <c r="BG113" s="358"/>
      <c r="BH113" s="358"/>
      <c r="BI113" s="358"/>
      <c r="BJ113" s="358"/>
      <c r="BK113" s="358"/>
      <c r="BL113" s="358"/>
      <c r="BM113" s="358"/>
      <c r="BN113" s="358"/>
      <c r="BO113" s="358"/>
      <c r="BP113" s="358"/>
      <c r="BQ113" s="358"/>
      <c r="BR113" s="358"/>
      <c r="BS113" s="358"/>
      <c r="BT113" s="358"/>
      <c r="BU113" s="358"/>
      <c r="BV113" s="358"/>
      <c r="BW113" s="358"/>
      <c r="BX113" s="358"/>
      <c r="BY113" s="358"/>
      <c r="BZ113" s="358"/>
      <c r="CA113" s="358"/>
      <c r="CB113" s="358"/>
      <c r="CC113" s="358"/>
      <c r="CD113" s="358"/>
      <c r="CE113" s="358"/>
      <c r="CF113" s="358"/>
      <c r="CG113" s="358"/>
      <c r="CH113" s="358"/>
      <c r="CI113" s="358"/>
      <c r="CJ113" s="358"/>
      <c r="CK113" s="358"/>
      <c r="CL113" s="358"/>
      <c r="CM113" s="358"/>
      <c r="CN113" s="358"/>
      <c r="CO113" s="358"/>
      <c r="CP113" s="358"/>
      <c r="CQ113" s="358"/>
      <c r="CR113" s="358"/>
      <c r="CS113" s="358"/>
      <c r="CT113" s="358"/>
    </row>
    <row r="114" spans="1:98">
      <c r="A114" s="1309"/>
      <c r="B114" s="262"/>
      <c r="C114" s="262"/>
      <c r="D114" s="262"/>
      <c r="E114" s="262"/>
      <c r="F114" s="262"/>
      <c r="G114" s="262"/>
      <c r="H114" s="262"/>
      <c r="I114" s="262"/>
      <c r="J114" s="262"/>
      <c r="K114" s="262"/>
      <c r="L114" s="262"/>
      <c r="M114" s="262"/>
      <c r="N114" s="262"/>
      <c r="O114" s="262"/>
      <c r="P114" s="262"/>
      <c r="Q114" s="262"/>
      <c r="R114" s="262"/>
      <c r="S114" s="262"/>
      <c r="T114" s="262"/>
      <c r="U114" s="262"/>
      <c r="V114" s="262"/>
      <c r="W114" s="262"/>
      <c r="X114" s="262"/>
      <c r="Y114" s="262"/>
      <c r="Z114" s="262"/>
      <c r="AA114" s="262"/>
      <c r="AB114" s="262"/>
      <c r="AC114" s="262"/>
      <c r="AD114" s="262"/>
      <c r="AE114" s="262"/>
      <c r="AF114" s="262"/>
      <c r="AG114" s="262"/>
      <c r="AH114" s="262"/>
      <c r="AI114" s="358"/>
      <c r="AJ114" s="358"/>
      <c r="AK114" s="358"/>
      <c r="AL114" s="358"/>
      <c r="AM114" s="358"/>
      <c r="AN114" s="358"/>
      <c r="AO114" s="358"/>
      <c r="AP114" s="358"/>
      <c r="AQ114" s="358"/>
      <c r="AR114" s="358"/>
      <c r="AS114" s="358"/>
      <c r="AT114" s="358"/>
      <c r="AU114" s="358"/>
      <c r="AV114" s="358"/>
      <c r="AW114" s="358"/>
      <c r="AX114" s="358"/>
      <c r="AY114" s="358"/>
      <c r="AZ114" s="358"/>
      <c r="BA114" s="358"/>
      <c r="BB114" s="358"/>
      <c r="BC114" s="358"/>
      <c r="BD114" s="358"/>
      <c r="BE114" s="358"/>
      <c r="BF114" s="358"/>
      <c r="BG114" s="358"/>
      <c r="BH114" s="358"/>
      <c r="BI114" s="358"/>
      <c r="BJ114" s="358"/>
      <c r="BK114" s="358"/>
      <c r="BL114" s="358"/>
      <c r="BM114" s="358"/>
      <c r="BN114" s="358"/>
      <c r="BO114" s="358"/>
      <c r="BP114" s="358"/>
      <c r="BQ114" s="358"/>
      <c r="BR114" s="358"/>
      <c r="BS114" s="358"/>
      <c r="BT114" s="358"/>
      <c r="BU114" s="358"/>
      <c r="BV114" s="358"/>
      <c r="BW114" s="358"/>
      <c r="BX114" s="358"/>
      <c r="BY114" s="358"/>
      <c r="BZ114" s="358"/>
      <c r="CA114" s="358"/>
      <c r="CB114" s="358"/>
      <c r="CC114" s="358"/>
      <c r="CD114" s="358"/>
      <c r="CE114" s="358"/>
      <c r="CF114" s="358"/>
      <c r="CG114" s="358"/>
      <c r="CH114" s="358"/>
      <c r="CI114" s="358"/>
      <c r="CJ114" s="358"/>
      <c r="CK114" s="358"/>
      <c r="CL114" s="358"/>
      <c r="CM114" s="358"/>
      <c r="CN114" s="358"/>
      <c r="CO114" s="358"/>
      <c r="CP114" s="358"/>
      <c r="CQ114" s="358"/>
      <c r="CR114" s="358"/>
      <c r="CS114" s="358"/>
      <c r="CT114" s="358"/>
    </row>
    <row r="115" spans="1:98">
      <c r="A115" s="1309"/>
      <c r="B115" s="262"/>
      <c r="C115" s="262"/>
      <c r="D115" s="262"/>
      <c r="E115" s="262"/>
      <c r="F115" s="262"/>
      <c r="G115" s="262"/>
      <c r="H115" s="262"/>
      <c r="I115" s="262"/>
      <c r="J115" s="262"/>
      <c r="K115" s="262"/>
      <c r="L115" s="262"/>
      <c r="M115" s="262"/>
      <c r="N115" s="262"/>
      <c r="O115" s="262"/>
      <c r="P115" s="262"/>
      <c r="Q115" s="262"/>
      <c r="R115" s="262"/>
      <c r="S115" s="262"/>
      <c r="T115" s="262"/>
      <c r="U115" s="262"/>
      <c r="V115" s="262"/>
      <c r="W115" s="262"/>
      <c r="X115" s="262"/>
      <c r="Y115" s="262"/>
      <c r="Z115" s="262"/>
      <c r="AA115" s="262"/>
      <c r="AB115" s="262"/>
      <c r="AC115" s="262"/>
      <c r="AD115" s="262"/>
      <c r="AE115" s="262"/>
      <c r="AF115" s="262"/>
      <c r="AG115" s="262"/>
      <c r="AH115" s="262"/>
      <c r="AI115" s="358"/>
      <c r="AJ115" s="358"/>
      <c r="AK115" s="358"/>
      <c r="AL115" s="358"/>
      <c r="AM115" s="358"/>
      <c r="AN115" s="358"/>
      <c r="AO115" s="358"/>
      <c r="AP115" s="358"/>
      <c r="AQ115" s="358"/>
      <c r="AR115" s="358"/>
      <c r="AS115" s="358"/>
      <c r="AT115" s="358"/>
      <c r="AU115" s="358"/>
      <c r="AV115" s="358"/>
      <c r="AW115" s="358"/>
      <c r="AX115" s="358"/>
      <c r="AY115" s="358"/>
      <c r="AZ115" s="358"/>
      <c r="BA115" s="358"/>
      <c r="BB115" s="358"/>
      <c r="BC115" s="358"/>
      <c r="BD115" s="358"/>
      <c r="BE115" s="358"/>
      <c r="BF115" s="358"/>
      <c r="BG115" s="358"/>
      <c r="BH115" s="358"/>
      <c r="BI115" s="358"/>
      <c r="BJ115" s="358"/>
      <c r="BK115" s="358"/>
      <c r="BL115" s="358"/>
      <c r="BM115" s="358"/>
      <c r="BN115" s="358"/>
      <c r="BO115" s="358"/>
      <c r="BP115" s="358"/>
      <c r="BQ115" s="358"/>
      <c r="BR115" s="358"/>
      <c r="BS115" s="358"/>
      <c r="BT115" s="358"/>
      <c r="BU115" s="358"/>
      <c r="BV115" s="358"/>
      <c r="BW115" s="358"/>
      <c r="BX115" s="358"/>
      <c r="BY115" s="358"/>
      <c r="BZ115" s="358"/>
      <c r="CA115" s="358"/>
      <c r="CB115" s="358"/>
      <c r="CC115" s="358"/>
      <c r="CD115" s="358"/>
      <c r="CE115" s="358"/>
      <c r="CF115" s="358"/>
      <c r="CG115" s="358"/>
      <c r="CH115" s="358"/>
      <c r="CI115" s="358"/>
      <c r="CJ115" s="358"/>
      <c r="CK115" s="358"/>
      <c r="CL115" s="358"/>
      <c r="CM115" s="358"/>
      <c r="CN115" s="358"/>
      <c r="CO115" s="358"/>
      <c r="CP115" s="358"/>
      <c r="CQ115" s="358"/>
      <c r="CR115" s="358"/>
      <c r="CS115" s="358"/>
      <c r="CT115" s="358"/>
    </row>
    <row r="116" spans="1:98">
      <c r="A116" s="1309"/>
      <c r="B116" s="262"/>
      <c r="C116" s="262"/>
      <c r="D116" s="262"/>
      <c r="E116" s="262"/>
      <c r="F116" s="262"/>
      <c r="G116" s="262"/>
      <c r="H116" s="262"/>
      <c r="I116" s="262"/>
      <c r="J116" s="262"/>
      <c r="K116" s="262"/>
      <c r="L116" s="262"/>
      <c r="M116" s="262"/>
      <c r="N116" s="262"/>
      <c r="O116" s="262"/>
      <c r="P116" s="262"/>
      <c r="Q116" s="262"/>
      <c r="R116" s="262"/>
      <c r="S116" s="262"/>
      <c r="T116" s="262"/>
      <c r="U116" s="262"/>
      <c r="V116" s="262"/>
      <c r="W116" s="262"/>
      <c r="X116" s="262"/>
      <c r="Y116" s="262"/>
      <c r="Z116" s="262"/>
      <c r="AA116" s="262"/>
      <c r="AB116" s="262"/>
      <c r="AC116" s="262"/>
      <c r="AD116" s="262"/>
      <c r="AE116" s="262"/>
      <c r="AF116" s="262"/>
      <c r="AG116" s="262"/>
      <c r="AH116" s="262"/>
      <c r="AI116" s="358"/>
      <c r="AJ116" s="358"/>
      <c r="AK116" s="358"/>
      <c r="AL116" s="358"/>
      <c r="AM116" s="358"/>
      <c r="AN116" s="358"/>
      <c r="AO116" s="358"/>
      <c r="AP116" s="358"/>
      <c r="AQ116" s="358"/>
      <c r="AR116" s="358"/>
      <c r="AS116" s="358"/>
      <c r="AT116" s="358"/>
      <c r="AU116" s="358"/>
      <c r="AV116" s="358"/>
      <c r="AW116" s="358"/>
      <c r="AX116" s="358"/>
      <c r="AY116" s="358"/>
      <c r="AZ116" s="358"/>
      <c r="BA116" s="358"/>
      <c r="BB116" s="358"/>
      <c r="BC116" s="358"/>
      <c r="BD116" s="358"/>
      <c r="BE116" s="358"/>
      <c r="BF116" s="358"/>
      <c r="BG116" s="358"/>
      <c r="BH116" s="358"/>
      <c r="BI116" s="358"/>
      <c r="BJ116" s="358"/>
      <c r="BK116" s="358"/>
      <c r="BL116" s="358"/>
      <c r="BM116" s="358"/>
      <c r="BN116" s="358"/>
      <c r="BO116" s="358"/>
      <c r="BP116" s="358"/>
      <c r="BQ116" s="358"/>
      <c r="BR116" s="358"/>
      <c r="BS116" s="358"/>
      <c r="BT116" s="358"/>
      <c r="BU116" s="358"/>
      <c r="BV116" s="358"/>
      <c r="BW116" s="358"/>
      <c r="BX116" s="358"/>
      <c r="BY116" s="358"/>
      <c r="BZ116" s="358"/>
      <c r="CA116" s="358"/>
      <c r="CB116" s="358"/>
      <c r="CC116" s="358"/>
      <c r="CD116" s="358"/>
      <c r="CE116" s="358"/>
      <c r="CF116" s="358"/>
      <c r="CG116" s="358"/>
      <c r="CH116" s="358"/>
      <c r="CI116" s="358"/>
      <c r="CJ116" s="358"/>
      <c r="CK116" s="358"/>
      <c r="CL116" s="358"/>
      <c r="CM116" s="358"/>
      <c r="CN116" s="358"/>
      <c r="CO116" s="358"/>
      <c r="CP116" s="358"/>
      <c r="CQ116" s="358"/>
      <c r="CR116" s="358"/>
      <c r="CS116" s="358"/>
      <c r="CT116" s="358"/>
    </row>
    <row r="117" spans="1:98">
      <c r="A117" s="1309"/>
      <c r="B117" s="262"/>
      <c r="C117" s="262"/>
      <c r="D117" s="262"/>
      <c r="E117" s="262"/>
      <c r="F117" s="262"/>
      <c r="G117" s="262"/>
      <c r="H117" s="262"/>
      <c r="I117" s="262"/>
      <c r="J117" s="262"/>
      <c r="K117" s="262"/>
      <c r="L117" s="262"/>
      <c r="M117" s="262"/>
      <c r="N117" s="262"/>
      <c r="O117" s="262"/>
      <c r="P117" s="262"/>
      <c r="Q117" s="262"/>
      <c r="R117" s="262"/>
      <c r="S117" s="262"/>
      <c r="T117" s="262"/>
      <c r="U117" s="262"/>
      <c r="V117" s="262"/>
      <c r="W117" s="262"/>
      <c r="X117" s="262"/>
      <c r="Y117" s="262"/>
      <c r="Z117" s="262"/>
      <c r="AA117" s="262"/>
      <c r="AB117" s="262"/>
      <c r="AC117" s="262"/>
      <c r="AD117" s="262"/>
      <c r="AE117" s="262"/>
      <c r="AF117" s="262"/>
      <c r="AG117" s="262"/>
      <c r="AH117" s="262"/>
      <c r="AI117" s="358"/>
      <c r="AJ117" s="358"/>
      <c r="AK117" s="358"/>
      <c r="AL117" s="358"/>
      <c r="AM117" s="358"/>
      <c r="AN117" s="358"/>
      <c r="AO117" s="358"/>
      <c r="AP117" s="358"/>
      <c r="AQ117" s="358"/>
      <c r="AR117" s="358"/>
      <c r="AS117" s="358"/>
      <c r="AT117" s="358"/>
      <c r="AU117" s="358"/>
      <c r="AV117" s="358"/>
      <c r="AW117" s="358"/>
      <c r="AX117" s="358"/>
      <c r="AY117" s="358"/>
      <c r="AZ117" s="358"/>
      <c r="BA117" s="358"/>
      <c r="BB117" s="358"/>
      <c r="BC117" s="358"/>
      <c r="BD117" s="358"/>
      <c r="BE117" s="358"/>
      <c r="BF117" s="358"/>
      <c r="BG117" s="358"/>
      <c r="BH117" s="358"/>
      <c r="BI117" s="358"/>
      <c r="BJ117" s="358"/>
      <c r="BK117" s="358"/>
      <c r="BL117" s="358"/>
      <c r="BM117" s="358"/>
      <c r="BN117" s="358"/>
      <c r="BO117" s="358"/>
      <c r="BP117" s="358"/>
      <c r="BQ117" s="358"/>
      <c r="BR117" s="358"/>
      <c r="BS117" s="358"/>
      <c r="BT117" s="358"/>
      <c r="BU117" s="358"/>
      <c r="BV117" s="358"/>
      <c r="BW117" s="358"/>
      <c r="BX117" s="358"/>
      <c r="BY117" s="358"/>
      <c r="BZ117" s="358"/>
      <c r="CA117" s="358"/>
      <c r="CB117" s="358"/>
      <c r="CC117" s="358"/>
      <c r="CD117" s="358"/>
      <c r="CE117" s="358"/>
      <c r="CF117" s="358"/>
      <c r="CG117" s="358"/>
      <c r="CH117" s="358"/>
      <c r="CI117" s="358"/>
      <c r="CJ117" s="358"/>
      <c r="CK117" s="358"/>
      <c r="CL117" s="358"/>
      <c r="CM117" s="358"/>
      <c r="CN117" s="358"/>
      <c r="CO117" s="358"/>
      <c r="CP117" s="358"/>
      <c r="CQ117" s="358"/>
      <c r="CR117" s="358"/>
      <c r="CS117" s="358"/>
      <c r="CT117" s="358"/>
    </row>
    <row r="118" spans="1:98">
      <c r="A118" s="1309"/>
      <c r="B118" s="262"/>
      <c r="C118" s="262"/>
      <c r="D118" s="262"/>
      <c r="E118" s="262"/>
      <c r="F118" s="262"/>
      <c r="G118" s="262"/>
      <c r="H118" s="262"/>
      <c r="I118" s="262"/>
      <c r="J118" s="262"/>
      <c r="K118" s="262"/>
      <c r="L118" s="262"/>
      <c r="M118" s="262"/>
      <c r="N118" s="262"/>
      <c r="O118" s="262"/>
      <c r="P118" s="262"/>
      <c r="Q118" s="262"/>
      <c r="R118" s="262"/>
      <c r="S118" s="262"/>
      <c r="T118" s="262"/>
      <c r="U118" s="262"/>
      <c r="V118" s="262"/>
      <c r="W118" s="262"/>
      <c r="X118" s="262"/>
      <c r="Y118" s="262"/>
      <c r="Z118" s="262"/>
      <c r="AA118" s="262"/>
      <c r="AB118" s="262"/>
      <c r="AC118" s="262"/>
      <c r="AD118" s="262"/>
      <c r="AE118" s="262"/>
      <c r="AF118" s="262"/>
      <c r="AG118" s="262"/>
      <c r="AH118" s="262"/>
      <c r="AI118" s="358"/>
      <c r="AJ118" s="358"/>
      <c r="AK118" s="358"/>
      <c r="AL118" s="358"/>
      <c r="AM118" s="358"/>
      <c r="AN118" s="358"/>
      <c r="AO118" s="358"/>
      <c r="AP118" s="358"/>
      <c r="AQ118" s="358"/>
      <c r="AR118" s="358"/>
      <c r="AS118" s="358"/>
      <c r="AT118" s="358"/>
      <c r="AU118" s="358"/>
      <c r="AV118" s="358"/>
      <c r="AW118" s="358"/>
      <c r="AX118" s="358"/>
      <c r="AY118" s="358"/>
      <c r="AZ118" s="358"/>
      <c r="BA118" s="358"/>
      <c r="BB118" s="358"/>
      <c r="BC118" s="358"/>
      <c r="BD118" s="358"/>
      <c r="BE118" s="358"/>
      <c r="BF118" s="358"/>
      <c r="BG118" s="358"/>
      <c r="BH118" s="358"/>
      <c r="BI118" s="358"/>
      <c r="BJ118" s="358"/>
      <c r="BK118" s="358"/>
      <c r="BL118" s="358"/>
      <c r="BM118" s="358"/>
      <c r="BN118" s="358"/>
      <c r="BO118" s="358"/>
      <c r="BP118" s="358"/>
      <c r="BQ118" s="358"/>
      <c r="BR118" s="358"/>
      <c r="BS118" s="358"/>
      <c r="BT118" s="358"/>
      <c r="BU118" s="358"/>
      <c r="BV118" s="358"/>
      <c r="BW118" s="358"/>
      <c r="BX118" s="358"/>
      <c r="BY118" s="358"/>
      <c r="BZ118" s="358"/>
      <c r="CA118" s="358"/>
      <c r="CB118" s="358"/>
      <c r="CC118" s="358"/>
      <c r="CD118" s="358"/>
      <c r="CE118" s="358"/>
      <c r="CF118" s="358"/>
      <c r="CG118" s="358"/>
      <c r="CH118" s="358"/>
      <c r="CI118" s="358"/>
      <c r="CJ118" s="358"/>
      <c r="CK118" s="358"/>
      <c r="CL118" s="358"/>
      <c r="CM118" s="358"/>
      <c r="CN118" s="358"/>
      <c r="CO118" s="358"/>
      <c r="CP118" s="358"/>
      <c r="CQ118" s="358"/>
      <c r="CR118" s="358"/>
      <c r="CS118" s="358"/>
      <c r="CT118" s="358"/>
    </row>
    <row r="119" spans="1:98">
      <c r="A119" s="1309"/>
      <c r="B119" s="262"/>
      <c r="C119" s="262"/>
      <c r="D119" s="262"/>
      <c r="E119" s="262"/>
      <c r="F119" s="262"/>
      <c r="G119" s="262"/>
      <c r="H119" s="262"/>
      <c r="I119" s="262"/>
      <c r="J119" s="262"/>
      <c r="K119" s="262"/>
      <c r="L119" s="262"/>
      <c r="M119" s="262"/>
      <c r="N119" s="262"/>
      <c r="O119" s="262"/>
      <c r="P119" s="262"/>
      <c r="Q119" s="262"/>
      <c r="R119" s="262"/>
      <c r="S119" s="262"/>
      <c r="T119" s="262"/>
      <c r="U119" s="262"/>
      <c r="V119" s="262"/>
      <c r="W119" s="262"/>
      <c r="X119" s="262"/>
      <c r="Y119" s="262"/>
      <c r="Z119" s="262"/>
      <c r="AA119" s="262"/>
      <c r="AB119" s="262"/>
      <c r="AC119" s="262"/>
      <c r="AD119" s="262"/>
      <c r="AE119" s="262"/>
      <c r="AF119" s="262"/>
      <c r="AG119" s="262"/>
      <c r="AH119" s="262"/>
      <c r="AI119" s="358"/>
      <c r="AJ119" s="358"/>
      <c r="AK119" s="358"/>
      <c r="AL119" s="358"/>
      <c r="AM119" s="358"/>
      <c r="AN119" s="358"/>
      <c r="AO119" s="358"/>
      <c r="AP119" s="358"/>
      <c r="AQ119" s="358"/>
      <c r="AR119" s="358"/>
      <c r="AS119" s="358"/>
      <c r="AT119" s="358"/>
      <c r="AU119" s="358"/>
      <c r="AV119" s="358"/>
      <c r="AW119" s="358"/>
      <c r="AX119" s="358"/>
      <c r="AY119" s="358"/>
      <c r="AZ119" s="358"/>
      <c r="BA119" s="358"/>
      <c r="BB119" s="358"/>
      <c r="BC119" s="358"/>
      <c r="BD119" s="358"/>
      <c r="BE119" s="358"/>
      <c r="BF119" s="358"/>
      <c r="BG119" s="358"/>
      <c r="BH119" s="358"/>
      <c r="BI119" s="358"/>
      <c r="BJ119" s="358"/>
      <c r="BK119" s="358"/>
      <c r="BL119" s="358"/>
      <c r="BM119" s="358"/>
      <c r="BN119" s="358"/>
      <c r="BO119" s="358"/>
      <c r="BP119" s="358"/>
      <c r="BQ119" s="358"/>
      <c r="BR119" s="358"/>
      <c r="BS119" s="358"/>
      <c r="BT119" s="358"/>
      <c r="BU119" s="358"/>
      <c r="BV119" s="358"/>
      <c r="BW119" s="358"/>
      <c r="BX119" s="358"/>
      <c r="BY119" s="358"/>
      <c r="BZ119" s="358"/>
      <c r="CA119" s="358"/>
      <c r="CB119" s="358"/>
      <c r="CC119" s="358"/>
      <c r="CD119" s="358"/>
      <c r="CE119" s="358"/>
      <c r="CF119" s="358"/>
      <c r="CG119" s="358"/>
      <c r="CH119" s="358"/>
      <c r="CI119" s="358"/>
      <c r="CJ119" s="358"/>
      <c r="CK119" s="358"/>
      <c r="CL119" s="358"/>
      <c r="CM119" s="358"/>
      <c r="CN119" s="358"/>
      <c r="CO119" s="358"/>
      <c r="CP119" s="358"/>
      <c r="CQ119" s="358"/>
      <c r="CR119" s="358"/>
      <c r="CS119" s="358"/>
      <c r="CT119" s="358"/>
    </row>
    <row r="120" spans="1:98">
      <c r="A120" s="1309"/>
      <c r="B120" s="262"/>
      <c r="C120" s="262"/>
      <c r="D120" s="262"/>
      <c r="E120" s="262"/>
      <c r="F120" s="262"/>
      <c r="G120" s="262"/>
      <c r="H120" s="262"/>
      <c r="I120" s="262"/>
      <c r="J120" s="262"/>
      <c r="K120" s="262"/>
      <c r="L120" s="262"/>
      <c r="M120" s="262"/>
      <c r="N120" s="262"/>
      <c r="O120" s="262"/>
      <c r="P120" s="262"/>
      <c r="Q120" s="262"/>
      <c r="R120" s="262"/>
      <c r="S120" s="262"/>
      <c r="T120" s="262"/>
      <c r="U120" s="262"/>
      <c r="V120" s="262"/>
      <c r="W120" s="262"/>
      <c r="X120" s="262"/>
      <c r="Y120" s="262"/>
      <c r="Z120" s="262"/>
      <c r="AA120" s="262"/>
      <c r="AB120" s="262"/>
      <c r="AC120" s="262"/>
      <c r="AD120" s="262"/>
      <c r="AE120" s="262"/>
      <c r="AF120" s="262"/>
      <c r="AG120" s="262"/>
      <c r="AH120" s="262"/>
      <c r="AI120" s="358"/>
      <c r="AJ120" s="358"/>
      <c r="AK120" s="358"/>
      <c r="AL120" s="358"/>
      <c r="AM120" s="358"/>
      <c r="AN120" s="358"/>
      <c r="AO120" s="358"/>
      <c r="AP120" s="358"/>
      <c r="AQ120" s="358"/>
      <c r="AR120" s="358"/>
      <c r="AS120" s="358"/>
      <c r="AT120" s="358"/>
      <c r="AU120" s="358"/>
      <c r="AV120" s="358"/>
      <c r="AW120" s="358"/>
      <c r="AX120" s="358"/>
      <c r="AY120" s="358"/>
      <c r="AZ120" s="358"/>
      <c r="BA120" s="358"/>
      <c r="BB120" s="358"/>
      <c r="BC120" s="358"/>
      <c r="BD120" s="358"/>
      <c r="BE120" s="358"/>
      <c r="BF120" s="358"/>
      <c r="BG120" s="358"/>
      <c r="BH120" s="358"/>
      <c r="BI120" s="358"/>
      <c r="BJ120" s="358"/>
      <c r="BK120" s="358"/>
      <c r="BL120" s="358"/>
      <c r="BM120" s="358"/>
      <c r="BN120" s="358"/>
      <c r="BO120" s="358"/>
      <c r="BP120" s="358"/>
      <c r="BQ120" s="358"/>
      <c r="BR120" s="358"/>
      <c r="BS120" s="358"/>
      <c r="BT120" s="358"/>
      <c r="BU120" s="358"/>
      <c r="BV120" s="358"/>
      <c r="BW120" s="358"/>
      <c r="BX120" s="358"/>
      <c r="BY120" s="358"/>
      <c r="BZ120" s="358"/>
      <c r="CA120" s="358"/>
      <c r="CB120" s="358"/>
      <c r="CC120" s="358"/>
      <c r="CD120" s="358"/>
      <c r="CE120" s="358"/>
      <c r="CF120" s="358"/>
      <c r="CG120" s="358"/>
      <c r="CH120" s="358"/>
      <c r="CI120" s="358"/>
      <c r="CJ120" s="358"/>
      <c r="CK120" s="358"/>
      <c r="CL120" s="358"/>
      <c r="CM120" s="358"/>
      <c r="CN120" s="358"/>
      <c r="CO120" s="358"/>
      <c r="CP120" s="358"/>
      <c r="CQ120" s="358"/>
      <c r="CR120" s="358"/>
      <c r="CS120" s="358"/>
      <c r="CT120" s="358"/>
    </row>
    <row r="121" spans="1:98">
      <c r="A121" s="1309"/>
      <c r="B121" s="262"/>
      <c r="C121" s="262"/>
      <c r="D121" s="262"/>
      <c r="E121" s="262"/>
      <c r="F121" s="262"/>
      <c r="G121" s="262"/>
      <c r="H121" s="262"/>
      <c r="I121" s="262"/>
      <c r="J121" s="262"/>
      <c r="K121" s="262"/>
      <c r="L121" s="262"/>
      <c r="M121" s="262"/>
      <c r="N121" s="262"/>
      <c r="O121" s="262"/>
      <c r="P121" s="262"/>
      <c r="Q121" s="262"/>
      <c r="R121" s="262"/>
      <c r="S121" s="262"/>
      <c r="T121" s="262"/>
      <c r="U121" s="262"/>
      <c r="V121" s="262"/>
      <c r="W121" s="262"/>
      <c r="X121" s="262"/>
      <c r="Y121" s="262"/>
      <c r="Z121" s="262"/>
      <c r="AA121" s="262"/>
      <c r="AB121" s="262"/>
      <c r="AC121" s="262"/>
      <c r="AD121" s="262"/>
      <c r="AE121" s="262"/>
      <c r="AF121" s="262"/>
      <c r="AG121" s="262"/>
      <c r="AH121" s="262"/>
      <c r="AI121" s="358"/>
      <c r="AJ121" s="358"/>
      <c r="AK121" s="358"/>
      <c r="AL121" s="358"/>
      <c r="AM121" s="358"/>
      <c r="AN121" s="358"/>
      <c r="AO121" s="358"/>
      <c r="AP121" s="358"/>
      <c r="AQ121" s="358"/>
      <c r="AR121" s="358"/>
      <c r="AS121" s="358"/>
      <c r="AT121" s="358"/>
      <c r="AU121" s="358"/>
      <c r="AV121" s="358"/>
      <c r="AW121" s="358"/>
      <c r="AX121" s="358"/>
      <c r="AY121" s="358"/>
      <c r="AZ121" s="358"/>
      <c r="BA121" s="358"/>
      <c r="BB121" s="358"/>
      <c r="BC121" s="358"/>
      <c r="BD121" s="358"/>
      <c r="BE121" s="358"/>
      <c r="BF121" s="358"/>
      <c r="BG121" s="358"/>
      <c r="BH121" s="358"/>
      <c r="BI121" s="358"/>
      <c r="BJ121" s="358"/>
      <c r="BK121" s="358"/>
      <c r="BL121" s="358"/>
      <c r="BM121" s="358"/>
      <c r="BN121" s="358"/>
      <c r="BO121" s="358"/>
      <c r="BP121" s="358"/>
      <c r="BQ121" s="358"/>
      <c r="BR121" s="358"/>
      <c r="BS121" s="358"/>
      <c r="BT121" s="358"/>
      <c r="BU121" s="358"/>
      <c r="BV121" s="358"/>
      <c r="BW121" s="358"/>
      <c r="BX121" s="358"/>
      <c r="BY121" s="358"/>
      <c r="BZ121" s="358"/>
      <c r="CA121" s="358"/>
      <c r="CB121" s="358"/>
      <c r="CC121" s="358"/>
      <c r="CD121" s="358"/>
      <c r="CE121" s="358"/>
      <c r="CF121" s="358"/>
      <c r="CG121" s="358"/>
      <c r="CH121" s="358"/>
      <c r="CI121" s="358"/>
      <c r="CJ121" s="358"/>
      <c r="CK121" s="358"/>
      <c r="CL121" s="358"/>
      <c r="CM121" s="358"/>
      <c r="CN121" s="358"/>
      <c r="CO121" s="358"/>
      <c r="CP121" s="358"/>
      <c r="CQ121" s="358"/>
      <c r="CR121" s="358"/>
      <c r="CS121" s="358"/>
      <c r="CT121" s="358"/>
    </row>
    <row r="122" spans="1:98">
      <c r="A122" s="1309"/>
      <c r="B122" s="262"/>
      <c r="C122" s="262"/>
      <c r="D122" s="262"/>
      <c r="E122" s="262"/>
      <c r="F122" s="262"/>
      <c r="G122" s="262"/>
      <c r="H122" s="262"/>
      <c r="I122" s="262"/>
      <c r="J122" s="262"/>
      <c r="K122" s="262"/>
      <c r="L122" s="262"/>
      <c r="M122" s="262"/>
      <c r="N122" s="262"/>
      <c r="O122" s="262"/>
      <c r="P122" s="262"/>
      <c r="Q122" s="262"/>
      <c r="R122" s="262"/>
      <c r="S122" s="262"/>
      <c r="T122" s="262"/>
      <c r="U122" s="262"/>
      <c r="V122" s="262"/>
      <c r="W122" s="262"/>
      <c r="X122" s="262"/>
      <c r="Y122" s="262"/>
      <c r="Z122" s="262"/>
      <c r="AA122" s="262"/>
      <c r="AB122" s="262"/>
      <c r="AC122" s="262"/>
      <c r="AD122" s="262"/>
      <c r="AE122" s="262"/>
      <c r="AF122" s="262"/>
      <c r="AG122" s="262"/>
      <c r="AH122" s="262"/>
      <c r="AI122" s="358"/>
      <c r="AJ122" s="358"/>
      <c r="AK122" s="358"/>
      <c r="AL122" s="358"/>
      <c r="AM122" s="358"/>
      <c r="AN122" s="358"/>
      <c r="AO122" s="358"/>
      <c r="AP122" s="358"/>
      <c r="AQ122" s="358"/>
      <c r="AR122" s="358"/>
      <c r="AS122" s="358"/>
      <c r="AT122" s="358"/>
      <c r="AU122" s="358"/>
      <c r="AV122" s="358"/>
      <c r="AW122" s="358"/>
      <c r="AX122" s="358"/>
      <c r="AY122" s="358"/>
      <c r="AZ122" s="358"/>
      <c r="BA122" s="358"/>
      <c r="BB122" s="358"/>
      <c r="BC122" s="358"/>
      <c r="BD122" s="358"/>
      <c r="BE122" s="358"/>
      <c r="BF122" s="358"/>
      <c r="BG122" s="358"/>
      <c r="BH122" s="358"/>
      <c r="BI122" s="358"/>
      <c r="BJ122" s="358"/>
      <c r="BK122" s="358"/>
      <c r="BL122" s="358"/>
      <c r="BM122" s="358"/>
      <c r="BN122" s="358"/>
      <c r="BO122" s="358"/>
      <c r="BP122" s="358"/>
      <c r="BQ122" s="358"/>
      <c r="BR122" s="358"/>
      <c r="BS122" s="358"/>
      <c r="BT122" s="358"/>
      <c r="BU122" s="358"/>
      <c r="BV122" s="358"/>
      <c r="BW122" s="358"/>
      <c r="BX122" s="358"/>
      <c r="BY122" s="358"/>
      <c r="BZ122" s="358"/>
      <c r="CA122" s="358"/>
      <c r="CB122" s="358"/>
      <c r="CC122" s="358"/>
      <c r="CD122" s="358"/>
      <c r="CE122" s="358"/>
      <c r="CF122" s="358"/>
      <c r="CG122" s="358"/>
      <c r="CH122" s="358"/>
      <c r="CI122" s="358"/>
      <c r="CJ122" s="358"/>
      <c r="CK122" s="358"/>
      <c r="CL122" s="358"/>
      <c r="CM122" s="358"/>
      <c r="CN122" s="358"/>
      <c r="CO122" s="358"/>
      <c r="CP122" s="358"/>
      <c r="CQ122" s="358"/>
      <c r="CR122" s="358"/>
      <c r="CS122" s="358"/>
      <c r="CT122" s="358"/>
    </row>
    <row r="123" spans="1:98">
      <c r="A123" s="1309"/>
      <c r="B123" s="262"/>
      <c r="C123" s="262"/>
      <c r="D123" s="262"/>
      <c r="E123" s="262"/>
      <c r="F123" s="262"/>
      <c r="G123" s="262"/>
      <c r="H123" s="262"/>
      <c r="I123" s="262"/>
      <c r="J123" s="262"/>
      <c r="K123" s="262"/>
      <c r="L123" s="262"/>
      <c r="M123" s="262"/>
      <c r="N123" s="262"/>
      <c r="O123" s="262"/>
      <c r="P123" s="262"/>
      <c r="Q123" s="262"/>
      <c r="R123" s="262"/>
      <c r="S123" s="262"/>
      <c r="T123" s="262"/>
      <c r="U123" s="262"/>
      <c r="V123" s="262"/>
      <c r="W123" s="262"/>
      <c r="X123" s="262"/>
      <c r="Y123" s="262"/>
      <c r="Z123" s="262"/>
      <c r="AA123" s="262"/>
      <c r="AB123" s="262"/>
      <c r="AC123" s="262"/>
      <c r="AD123" s="262"/>
      <c r="AE123" s="262"/>
      <c r="AF123" s="262"/>
      <c r="AG123" s="262"/>
      <c r="AH123" s="262"/>
      <c r="AI123" s="358"/>
      <c r="AJ123" s="358"/>
      <c r="AK123" s="358"/>
      <c r="AL123" s="358"/>
      <c r="AM123" s="358"/>
      <c r="AN123" s="358"/>
      <c r="AO123" s="358"/>
      <c r="AP123" s="358"/>
      <c r="AQ123" s="358"/>
      <c r="AR123" s="358"/>
      <c r="AS123" s="358"/>
      <c r="AT123" s="358"/>
      <c r="AU123" s="358"/>
      <c r="AV123" s="358"/>
      <c r="AW123" s="358"/>
      <c r="AX123" s="358"/>
      <c r="AY123" s="358"/>
      <c r="AZ123" s="358"/>
      <c r="BA123" s="358"/>
      <c r="BB123" s="358"/>
      <c r="BC123" s="358"/>
      <c r="BD123" s="358"/>
      <c r="BE123" s="358"/>
      <c r="BF123" s="358"/>
      <c r="BG123" s="358"/>
      <c r="BH123" s="358"/>
      <c r="BI123" s="358"/>
      <c r="BJ123" s="358"/>
      <c r="BK123" s="358"/>
      <c r="BL123" s="358"/>
      <c r="BM123" s="358"/>
      <c r="BN123" s="358"/>
      <c r="BO123" s="358"/>
      <c r="BP123" s="358"/>
      <c r="BQ123" s="358"/>
      <c r="BR123" s="358"/>
      <c r="BS123" s="358"/>
      <c r="BT123" s="358"/>
      <c r="BU123" s="358"/>
      <c r="BV123" s="358"/>
      <c r="BW123" s="358"/>
      <c r="BX123" s="358"/>
      <c r="BY123" s="358"/>
      <c r="BZ123" s="358"/>
      <c r="CA123" s="358"/>
      <c r="CB123" s="358"/>
      <c r="CC123" s="358"/>
      <c r="CD123" s="358"/>
      <c r="CE123" s="358"/>
      <c r="CF123" s="358"/>
      <c r="CG123" s="358"/>
      <c r="CH123" s="358"/>
      <c r="CI123" s="358"/>
      <c r="CJ123" s="358"/>
      <c r="CK123" s="358"/>
      <c r="CL123" s="358"/>
      <c r="CM123" s="358"/>
      <c r="CN123" s="358"/>
      <c r="CO123" s="358"/>
      <c r="CP123" s="358"/>
      <c r="CQ123" s="358"/>
      <c r="CR123" s="358"/>
      <c r="CS123" s="358"/>
      <c r="CT123" s="358"/>
    </row>
    <row r="124" spans="1:98">
      <c r="A124" s="1309"/>
      <c r="B124" s="262"/>
      <c r="C124" s="262"/>
      <c r="D124" s="262"/>
      <c r="E124" s="262"/>
      <c r="F124" s="262"/>
      <c r="G124" s="262"/>
      <c r="H124" s="262"/>
      <c r="I124" s="262"/>
      <c r="J124" s="262"/>
      <c r="K124" s="262"/>
      <c r="L124" s="262"/>
      <c r="M124" s="262"/>
      <c r="N124" s="262"/>
      <c r="O124" s="262"/>
      <c r="P124" s="262"/>
      <c r="Q124" s="262"/>
      <c r="R124" s="262"/>
      <c r="S124" s="262"/>
      <c r="T124" s="262"/>
      <c r="U124" s="262"/>
      <c r="V124" s="262"/>
      <c r="W124" s="262"/>
      <c r="X124" s="262"/>
      <c r="Y124" s="262"/>
      <c r="Z124" s="262"/>
      <c r="AA124" s="262"/>
      <c r="AB124" s="262"/>
      <c r="AC124" s="262"/>
      <c r="AD124" s="262"/>
      <c r="AE124" s="262"/>
      <c r="AF124" s="262"/>
      <c r="AG124" s="262"/>
      <c r="AH124" s="262"/>
      <c r="AI124" s="358"/>
      <c r="AJ124" s="358"/>
      <c r="AK124" s="358"/>
      <c r="AL124" s="358"/>
      <c r="AM124" s="358"/>
      <c r="AN124" s="358"/>
      <c r="AO124" s="358"/>
      <c r="AP124" s="358"/>
      <c r="AQ124" s="358"/>
      <c r="AR124" s="358"/>
      <c r="AS124" s="358"/>
      <c r="AT124" s="358"/>
      <c r="AU124" s="358"/>
      <c r="AV124" s="358"/>
      <c r="AW124" s="358"/>
      <c r="AX124" s="358"/>
      <c r="AY124" s="358"/>
      <c r="AZ124" s="358"/>
      <c r="BA124" s="358"/>
      <c r="BB124" s="358"/>
      <c r="BC124" s="358"/>
      <c r="BD124" s="358"/>
      <c r="BE124" s="358"/>
      <c r="BF124" s="358"/>
      <c r="BG124" s="358"/>
      <c r="BH124" s="358"/>
      <c r="BI124" s="358"/>
      <c r="BJ124" s="358"/>
      <c r="BK124" s="358"/>
      <c r="BL124" s="358"/>
      <c r="BM124" s="358"/>
      <c r="BN124" s="358"/>
      <c r="BO124" s="358"/>
      <c r="BP124" s="358"/>
      <c r="BQ124" s="358"/>
      <c r="BR124" s="358"/>
      <c r="BS124" s="358"/>
      <c r="BT124" s="358"/>
      <c r="BU124" s="358"/>
      <c r="BV124" s="358"/>
      <c r="BW124" s="358"/>
      <c r="BX124" s="358"/>
      <c r="BY124" s="358"/>
      <c r="BZ124" s="358"/>
      <c r="CA124" s="358"/>
      <c r="CB124" s="358"/>
      <c r="CC124" s="358"/>
      <c r="CD124" s="358"/>
      <c r="CE124" s="358"/>
      <c r="CF124" s="358"/>
      <c r="CG124" s="358"/>
      <c r="CH124" s="358"/>
      <c r="CI124" s="358"/>
      <c r="CJ124" s="358"/>
      <c r="CK124" s="358"/>
      <c r="CL124" s="358"/>
      <c r="CM124" s="358"/>
      <c r="CN124" s="358"/>
      <c r="CO124" s="358"/>
      <c r="CP124" s="358"/>
      <c r="CQ124" s="358"/>
      <c r="CR124" s="358"/>
      <c r="CS124" s="358"/>
      <c r="CT124" s="358"/>
    </row>
    <row r="125" spans="1:98">
      <c r="A125" s="1309"/>
      <c r="B125" s="262"/>
      <c r="C125" s="262"/>
      <c r="D125" s="262"/>
      <c r="E125" s="262"/>
      <c r="F125" s="262"/>
      <c r="G125" s="262"/>
      <c r="H125" s="262"/>
      <c r="I125" s="262"/>
      <c r="J125" s="262"/>
      <c r="K125" s="262"/>
      <c r="L125" s="262"/>
      <c r="M125" s="262"/>
      <c r="N125" s="262"/>
      <c r="O125" s="262"/>
      <c r="P125" s="262"/>
      <c r="Q125" s="262"/>
      <c r="R125" s="262"/>
      <c r="S125" s="262"/>
      <c r="T125" s="262"/>
      <c r="U125" s="262"/>
      <c r="V125" s="262"/>
      <c r="W125" s="262"/>
      <c r="X125" s="262"/>
      <c r="Y125" s="262"/>
      <c r="Z125" s="262"/>
      <c r="AA125" s="262"/>
      <c r="AB125" s="262"/>
      <c r="AC125" s="262"/>
      <c r="AD125" s="262"/>
      <c r="AE125" s="262"/>
      <c r="AF125" s="262"/>
      <c r="AG125" s="262"/>
      <c r="AH125" s="262"/>
      <c r="AI125" s="358"/>
      <c r="AJ125" s="358"/>
      <c r="AK125" s="358"/>
      <c r="AL125" s="358"/>
      <c r="AM125" s="358"/>
      <c r="AN125" s="358"/>
      <c r="AO125" s="358"/>
      <c r="AP125" s="358"/>
      <c r="AQ125" s="358"/>
      <c r="AR125" s="358"/>
      <c r="AS125" s="358"/>
      <c r="AT125" s="358"/>
      <c r="AU125" s="358"/>
      <c r="AV125" s="358"/>
      <c r="AW125" s="358"/>
      <c r="AX125" s="358"/>
      <c r="AY125" s="358"/>
      <c r="AZ125" s="358"/>
      <c r="BA125" s="358"/>
      <c r="BB125" s="358"/>
      <c r="BC125" s="358"/>
      <c r="BD125" s="358"/>
      <c r="BE125" s="358"/>
      <c r="BF125" s="358"/>
      <c r="BG125" s="358"/>
      <c r="BH125" s="358"/>
      <c r="BI125" s="358"/>
      <c r="BJ125" s="358"/>
      <c r="BK125" s="358"/>
      <c r="BL125" s="358"/>
      <c r="BM125" s="358"/>
      <c r="BN125" s="358"/>
      <c r="BO125" s="358"/>
      <c r="BP125" s="358"/>
      <c r="BQ125" s="358"/>
      <c r="BR125" s="358"/>
      <c r="BS125" s="358"/>
      <c r="BT125" s="358"/>
      <c r="BU125" s="358"/>
      <c r="BV125" s="358"/>
      <c r="BW125" s="358"/>
      <c r="BX125" s="358"/>
      <c r="BY125" s="358"/>
      <c r="BZ125" s="358"/>
      <c r="CA125" s="358"/>
      <c r="CB125" s="358"/>
      <c r="CC125" s="358"/>
      <c r="CD125" s="358"/>
      <c r="CE125" s="358"/>
      <c r="CF125" s="358"/>
      <c r="CG125" s="358"/>
      <c r="CH125" s="358"/>
      <c r="CI125" s="358"/>
      <c r="CJ125" s="358"/>
      <c r="CK125" s="358"/>
      <c r="CL125" s="358"/>
      <c r="CM125" s="358"/>
      <c r="CN125" s="358"/>
      <c r="CO125" s="358"/>
      <c r="CP125" s="358"/>
      <c r="CQ125" s="358"/>
      <c r="CR125" s="358"/>
      <c r="CS125" s="358"/>
      <c r="CT125" s="358"/>
    </row>
    <row r="126" spans="1:98">
      <c r="A126" s="1309"/>
      <c r="B126" s="262"/>
      <c r="C126" s="262"/>
      <c r="D126" s="262"/>
      <c r="E126" s="262"/>
      <c r="F126" s="262"/>
      <c r="G126" s="262"/>
      <c r="H126" s="262"/>
      <c r="I126" s="262"/>
      <c r="J126" s="262"/>
      <c r="K126" s="262"/>
      <c r="L126" s="262"/>
      <c r="M126" s="262"/>
      <c r="N126" s="262"/>
      <c r="O126" s="262"/>
      <c r="P126" s="262"/>
      <c r="Q126" s="262"/>
      <c r="R126" s="262"/>
      <c r="S126" s="262"/>
      <c r="T126" s="262"/>
      <c r="U126" s="262"/>
      <c r="V126" s="262"/>
      <c r="W126" s="262"/>
      <c r="X126" s="262"/>
      <c r="Y126" s="262"/>
      <c r="Z126" s="262"/>
      <c r="AA126" s="262"/>
      <c r="AB126" s="262"/>
      <c r="AC126" s="262"/>
      <c r="AD126" s="262"/>
      <c r="AE126" s="262"/>
      <c r="AF126" s="262"/>
      <c r="AG126" s="262"/>
      <c r="AH126" s="262"/>
      <c r="AI126" s="358"/>
      <c r="AJ126" s="358"/>
      <c r="AK126" s="358"/>
      <c r="AL126" s="358"/>
      <c r="AM126" s="358"/>
      <c r="AN126" s="358"/>
      <c r="AO126" s="358"/>
      <c r="AP126" s="358"/>
      <c r="AQ126" s="358"/>
      <c r="AR126" s="358"/>
      <c r="AS126" s="358"/>
      <c r="AT126" s="358"/>
      <c r="AU126" s="358"/>
      <c r="AV126" s="358"/>
      <c r="AW126" s="358"/>
      <c r="AX126" s="358"/>
      <c r="AY126" s="358"/>
      <c r="AZ126" s="358"/>
      <c r="BA126" s="358"/>
      <c r="BB126" s="358"/>
      <c r="BC126" s="358"/>
      <c r="BD126" s="358"/>
      <c r="BE126" s="358"/>
      <c r="BF126" s="358"/>
      <c r="BG126" s="358"/>
      <c r="BH126" s="358"/>
      <c r="BI126" s="358"/>
      <c r="BJ126" s="358"/>
      <c r="BK126" s="358"/>
      <c r="BL126" s="358"/>
      <c r="BM126" s="358"/>
      <c r="BN126" s="358"/>
      <c r="BO126" s="358"/>
      <c r="BP126" s="358"/>
      <c r="BQ126" s="358"/>
      <c r="BR126" s="358"/>
      <c r="BS126" s="358"/>
      <c r="BT126" s="358"/>
      <c r="BU126" s="358"/>
      <c r="BV126" s="358"/>
      <c r="BW126" s="358"/>
      <c r="BX126" s="358"/>
      <c r="BY126" s="358"/>
      <c r="BZ126" s="358"/>
      <c r="CA126" s="358"/>
      <c r="CB126" s="358"/>
      <c r="CC126" s="358"/>
      <c r="CD126" s="358"/>
      <c r="CE126" s="358"/>
      <c r="CF126" s="358"/>
      <c r="CG126" s="358"/>
      <c r="CH126" s="358"/>
      <c r="CI126" s="358"/>
      <c r="CJ126" s="358"/>
      <c r="CK126" s="358"/>
      <c r="CL126" s="358"/>
      <c r="CM126" s="358"/>
      <c r="CN126" s="358"/>
      <c r="CO126" s="358"/>
      <c r="CP126" s="358"/>
      <c r="CQ126" s="358"/>
      <c r="CR126" s="358"/>
      <c r="CS126" s="358"/>
      <c r="CT126" s="358"/>
    </row>
    <row r="127" spans="1:98">
      <c r="A127" s="1309"/>
      <c r="B127" s="262"/>
      <c r="C127" s="262"/>
      <c r="D127" s="262"/>
      <c r="E127" s="262"/>
      <c r="F127" s="262"/>
      <c r="G127" s="262"/>
      <c r="H127" s="262"/>
      <c r="I127" s="262"/>
      <c r="J127" s="262"/>
      <c r="K127" s="262"/>
      <c r="L127" s="262"/>
      <c r="M127" s="262"/>
      <c r="N127" s="262"/>
      <c r="O127" s="262"/>
      <c r="P127" s="262"/>
      <c r="Q127" s="262"/>
      <c r="R127" s="262"/>
      <c r="S127" s="262"/>
      <c r="T127" s="262"/>
      <c r="U127" s="262"/>
      <c r="V127" s="262"/>
      <c r="W127" s="262"/>
      <c r="X127" s="262"/>
      <c r="Y127" s="262"/>
      <c r="Z127" s="262"/>
      <c r="AA127" s="262"/>
      <c r="AB127" s="262"/>
      <c r="AC127" s="262"/>
      <c r="AD127" s="262"/>
      <c r="AE127" s="262"/>
      <c r="AF127" s="262"/>
      <c r="AG127" s="262"/>
      <c r="AH127" s="262"/>
      <c r="AI127" s="358"/>
      <c r="AJ127" s="358"/>
      <c r="AK127" s="358"/>
      <c r="AL127" s="358"/>
      <c r="AM127" s="358"/>
      <c r="AN127" s="358"/>
      <c r="AO127" s="358"/>
      <c r="AP127" s="358"/>
      <c r="AQ127" s="358"/>
      <c r="AR127" s="358"/>
      <c r="AS127" s="358"/>
      <c r="AT127" s="358"/>
      <c r="AU127" s="358"/>
      <c r="AV127" s="358"/>
      <c r="AW127" s="358"/>
      <c r="AX127" s="358"/>
      <c r="AY127" s="358"/>
      <c r="AZ127" s="358"/>
      <c r="BA127" s="358"/>
      <c r="BB127" s="358"/>
      <c r="BC127" s="358"/>
      <c r="BD127" s="358"/>
      <c r="BE127" s="358"/>
      <c r="BF127" s="358"/>
      <c r="BG127" s="358"/>
      <c r="BH127" s="358"/>
      <c r="BI127" s="358"/>
      <c r="BJ127" s="358"/>
      <c r="BK127" s="358"/>
      <c r="BL127" s="358"/>
      <c r="BM127" s="358"/>
      <c r="BN127" s="358"/>
      <c r="BO127" s="358"/>
      <c r="BP127" s="358"/>
      <c r="BQ127" s="358"/>
      <c r="BR127" s="358"/>
      <c r="BS127" s="358"/>
      <c r="BT127" s="358"/>
      <c r="BU127" s="358"/>
      <c r="BV127" s="358"/>
      <c r="BW127" s="358"/>
      <c r="BX127" s="358"/>
      <c r="BY127" s="358"/>
      <c r="BZ127" s="358"/>
      <c r="CA127" s="358"/>
      <c r="CB127" s="358"/>
      <c r="CC127" s="358"/>
      <c r="CD127" s="358"/>
      <c r="CE127" s="358"/>
      <c r="CF127" s="358"/>
      <c r="CG127" s="358"/>
      <c r="CH127" s="358"/>
      <c r="CI127" s="358"/>
      <c r="CJ127" s="358"/>
      <c r="CK127" s="358"/>
      <c r="CL127" s="358"/>
      <c r="CM127" s="358"/>
      <c r="CN127" s="358"/>
      <c r="CO127" s="358"/>
      <c r="CP127" s="358"/>
      <c r="CQ127" s="358"/>
      <c r="CR127" s="358"/>
      <c r="CS127" s="358"/>
      <c r="CT127" s="358"/>
    </row>
    <row r="128" spans="1:98">
      <c r="A128" s="1309"/>
      <c r="B128" s="262"/>
      <c r="C128" s="262"/>
      <c r="D128" s="262"/>
      <c r="E128" s="262"/>
      <c r="F128" s="262"/>
      <c r="G128" s="262"/>
      <c r="H128" s="262"/>
      <c r="I128" s="262"/>
      <c r="J128" s="262"/>
      <c r="K128" s="262"/>
      <c r="L128" s="262"/>
      <c r="M128" s="262"/>
      <c r="N128" s="262"/>
      <c r="O128" s="262"/>
      <c r="P128" s="262"/>
      <c r="Q128" s="262"/>
      <c r="R128" s="262"/>
      <c r="S128" s="262"/>
      <c r="T128" s="262"/>
      <c r="U128" s="262"/>
      <c r="V128" s="262"/>
      <c r="W128" s="262"/>
      <c r="X128" s="262"/>
      <c r="Y128" s="262"/>
      <c r="Z128" s="262"/>
      <c r="AA128" s="262"/>
      <c r="AB128" s="262"/>
      <c r="AC128" s="262"/>
      <c r="AD128" s="262"/>
      <c r="AE128" s="262"/>
      <c r="AF128" s="262"/>
      <c r="AG128" s="262"/>
      <c r="AH128" s="262"/>
      <c r="AI128" s="358"/>
      <c r="AJ128" s="358"/>
      <c r="AK128" s="358"/>
      <c r="AL128" s="358"/>
      <c r="AM128" s="358"/>
      <c r="AN128" s="358"/>
      <c r="AO128" s="358"/>
      <c r="AP128" s="358"/>
      <c r="AQ128" s="358"/>
      <c r="AR128" s="358"/>
      <c r="AS128" s="358"/>
      <c r="AT128" s="358"/>
      <c r="AU128" s="358"/>
      <c r="AV128" s="358"/>
      <c r="AW128" s="358"/>
      <c r="AX128" s="358"/>
      <c r="AY128" s="358"/>
      <c r="AZ128" s="358"/>
      <c r="BA128" s="358"/>
      <c r="BB128" s="358"/>
      <c r="BC128" s="358"/>
      <c r="BD128" s="358"/>
      <c r="BE128" s="358"/>
      <c r="BF128" s="358"/>
      <c r="BG128" s="358"/>
      <c r="BH128" s="358"/>
      <c r="BI128" s="358"/>
      <c r="BJ128" s="358"/>
      <c r="BK128" s="358"/>
      <c r="BL128" s="358"/>
      <c r="BM128" s="358"/>
      <c r="BN128" s="358"/>
      <c r="BO128" s="358"/>
      <c r="BP128" s="358"/>
      <c r="BQ128" s="358"/>
      <c r="BR128" s="358"/>
      <c r="BS128" s="358"/>
      <c r="BT128" s="358"/>
      <c r="BU128" s="358"/>
      <c r="BV128" s="358"/>
      <c r="BW128" s="358"/>
      <c r="BX128" s="358"/>
      <c r="BY128" s="358"/>
      <c r="BZ128" s="358"/>
      <c r="CA128" s="358"/>
      <c r="CB128" s="358"/>
      <c r="CC128" s="358"/>
      <c r="CD128" s="358"/>
      <c r="CE128" s="358"/>
      <c r="CF128" s="358"/>
      <c r="CG128" s="358"/>
      <c r="CH128" s="358"/>
      <c r="CI128" s="358"/>
      <c r="CJ128" s="358"/>
      <c r="CK128" s="358"/>
      <c r="CL128" s="358"/>
      <c r="CM128" s="358"/>
      <c r="CN128" s="358"/>
      <c r="CO128" s="358"/>
      <c r="CP128" s="358"/>
      <c r="CQ128" s="358"/>
      <c r="CR128" s="358"/>
      <c r="CS128" s="358"/>
      <c r="CT128" s="358"/>
    </row>
    <row r="129" spans="1:98">
      <c r="A129" s="1309"/>
      <c r="B129" s="262"/>
      <c r="C129" s="262"/>
      <c r="D129" s="262"/>
      <c r="E129" s="262"/>
      <c r="F129" s="262"/>
      <c r="G129" s="262"/>
      <c r="H129" s="262"/>
      <c r="I129" s="262"/>
      <c r="J129" s="262"/>
      <c r="K129" s="262"/>
      <c r="L129" s="262"/>
      <c r="M129" s="262"/>
      <c r="N129" s="262"/>
      <c r="O129" s="262"/>
      <c r="P129" s="262"/>
      <c r="Q129" s="262"/>
      <c r="R129" s="262"/>
      <c r="S129" s="262"/>
      <c r="T129" s="262"/>
      <c r="U129" s="262"/>
      <c r="V129" s="262"/>
      <c r="W129" s="262"/>
      <c r="X129" s="262"/>
      <c r="Y129" s="262"/>
      <c r="Z129" s="262"/>
      <c r="AA129" s="262"/>
      <c r="AB129" s="262"/>
      <c r="AC129" s="262"/>
      <c r="AD129" s="262"/>
      <c r="AE129" s="262"/>
      <c r="AF129" s="262"/>
      <c r="AG129" s="262"/>
      <c r="AH129" s="262"/>
      <c r="AI129" s="358"/>
      <c r="AJ129" s="358"/>
      <c r="AK129" s="358"/>
      <c r="AL129" s="358"/>
      <c r="AM129" s="358"/>
      <c r="AN129" s="358"/>
      <c r="AO129" s="358"/>
      <c r="AP129" s="358"/>
      <c r="AQ129" s="358"/>
      <c r="AR129" s="358"/>
      <c r="AS129" s="358"/>
      <c r="AT129" s="358"/>
      <c r="AU129" s="358"/>
      <c r="AV129" s="358"/>
      <c r="AW129" s="358"/>
      <c r="AX129" s="358"/>
      <c r="AY129" s="358"/>
      <c r="AZ129" s="358"/>
      <c r="BA129" s="358"/>
      <c r="BB129" s="358"/>
      <c r="BC129" s="358"/>
      <c r="BD129" s="358"/>
      <c r="BE129" s="358"/>
      <c r="BF129" s="358"/>
      <c r="BG129" s="358"/>
      <c r="BH129" s="358"/>
      <c r="BI129" s="358"/>
      <c r="BJ129" s="358"/>
      <c r="BK129" s="358"/>
      <c r="BL129" s="358"/>
      <c r="BM129" s="358"/>
      <c r="BN129" s="358"/>
      <c r="BO129" s="358"/>
      <c r="BP129" s="358"/>
      <c r="BQ129" s="358"/>
      <c r="BR129" s="358"/>
      <c r="BS129" s="358"/>
      <c r="BT129" s="358"/>
      <c r="BU129" s="358"/>
      <c r="BV129" s="358"/>
      <c r="BW129" s="358"/>
      <c r="BX129" s="358"/>
      <c r="BY129" s="358"/>
      <c r="BZ129" s="358"/>
      <c r="CA129" s="358"/>
      <c r="CB129" s="358"/>
      <c r="CC129" s="358"/>
      <c r="CD129" s="358"/>
      <c r="CE129" s="358"/>
      <c r="CF129" s="358"/>
      <c r="CG129" s="358"/>
      <c r="CH129" s="358"/>
      <c r="CI129" s="358"/>
      <c r="CJ129" s="358"/>
      <c r="CK129" s="358"/>
      <c r="CL129" s="358"/>
      <c r="CM129" s="358"/>
      <c r="CN129" s="358"/>
      <c r="CO129" s="358"/>
      <c r="CP129" s="358"/>
      <c r="CQ129" s="358"/>
      <c r="CR129" s="358"/>
      <c r="CS129" s="358"/>
      <c r="CT129" s="358"/>
    </row>
    <row r="130" spans="1:98">
      <c r="A130" s="1309"/>
      <c r="B130" s="262"/>
      <c r="C130" s="262"/>
      <c r="D130" s="262"/>
      <c r="E130" s="262"/>
      <c r="F130" s="262"/>
      <c r="G130" s="262"/>
      <c r="H130" s="262"/>
      <c r="I130" s="262"/>
      <c r="J130" s="262"/>
      <c r="K130" s="262"/>
      <c r="L130" s="262"/>
      <c r="M130" s="262"/>
      <c r="N130" s="262"/>
      <c r="O130" s="262"/>
      <c r="P130" s="262"/>
      <c r="Q130" s="262"/>
      <c r="R130" s="262"/>
      <c r="S130" s="262"/>
      <c r="T130" s="262"/>
      <c r="U130" s="262"/>
      <c r="V130" s="262"/>
      <c r="W130" s="262"/>
      <c r="X130" s="262"/>
      <c r="Y130" s="262"/>
      <c r="Z130" s="262"/>
      <c r="AA130" s="262"/>
      <c r="AB130" s="262"/>
      <c r="AC130" s="262"/>
      <c r="AD130" s="262"/>
      <c r="AE130" s="262"/>
      <c r="AF130" s="262"/>
      <c r="AG130" s="262"/>
      <c r="AH130" s="262"/>
      <c r="AI130" s="358"/>
      <c r="AJ130" s="358"/>
      <c r="AK130" s="358"/>
      <c r="AL130" s="358"/>
      <c r="AM130" s="358"/>
      <c r="AN130" s="358"/>
      <c r="AO130" s="358"/>
      <c r="AP130" s="358"/>
      <c r="AQ130" s="358"/>
      <c r="AR130" s="358"/>
      <c r="AS130" s="358"/>
      <c r="AT130" s="358"/>
      <c r="AU130" s="358"/>
      <c r="AV130" s="358"/>
      <c r="AW130" s="358"/>
      <c r="AX130" s="358"/>
      <c r="AY130" s="358"/>
      <c r="AZ130" s="358"/>
      <c r="BA130" s="358"/>
      <c r="BB130" s="358"/>
      <c r="BC130" s="358"/>
      <c r="BD130" s="358"/>
      <c r="BE130" s="358"/>
      <c r="BF130" s="358"/>
      <c r="BG130" s="358"/>
      <c r="BH130" s="358"/>
      <c r="BI130" s="358"/>
      <c r="BJ130" s="358"/>
      <c r="BK130" s="358"/>
      <c r="BL130" s="358"/>
      <c r="BM130" s="358"/>
      <c r="BN130" s="358"/>
      <c r="BO130" s="358"/>
      <c r="BP130" s="358"/>
      <c r="BQ130" s="358"/>
      <c r="BR130" s="358"/>
      <c r="BS130" s="358"/>
      <c r="BT130" s="358"/>
      <c r="BU130" s="358"/>
      <c r="BV130" s="358"/>
      <c r="BW130" s="358"/>
      <c r="BX130" s="358"/>
      <c r="BY130" s="358"/>
      <c r="BZ130" s="358"/>
      <c r="CA130" s="358"/>
      <c r="CB130" s="358"/>
      <c r="CC130" s="358"/>
      <c r="CD130" s="358"/>
      <c r="CE130" s="358"/>
      <c r="CF130" s="358"/>
      <c r="CG130" s="358"/>
      <c r="CH130" s="358"/>
      <c r="CI130" s="358"/>
      <c r="CJ130" s="358"/>
      <c r="CK130" s="358"/>
      <c r="CL130" s="358"/>
      <c r="CM130" s="358"/>
      <c r="CN130" s="358"/>
      <c r="CO130" s="358"/>
      <c r="CP130" s="358"/>
      <c r="CQ130" s="358"/>
      <c r="CR130" s="358"/>
      <c r="CS130" s="358"/>
      <c r="CT130" s="358"/>
    </row>
    <row r="131" spans="1:98">
      <c r="A131" s="1309"/>
      <c r="B131" s="262"/>
      <c r="C131" s="262"/>
      <c r="D131" s="262"/>
      <c r="E131" s="262"/>
      <c r="F131" s="262"/>
      <c r="G131" s="262"/>
      <c r="H131" s="262"/>
      <c r="I131" s="262"/>
      <c r="J131" s="262"/>
      <c r="K131" s="262"/>
      <c r="L131" s="262"/>
      <c r="M131" s="262"/>
      <c r="N131" s="262"/>
      <c r="O131" s="262"/>
      <c r="P131" s="262"/>
      <c r="Q131" s="262"/>
      <c r="R131" s="262"/>
      <c r="S131" s="262"/>
      <c r="T131" s="262"/>
      <c r="U131" s="262"/>
      <c r="V131" s="262"/>
      <c r="W131" s="262"/>
      <c r="X131" s="262"/>
      <c r="Y131" s="262"/>
      <c r="Z131" s="262"/>
      <c r="AA131" s="262"/>
      <c r="AB131" s="262"/>
      <c r="AC131" s="262"/>
      <c r="AD131" s="262"/>
      <c r="AE131" s="262"/>
      <c r="AF131" s="262"/>
      <c r="AG131" s="262"/>
      <c r="AH131" s="262"/>
      <c r="AI131" s="358"/>
      <c r="AJ131" s="358"/>
      <c r="AK131" s="358"/>
      <c r="AL131" s="358"/>
      <c r="AM131" s="358"/>
      <c r="AN131" s="358"/>
      <c r="AO131" s="358"/>
      <c r="AP131" s="358"/>
      <c r="AQ131" s="358"/>
      <c r="AR131" s="358"/>
      <c r="AS131" s="358"/>
      <c r="AT131" s="358"/>
      <c r="AU131" s="358"/>
      <c r="AV131" s="358"/>
      <c r="AW131" s="358"/>
      <c r="AX131" s="358"/>
      <c r="AY131" s="358"/>
      <c r="AZ131" s="358"/>
      <c r="BA131" s="358"/>
      <c r="BB131" s="358"/>
      <c r="BC131" s="358"/>
      <c r="BD131" s="358"/>
      <c r="BE131" s="358"/>
      <c r="BF131" s="358"/>
      <c r="BG131" s="358"/>
      <c r="BH131" s="358"/>
      <c r="BI131" s="358"/>
      <c r="BJ131" s="358"/>
      <c r="BK131" s="358"/>
      <c r="BL131" s="358"/>
      <c r="BM131" s="358"/>
      <c r="BN131" s="358"/>
      <c r="BO131" s="358"/>
      <c r="BP131" s="358"/>
      <c r="BQ131" s="358"/>
      <c r="BR131" s="358"/>
      <c r="BS131" s="358"/>
      <c r="BT131" s="358"/>
      <c r="BU131" s="358"/>
      <c r="BV131" s="358"/>
      <c r="BW131" s="358"/>
      <c r="BX131" s="358"/>
      <c r="BY131" s="358"/>
      <c r="BZ131" s="358"/>
      <c r="CA131" s="358"/>
      <c r="CB131" s="358"/>
      <c r="CC131" s="358"/>
      <c r="CD131" s="358"/>
      <c r="CE131" s="358"/>
      <c r="CF131" s="358"/>
      <c r="CG131" s="358"/>
      <c r="CH131" s="358"/>
      <c r="CI131" s="358"/>
      <c r="CJ131" s="358"/>
      <c r="CK131" s="358"/>
      <c r="CL131" s="358"/>
      <c r="CM131" s="358"/>
      <c r="CN131" s="358"/>
      <c r="CO131" s="358"/>
      <c r="CP131" s="358"/>
      <c r="CQ131" s="358"/>
      <c r="CR131" s="358"/>
      <c r="CS131" s="358"/>
      <c r="CT131" s="358"/>
    </row>
    <row r="132" spans="1:98">
      <c r="A132" s="1309"/>
      <c r="B132" s="262"/>
      <c r="C132" s="262"/>
      <c r="D132" s="262"/>
      <c r="E132" s="262"/>
      <c r="F132" s="262"/>
      <c r="G132" s="262"/>
      <c r="H132" s="262"/>
      <c r="I132" s="262"/>
      <c r="J132" s="262"/>
      <c r="K132" s="262"/>
      <c r="L132" s="262"/>
      <c r="M132" s="262"/>
      <c r="N132" s="262"/>
      <c r="O132" s="262"/>
      <c r="P132" s="262"/>
      <c r="Q132" s="262"/>
      <c r="R132" s="262"/>
      <c r="S132" s="262"/>
      <c r="T132" s="262"/>
      <c r="U132" s="262"/>
      <c r="V132" s="262"/>
      <c r="W132" s="262"/>
      <c r="X132" s="262"/>
      <c r="Y132" s="262"/>
      <c r="Z132" s="262"/>
      <c r="AA132" s="262"/>
      <c r="AB132" s="262"/>
      <c r="AC132" s="262"/>
      <c r="AD132" s="262"/>
      <c r="AE132" s="262"/>
      <c r="AF132" s="262"/>
      <c r="AG132" s="262"/>
      <c r="AH132" s="262"/>
      <c r="AI132" s="358"/>
      <c r="AJ132" s="358"/>
      <c r="AK132" s="358"/>
      <c r="AL132" s="358"/>
      <c r="AM132" s="358"/>
      <c r="AN132" s="358"/>
      <c r="AO132" s="358"/>
      <c r="AP132" s="358"/>
      <c r="AQ132" s="358"/>
      <c r="AR132" s="358"/>
      <c r="AS132" s="358"/>
      <c r="AT132" s="358"/>
      <c r="AU132" s="358"/>
      <c r="AV132" s="358"/>
      <c r="AW132" s="358"/>
      <c r="AX132" s="358"/>
      <c r="AY132" s="358"/>
      <c r="AZ132" s="358"/>
      <c r="BA132" s="358"/>
      <c r="BB132" s="358"/>
      <c r="BC132" s="358"/>
      <c r="BD132" s="358"/>
      <c r="BE132" s="358"/>
      <c r="BF132" s="358"/>
      <c r="BG132" s="358"/>
      <c r="BH132" s="358"/>
      <c r="BI132" s="358"/>
      <c r="BJ132" s="358"/>
      <c r="BK132" s="358"/>
      <c r="BL132" s="358"/>
      <c r="BM132" s="358"/>
      <c r="BN132" s="358"/>
      <c r="BO132" s="358"/>
      <c r="BP132" s="358"/>
      <c r="BQ132" s="358"/>
      <c r="BR132" s="358"/>
      <c r="BS132" s="358"/>
      <c r="BT132" s="358"/>
      <c r="BU132" s="358"/>
      <c r="BV132" s="358"/>
      <c r="BW132" s="358"/>
      <c r="BX132" s="358"/>
      <c r="BY132" s="358"/>
      <c r="BZ132" s="358"/>
      <c r="CA132" s="358"/>
      <c r="CB132" s="358"/>
      <c r="CC132" s="358"/>
      <c r="CD132" s="358"/>
      <c r="CE132" s="358"/>
      <c r="CF132" s="358"/>
      <c r="CG132" s="358"/>
      <c r="CH132" s="358"/>
      <c r="CI132" s="358"/>
      <c r="CJ132" s="358"/>
      <c r="CK132" s="358"/>
      <c r="CL132" s="358"/>
      <c r="CM132" s="358"/>
      <c r="CN132" s="358"/>
      <c r="CO132" s="358"/>
      <c r="CP132" s="358"/>
      <c r="CQ132" s="358"/>
      <c r="CR132" s="358"/>
      <c r="CS132" s="358"/>
      <c r="CT132" s="358"/>
    </row>
    <row r="133" spans="1:98">
      <c r="A133" s="1309"/>
      <c r="B133" s="262"/>
      <c r="C133" s="262"/>
      <c r="D133" s="262"/>
      <c r="E133" s="262"/>
      <c r="F133" s="262"/>
      <c r="G133" s="262"/>
      <c r="H133" s="262"/>
      <c r="I133" s="262"/>
      <c r="J133" s="262"/>
      <c r="K133" s="262"/>
      <c r="L133" s="262"/>
      <c r="M133" s="262"/>
      <c r="N133" s="262"/>
      <c r="O133" s="262"/>
      <c r="P133" s="262"/>
      <c r="Q133" s="262"/>
      <c r="R133" s="262"/>
      <c r="S133" s="262"/>
      <c r="T133" s="262"/>
      <c r="U133" s="262"/>
      <c r="V133" s="262"/>
      <c r="W133" s="262"/>
      <c r="X133" s="262"/>
      <c r="Y133" s="262"/>
      <c r="Z133" s="262"/>
      <c r="AA133" s="262"/>
      <c r="AB133" s="262"/>
      <c r="AC133" s="262"/>
      <c r="AD133" s="262"/>
      <c r="AE133" s="262"/>
      <c r="AF133" s="262"/>
      <c r="AG133" s="262"/>
      <c r="AH133" s="262"/>
      <c r="AI133" s="358"/>
      <c r="AJ133" s="358"/>
      <c r="AK133" s="358"/>
      <c r="AL133" s="358"/>
      <c r="AM133" s="358"/>
      <c r="AN133" s="358"/>
      <c r="AO133" s="358"/>
      <c r="AP133" s="358"/>
      <c r="AQ133" s="358"/>
      <c r="AR133" s="358"/>
      <c r="AS133" s="358"/>
      <c r="AT133" s="358"/>
      <c r="AU133" s="358"/>
      <c r="AV133" s="358"/>
      <c r="AW133" s="358"/>
      <c r="AX133" s="358"/>
      <c r="AY133" s="358"/>
      <c r="AZ133" s="358"/>
      <c r="BA133" s="358"/>
      <c r="BB133" s="358"/>
      <c r="BC133" s="358"/>
      <c r="BD133" s="358"/>
      <c r="BE133" s="358"/>
      <c r="BF133" s="358"/>
      <c r="BG133" s="358"/>
      <c r="BH133" s="358"/>
      <c r="BI133" s="358"/>
      <c r="BJ133" s="358"/>
      <c r="BK133" s="358"/>
      <c r="BL133" s="358"/>
      <c r="BM133" s="358"/>
      <c r="BN133" s="358"/>
      <c r="BO133" s="358"/>
      <c r="BP133" s="358"/>
      <c r="BQ133" s="358"/>
      <c r="BR133" s="358"/>
      <c r="BS133" s="358"/>
      <c r="BT133" s="358"/>
      <c r="BU133" s="358"/>
      <c r="BV133" s="358"/>
      <c r="BW133" s="358"/>
      <c r="BX133" s="358"/>
      <c r="BY133" s="358"/>
      <c r="BZ133" s="358"/>
      <c r="CA133" s="358"/>
      <c r="CB133" s="358"/>
      <c r="CC133" s="358"/>
      <c r="CD133" s="358"/>
      <c r="CE133" s="358"/>
      <c r="CF133" s="358"/>
      <c r="CG133" s="358"/>
      <c r="CH133" s="358"/>
      <c r="CI133" s="358"/>
      <c r="CJ133" s="358"/>
      <c r="CK133" s="358"/>
      <c r="CL133" s="358"/>
      <c r="CM133" s="358"/>
      <c r="CN133" s="358"/>
      <c r="CO133" s="358"/>
      <c r="CP133" s="358"/>
      <c r="CQ133" s="358"/>
      <c r="CR133" s="358"/>
      <c r="CS133" s="358"/>
      <c r="CT133" s="358"/>
    </row>
    <row r="134" spans="1:98">
      <c r="A134" s="1309"/>
      <c r="B134" s="262"/>
      <c r="C134" s="262"/>
      <c r="D134" s="262"/>
      <c r="E134" s="262"/>
      <c r="F134" s="262"/>
      <c r="G134" s="262"/>
      <c r="H134" s="262"/>
      <c r="I134" s="262"/>
      <c r="J134" s="262"/>
      <c r="K134" s="262"/>
      <c r="L134" s="262"/>
      <c r="M134" s="262"/>
      <c r="N134" s="262"/>
      <c r="O134" s="262"/>
      <c r="P134" s="262"/>
      <c r="Q134" s="262"/>
      <c r="R134" s="262"/>
      <c r="S134" s="262"/>
      <c r="T134" s="262"/>
      <c r="U134" s="262"/>
      <c r="V134" s="262"/>
      <c r="W134" s="262"/>
      <c r="X134" s="262"/>
      <c r="Y134" s="262"/>
      <c r="Z134" s="262"/>
      <c r="AA134" s="262"/>
      <c r="AB134" s="262"/>
      <c r="AC134" s="262"/>
      <c r="AD134" s="262"/>
      <c r="AE134" s="262"/>
      <c r="AF134" s="262"/>
      <c r="AG134" s="262"/>
      <c r="AH134" s="262"/>
      <c r="AI134" s="358"/>
      <c r="AJ134" s="358"/>
      <c r="AK134" s="358"/>
      <c r="AL134" s="358"/>
      <c r="AM134" s="358"/>
      <c r="AN134" s="358"/>
      <c r="AO134" s="358"/>
      <c r="AP134" s="358"/>
      <c r="AQ134" s="358"/>
      <c r="AR134" s="358"/>
      <c r="AS134" s="358"/>
      <c r="AT134" s="358"/>
      <c r="AU134" s="358"/>
      <c r="AV134" s="358"/>
      <c r="AW134" s="358"/>
      <c r="AX134" s="358"/>
      <c r="AY134" s="358"/>
      <c r="AZ134" s="358"/>
      <c r="BA134" s="358"/>
      <c r="BB134" s="358"/>
      <c r="BC134" s="358"/>
      <c r="BD134" s="358"/>
      <c r="BE134" s="358"/>
      <c r="BF134" s="358"/>
      <c r="BG134" s="358"/>
      <c r="BH134" s="358"/>
      <c r="BI134" s="358"/>
      <c r="BJ134" s="358"/>
      <c r="BK134" s="358"/>
      <c r="BL134" s="358"/>
      <c r="BM134" s="358"/>
      <c r="BN134" s="358"/>
      <c r="BO134" s="358"/>
      <c r="BP134" s="358"/>
      <c r="BQ134" s="358"/>
      <c r="BR134" s="358"/>
      <c r="BS134" s="358"/>
      <c r="BT134" s="358"/>
      <c r="BU134" s="358"/>
      <c r="BV134" s="358"/>
      <c r="BW134" s="358"/>
      <c r="BX134" s="358"/>
      <c r="BY134" s="358"/>
      <c r="BZ134" s="358"/>
      <c r="CA134" s="358"/>
      <c r="CB134" s="358"/>
      <c r="CC134" s="358"/>
      <c r="CD134" s="358"/>
      <c r="CE134" s="358"/>
      <c r="CF134" s="358"/>
      <c r="CG134" s="358"/>
      <c r="CH134" s="358"/>
      <c r="CI134" s="358"/>
      <c r="CJ134" s="358"/>
      <c r="CK134" s="358"/>
      <c r="CL134" s="358"/>
      <c r="CM134" s="358"/>
      <c r="CN134" s="358"/>
      <c r="CO134" s="358"/>
      <c r="CP134" s="358"/>
      <c r="CQ134" s="358"/>
      <c r="CR134" s="358"/>
      <c r="CS134" s="358"/>
      <c r="CT134" s="358"/>
    </row>
    <row r="135" spans="1:98">
      <c r="A135" s="1309"/>
      <c r="B135" s="262"/>
      <c r="C135" s="262"/>
      <c r="D135" s="262"/>
      <c r="E135" s="262"/>
      <c r="F135" s="262"/>
      <c r="G135" s="262"/>
      <c r="H135" s="262"/>
      <c r="I135" s="262"/>
      <c r="J135" s="262"/>
      <c r="K135" s="262"/>
      <c r="L135" s="262"/>
      <c r="M135" s="262"/>
      <c r="N135" s="262"/>
      <c r="O135" s="262"/>
      <c r="P135" s="262"/>
      <c r="Q135" s="262"/>
      <c r="R135" s="262"/>
      <c r="S135" s="262"/>
      <c r="T135" s="262"/>
      <c r="U135" s="262"/>
      <c r="V135" s="262"/>
      <c r="W135" s="262"/>
      <c r="X135" s="262"/>
      <c r="Y135" s="262"/>
      <c r="Z135" s="262"/>
      <c r="AA135" s="262"/>
      <c r="AB135" s="262"/>
      <c r="AC135" s="262"/>
      <c r="AD135" s="262"/>
      <c r="AE135" s="262"/>
      <c r="AF135" s="262"/>
      <c r="AG135" s="262"/>
      <c r="AH135" s="262"/>
      <c r="AI135" s="358"/>
      <c r="AJ135" s="358"/>
      <c r="AK135" s="358"/>
      <c r="AL135" s="358"/>
      <c r="AM135" s="358"/>
      <c r="AN135" s="358"/>
      <c r="AO135" s="358"/>
      <c r="AP135" s="358"/>
      <c r="AQ135" s="358"/>
      <c r="AR135" s="358"/>
      <c r="AS135" s="358"/>
      <c r="AT135" s="358"/>
      <c r="AU135" s="358"/>
      <c r="AV135" s="358"/>
      <c r="AW135" s="358"/>
      <c r="AX135" s="358"/>
      <c r="AY135" s="358"/>
      <c r="AZ135" s="358"/>
      <c r="BA135" s="358"/>
      <c r="BB135" s="358"/>
      <c r="BC135" s="358"/>
      <c r="BD135" s="358"/>
      <c r="BE135" s="358"/>
      <c r="BF135" s="358"/>
      <c r="BG135" s="358"/>
      <c r="BH135" s="358"/>
      <c r="BI135" s="358"/>
      <c r="BJ135" s="358"/>
      <c r="BK135" s="358"/>
      <c r="BL135" s="358"/>
      <c r="BM135" s="358"/>
      <c r="BN135" s="358"/>
      <c r="BO135" s="358"/>
      <c r="BP135" s="358"/>
      <c r="BQ135" s="358"/>
      <c r="BR135" s="358"/>
      <c r="BS135" s="358"/>
      <c r="BT135" s="358"/>
      <c r="BU135" s="358"/>
      <c r="BV135" s="358"/>
      <c r="BW135" s="358"/>
      <c r="BX135" s="358"/>
      <c r="BY135" s="358"/>
      <c r="BZ135" s="358"/>
      <c r="CA135" s="358"/>
      <c r="CB135" s="358"/>
      <c r="CC135" s="358"/>
      <c r="CD135" s="358"/>
      <c r="CE135" s="358"/>
      <c r="CF135" s="358"/>
      <c r="CG135" s="358"/>
      <c r="CH135" s="358"/>
      <c r="CI135" s="358"/>
      <c r="CJ135" s="358"/>
      <c r="CK135" s="358"/>
      <c r="CL135" s="358"/>
      <c r="CM135" s="358"/>
      <c r="CN135" s="358"/>
      <c r="CO135" s="358"/>
      <c r="CP135" s="358"/>
      <c r="CQ135" s="358"/>
      <c r="CR135" s="358"/>
      <c r="CS135" s="358"/>
      <c r="CT135" s="358"/>
    </row>
    <row r="136" spans="1:98">
      <c r="A136" s="1309"/>
    </row>
    <row r="137" spans="1:98">
      <c r="A137" s="1309"/>
    </row>
    <row r="138" spans="1:98">
      <c r="A138" s="1309"/>
    </row>
    <row r="139" spans="1:98">
      <c r="A139" s="1309"/>
    </row>
    <row r="140" spans="1:98">
      <c r="A140" s="1309"/>
    </row>
    <row r="141" spans="1:98">
      <c r="A141" s="1309"/>
    </row>
    <row r="142" spans="1:98">
      <c r="A142" s="1309"/>
    </row>
    <row r="143" spans="1:98">
      <c r="A143" s="1309"/>
    </row>
    <row r="144" spans="1:98">
      <c r="A144" s="1309"/>
    </row>
    <row r="145" spans="1:1">
      <c r="A145" s="1309"/>
    </row>
    <row r="146" spans="1:1">
      <c r="A146" s="1309"/>
    </row>
    <row r="147" spans="1:1">
      <c r="A147" s="1309"/>
    </row>
    <row r="148" spans="1:1">
      <c r="A148" s="1309"/>
    </row>
    <row r="149" spans="1:1">
      <c r="A149" s="1309"/>
    </row>
    <row r="150" spans="1:1">
      <c r="A150" s="1309"/>
    </row>
    <row r="151" spans="1:1">
      <c r="A151" s="1309"/>
    </row>
    <row r="152" spans="1:1">
      <c r="A152" s="1309"/>
    </row>
    <row r="153" spans="1:1">
      <c r="A153" s="1309"/>
    </row>
    <row r="154" spans="1:1">
      <c r="A154" s="1309"/>
    </row>
    <row r="155" spans="1:1">
      <c r="A155" s="1309"/>
    </row>
    <row r="156" spans="1:1">
      <c r="A156" s="1309"/>
    </row>
  </sheetData>
  <mergeCells count="3">
    <mergeCell ref="B1:AH1"/>
    <mergeCell ref="AI1:BN1"/>
    <mergeCell ref="BO1:CT1"/>
  </mergeCells>
  <phoneticPr fontId="218" type="noConversion"/>
  <pageMargins left="0.7" right="0.7" top="0.75" bottom="0.75" header="0.3" footer="0.3"/>
  <pageSetup paperSize="9" orientation="portrait" r:id="rId1"/>
  <customProperties>
    <customPr name="_pios_id" r:id="rId2"/>
  </customProperties>
  <ignoredErrors>
    <ignoredError sqref="CE75:CI75"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sheetPr>
  <dimension ref="A1:CZ155"/>
  <sheetViews>
    <sheetView showGridLines="0" zoomScale="72" zoomScaleNormal="72" workbookViewId="0">
      <pane xSplit="1" ySplit="2" topLeftCell="BG63" activePane="bottomRight" state="frozen"/>
      <selection pane="topRight" activeCell="B1" sqref="B1"/>
      <selection pane="bottomLeft" activeCell="A3" sqref="A3"/>
      <selection pane="bottomRight" activeCell="BY89" sqref="BY89"/>
    </sheetView>
  </sheetViews>
  <sheetFormatPr baseColWidth="10" defaultRowHeight="13.2"/>
  <cols>
    <col min="1" max="1" width="9.5546875" style="11" customWidth="1"/>
    <col min="2" max="10" width="5.5546875" style="8" customWidth="1"/>
    <col min="11" max="12" width="5.5546875" style="3084" customWidth="1"/>
    <col min="13" max="13" width="5.5546875" style="3088" customWidth="1"/>
    <col min="14" max="16" width="5.5546875" style="8" customWidth="1"/>
    <col min="17" max="17" width="5.5546875" style="1981" customWidth="1"/>
    <col min="18" max="98" width="5.5546875" style="8" customWidth="1"/>
    <col min="99" max="101" width="10.77734375" style="8"/>
  </cols>
  <sheetData>
    <row r="1" spans="1:103" ht="17.7" customHeight="1" thickBot="1">
      <c r="B1" s="3219" t="s">
        <v>2909</v>
      </c>
      <c r="C1" s="3219"/>
      <c r="D1" s="3219"/>
      <c r="E1" s="3219"/>
      <c r="F1" s="3219"/>
      <c r="G1" s="3219"/>
      <c r="H1" s="3219"/>
      <c r="I1" s="3219"/>
      <c r="J1" s="3219"/>
      <c r="K1" s="3219"/>
      <c r="L1" s="3219"/>
      <c r="M1" s="3219"/>
      <c r="N1" s="3219"/>
      <c r="O1" s="3219"/>
      <c r="P1" s="3219"/>
      <c r="Q1" s="3219"/>
      <c r="R1" s="3219"/>
      <c r="S1" s="3219"/>
      <c r="T1" s="3219"/>
      <c r="U1" s="3219"/>
      <c r="V1" s="3219"/>
      <c r="W1" s="3219"/>
      <c r="X1" s="3219"/>
      <c r="Y1" s="3219"/>
      <c r="Z1" s="3219"/>
      <c r="AA1" s="3219"/>
      <c r="AB1" s="3219"/>
      <c r="AC1" s="3219"/>
      <c r="AD1" s="3219"/>
      <c r="AE1" s="3219"/>
      <c r="AF1" s="3219"/>
      <c r="AG1" s="3219"/>
      <c r="AH1" s="3219"/>
      <c r="AI1" s="3220" t="s">
        <v>2908</v>
      </c>
      <c r="AJ1" s="3220"/>
      <c r="AK1" s="3220"/>
      <c r="AL1" s="3220"/>
      <c r="AM1" s="3220"/>
      <c r="AN1" s="3220"/>
      <c r="AO1" s="3220"/>
      <c r="AP1" s="3220"/>
      <c r="AQ1" s="3220"/>
      <c r="AR1" s="3220"/>
      <c r="AS1" s="3220"/>
      <c r="AT1" s="3220"/>
      <c r="AU1" s="3220"/>
      <c r="AV1" s="3220"/>
      <c r="AW1" s="3220"/>
      <c r="AX1" s="3220"/>
      <c r="AY1" s="3220"/>
      <c r="AZ1" s="3220"/>
      <c r="BA1" s="3220"/>
      <c r="BB1" s="3220"/>
      <c r="BC1" s="3220"/>
      <c r="BD1" s="3220"/>
      <c r="BE1" s="3220"/>
      <c r="BF1" s="3220"/>
      <c r="BG1" s="3220"/>
      <c r="BH1" s="3220"/>
      <c r="BI1" s="3220"/>
      <c r="BJ1" s="3220"/>
      <c r="BK1" s="3220"/>
      <c r="BL1" s="3220"/>
      <c r="BM1" s="3220"/>
      <c r="BN1" s="3220"/>
      <c r="BO1" s="3221" t="s">
        <v>2455</v>
      </c>
      <c r="BP1" s="3221"/>
      <c r="BQ1" s="3221"/>
      <c r="BR1" s="3221"/>
      <c r="BS1" s="3221"/>
      <c r="BT1" s="3221"/>
      <c r="BU1" s="3221"/>
      <c r="BV1" s="3221"/>
      <c r="BW1" s="3221"/>
      <c r="BX1" s="3221"/>
      <c r="BY1" s="3221"/>
      <c r="BZ1" s="3221"/>
      <c r="CA1" s="3221"/>
      <c r="CB1" s="3221"/>
      <c r="CC1" s="3221"/>
      <c r="CD1" s="3221"/>
      <c r="CE1" s="3221"/>
      <c r="CF1" s="3221"/>
      <c r="CG1" s="3221"/>
      <c r="CH1" s="3221"/>
      <c r="CI1" s="3221"/>
      <c r="CJ1" s="3221"/>
      <c r="CK1" s="3221"/>
      <c r="CL1" s="3221"/>
      <c r="CM1" s="3221"/>
      <c r="CN1" s="3221"/>
      <c r="CO1" s="3221"/>
      <c r="CP1" s="3221"/>
      <c r="CQ1" s="3221"/>
      <c r="CR1" s="3221"/>
      <c r="CS1" s="3221"/>
      <c r="CT1" s="3221"/>
    </row>
    <row r="2" spans="1:103" s="1308" customFormat="1" ht="117.6" customHeight="1" thickBot="1">
      <c r="A2" s="535" t="s">
        <v>2903</v>
      </c>
      <c r="B2" s="1313" t="s">
        <v>592</v>
      </c>
      <c r="C2" s="1313" t="s">
        <v>586</v>
      </c>
      <c r="D2" s="1313" t="s">
        <v>593</v>
      </c>
      <c r="E2" s="1313" t="s">
        <v>2907</v>
      </c>
      <c r="F2" s="1313" t="s">
        <v>588</v>
      </c>
      <c r="G2" s="1313" t="s">
        <v>91</v>
      </c>
      <c r="H2" s="1313" t="s">
        <v>893</v>
      </c>
      <c r="I2" s="1313" t="s">
        <v>77</v>
      </c>
      <c r="J2" s="1313" t="s">
        <v>595</v>
      </c>
      <c r="K2" s="3081" t="s">
        <v>602</v>
      </c>
      <c r="L2" s="3081" t="s">
        <v>1931</v>
      </c>
      <c r="M2" s="3085" t="s">
        <v>598</v>
      </c>
      <c r="N2" s="1313" t="s">
        <v>596</v>
      </c>
      <c r="O2" s="1313" t="s">
        <v>1057</v>
      </c>
      <c r="P2" s="1313" t="s">
        <v>4712</v>
      </c>
      <c r="Q2" s="3079" t="s">
        <v>918</v>
      </c>
      <c r="R2" s="1313" t="s">
        <v>6401</v>
      </c>
      <c r="S2" s="1313" t="s">
        <v>384</v>
      </c>
      <c r="T2" s="1313" t="s">
        <v>591</v>
      </c>
      <c r="U2" s="1313" t="s">
        <v>1053</v>
      </c>
      <c r="V2" s="1313" t="s">
        <v>1958</v>
      </c>
      <c r="W2" s="1313" t="s">
        <v>938</v>
      </c>
      <c r="X2" s="1313" t="s">
        <v>3202</v>
      </c>
      <c r="Y2" s="1313" t="s">
        <v>789</v>
      </c>
      <c r="Z2" s="1313" t="s">
        <v>952</v>
      </c>
      <c r="AA2" s="1313" t="s">
        <v>1955</v>
      </c>
      <c r="AB2" s="1313" t="s">
        <v>1956</v>
      </c>
      <c r="AC2" s="1313" t="s">
        <v>1957</v>
      </c>
      <c r="AD2" s="1313" t="s">
        <v>790</v>
      </c>
      <c r="AE2" s="1313" t="s">
        <v>2912</v>
      </c>
      <c r="AF2" s="1313" t="s">
        <v>2905</v>
      </c>
      <c r="AG2" s="1313" t="s">
        <v>2754</v>
      </c>
      <c r="AH2" s="1693" t="s">
        <v>2906</v>
      </c>
      <c r="AI2" s="1879" t="s">
        <v>592</v>
      </c>
      <c r="AJ2" s="1880" t="s">
        <v>586</v>
      </c>
      <c r="AK2" s="1880" t="s">
        <v>593</v>
      </c>
      <c r="AL2" s="1880" t="s">
        <v>2907</v>
      </c>
      <c r="AM2" s="1880" t="s">
        <v>588</v>
      </c>
      <c r="AN2" s="1880" t="s">
        <v>91</v>
      </c>
      <c r="AO2" s="1880" t="s">
        <v>893</v>
      </c>
      <c r="AP2" s="1880" t="s">
        <v>77</v>
      </c>
      <c r="AQ2" s="1880" t="s">
        <v>595</v>
      </c>
      <c r="AR2" s="1880" t="s">
        <v>602</v>
      </c>
      <c r="AS2" s="1880" t="s">
        <v>1931</v>
      </c>
      <c r="AT2" s="1880" t="s">
        <v>598</v>
      </c>
      <c r="AU2" s="1880" t="s">
        <v>596</v>
      </c>
      <c r="AV2" s="1880" t="s">
        <v>1057</v>
      </c>
      <c r="AW2" s="1880" t="s">
        <v>4712</v>
      </c>
      <c r="AX2" s="1881" t="s">
        <v>918</v>
      </c>
      <c r="AY2" s="1882" t="s">
        <v>2913</v>
      </c>
      <c r="AZ2" s="1883" t="s">
        <v>591</v>
      </c>
      <c r="BA2" s="1883" t="s">
        <v>1053</v>
      </c>
      <c r="BB2" s="1883" t="s">
        <v>1958</v>
      </c>
      <c r="BC2" s="1883" t="s">
        <v>938</v>
      </c>
      <c r="BD2" s="1884" t="s">
        <v>3202</v>
      </c>
      <c r="BE2" s="1885" t="s">
        <v>789</v>
      </c>
      <c r="BF2" s="1886" t="s">
        <v>952</v>
      </c>
      <c r="BG2" s="1886" t="s">
        <v>1955</v>
      </c>
      <c r="BH2" s="1886" t="s">
        <v>1956</v>
      </c>
      <c r="BI2" s="1886" t="s">
        <v>1957</v>
      </c>
      <c r="BJ2" s="1886" t="s">
        <v>790</v>
      </c>
      <c r="BK2" s="1886" t="s">
        <v>4569</v>
      </c>
      <c r="BL2" s="1886" t="s">
        <v>2905</v>
      </c>
      <c r="BM2" s="1886" t="s">
        <v>2754</v>
      </c>
      <c r="BN2" s="1887" t="s">
        <v>2906</v>
      </c>
      <c r="BO2" s="1890" t="s">
        <v>592</v>
      </c>
      <c r="BP2" s="1891" t="s">
        <v>586</v>
      </c>
      <c r="BQ2" s="1891" t="s">
        <v>593</v>
      </c>
      <c r="BR2" s="1891" t="s">
        <v>2907</v>
      </c>
      <c r="BS2" s="1891" t="s">
        <v>588</v>
      </c>
      <c r="BT2" s="1891" t="s">
        <v>91</v>
      </c>
      <c r="BU2" s="1891" t="s">
        <v>893</v>
      </c>
      <c r="BV2" s="1891" t="s">
        <v>77</v>
      </c>
      <c r="BW2" s="1891" t="s">
        <v>595</v>
      </c>
      <c r="BX2" s="1891" t="s">
        <v>602</v>
      </c>
      <c r="BY2" s="1891" t="s">
        <v>1931</v>
      </c>
      <c r="BZ2" s="1891" t="s">
        <v>598</v>
      </c>
      <c r="CA2" s="1891" t="s">
        <v>596</v>
      </c>
      <c r="CB2" s="1891" t="s">
        <v>1057</v>
      </c>
      <c r="CC2" s="1891" t="s">
        <v>4712</v>
      </c>
      <c r="CD2" s="1892" t="s">
        <v>918</v>
      </c>
      <c r="CE2" s="1888" t="s">
        <v>2913</v>
      </c>
      <c r="CF2" s="1834" t="s">
        <v>591</v>
      </c>
      <c r="CG2" s="1834" t="s">
        <v>1053</v>
      </c>
      <c r="CH2" s="1834" t="s">
        <v>1958</v>
      </c>
      <c r="CI2" s="1834" t="s">
        <v>938</v>
      </c>
      <c r="CJ2" s="1835" t="s">
        <v>3202</v>
      </c>
      <c r="CK2" s="1836" t="s">
        <v>789</v>
      </c>
      <c r="CL2" s="1837" t="s">
        <v>952</v>
      </c>
      <c r="CM2" s="1837" t="s">
        <v>1955</v>
      </c>
      <c r="CN2" s="1837" t="s">
        <v>1956</v>
      </c>
      <c r="CO2" s="1837" t="s">
        <v>1957</v>
      </c>
      <c r="CP2" s="1837" t="s">
        <v>790</v>
      </c>
      <c r="CQ2" s="1837" t="s">
        <v>4892</v>
      </c>
      <c r="CR2" s="1837" t="s">
        <v>2905</v>
      </c>
      <c r="CS2" s="1837" t="s">
        <v>4570</v>
      </c>
      <c r="CT2" s="1838" t="s">
        <v>2906</v>
      </c>
      <c r="CU2" s="218" t="s">
        <v>4334</v>
      </c>
      <c r="CV2" s="218" t="s">
        <v>3196</v>
      </c>
      <c r="CW2" s="535" t="s">
        <v>3990</v>
      </c>
      <c r="CX2" s="218" t="s">
        <v>4335</v>
      </c>
      <c r="CY2" s="2100" t="s">
        <v>5372</v>
      </c>
    </row>
    <row r="3" spans="1:103" hidden="1">
      <c r="A3" s="1309">
        <v>43101</v>
      </c>
      <c r="B3" s="1310">
        <f t="shared" ref="B3:O3" si="0">+AI3+BO3</f>
        <v>0</v>
      </c>
      <c r="C3" s="1310">
        <f t="shared" si="0"/>
        <v>0</v>
      </c>
      <c r="D3" s="1310">
        <f t="shared" si="0"/>
        <v>0</v>
      </c>
      <c r="E3" s="1310">
        <f t="shared" si="0"/>
        <v>2</v>
      </c>
      <c r="F3" s="1310">
        <f t="shared" si="0"/>
        <v>0</v>
      </c>
      <c r="G3" s="1310">
        <f t="shared" si="0"/>
        <v>1</v>
      </c>
      <c r="H3" s="1310">
        <f t="shared" si="0"/>
        <v>0</v>
      </c>
      <c r="I3" s="1310">
        <f t="shared" si="0"/>
        <v>0</v>
      </c>
      <c r="J3" s="1310">
        <f t="shared" si="0"/>
        <v>0</v>
      </c>
      <c r="K3" s="3082">
        <f t="shared" si="0"/>
        <v>0</v>
      </c>
      <c r="L3" s="3082">
        <f t="shared" si="0"/>
        <v>0</v>
      </c>
      <c r="M3" s="3086">
        <f t="shared" si="0"/>
        <v>1</v>
      </c>
      <c r="N3" s="1310">
        <f t="shared" si="0"/>
        <v>1</v>
      </c>
      <c r="O3" s="1310">
        <f t="shared" si="0"/>
        <v>0</v>
      </c>
      <c r="P3" s="1310"/>
      <c r="Q3" s="1040">
        <f>+AW3+CC3</f>
        <v>0</v>
      </c>
      <c r="R3" s="1310"/>
      <c r="S3" s="1310">
        <f t="shared" ref="S3:AH3" si="1">+AY3+CE3</f>
        <v>0</v>
      </c>
      <c r="T3" s="1310">
        <f t="shared" si="1"/>
        <v>0</v>
      </c>
      <c r="U3" s="1310">
        <f t="shared" si="1"/>
        <v>2</v>
      </c>
      <c r="V3" s="1310">
        <f t="shared" si="1"/>
        <v>0</v>
      </c>
      <c r="W3" s="1310">
        <f t="shared" si="1"/>
        <v>1</v>
      </c>
      <c r="X3" s="1310">
        <f t="shared" si="1"/>
        <v>9</v>
      </c>
      <c r="Y3" s="1310">
        <f t="shared" si="1"/>
        <v>0</v>
      </c>
      <c r="Z3" s="1310">
        <f t="shared" si="1"/>
        <v>1</v>
      </c>
      <c r="AA3" s="1310">
        <f t="shared" si="1"/>
        <v>1</v>
      </c>
      <c r="AB3" s="1310">
        <f t="shared" si="1"/>
        <v>0</v>
      </c>
      <c r="AC3" s="1310">
        <f t="shared" si="1"/>
        <v>0</v>
      </c>
      <c r="AD3" s="1310">
        <f t="shared" si="1"/>
        <v>0</v>
      </c>
      <c r="AE3" s="1310">
        <f t="shared" si="1"/>
        <v>0</v>
      </c>
      <c r="AF3" s="1310">
        <f t="shared" si="1"/>
        <v>1</v>
      </c>
      <c r="AG3" s="1310">
        <f t="shared" si="1"/>
        <v>0</v>
      </c>
      <c r="AH3" s="1701">
        <f t="shared" si="1"/>
        <v>0</v>
      </c>
      <c r="AI3" s="1875"/>
      <c r="AJ3" s="1876"/>
      <c r="AK3" s="1876"/>
      <c r="AL3" s="1876">
        <v>2</v>
      </c>
      <c r="AM3" s="1876"/>
      <c r="AN3" s="1876">
        <v>1</v>
      </c>
      <c r="AO3" s="1876"/>
      <c r="AP3" s="1876"/>
      <c r="AQ3" s="1876"/>
      <c r="AR3" s="1876"/>
      <c r="AS3" s="1876"/>
      <c r="AT3" s="1876"/>
      <c r="AU3" s="1876"/>
      <c r="AV3" s="1876"/>
      <c r="AW3" s="1876"/>
      <c r="AX3" s="1877"/>
      <c r="AY3" s="1878"/>
      <c r="AZ3" s="1876"/>
      <c r="BA3" s="1876">
        <v>2</v>
      </c>
      <c r="BB3" s="1876"/>
      <c r="BC3" s="1876"/>
      <c r="BD3" s="1877"/>
      <c r="BE3" s="1878"/>
      <c r="BF3" s="1876">
        <v>1</v>
      </c>
      <c r="BG3" s="1876">
        <v>1</v>
      </c>
      <c r="BH3" s="1876"/>
      <c r="BI3" s="1876"/>
      <c r="BJ3" s="1876"/>
      <c r="BK3" s="1876"/>
      <c r="BL3" s="1876">
        <v>1</v>
      </c>
      <c r="BM3" s="1876"/>
      <c r="BN3" s="1877"/>
      <c r="BO3" s="1889"/>
      <c r="BP3" s="1530"/>
      <c r="BQ3" s="1530"/>
      <c r="BR3" s="1530"/>
      <c r="BS3" s="1530"/>
      <c r="BT3" s="1530"/>
      <c r="BU3" s="1530"/>
      <c r="BV3" s="1530"/>
      <c r="BW3" s="1530"/>
      <c r="BX3" s="1530"/>
      <c r="BY3" s="1530"/>
      <c r="BZ3" s="1530">
        <v>1</v>
      </c>
      <c r="CA3" s="1530">
        <v>1</v>
      </c>
      <c r="CB3" s="1530"/>
      <c r="CC3" s="1717"/>
      <c r="CD3" s="1719"/>
      <c r="CE3" s="1713"/>
      <c r="CF3" s="1317"/>
      <c r="CG3" s="1317"/>
      <c r="CH3" s="1317"/>
      <c r="CI3" s="1317">
        <v>1</v>
      </c>
      <c r="CJ3" s="1714">
        <v>9</v>
      </c>
      <c r="CK3" s="1713"/>
      <c r="CL3" s="1317"/>
      <c r="CM3" s="1317"/>
      <c r="CN3" s="1317"/>
      <c r="CO3" s="1317"/>
      <c r="CP3" s="1317"/>
      <c r="CQ3" s="1317"/>
      <c r="CR3" s="1317"/>
      <c r="CS3" s="1317"/>
      <c r="CT3" s="1714"/>
    </row>
    <row r="4" spans="1:103" hidden="1">
      <c r="A4" s="1309">
        <v>43132</v>
      </c>
      <c r="B4" s="1310">
        <f t="shared" ref="B4:B50" si="2">+AI4+BO4</f>
        <v>0</v>
      </c>
      <c r="C4" s="1310">
        <f t="shared" ref="C4:C50" si="3">+AJ4+BP4</f>
        <v>0</v>
      </c>
      <c r="D4" s="1310">
        <f t="shared" ref="D4:D50" si="4">+AK4+BQ4</f>
        <v>0</v>
      </c>
      <c r="E4" s="1310">
        <f t="shared" ref="E4:E50" si="5">+AL4+BR4</f>
        <v>2</v>
      </c>
      <c r="F4" s="1310">
        <f t="shared" ref="F4:F50" si="6">+AM4+BS4</f>
        <v>0</v>
      </c>
      <c r="G4" s="1310">
        <f t="shared" ref="G4:G50" si="7">+AN4+BT4</f>
        <v>1</v>
      </c>
      <c r="H4" s="1310">
        <f t="shared" ref="H4:H50" si="8">+AO4+BU4</f>
        <v>0</v>
      </c>
      <c r="I4" s="1310">
        <f t="shared" ref="I4:I50" si="9">+AP4+BV4</f>
        <v>0</v>
      </c>
      <c r="J4" s="1310">
        <f t="shared" ref="J4:J50" si="10">+AQ4+BW4</f>
        <v>0</v>
      </c>
      <c r="K4" s="3082">
        <f t="shared" ref="K4:K50" si="11">+AR4+BX4</f>
        <v>0</v>
      </c>
      <c r="L4" s="3082">
        <f t="shared" ref="L4:L50" si="12">+AS4+BY4</f>
        <v>1</v>
      </c>
      <c r="M4" s="3086">
        <f t="shared" ref="M4:M50" si="13">+AT4+BZ4</f>
        <v>0</v>
      </c>
      <c r="N4" s="1310">
        <f t="shared" ref="N4:N50" si="14">+AU4+CA4</f>
        <v>0</v>
      </c>
      <c r="O4" s="1310">
        <f t="shared" ref="O4:O50" si="15">+AV4+CB4</f>
        <v>0</v>
      </c>
      <c r="P4" s="1310"/>
      <c r="Q4" s="1040">
        <f t="shared" ref="Q4:Q38" si="16">+AW4+CC4</f>
        <v>1</v>
      </c>
      <c r="R4" s="1310"/>
      <c r="S4" s="1310">
        <f t="shared" ref="S4:S50" si="17">+AY4+CE4</f>
        <v>0</v>
      </c>
      <c r="T4" s="1310">
        <f t="shared" ref="T4:T50" si="18">+AZ4+CF4</f>
        <v>0</v>
      </c>
      <c r="U4" s="1310">
        <f t="shared" ref="U4:U50" si="19">+BA4+CG4</f>
        <v>0</v>
      </c>
      <c r="V4" s="1310">
        <f t="shared" ref="V4:V27" si="20">+BB4+CH4</f>
        <v>0</v>
      </c>
      <c r="W4" s="1310">
        <f t="shared" ref="W4:W27" si="21">+BC4+CI4</f>
        <v>2</v>
      </c>
      <c r="X4" s="1310">
        <f t="shared" ref="X4:X50" si="22">+BD4+CJ4</f>
        <v>7</v>
      </c>
      <c r="Y4" s="1310">
        <f t="shared" ref="Y4:Y50" si="23">+BE4+CK4</f>
        <v>0</v>
      </c>
      <c r="Z4" s="1310">
        <f t="shared" ref="Z4:Z50" si="24">+BF4+CL4</f>
        <v>0</v>
      </c>
      <c r="AA4" s="1310">
        <f t="shared" ref="AA4:AA50" si="25">+BG4+CM4</f>
        <v>1</v>
      </c>
      <c r="AB4" s="1310">
        <f t="shared" ref="AB4:AB50" si="26">+BH4+CN4</f>
        <v>0</v>
      </c>
      <c r="AC4" s="1310">
        <f t="shared" ref="AC4:AC50" si="27">+BI4+CO4</f>
        <v>0</v>
      </c>
      <c r="AD4" s="1310">
        <f t="shared" ref="AD4:AD50" si="28">+BJ4+CP4</f>
        <v>1</v>
      </c>
      <c r="AE4" s="1310">
        <f t="shared" ref="AE4:AE50" si="29">+BK4+CQ4</f>
        <v>0</v>
      </c>
      <c r="AF4" s="1310">
        <f t="shared" ref="AF4:AF50" si="30">+BL4+CR4</f>
        <v>1</v>
      </c>
      <c r="AG4" s="1310">
        <f t="shared" ref="AG4:AG50" si="31">+BM4+CS4</f>
        <v>0</v>
      </c>
      <c r="AH4" s="1701">
        <f t="shared" ref="AH4:AH50" si="32">+BN4+CT4</f>
        <v>0</v>
      </c>
      <c r="AI4" s="1712"/>
      <c r="AJ4" s="1869"/>
      <c r="AK4" s="1869"/>
      <c r="AL4" s="1869">
        <v>2</v>
      </c>
      <c r="AM4" s="1869"/>
      <c r="AN4" s="1869">
        <v>1</v>
      </c>
      <c r="AO4" s="1869"/>
      <c r="AP4" s="1869"/>
      <c r="AQ4" s="1869"/>
      <c r="AR4" s="1869"/>
      <c r="AS4" s="1869">
        <v>1</v>
      </c>
      <c r="AT4" s="1869"/>
      <c r="AU4" s="1869"/>
      <c r="AV4" s="1869"/>
      <c r="AW4" s="1869"/>
      <c r="AX4" s="1871"/>
      <c r="AY4" s="1873"/>
      <c r="AZ4" s="1869"/>
      <c r="BA4" s="1869"/>
      <c r="BB4" s="1869"/>
      <c r="BC4" s="1869"/>
      <c r="BD4" s="1871">
        <v>3</v>
      </c>
      <c r="BE4" s="1873"/>
      <c r="BF4" s="1869"/>
      <c r="BG4" s="1869">
        <v>1</v>
      </c>
      <c r="BH4" s="1869"/>
      <c r="BI4" s="1869"/>
      <c r="BJ4" s="1869">
        <v>1</v>
      </c>
      <c r="BK4" s="1869"/>
      <c r="BL4" s="1869">
        <v>1</v>
      </c>
      <c r="BM4" s="1869"/>
      <c r="BN4" s="1871"/>
      <c r="BO4" s="1868"/>
      <c r="BP4" s="1317"/>
      <c r="BQ4" s="1317"/>
      <c r="BR4" s="1317"/>
      <c r="BS4" s="1317"/>
      <c r="BT4" s="1317"/>
      <c r="BU4" s="1317"/>
      <c r="BV4" s="1317"/>
      <c r="BW4" s="1317"/>
      <c r="BX4" s="1317"/>
      <c r="BY4" s="1317"/>
      <c r="BZ4" s="1317"/>
      <c r="CA4" s="1317"/>
      <c r="CB4" s="1317"/>
      <c r="CC4" s="1714">
        <v>1</v>
      </c>
      <c r="CD4" s="1718"/>
      <c r="CE4" s="1713"/>
      <c r="CF4" s="1317"/>
      <c r="CG4" s="1317"/>
      <c r="CH4" s="1317"/>
      <c r="CI4" s="1317">
        <v>2</v>
      </c>
      <c r="CJ4" s="1714">
        <v>4</v>
      </c>
      <c r="CK4" s="1713"/>
      <c r="CL4" s="1317"/>
      <c r="CM4" s="1317"/>
      <c r="CN4" s="1317"/>
      <c r="CO4" s="1317"/>
      <c r="CP4" s="1317"/>
      <c r="CQ4" s="1317"/>
      <c r="CR4" s="1317"/>
      <c r="CS4" s="1317"/>
      <c r="CT4" s="1714"/>
    </row>
    <row r="5" spans="1:103" hidden="1">
      <c r="A5" s="1309">
        <v>43160</v>
      </c>
      <c r="B5" s="1310">
        <f t="shared" si="2"/>
        <v>0</v>
      </c>
      <c r="C5" s="1310">
        <f t="shared" si="3"/>
        <v>0</v>
      </c>
      <c r="D5" s="1310">
        <f t="shared" si="4"/>
        <v>0</v>
      </c>
      <c r="E5" s="1310">
        <f t="shared" si="5"/>
        <v>1</v>
      </c>
      <c r="F5" s="1310">
        <f t="shared" si="6"/>
        <v>0</v>
      </c>
      <c r="G5" s="1310">
        <f t="shared" si="7"/>
        <v>0</v>
      </c>
      <c r="H5" s="1310">
        <f t="shared" si="8"/>
        <v>0</v>
      </c>
      <c r="I5" s="1310">
        <f t="shared" si="9"/>
        <v>0</v>
      </c>
      <c r="J5" s="1310">
        <f t="shared" si="10"/>
        <v>0</v>
      </c>
      <c r="K5" s="3082">
        <f t="shared" si="11"/>
        <v>0</v>
      </c>
      <c r="L5" s="3082">
        <f t="shared" si="12"/>
        <v>0</v>
      </c>
      <c r="M5" s="3086">
        <f t="shared" si="13"/>
        <v>0</v>
      </c>
      <c r="N5" s="1310">
        <f t="shared" si="14"/>
        <v>0</v>
      </c>
      <c r="O5" s="1310">
        <f t="shared" si="15"/>
        <v>1</v>
      </c>
      <c r="P5" s="1310"/>
      <c r="Q5" s="1040">
        <f t="shared" si="16"/>
        <v>1</v>
      </c>
      <c r="R5" s="1310"/>
      <c r="S5" s="1310">
        <f t="shared" si="17"/>
        <v>0</v>
      </c>
      <c r="T5" s="1310">
        <f t="shared" si="18"/>
        <v>1</v>
      </c>
      <c r="U5" s="1310">
        <f t="shared" si="19"/>
        <v>0</v>
      </c>
      <c r="V5" s="1310">
        <f t="shared" si="20"/>
        <v>0</v>
      </c>
      <c r="W5" s="1310">
        <f t="shared" si="21"/>
        <v>1</v>
      </c>
      <c r="X5" s="1310">
        <f t="shared" si="22"/>
        <v>14</v>
      </c>
      <c r="Y5" s="1310">
        <f t="shared" si="23"/>
        <v>0</v>
      </c>
      <c r="Z5" s="1310">
        <f t="shared" si="24"/>
        <v>1</v>
      </c>
      <c r="AA5" s="1310">
        <f t="shared" si="25"/>
        <v>0</v>
      </c>
      <c r="AB5" s="1310">
        <f t="shared" si="26"/>
        <v>0</v>
      </c>
      <c r="AC5" s="1310">
        <f t="shared" si="27"/>
        <v>0</v>
      </c>
      <c r="AD5" s="1310">
        <f t="shared" si="28"/>
        <v>1</v>
      </c>
      <c r="AE5" s="1310">
        <f t="shared" si="29"/>
        <v>0</v>
      </c>
      <c r="AF5" s="1310">
        <f t="shared" si="30"/>
        <v>2</v>
      </c>
      <c r="AG5" s="1310">
        <f t="shared" si="31"/>
        <v>0</v>
      </c>
      <c r="AH5" s="1701">
        <f t="shared" si="32"/>
        <v>0</v>
      </c>
      <c r="AI5" s="1712"/>
      <c r="AJ5" s="1869"/>
      <c r="AK5" s="1869"/>
      <c r="AL5" s="1869">
        <v>1</v>
      </c>
      <c r="AM5" s="1869"/>
      <c r="AN5" s="1869"/>
      <c r="AO5" s="1869"/>
      <c r="AP5" s="1869"/>
      <c r="AQ5" s="1869"/>
      <c r="AR5" s="1869"/>
      <c r="AS5" s="1869"/>
      <c r="AT5" s="1869"/>
      <c r="AU5" s="1869"/>
      <c r="AV5" s="1869">
        <v>1</v>
      </c>
      <c r="AW5" s="1869"/>
      <c r="AX5" s="1871"/>
      <c r="AY5" s="1873"/>
      <c r="AZ5" s="1869">
        <v>1</v>
      </c>
      <c r="BA5" s="1869"/>
      <c r="BB5" s="1869"/>
      <c r="BC5" s="1869"/>
      <c r="BD5" s="1871">
        <v>2</v>
      </c>
      <c r="BE5" s="1873"/>
      <c r="BF5" s="1869">
        <v>1</v>
      </c>
      <c r="BG5" s="1869"/>
      <c r="BH5" s="1869"/>
      <c r="BI5" s="1869"/>
      <c r="BJ5" s="1869">
        <v>1</v>
      </c>
      <c r="BK5" s="1869"/>
      <c r="BL5" s="1869">
        <v>2</v>
      </c>
      <c r="BM5" s="1869"/>
      <c r="BN5" s="1871"/>
      <c r="BO5" s="1868"/>
      <c r="BP5" s="1317"/>
      <c r="BQ5" s="1317"/>
      <c r="BR5" s="1317"/>
      <c r="BS5" s="1317"/>
      <c r="BT5" s="1317"/>
      <c r="BU5" s="1317"/>
      <c r="BV5" s="1317"/>
      <c r="BW5" s="1317"/>
      <c r="BX5" s="1317"/>
      <c r="BY5" s="1317"/>
      <c r="BZ5" s="1317"/>
      <c r="CA5" s="1317"/>
      <c r="CB5" s="1317"/>
      <c r="CC5" s="1714">
        <v>1</v>
      </c>
      <c r="CD5" s="1718"/>
      <c r="CE5" s="1713"/>
      <c r="CF5" s="1317"/>
      <c r="CG5" s="1317"/>
      <c r="CH5" s="1317"/>
      <c r="CI5" s="1317">
        <v>1</v>
      </c>
      <c r="CJ5" s="1714">
        <v>12</v>
      </c>
      <c r="CK5" s="1713"/>
      <c r="CL5" s="1317"/>
      <c r="CM5" s="1317"/>
      <c r="CN5" s="1317"/>
      <c r="CO5" s="1317"/>
      <c r="CP5" s="1317"/>
      <c r="CQ5" s="1317"/>
      <c r="CR5" s="1317"/>
      <c r="CS5" s="1317"/>
      <c r="CT5" s="1714"/>
    </row>
    <row r="6" spans="1:103" hidden="1">
      <c r="A6" s="1309">
        <v>43191</v>
      </c>
      <c r="B6" s="1310">
        <f t="shared" si="2"/>
        <v>0</v>
      </c>
      <c r="C6" s="1310">
        <f t="shared" si="3"/>
        <v>0</v>
      </c>
      <c r="D6" s="1310">
        <f t="shared" si="4"/>
        <v>0</v>
      </c>
      <c r="E6" s="1310">
        <f t="shared" si="5"/>
        <v>0</v>
      </c>
      <c r="F6" s="1310">
        <f t="shared" si="6"/>
        <v>0</v>
      </c>
      <c r="G6" s="1310">
        <f t="shared" si="7"/>
        <v>0</v>
      </c>
      <c r="H6" s="1310">
        <f t="shared" si="8"/>
        <v>0</v>
      </c>
      <c r="I6" s="1310">
        <f t="shared" si="9"/>
        <v>1</v>
      </c>
      <c r="J6" s="1310">
        <f t="shared" si="10"/>
        <v>0</v>
      </c>
      <c r="K6" s="3082">
        <f t="shared" si="11"/>
        <v>0</v>
      </c>
      <c r="L6" s="3082">
        <f t="shared" si="12"/>
        <v>0</v>
      </c>
      <c r="M6" s="3086">
        <f t="shared" si="13"/>
        <v>0</v>
      </c>
      <c r="N6" s="1310">
        <f t="shared" si="14"/>
        <v>0</v>
      </c>
      <c r="O6" s="1310">
        <f t="shared" si="15"/>
        <v>0</v>
      </c>
      <c r="P6" s="1310"/>
      <c r="Q6" s="1040">
        <f t="shared" si="16"/>
        <v>0</v>
      </c>
      <c r="R6" s="1310"/>
      <c r="S6" s="1310">
        <f t="shared" si="17"/>
        <v>0</v>
      </c>
      <c r="T6" s="1310">
        <f t="shared" si="18"/>
        <v>0</v>
      </c>
      <c r="U6" s="1310">
        <f t="shared" si="19"/>
        <v>1</v>
      </c>
      <c r="V6" s="1310">
        <f t="shared" si="20"/>
        <v>0</v>
      </c>
      <c r="W6" s="1310">
        <f t="shared" si="21"/>
        <v>0</v>
      </c>
      <c r="X6" s="1310">
        <f t="shared" si="22"/>
        <v>16</v>
      </c>
      <c r="Y6" s="1310">
        <f t="shared" si="23"/>
        <v>0</v>
      </c>
      <c r="Z6" s="1310">
        <f t="shared" si="24"/>
        <v>0</v>
      </c>
      <c r="AA6" s="1310">
        <f t="shared" si="25"/>
        <v>1</v>
      </c>
      <c r="AB6" s="1310">
        <f t="shared" si="26"/>
        <v>1</v>
      </c>
      <c r="AC6" s="1310">
        <f t="shared" si="27"/>
        <v>0</v>
      </c>
      <c r="AD6" s="1310">
        <f t="shared" si="28"/>
        <v>0</v>
      </c>
      <c r="AE6" s="1310">
        <f t="shared" si="29"/>
        <v>0</v>
      </c>
      <c r="AF6" s="1310">
        <f t="shared" si="30"/>
        <v>0</v>
      </c>
      <c r="AG6" s="1310">
        <f t="shared" si="31"/>
        <v>0</v>
      </c>
      <c r="AH6" s="1701">
        <f t="shared" si="32"/>
        <v>0</v>
      </c>
      <c r="AI6" s="1712"/>
      <c r="AJ6" s="1869"/>
      <c r="AK6" s="1869"/>
      <c r="AL6" s="1869"/>
      <c r="AM6" s="1869"/>
      <c r="AN6" s="1869"/>
      <c r="AO6" s="1869"/>
      <c r="AP6" s="1869">
        <v>1</v>
      </c>
      <c r="AQ6" s="1869"/>
      <c r="AR6" s="1869"/>
      <c r="AS6" s="1869"/>
      <c r="AT6" s="1869"/>
      <c r="AU6" s="1869"/>
      <c r="AV6" s="1869"/>
      <c r="AW6" s="1869"/>
      <c r="AX6" s="1871"/>
      <c r="AY6" s="1873"/>
      <c r="AZ6" s="1869"/>
      <c r="BA6" s="1869">
        <v>1</v>
      </c>
      <c r="BB6" s="1869"/>
      <c r="BC6" s="1869"/>
      <c r="BD6" s="1871">
        <v>3</v>
      </c>
      <c r="BE6" s="1873"/>
      <c r="BF6" s="1869"/>
      <c r="BG6" s="1869">
        <v>1</v>
      </c>
      <c r="BH6" s="1869">
        <v>1</v>
      </c>
      <c r="BI6" s="1869"/>
      <c r="BJ6" s="1869"/>
      <c r="BK6" s="1869"/>
      <c r="BL6" s="1869"/>
      <c r="BM6" s="1869"/>
      <c r="BN6" s="1871"/>
      <c r="BO6" s="1868"/>
      <c r="BP6" s="1317"/>
      <c r="BQ6" s="1317"/>
      <c r="BR6" s="1317"/>
      <c r="BS6" s="1317"/>
      <c r="BT6" s="1317"/>
      <c r="BU6" s="1317"/>
      <c r="BV6" s="1317"/>
      <c r="BW6" s="1317"/>
      <c r="BX6" s="1317"/>
      <c r="BY6" s="1317"/>
      <c r="BZ6" s="1317"/>
      <c r="CA6" s="1317"/>
      <c r="CB6" s="1317"/>
      <c r="CC6" s="1714"/>
      <c r="CD6" s="1718"/>
      <c r="CE6" s="1713"/>
      <c r="CF6" s="1317"/>
      <c r="CG6" s="1317"/>
      <c r="CH6" s="1317"/>
      <c r="CI6" s="1317"/>
      <c r="CJ6" s="1714">
        <v>13</v>
      </c>
      <c r="CK6" s="1713"/>
      <c r="CL6" s="1317"/>
      <c r="CM6" s="1317"/>
      <c r="CN6" s="1317"/>
      <c r="CO6" s="1317"/>
      <c r="CP6" s="1317"/>
      <c r="CQ6" s="1317"/>
      <c r="CR6" s="1317"/>
      <c r="CS6" s="1317"/>
      <c r="CT6" s="1714"/>
    </row>
    <row r="7" spans="1:103" hidden="1">
      <c r="A7" s="1309">
        <v>43221</v>
      </c>
      <c r="B7" s="1310">
        <f t="shared" si="2"/>
        <v>0</v>
      </c>
      <c r="C7" s="1310">
        <f t="shared" si="3"/>
        <v>0</v>
      </c>
      <c r="D7" s="1310">
        <f t="shared" si="4"/>
        <v>0</v>
      </c>
      <c r="E7" s="1310">
        <f t="shared" si="5"/>
        <v>4</v>
      </c>
      <c r="F7" s="1310">
        <f t="shared" si="6"/>
        <v>0</v>
      </c>
      <c r="G7" s="1310">
        <f t="shared" si="7"/>
        <v>2</v>
      </c>
      <c r="H7" s="1310">
        <f t="shared" si="8"/>
        <v>0</v>
      </c>
      <c r="I7" s="1310">
        <f t="shared" si="9"/>
        <v>1</v>
      </c>
      <c r="J7" s="1310">
        <f t="shared" si="10"/>
        <v>1</v>
      </c>
      <c r="K7" s="3082">
        <f t="shared" si="11"/>
        <v>1</v>
      </c>
      <c r="L7" s="3082">
        <f t="shared" si="12"/>
        <v>1</v>
      </c>
      <c r="M7" s="3086">
        <f t="shared" si="13"/>
        <v>0</v>
      </c>
      <c r="N7" s="1310">
        <f t="shared" si="14"/>
        <v>0</v>
      </c>
      <c r="O7" s="1310">
        <f t="shared" si="15"/>
        <v>0</v>
      </c>
      <c r="P7" s="1310"/>
      <c r="Q7" s="1040">
        <f t="shared" si="16"/>
        <v>0</v>
      </c>
      <c r="R7" s="1310"/>
      <c r="S7" s="1310">
        <f t="shared" si="17"/>
        <v>0</v>
      </c>
      <c r="T7" s="1310">
        <f t="shared" si="18"/>
        <v>0</v>
      </c>
      <c r="U7" s="1310">
        <f t="shared" si="19"/>
        <v>0</v>
      </c>
      <c r="V7" s="1310">
        <f t="shared" si="20"/>
        <v>0</v>
      </c>
      <c r="W7" s="1310">
        <f t="shared" si="21"/>
        <v>1</v>
      </c>
      <c r="X7" s="1310">
        <f t="shared" si="22"/>
        <v>27</v>
      </c>
      <c r="Y7" s="1310">
        <f t="shared" si="23"/>
        <v>0</v>
      </c>
      <c r="Z7" s="1310">
        <f t="shared" si="24"/>
        <v>0</v>
      </c>
      <c r="AA7" s="1310">
        <f t="shared" si="25"/>
        <v>0</v>
      </c>
      <c r="AB7" s="1310">
        <f t="shared" si="26"/>
        <v>0</v>
      </c>
      <c r="AC7" s="1310">
        <f t="shared" si="27"/>
        <v>1</v>
      </c>
      <c r="AD7" s="1310">
        <f t="shared" si="28"/>
        <v>1</v>
      </c>
      <c r="AE7" s="1310">
        <f t="shared" si="29"/>
        <v>0</v>
      </c>
      <c r="AF7" s="1310">
        <f t="shared" si="30"/>
        <v>0</v>
      </c>
      <c r="AG7" s="1310">
        <f t="shared" si="31"/>
        <v>0</v>
      </c>
      <c r="AH7" s="1701">
        <f t="shared" si="32"/>
        <v>0</v>
      </c>
      <c r="AI7" s="1712"/>
      <c r="AJ7" s="1869"/>
      <c r="AK7" s="1869"/>
      <c r="AL7" s="1869">
        <v>4</v>
      </c>
      <c r="AM7" s="1869"/>
      <c r="AN7" s="1869">
        <v>2</v>
      </c>
      <c r="AO7" s="1869"/>
      <c r="AP7" s="1869">
        <v>1</v>
      </c>
      <c r="AQ7" s="1869">
        <v>1</v>
      </c>
      <c r="AR7" s="1869">
        <v>1</v>
      </c>
      <c r="AS7" s="1869">
        <v>1</v>
      </c>
      <c r="AT7" s="1869"/>
      <c r="AU7" s="1869"/>
      <c r="AV7" s="1869"/>
      <c r="AW7" s="1869"/>
      <c r="AX7" s="1871"/>
      <c r="AY7" s="1873"/>
      <c r="AZ7" s="1869"/>
      <c r="BA7" s="1869"/>
      <c r="BB7" s="1869"/>
      <c r="BC7" s="1869"/>
      <c r="BD7" s="1871">
        <v>7</v>
      </c>
      <c r="BE7" s="1873"/>
      <c r="BF7" s="1869"/>
      <c r="BG7" s="1869"/>
      <c r="BH7" s="1869"/>
      <c r="BI7" s="1869">
        <v>1</v>
      </c>
      <c r="BJ7" s="1869">
        <v>1</v>
      </c>
      <c r="BK7" s="1869"/>
      <c r="BL7" s="1869"/>
      <c r="BM7" s="1869"/>
      <c r="BN7" s="1871"/>
      <c r="BO7" s="1868"/>
      <c r="BP7" s="1317"/>
      <c r="BQ7" s="1317"/>
      <c r="BR7" s="1317"/>
      <c r="BS7" s="1317"/>
      <c r="BT7" s="1317"/>
      <c r="BU7" s="1317"/>
      <c r="BV7" s="1317"/>
      <c r="BW7" s="1317"/>
      <c r="BX7" s="1317"/>
      <c r="BY7" s="1317"/>
      <c r="BZ7" s="1317"/>
      <c r="CA7" s="1317"/>
      <c r="CB7" s="1317"/>
      <c r="CC7" s="1714"/>
      <c r="CD7" s="1718"/>
      <c r="CE7" s="1713"/>
      <c r="CF7" s="1317"/>
      <c r="CG7" s="1317"/>
      <c r="CH7" s="1317"/>
      <c r="CI7" s="1317">
        <v>1</v>
      </c>
      <c r="CJ7" s="1714">
        <v>20</v>
      </c>
      <c r="CK7" s="1713"/>
      <c r="CL7" s="1317"/>
      <c r="CM7" s="1317"/>
      <c r="CN7" s="1317"/>
      <c r="CO7" s="1317"/>
      <c r="CP7" s="1317"/>
      <c r="CQ7" s="1317"/>
      <c r="CR7" s="1317"/>
      <c r="CS7" s="1317"/>
      <c r="CT7" s="1714"/>
    </row>
    <row r="8" spans="1:103" hidden="1">
      <c r="A8" s="1309">
        <v>43252</v>
      </c>
      <c r="B8" s="1310">
        <f t="shared" si="2"/>
        <v>0</v>
      </c>
      <c r="C8" s="1310">
        <f t="shared" si="3"/>
        <v>0</v>
      </c>
      <c r="D8" s="1310">
        <f t="shared" si="4"/>
        <v>0</v>
      </c>
      <c r="E8" s="1310">
        <f t="shared" si="5"/>
        <v>2</v>
      </c>
      <c r="F8" s="1310">
        <f t="shared" si="6"/>
        <v>0</v>
      </c>
      <c r="G8" s="1310">
        <f t="shared" si="7"/>
        <v>1</v>
      </c>
      <c r="H8" s="1310">
        <f t="shared" si="8"/>
        <v>0</v>
      </c>
      <c r="I8" s="1310">
        <f t="shared" si="9"/>
        <v>0</v>
      </c>
      <c r="J8" s="1310">
        <f t="shared" si="10"/>
        <v>0</v>
      </c>
      <c r="K8" s="3082">
        <f t="shared" si="11"/>
        <v>0</v>
      </c>
      <c r="L8" s="3082">
        <f t="shared" si="12"/>
        <v>0</v>
      </c>
      <c r="M8" s="3086">
        <f t="shared" si="13"/>
        <v>0</v>
      </c>
      <c r="N8" s="1310">
        <f t="shared" si="14"/>
        <v>0</v>
      </c>
      <c r="O8" s="1310">
        <f t="shared" si="15"/>
        <v>0</v>
      </c>
      <c r="P8" s="1310"/>
      <c r="Q8" s="1040">
        <f t="shared" si="16"/>
        <v>0</v>
      </c>
      <c r="R8" s="1310"/>
      <c r="S8" s="1310">
        <f t="shared" si="17"/>
        <v>0</v>
      </c>
      <c r="T8" s="1310">
        <f t="shared" si="18"/>
        <v>0</v>
      </c>
      <c r="U8" s="1310">
        <f t="shared" si="19"/>
        <v>0</v>
      </c>
      <c r="V8" s="1310">
        <f t="shared" si="20"/>
        <v>0</v>
      </c>
      <c r="W8" s="1310">
        <f t="shared" si="21"/>
        <v>0</v>
      </c>
      <c r="X8" s="1310">
        <f t="shared" si="22"/>
        <v>18</v>
      </c>
      <c r="Y8" s="1310">
        <f t="shared" si="23"/>
        <v>0</v>
      </c>
      <c r="Z8" s="1310">
        <f t="shared" si="24"/>
        <v>0</v>
      </c>
      <c r="AA8" s="1310">
        <f t="shared" si="25"/>
        <v>0</v>
      </c>
      <c r="AB8" s="1310">
        <f t="shared" si="26"/>
        <v>0</v>
      </c>
      <c r="AC8" s="1310">
        <f t="shared" si="27"/>
        <v>1</v>
      </c>
      <c r="AD8" s="1310">
        <f t="shared" si="28"/>
        <v>2</v>
      </c>
      <c r="AE8" s="1310">
        <f t="shared" si="29"/>
        <v>1</v>
      </c>
      <c r="AF8" s="1310">
        <f t="shared" si="30"/>
        <v>0</v>
      </c>
      <c r="AG8" s="1310">
        <f t="shared" si="31"/>
        <v>0</v>
      </c>
      <c r="AH8" s="1701">
        <f t="shared" si="32"/>
        <v>0</v>
      </c>
      <c r="AI8" s="1712"/>
      <c r="AJ8" s="1869"/>
      <c r="AK8" s="1869"/>
      <c r="AL8" s="1869">
        <v>2</v>
      </c>
      <c r="AM8" s="1869"/>
      <c r="AN8" s="1869">
        <v>1</v>
      </c>
      <c r="AO8" s="1869"/>
      <c r="AP8" s="1869"/>
      <c r="AQ8" s="1869"/>
      <c r="AR8" s="1869"/>
      <c r="AS8" s="1869"/>
      <c r="AT8" s="1869"/>
      <c r="AU8" s="1869"/>
      <c r="AV8" s="1869"/>
      <c r="AW8" s="1869"/>
      <c r="AX8" s="1871"/>
      <c r="AY8" s="1873"/>
      <c r="AZ8" s="1869"/>
      <c r="BA8" s="1869"/>
      <c r="BB8" s="1869"/>
      <c r="BC8" s="1869"/>
      <c r="BD8" s="1871">
        <v>6</v>
      </c>
      <c r="BE8" s="1873"/>
      <c r="BF8" s="1869"/>
      <c r="BG8" s="1869"/>
      <c r="BH8" s="1869"/>
      <c r="BI8" s="1869">
        <v>1</v>
      </c>
      <c r="BJ8" s="1869">
        <v>2</v>
      </c>
      <c r="BK8" s="1869">
        <v>1</v>
      </c>
      <c r="BL8" s="1869"/>
      <c r="BM8" s="1869"/>
      <c r="BN8" s="1871"/>
      <c r="BO8" s="1868"/>
      <c r="BP8" s="1317"/>
      <c r="BQ8" s="1317"/>
      <c r="BR8" s="1317"/>
      <c r="BS8" s="1317"/>
      <c r="BT8" s="1317"/>
      <c r="BU8" s="1317"/>
      <c r="BV8" s="1317"/>
      <c r="BW8" s="1317"/>
      <c r="BX8" s="1317"/>
      <c r="BY8" s="1317"/>
      <c r="BZ8" s="1317"/>
      <c r="CA8" s="1317"/>
      <c r="CB8" s="1317"/>
      <c r="CC8" s="1714"/>
      <c r="CD8" s="1718"/>
      <c r="CE8" s="1713"/>
      <c r="CF8" s="1317"/>
      <c r="CG8" s="1317"/>
      <c r="CH8" s="1317"/>
      <c r="CI8" s="1317"/>
      <c r="CJ8" s="1714">
        <v>12</v>
      </c>
      <c r="CK8" s="1713"/>
      <c r="CL8" s="1317"/>
      <c r="CM8" s="1317"/>
      <c r="CN8" s="1317"/>
      <c r="CO8" s="1317"/>
      <c r="CP8" s="1317"/>
      <c r="CQ8" s="1317"/>
      <c r="CR8" s="1317"/>
      <c r="CS8" s="1317"/>
      <c r="CT8" s="1714"/>
    </row>
    <row r="9" spans="1:103" hidden="1">
      <c r="A9" s="1309">
        <v>43282</v>
      </c>
      <c r="B9" s="1310">
        <f t="shared" si="2"/>
        <v>0</v>
      </c>
      <c r="C9" s="1310">
        <f t="shared" si="3"/>
        <v>0</v>
      </c>
      <c r="D9" s="1310">
        <f t="shared" si="4"/>
        <v>0</v>
      </c>
      <c r="E9" s="1310">
        <f t="shared" si="5"/>
        <v>2</v>
      </c>
      <c r="F9" s="1310">
        <f t="shared" si="6"/>
        <v>0</v>
      </c>
      <c r="G9" s="1310">
        <f t="shared" si="7"/>
        <v>1</v>
      </c>
      <c r="H9" s="1310">
        <f t="shared" si="8"/>
        <v>0</v>
      </c>
      <c r="I9" s="1310">
        <f t="shared" si="9"/>
        <v>2</v>
      </c>
      <c r="J9" s="1310">
        <f t="shared" si="10"/>
        <v>0</v>
      </c>
      <c r="K9" s="3082">
        <f t="shared" si="11"/>
        <v>0</v>
      </c>
      <c r="L9" s="3082">
        <f t="shared" si="12"/>
        <v>0</v>
      </c>
      <c r="M9" s="3086">
        <f t="shared" si="13"/>
        <v>0</v>
      </c>
      <c r="N9" s="1310">
        <f t="shared" si="14"/>
        <v>0</v>
      </c>
      <c r="O9" s="1310">
        <f t="shared" si="15"/>
        <v>0</v>
      </c>
      <c r="P9" s="1310"/>
      <c r="Q9" s="1040">
        <f t="shared" si="16"/>
        <v>1</v>
      </c>
      <c r="R9" s="1310"/>
      <c r="S9" s="1310">
        <f t="shared" si="17"/>
        <v>0</v>
      </c>
      <c r="T9" s="1310">
        <f t="shared" si="18"/>
        <v>0</v>
      </c>
      <c r="U9" s="1310">
        <f t="shared" si="19"/>
        <v>0</v>
      </c>
      <c r="V9" s="1310">
        <f t="shared" si="20"/>
        <v>0</v>
      </c>
      <c r="W9" s="1310">
        <f t="shared" si="21"/>
        <v>1</v>
      </c>
      <c r="X9" s="1310">
        <f t="shared" si="22"/>
        <v>14</v>
      </c>
      <c r="Y9" s="1310">
        <f t="shared" si="23"/>
        <v>0</v>
      </c>
      <c r="Z9" s="1310">
        <f t="shared" si="24"/>
        <v>2</v>
      </c>
      <c r="AA9" s="1310">
        <f t="shared" si="25"/>
        <v>0</v>
      </c>
      <c r="AB9" s="1310">
        <f t="shared" si="26"/>
        <v>0</v>
      </c>
      <c r="AC9" s="1310">
        <f t="shared" si="27"/>
        <v>0</v>
      </c>
      <c r="AD9" s="1310">
        <f t="shared" si="28"/>
        <v>0</v>
      </c>
      <c r="AE9" s="1310">
        <f t="shared" si="29"/>
        <v>0</v>
      </c>
      <c r="AF9" s="1310">
        <f t="shared" si="30"/>
        <v>1</v>
      </c>
      <c r="AG9" s="1310">
        <f t="shared" si="31"/>
        <v>0</v>
      </c>
      <c r="AH9" s="1701">
        <f t="shared" si="32"/>
        <v>0</v>
      </c>
      <c r="AI9" s="1712"/>
      <c r="AJ9" s="1869"/>
      <c r="AK9" s="1869"/>
      <c r="AL9" s="1869">
        <v>2</v>
      </c>
      <c r="AM9" s="1869"/>
      <c r="AN9" s="1869">
        <v>1</v>
      </c>
      <c r="AO9" s="1869"/>
      <c r="AP9" s="1869">
        <v>2</v>
      </c>
      <c r="AQ9" s="1869"/>
      <c r="AR9" s="1869"/>
      <c r="AS9" s="1869"/>
      <c r="AT9" s="1869"/>
      <c r="AU9" s="1869"/>
      <c r="AV9" s="1869"/>
      <c r="AW9" s="1869"/>
      <c r="AX9" s="1871"/>
      <c r="AY9" s="1873"/>
      <c r="AZ9" s="1869"/>
      <c r="BA9" s="1869"/>
      <c r="BB9" s="1869"/>
      <c r="BC9" s="1869"/>
      <c r="BD9" s="1871">
        <v>6</v>
      </c>
      <c r="BE9" s="1873"/>
      <c r="BF9" s="1869">
        <v>2</v>
      </c>
      <c r="BG9" s="1869"/>
      <c r="BH9" s="1869"/>
      <c r="BI9" s="1869"/>
      <c r="BJ9" s="1869"/>
      <c r="BK9" s="1869"/>
      <c r="BL9" s="1869">
        <v>1</v>
      </c>
      <c r="BM9" s="1869"/>
      <c r="BN9" s="1871"/>
      <c r="BO9" s="1868"/>
      <c r="BP9" s="1317"/>
      <c r="BQ9" s="1317"/>
      <c r="BR9" s="1317"/>
      <c r="BS9" s="1317"/>
      <c r="BT9" s="1317"/>
      <c r="BU9" s="1317"/>
      <c r="BV9" s="1317"/>
      <c r="BW9" s="1317"/>
      <c r="BX9" s="1317"/>
      <c r="BY9" s="1317"/>
      <c r="BZ9" s="1317"/>
      <c r="CA9" s="1317"/>
      <c r="CB9" s="1317"/>
      <c r="CC9" s="1714">
        <v>1</v>
      </c>
      <c r="CD9" s="1718"/>
      <c r="CE9" s="1713"/>
      <c r="CF9" s="1317"/>
      <c r="CG9" s="1317"/>
      <c r="CH9" s="1317"/>
      <c r="CI9" s="1317">
        <v>1</v>
      </c>
      <c r="CJ9" s="1714">
        <v>8</v>
      </c>
      <c r="CK9" s="1713"/>
      <c r="CL9" s="1317"/>
      <c r="CM9" s="1317"/>
      <c r="CN9" s="1317"/>
      <c r="CO9" s="1317"/>
      <c r="CP9" s="1317"/>
      <c r="CQ9" s="1317"/>
      <c r="CR9" s="1317"/>
      <c r="CS9" s="1317"/>
      <c r="CT9" s="1714"/>
    </row>
    <row r="10" spans="1:103" hidden="1">
      <c r="A10" s="1309">
        <v>43313</v>
      </c>
      <c r="B10" s="1310">
        <f t="shared" si="2"/>
        <v>0</v>
      </c>
      <c r="C10" s="1310">
        <f t="shared" si="3"/>
        <v>1</v>
      </c>
      <c r="D10" s="1310">
        <f t="shared" si="4"/>
        <v>0</v>
      </c>
      <c r="E10" s="1310">
        <f t="shared" si="5"/>
        <v>0</v>
      </c>
      <c r="F10" s="1310">
        <f t="shared" si="6"/>
        <v>0</v>
      </c>
      <c r="G10" s="1310">
        <f t="shared" si="7"/>
        <v>1</v>
      </c>
      <c r="H10" s="1310">
        <f t="shared" si="8"/>
        <v>0</v>
      </c>
      <c r="I10" s="1310">
        <f t="shared" si="9"/>
        <v>0</v>
      </c>
      <c r="J10" s="1310">
        <f t="shared" si="10"/>
        <v>0</v>
      </c>
      <c r="K10" s="3082">
        <f t="shared" si="11"/>
        <v>2</v>
      </c>
      <c r="L10" s="3082">
        <f t="shared" si="12"/>
        <v>0</v>
      </c>
      <c r="M10" s="3086">
        <f t="shared" si="13"/>
        <v>0</v>
      </c>
      <c r="N10" s="1310">
        <f t="shared" si="14"/>
        <v>0</v>
      </c>
      <c r="O10" s="1310">
        <f t="shared" si="15"/>
        <v>0</v>
      </c>
      <c r="P10" s="1310"/>
      <c r="Q10" s="1040">
        <f t="shared" si="16"/>
        <v>0</v>
      </c>
      <c r="R10" s="1310"/>
      <c r="S10" s="1310">
        <f t="shared" si="17"/>
        <v>0</v>
      </c>
      <c r="T10" s="1310">
        <f t="shared" si="18"/>
        <v>0</v>
      </c>
      <c r="U10" s="1310">
        <f t="shared" si="19"/>
        <v>0</v>
      </c>
      <c r="V10" s="1310">
        <f t="shared" si="20"/>
        <v>0</v>
      </c>
      <c r="W10" s="1310">
        <f t="shared" si="21"/>
        <v>2</v>
      </c>
      <c r="X10" s="1310">
        <f t="shared" si="22"/>
        <v>12</v>
      </c>
      <c r="Y10" s="1310">
        <f t="shared" si="23"/>
        <v>0</v>
      </c>
      <c r="Z10" s="1310">
        <f t="shared" si="24"/>
        <v>0</v>
      </c>
      <c r="AA10" s="1310">
        <f t="shared" si="25"/>
        <v>0</v>
      </c>
      <c r="AB10" s="1310">
        <f t="shared" si="26"/>
        <v>0</v>
      </c>
      <c r="AC10" s="1310">
        <f t="shared" si="27"/>
        <v>1</v>
      </c>
      <c r="AD10" s="1310">
        <f t="shared" si="28"/>
        <v>2</v>
      </c>
      <c r="AE10" s="1310">
        <f t="shared" si="29"/>
        <v>0</v>
      </c>
      <c r="AF10" s="1310">
        <f t="shared" si="30"/>
        <v>1</v>
      </c>
      <c r="AG10" s="1310">
        <f t="shared" si="31"/>
        <v>0</v>
      </c>
      <c r="AH10" s="1701">
        <f t="shared" si="32"/>
        <v>0</v>
      </c>
      <c r="AI10" s="1712"/>
      <c r="AJ10" s="1869">
        <v>1</v>
      </c>
      <c r="AK10" s="1869"/>
      <c r="AL10" s="1869"/>
      <c r="AM10" s="1869"/>
      <c r="AN10" s="1869">
        <v>1</v>
      </c>
      <c r="AO10" s="1869"/>
      <c r="AP10" s="1869"/>
      <c r="AQ10" s="1869"/>
      <c r="AR10" s="1869"/>
      <c r="AS10" s="1869"/>
      <c r="AT10" s="1869"/>
      <c r="AU10" s="1869"/>
      <c r="AV10" s="1869"/>
      <c r="AW10" s="1869"/>
      <c r="AX10" s="1871"/>
      <c r="AY10" s="1873"/>
      <c r="AZ10" s="1869"/>
      <c r="BA10" s="1869"/>
      <c r="BB10" s="1869"/>
      <c r="BC10" s="1869">
        <v>1</v>
      </c>
      <c r="BD10" s="1871">
        <v>6</v>
      </c>
      <c r="BE10" s="1873"/>
      <c r="BF10" s="1869"/>
      <c r="BG10" s="1869"/>
      <c r="BH10" s="1869"/>
      <c r="BI10" s="1869">
        <v>1</v>
      </c>
      <c r="BJ10" s="1869">
        <v>2</v>
      </c>
      <c r="BK10" s="1869"/>
      <c r="BL10" s="1869">
        <v>1</v>
      </c>
      <c r="BM10" s="1869"/>
      <c r="BN10" s="1871"/>
      <c r="BO10" s="1868"/>
      <c r="BP10" s="1317"/>
      <c r="BQ10" s="1317"/>
      <c r="BR10" s="1317"/>
      <c r="BS10" s="1317"/>
      <c r="BT10" s="1317"/>
      <c r="BU10" s="1317"/>
      <c r="BV10" s="1317"/>
      <c r="BW10" s="1317"/>
      <c r="BX10" s="1317">
        <v>2</v>
      </c>
      <c r="BY10" s="1317"/>
      <c r="BZ10" s="1317"/>
      <c r="CA10" s="1317"/>
      <c r="CB10" s="1317"/>
      <c r="CC10" s="1714"/>
      <c r="CD10" s="1718"/>
      <c r="CE10" s="1713"/>
      <c r="CF10" s="1317"/>
      <c r="CG10" s="1317"/>
      <c r="CH10" s="1317"/>
      <c r="CI10" s="1317">
        <v>1</v>
      </c>
      <c r="CJ10" s="1714">
        <v>6</v>
      </c>
      <c r="CK10" s="1713"/>
      <c r="CL10" s="1317"/>
      <c r="CM10" s="1317"/>
      <c r="CN10" s="1317"/>
      <c r="CO10" s="1317"/>
      <c r="CP10" s="1317"/>
      <c r="CQ10" s="1317"/>
      <c r="CR10" s="1317"/>
      <c r="CS10" s="1317"/>
      <c r="CT10" s="1714"/>
    </row>
    <row r="11" spans="1:103" hidden="1">
      <c r="A11" s="1309">
        <v>43344</v>
      </c>
      <c r="B11" s="1310">
        <f t="shared" si="2"/>
        <v>1</v>
      </c>
      <c r="C11" s="1310">
        <f t="shared" si="3"/>
        <v>1</v>
      </c>
      <c r="D11" s="1310">
        <f t="shared" si="4"/>
        <v>0</v>
      </c>
      <c r="E11" s="1310">
        <f t="shared" si="5"/>
        <v>1</v>
      </c>
      <c r="F11" s="1310">
        <f t="shared" si="6"/>
        <v>0</v>
      </c>
      <c r="G11" s="1310">
        <f t="shared" si="7"/>
        <v>1</v>
      </c>
      <c r="H11" s="1310">
        <f t="shared" si="8"/>
        <v>0</v>
      </c>
      <c r="I11" s="1310">
        <f t="shared" si="9"/>
        <v>1</v>
      </c>
      <c r="J11" s="1310">
        <f t="shared" si="10"/>
        <v>0</v>
      </c>
      <c r="K11" s="3082">
        <f t="shared" si="11"/>
        <v>0</v>
      </c>
      <c r="L11" s="3082">
        <f t="shared" si="12"/>
        <v>0</v>
      </c>
      <c r="M11" s="3086">
        <f t="shared" si="13"/>
        <v>0</v>
      </c>
      <c r="N11" s="1310">
        <f t="shared" si="14"/>
        <v>0</v>
      </c>
      <c r="O11" s="1310">
        <f t="shared" si="15"/>
        <v>0</v>
      </c>
      <c r="P11" s="1310"/>
      <c r="Q11" s="1040">
        <f t="shared" si="16"/>
        <v>0</v>
      </c>
      <c r="R11" s="1310"/>
      <c r="S11" s="1310">
        <f t="shared" si="17"/>
        <v>0</v>
      </c>
      <c r="T11" s="1310">
        <f t="shared" si="18"/>
        <v>1</v>
      </c>
      <c r="U11" s="1310">
        <f t="shared" si="19"/>
        <v>0</v>
      </c>
      <c r="V11" s="1310">
        <f t="shared" si="20"/>
        <v>0</v>
      </c>
      <c r="W11" s="1310">
        <f t="shared" si="21"/>
        <v>0</v>
      </c>
      <c r="X11" s="1310">
        <f t="shared" si="22"/>
        <v>9</v>
      </c>
      <c r="Y11" s="1310">
        <f t="shared" si="23"/>
        <v>0</v>
      </c>
      <c r="Z11" s="1310">
        <f t="shared" si="24"/>
        <v>0</v>
      </c>
      <c r="AA11" s="1310">
        <f t="shared" si="25"/>
        <v>0</v>
      </c>
      <c r="AB11" s="1310">
        <f t="shared" si="26"/>
        <v>0</v>
      </c>
      <c r="AC11" s="1310">
        <f t="shared" si="27"/>
        <v>0</v>
      </c>
      <c r="AD11" s="1310">
        <f t="shared" si="28"/>
        <v>0</v>
      </c>
      <c r="AE11" s="1310">
        <f t="shared" si="29"/>
        <v>0</v>
      </c>
      <c r="AF11" s="1310">
        <f t="shared" si="30"/>
        <v>0</v>
      </c>
      <c r="AG11" s="1310">
        <f t="shared" si="31"/>
        <v>0</v>
      </c>
      <c r="AH11" s="1701">
        <f t="shared" si="32"/>
        <v>0</v>
      </c>
      <c r="AI11" s="1712">
        <v>1</v>
      </c>
      <c r="AJ11" s="1869">
        <v>1</v>
      </c>
      <c r="AK11" s="1869"/>
      <c r="AL11" s="1869">
        <v>1</v>
      </c>
      <c r="AM11" s="1869"/>
      <c r="AN11" s="1869">
        <v>1</v>
      </c>
      <c r="AO11" s="1869"/>
      <c r="AP11" s="1869">
        <v>1</v>
      </c>
      <c r="AQ11" s="1869"/>
      <c r="AR11" s="1869"/>
      <c r="AS11" s="1869"/>
      <c r="AT11" s="1869"/>
      <c r="AU11" s="1869"/>
      <c r="AV11" s="1869"/>
      <c r="AW11" s="1869"/>
      <c r="AX11" s="1871"/>
      <c r="AY11" s="1873"/>
      <c r="AZ11" s="1869">
        <v>1</v>
      </c>
      <c r="BA11" s="1869"/>
      <c r="BB11" s="1869"/>
      <c r="BC11" s="1869"/>
      <c r="BD11" s="1871">
        <v>5</v>
      </c>
      <c r="BE11" s="1873"/>
      <c r="BF11" s="1869"/>
      <c r="BG11" s="1869"/>
      <c r="BH11" s="1869"/>
      <c r="BI11" s="1869"/>
      <c r="BJ11" s="1869"/>
      <c r="BK11" s="1869"/>
      <c r="BL11" s="1869"/>
      <c r="BM11" s="1869"/>
      <c r="BN11" s="1871"/>
      <c r="BO11" s="1868"/>
      <c r="BP11" s="1317"/>
      <c r="BQ11" s="1317"/>
      <c r="BR11" s="1317"/>
      <c r="BS11" s="1317"/>
      <c r="BT11" s="1317"/>
      <c r="BU11" s="1317"/>
      <c r="BV11" s="1317"/>
      <c r="BW11" s="1317"/>
      <c r="BX11" s="1317"/>
      <c r="BY11" s="1317"/>
      <c r="BZ11" s="1317"/>
      <c r="CA11" s="1317"/>
      <c r="CB11" s="1317"/>
      <c r="CC11" s="1714"/>
      <c r="CD11" s="1718"/>
      <c r="CE11" s="1713"/>
      <c r="CF11" s="1317"/>
      <c r="CG11" s="1317"/>
      <c r="CH11" s="1317"/>
      <c r="CI11" s="1317"/>
      <c r="CJ11" s="1714">
        <v>4</v>
      </c>
      <c r="CK11" s="1713"/>
      <c r="CL11" s="1317"/>
      <c r="CM11" s="1317"/>
      <c r="CN11" s="1317"/>
      <c r="CO11" s="1317"/>
      <c r="CP11" s="1317"/>
      <c r="CQ11" s="1317"/>
      <c r="CR11" s="1317"/>
      <c r="CS11" s="1317"/>
      <c r="CT11" s="1714"/>
    </row>
    <row r="12" spans="1:103" hidden="1">
      <c r="A12" s="1309">
        <v>43374</v>
      </c>
      <c r="B12" s="1310">
        <f t="shared" si="2"/>
        <v>0</v>
      </c>
      <c r="C12" s="1310">
        <f t="shared" si="3"/>
        <v>0</v>
      </c>
      <c r="D12" s="1310">
        <f t="shared" si="4"/>
        <v>0</v>
      </c>
      <c r="E12" s="1310">
        <f t="shared" si="5"/>
        <v>1</v>
      </c>
      <c r="F12" s="1310">
        <f t="shared" si="6"/>
        <v>1</v>
      </c>
      <c r="G12" s="1310">
        <f t="shared" si="7"/>
        <v>0</v>
      </c>
      <c r="H12" s="1310">
        <f t="shared" si="8"/>
        <v>0</v>
      </c>
      <c r="I12" s="1310">
        <f t="shared" si="9"/>
        <v>0</v>
      </c>
      <c r="J12" s="1310">
        <f t="shared" si="10"/>
        <v>0</v>
      </c>
      <c r="K12" s="3082">
        <f t="shared" si="11"/>
        <v>1</v>
      </c>
      <c r="L12" s="3082">
        <f t="shared" si="12"/>
        <v>0</v>
      </c>
      <c r="M12" s="3086">
        <f t="shared" si="13"/>
        <v>0</v>
      </c>
      <c r="N12" s="1310">
        <f t="shared" si="14"/>
        <v>0</v>
      </c>
      <c r="O12" s="1310">
        <f t="shared" si="15"/>
        <v>0</v>
      </c>
      <c r="P12" s="1310"/>
      <c r="Q12" s="1040">
        <f t="shared" si="16"/>
        <v>0</v>
      </c>
      <c r="R12" s="1310"/>
      <c r="S12" s="1310">
        <f t="shared" si="17"/>
        <v>0</v>
      </c>
      <c r="T12" s="1310">
        <f t="shared" si="18"/>
        <v>0</v>
      </c>
      <c r="U12" s="1310">
        <f t="shared" si="19"/>
        <v>0</v>
      </c>
      <c r="V12" s="1310">
        <f t="shared" si="20"/>
        <v>0</v>
      </c>
      <c r="W12" s="1310">
        <f t="shared" si="21"/>
        <v>0</v>
      </c>
      <c r="X12" s="1310">
        <f t="shared" si="22"/>
        <v>3</v>
      </c>
      <c r="Y12" s="1310">
        <f t="shared" si="23"/>
        <v>0</v>
      </c>
      <c r="Z12" s="1310">
        <f t="shared" si="24"/>
        <v>0</v>
      </c>
      <c r="AA12" s="1310">
        <f t="shared" si="25"/>
        <v>0</v>
      </c>
      <c r="AB12" s="1310">
        <f t="shared" si="26"/>
        <v>0</v>
      </c>
      <c r="AC12" s="1310">
        <f t="shared" si="27"/>
        <v>0</v>
      </c>
      <c r="AD12" s="1310">
        <f t="shared" si="28"/>
        <v>1</v>
      </c>
      <c r="AE12" s="1310">
        <f t="shared" si="29"/>
        <v>1</v>
      </c>
      <c r="AF12" s="1310">
        <f t="shared" si="30"/>
        <v>0</v>
      </c>
      <c r="AG12" s="1310">
        <f t="shared" si="31"/>
        <v>0</v>
      </c>
      <c r="AH12" s="1701">
        <f t="shared" si="32"/>
        <v>0</v>
      </c>
      <c r="AI12" s="1712"/>
      <c r="AJ12" s="1869"/>
      <c r="AK12" s="1869"/>
      <c r="AL12" s="1869">
        <v>1</v>
      </c>
      <c r="AM12" s="1869">
        <v>1</v>
      </c>
      <c r="AN12" s="1869"/>
      <c r="AO12" s="1869"/>
      <c r="AP12" s="1869"/>
      <c r="AQ12" s="1869"/>
      <c r="AR12" s="1869">
        <v>1</v>
      </c>
      <c r="AS12" s="1869"/>
      <c r="AT12" s="1869"/>
      <c r="AU12" s="1869"/>
      <c r="AV12" s="1869"/>
      <c r="AW12" s="1869"/>
      <c r="AX12" s="1871"/>
      <c r="AY12" s="1873"/>
      <c r="AZ12" s="1869"/>
      <c r="BA12" s="1869"/>
      <c r="BB12" s="1869"/>
      <c r="BC12" s="1869"/>
      <c r="BD12" s="1871">
        <v>2</v>
      </c>
      <c r="BE12" s="1873"/>
      <c r="BF12" s="1869"/>
      <c r="BG12" s="1869"/>
      <c r="BH12" s="1869"/>
      <c r="BI12" s="1869"/>
      <c r="BJ12" s="1869">
        <v>1</v>
      </c>
      <c r="BK12" s="1869">
        <v>1</v>
      </c>
      <c r="BL12" s="1869"/>
      <c r="BM12" s="1869"/>
      <c r="BN12" s="1871"/>
      <c r="BO12" s="1868"/>
      <c r="BP12" s="1317"/>
      <c r="BQ12" s="1317"/>
      <c r="BR12" s="1317"/>
      <c r="BS12" s="1317"/>
      <c r="BT12" s="1317"/>
      <c r="BU12" s="1317"/>
      <c r="BV12" s="1317"/>
      <c r="BW12" s="1317"/>
      <c r="BX12" s="1317"/>
      <c r="BY12" s="1317"/>
      <c r="BZ12" s="1317"/>
      <c r="CA12" s="1317"/>
      <c r="CB12" s="1317"/>
      <c r="CC12" s="1714"/>
      <c r="CD12" s="1718"/>
      <c r="CE12" s="1713"/>
      <c r="CF12" s="1317"/>
      <c r="CG12" s="1317"/>
      <c r="CH12" s="1317"/>
      <c r="CI12" s="1317"/>
      <c r="CJ12" s="1714">
        <v>1</v>
      </c>
      <c r="CK12" s="1713"/>
      <c r="CL12" s="1317"/>
      <c r="CM12" s="1317"/>
      <c r="CN12" s="1317"/>
      <c r="CO12" s="1317"/>
      <c r="CP12" s="1317"/>
      <c r="CQ12" s="1317"/>
      <c r="CR12" s="1317"/>
      <c r="CS12" s="1317"/>
      <c r="CT12" s="1714"/>
    </row>
    <row r="13" spans="1:103" hidden="1">
      <c r="A13" s="1309">
        <v>43405</v>
      </c>
      <c r="B13" s="1310">
        <f t="shared" si="2"/>
        <v>0</v>
      </c>
      <c r="C13" s="1310">
        <f t="shared" si="3"/>
        <v>0</v>
      </c>
      <c r="D13" s="1310">
        <f t="shared" si="4"/>
        <v>2</v>
      </c>
      <c r="E13" s="1310">
        <f t="shared" si="5"/>
        <v>3</v>
      </c>
      <c r="F13" s="1310">
        <f t="shared" si="6"/>
        <v>0</v>
      </c>
      <c r="G13" s="1310">
        <f t="shared" si="7"/>
        <v>2</v>
      </c>
      <c r="H13" s="1310">
        <f t="shared" si="8"/>
        <v>0</v>
      </c>
      <c r="I13" s="1310">
        <f t="shared" si="9"/>
        <v>0</v>
      </c>
      <c r="J13" s="1310">
        <f t="shared" si="10"/>
        <v>0</v>
      </c>
      <c r="K13" s="3082">
        <f t="shared" si="11"/>
        <v>1</v>
      </c>
      <c r="L13" s="3082">
        <f t="shared" si="12"/>
        <v>0</v>
      </c>
      <c r="M13" s="3086">
        <f t="shared" si="13"/>
        <v>0</v>
      </c>
      <c r="N13" s="1310">
        <f t="shared" si="14"/>
        <v>0</v>
      </c>
      <c r="O13" s="1310">
        <f t="shared" si="15"/>
        <v>0</v>
      </c>
      <c r="P13" s="1310"/>
      <c r="Q13" s="1040">
        <f t="shared" si="16"/>
        <v>0</v>
      </c>
      <c r="R13" s="1310"/>
      <c r="S13" s="1310">
        <f t="shared" si="17"/>
        <v>0</v>
      </c>
      <c r="T13" s="1310">
        <f t="shared" si="18"/>
        <v>0</v>
      </c>
      <c r="U13" s="1310">
        <f t="shared" si="19"/>
        <v>0</v>
      </c>
      <c r="V13" s="1310">
        <f t="shared" si="20"/>
        <v>1</v>
      </c>
      <c r="W13" s="1310">
        <f t="shared" si="21"/>
        <v>2</v>
      </c>
      <c r="X13" s="1310">
        <f t="shared" si="22"/>
        <v>9</v>
      </c>
      <c r="Y13" s="1310">
        <f t="shared" si="23"/>
        <v>1</v>
      </c>
      <c r="Z13" s="1310">
        <f t="shared" si="24"/>
        <v>0</v>
      </c>
      <c r="AA13" s="1310">
        <f t="shared" si="25"/>
        <v>0</v>
      </c>
      <c r="AB13" s="1310">
        <f t="shared" si="26"/>
        <v>0</v>
      </c>
      <c r="AC13" s="1310">
        <f t="shared" si="27"/>
        <v>0</v>
      </c>
      <c r="AD13" s="1310">
        <f t="shared" si="28"/>
        <v>1</v>
      </c>
      <c r="AE13" s="1310">
        <f t="shared" si="29"/>
        <v>0</v>
      </c>
      <c r="AF13" s="1310">
        <f t="shared" si="30"/>
        <v>2</v>
      </c>
      <c r="AG13" s="1310">
        <f t="shared" si="31"/>
        <v>0</v>
      </c>
      <c r="AH13" s="1701">
        <f t="shared" si="32"/>
        <v>0</v>
      </c>
      <c r="AI13" s="1712"/>
      <c r="AJ13" s="1869"/>
      <c r="AK13" s="1869">
        <v>2</v>
      </c>
      <c r="AL13" s="1869">
        <v>1</v>
      </c>
      <c r="AM13" s="1869"/>
      <c r="AN13" s="1869">
        <v>2</v>
      </c>
      <c r="AO13" s="1869"/>
      <c r="AP13" s="1869"/>
      <c r="AQ13" s="1869"/>
      <c r="AR13" s="1869"/>
      <c r="AS13" s="1869"/>
      <c r="AT13" s="1869"/>
      <c r="AU13" s="1869"/>
      <c r="AV13" s="1869"/>
      <c r="AW13" s="1869"/>
      <c r="AX13" s="1871"/>
      <c r="AY13" s="1873"/>
      <c r="AZ13" s="1869"/>
      <c r="BA13" s="1869"/>
      <c r="BB13" s="1869">
        <v>1</v>
      </c>
      <c r="BC13" s="1869"/>
      <c r="BD13" s="1871">
        <v>2</v>
      </c>
      <c r="BE13" s="1873">
        <v>1</v>
      </c>
      <c r="BF13" s="1869"/>
      <c r="BG13" s="1869"/>
      <c r="BH13" s="1869"/>
      <c r="BI13" s="1869"/>
      <c r="BJ13" s="1869">
        <v>1</v>
      </c>
      <c r="BK13" s="1869"/>
      <c r="BL13" s="1869">
        <v>2</v>
      </c>
      <c r="BM13" s="1869"/>
      <c r="BN13" s="1871"/>
      <c r="BO13" s="1868"/>
      <c r="BP13" s="1317"/>
      <c r="BQ13" s="1317"/>
      <c r="BR13" s="1317">
        <v>2</v>
      </c>
      <c r="BS13" s="1317"/>
      <c r="BT13" s="1317"/>
      <c r="BU13" s="1317"/>
      <c r="BV13" s="1317"/>
      <c r="BW13" s="1317"/>
      <c r="BX13" s="1317">
        <v>1</v>
      </c>
      <c r="BY13" s="1317"/>
      <c r="BZ13" s="1317"/>
      <c r="CA13" s="1317"/>
      <c r="CB13" s="1317"/>
      <c r="CC13" s="1714"/>
      <c r="CD13" s="1718"/>
      <c r="CE13" s="1713"/>
      <c r="CF13" s="1317"/>
      <c r="CG13" s="1317"/>
      <c r="CH13" s="1317"/>
      <c r="CI13" s="1317">
        <v>2</v>
      </c>
      <c r="CJ13" s="1714">
        <v>7</v>
      </c>
      <c r="CK13" s="1713"/>
      <c r="CL13" s="1317"/>
      <c r="CM13" s="1317"/>
      <c r="CN13" s="1317"/>
      <c r="CO13" s="1317"/>
      <c r="CP13" s="1317"/>
      <c r="CQ13" s="1317"/>
      <c r="CR13" s="1317"/>
      <c r="CS13" s="1317"/>
      <c r="CT13" s="1714"/>
    </row>
    <row r="14" spans="1:103" hidden="1">
      <c r="A14" s="1309">
        <v>43435</v>
      </c>
      <c r="B14" s="1310">
        <f t="shared" si="2"/>
        <v>0</v>
      </c>
      <c r="C14" s="1310">
        <f t="shared" si="3"/>
        <v>0</v>
      </c>
      <c r="D14" s="1310">
        <f t="shared" si="4"/>
        <v>0</v>
      </c>
      <c r="E14" s="1310">
        <f t="shared" si="5"/>
        <v>0</v>
      </c>
      <c r="F14" s="1310">
        <f t="shared" si="6"/>
        <v>0</v>
      </c>
      <c r="G14" s="1310">
        <f t="shared" si="7"/>
        <v>1</v>
      </c>
      <c r="H14" s="1310">
        <f t="shared" si="8"/>
        <v>0</v>
      </c>
      <c r="I14" s="1310">
        <f t="shared" si="9"/>
        <v>0</v>
      </c>
      <c r="J14" s="1310">
        <f t="shared" si="10"/>
        <v>0</v>
      </c>
      <c r="K14" s="3082">
        <f t="shared" si="11"/>
        <v>0</v>
      </c>
      <c r="L14" s="3082">
        <f t="shared" si="12"/>
        <v>0</v>
      </c>
      <c r="M14" s="3086">
        <f t="shared" si="13"/>
        <v>0</v>
      </c>
      <c r="N14" s="1310">
        <f t="shared" si="14"/>
        <v>0</v>
      </c>
      <c r="O14" s="1310">
        <f t="shared" si="15"/>
        <v>0</v>
      </c>
      <c r="P14" s="1310"/>
      <c r="Q14" s="1040">
        <f t="shared" si="16"/>
        <v>0</v>
      </c>
      <c r="R14" s="1310"/>
      <c r="S14" s="1310">
        <f t="shared" si="17"/>
        <v>0</v>
      </c>
      <c r="T14" s="1310">
        <f t="shared" si="18"/>
        <v>1</v>
      </c>
      <c r="U14" s="1310">
        <f t="shared" si="19"/>
        <v>0</v>
      </c>
      <c r="V14" s="1310">
        <f t="shared" si="20"/>
        <v>0</v>
      </c>
      <c r="W14" s="1310">
        <f t="shared" si="21"/>
        <v>0</v>
      </c>
      <c r="X14" s="1310">
        <f t="shared" si="22"/>
        <v>7</v>
      </c>
      <c r="Y14" s="1310">
        <f t="shared" si="23"/>
        <v>0</v>
      </c>
      <c r="Z14" s="1310">
        <f t="shared" si="24"/>
        <v>0</v>
      </c>
      <c r="AA14" s="1310">
        <f t="shared" si="25"/>
        <v>1</v>
      </c>
      <c r="AB14" s="1310">
        <f t="shared" si="26"/>
        <v>0</v>
      </c>
      <c r="AC14" s="1310">
        <f t="shared" si="27"/>
        <v>0</v>
      </c>
      <c r="AD14" s="1310">
        <f t="shared" si="28"/>
        <v>0</v>
      </c>
      <c r="AE14" s="1310">
        <f t="shared" si="29"/>
        <v>0</v>
      </c>
      <c r="AF14" s="1310">
        <f t="shared" si="30"/>
        <v>0</v>
      </c>
      <c r="AG14" s="1310">
        <f t="shared" si="31"/>
        <v>0</v>
      </c>
      <c r="AH14" s="1701">
        <f t="shared" si="32"/>
        <v>0</v>
      </c>
      <c r="AI14" s="1712"/>
      <c r="AJ14" s="1869"/>
      <c r="AK14" s="1869"/>
      <c r="AL14" s="1869"/>
      <c r="AM14" s="1869"/>
      <c r="AN14" s="1869">
        <v>1</v>
      </c>
      <c r="AO14" s="1869"/>
      <c r="AP14" s="1869"/>
      <c r="AQ14" s="1869"/>
      <c r="AR14" s="1869"/>
      <c r="AS14" s="1869"/>
      <c r="AT14" s="1869"/>
      <c r="AU14" s="1869"/>
      <c r="AV14" s="1869"/>
      <c r="AW14" s="1869"/>
      <c r="AX14" s="1871"/>
      <c r="AY14" s="1873"/>
      <c r="AZ14" s="1869">
        <v>1</v>
      </c>
      <c r="BA14" s="1869"/>
      <c r="BB14" s="1869"/>
      <c r="BC14" s="1869"/>
      <c r="BD14" s="1871">
        <v>1</v>
      </c>
      <c r="BE14" s="1873"/>
      <c r="BF14" s="1869"/>
      <c r="BG14" s="1869">
        <v>1</v>
      </c>
      <c r="BH14" s="1869"/>
      <c r="BI14" s="1869"/>
      <c r="BJ14" s="1869"/>
      <c r="BK14" s="1869"/>
      <c r="BL14" s="1869"/>
      <c r="BM14" s="1869"/>
      <c r="BN14" s="1871"/>
      <c r="BO14" s="1868"/>
      <c r="BP14" s="1317"/>
      <c r="BQ14" s="1317"/>
      <c r="BR14" s="1317"/>
      <c r="BS14" s="1317"/>
      <c r="BT14" s="1317"/>
      <c r="BU14" s="1317"/>
      <c r="BV14" s="1317"/>
      <c r="BW14" s="1317"/>
      <c r="BX14" s="1317"/>
      <c r="BY14" s="1317"/>
      <c r="BZ14" s="1317"/>
      <c r="CA14" s="1317"/>
      <c r="CB14" s="1317"/>
      <c r="CC14" s="1714"/>
      <c r="CD14" s="1718"/>
      <c r="CE14" s="1713"/>
      <c r="CF14" s="1317"/>
      <c r="CG14" s="1317"/>
      <c r="CH14" s="1317"/>
      <c r="CI14" s="1317"/>
      <c r="CJ14" s="1714">
        <v>6</v>
      </c>
      <c r="CK14" s="1713"/>
      <c r="CL14" s="1317"/>
      <c r="CM14" s="1317"/>
      <c r="CN14" s="1317"/>
      <c r="CO14" s="1317"/>
      <c r="CP14" s="1317"/>
      <c r="CQ14" s="1317"/>
      <c r="CR14" s="1317"/>
      <c r="CS14" s="1317"/>
      <c r="CT14" s="1714"/>
    </row>
    <row r="15" spans="1:103" hidden="1">
      <c r="A15" s="1309">
        <v>43466</v>
      </c>
      <c r="B15" s="1310">
        <v>0</v>
      </c>
      <c r="C15" s="1310">
        <v>0</v>
      </c>
      <c r="D15" s="1310">
        <v>0</v>
      </c>
      <c r="E15" s="1310">
        <v>1</v>
      </c>
      <c r="F15" s="1310">
        <v>1</v>
      </c>
      <c r="G15" s="1310">
        <v>0</v>
      </c>
      <c r="H15" s="1310">
        <v>0</v>
      </c>
      <c r="I15" s="1310">
        <v>0</v>
      </c>
      <c r="J15" s="1310">
        <v>0</v>
      </c>
      <c r="K15" s="3082">
        <v>0</v>
      </c>
      <c r="L15" s="3082">
        <v>0</v>
      </c>
      <c r="M15" s="3086">
        <v>1</v>
      </c>
      <c r="N15" s="1310">
        <v>0</v>
      </c>
      <c r="O15" s="1310">
        <v>0</v>
      </c>
      <c r="P15" s="1310"/>
      <c r="Q15" s="1040">
        <v>1</v>
      </c>
      <c r="R15" s="1310"/>
      <c r="S15" s="1310">
        <v>0</v>
      </c>
      <c r="T15" s="1310">
        <v>0</v>
      </c>
      <c r="U15" s="1310">
        <v>0</v>
      </c>
      <c r="V15" s="1310">
        <v>0</v>
      </c>
      <c r="W15" s="1310">
        <v>3</v>
      </c>
      <c r="X15" s="1310">
        <v>10</v>
      </c>
      <c r="Y15" s="1310">
        <v>0</v>
      </c>
      <c r="Z15" s="1310">
        <v>0</v>
      </c>
      <c r="AA15" s="1310">
        <v>1</v>
      </c>
      <c r="AB15" s="1310">
        <v>0</v>
      </c>
      <c r="AC15" s="1310">
        <v>0</v>
      </c>
      <c r="AD15" s="1310">
        <v>0</v>
      </c>
      <c r="AE15" s="1310">
        <v>0</v>
      </c>
      <c r="AF15" s="1310">
        <v>2</v>
      </c>
      <c r="AG15" s="1310">
        <v>0</v>
      </c>
      <c r="AH15" s="1701">
        <v>0</v>
      </c>
      <c r="AI15" s="1712"/>
      <c r="AJ15" s="1869"/>
      <c r="AK15" s="1869"/>
      <c r="AL15" s="1869">
        <v>1</v>
      </c>
      <c r="AM15" s="1869">
        <v>1</v>
      </c>
      <c r="AN15" s="1869"/>
      <c r="AO15" s="1869"/>
      <c r="AP15" s="1869"/>
      <c r="AQ15" s="1869"/>
      <c r="AR15" s="1869"/>
      <c r="AS15" s="1869"/>
      <c r="AT15" s="1869">
        <v>1</v>
      </c>
      <c r="AU15" s="1869"/>
      <c r="AV15" s="1869"/>
      <c r="AW15" s="1869">
        <v>1</v>
      </c>
      <c r="AX15" s="1871"/>
      <c r="AY15" s="1873"/>
      <c r="AZ15" s="1869"/>
      <c r="BA15" s="1869"/>
      <c r="BB15" s="1869"/>
      <c r="BC15" s="1869">
        <v>1</v>
      </c>
      <c r="BD15" s="1871">
        <v>2</v>
      </c>
      <c r="BE15" s="1873"/>
      <c r="BF15" s="1869"/>
      <c r="BG15" s="1869">
        <v>1</v>
      </c>
      <c r="BH15" s="1869"/>
      <c r="BI15" s="1869"/>
      <c r="BJ15" s="1869"/>
      <c r="BK15" s="1869"/>
      <c r="BL15" s="1869">
        <v>1</v>
      </c>
      <c r="BM15" s="1869"/>
      <c r="BN15" s="1871"/>
      <c r="BO15" s="1868"/>
      <c r="BP15" s="1317"/>
      <c r="BQ15" s="1317"/>
      <c r="BR15" s="1317"/>
      <c r="BS15" s="1317"/>
      <c r="BT15" s="1317"/>
      <c r="BU15" s="1317"/>
      <c r="BV15" s="1317"/>
      <c r="BW15" s="1317"/>
      <c r="BX15" s="1317"/>
      <c r="BY15" s="1317"/>
      <c r="BZ15" s="1317"/>
      <c r="CA15" s="1317"/>
      <c r="CB15" s="1317"/>
      <c r="CC15" s="1714"/>
      <c r="CD15" s="1718"/>
      <c r="CE15" s="1713"/>
      <c r="CF15" s="1317"/>
      <c r="CG15" s="1317"/>
      <c r="CH15" s="1317"/>
      <c r="CI15" s="1317">
        <v>2</v>
      </c>
      <c r="CJ15" s="1714">
        <v>8</v>
      </c>
      <c r="CK15" s="1713"/>
      <c r="CL15" s="1317"/>
      <c r="CM15" s="1317"/>
      <c r="CN15" s="1317"/>
      <c r="CO15" s="1317"/>
      <c r="CP15" s="1317"/>
      <c r="CQ15" s="1317"/>
      <c r="CR15" s="1317">
        <v>1</v>
      </c>
      <c r="CS15" s="1317"/>
      <c r="CT15" s="1714"/>
      <c r="CU15" s="262">
        <f>SUM(AI15:BC15)+SUM(BO15:CI15)</f>
        <v>7</v>
      </c>
      <c r="CV15" s="262">
        <f>SUM(BE15:BN15)+SUM(CK15:CT15)</f>
        <v>3</v>
      </c>
      <c r="CW15" s="8">
        <f>SUM(BO15:CI15)</f>
        <v>2</v>
      </c>
      <c r="CX15" s="358">
        <f>+CU15+BD15+CJ15</f>
        <v>17</v>
      </c>
    </row>
    <row r="16" spans="1:103" hidden="1">
      <c r="A16" s="1309">
        <v>43497</v>
      </c>
      <c r="B16" s="1310">
        <v>0</v>
      </c>
      <c r="C16" s="1310">
        <v>4</v>
      </c>
      <c r="D16" s="1310">
        <v>0</v>
      </c>
      <c r="E16" s="1310">
        <v>1</v>
      </c>
      <c r="F16" s="1310">
        <v>0</v>
      </c>
      <c r="G16" s="1310">
        <v>1</v>
      </c>
      <c r="H16" s="1310">
        <v>0</v>
      </c>
      <c r="I16" s="1310">
        <v>0</v>
      </c>
      <c r="J16" s="1310">
        <v>0</v>
      </c>
      <c r="K16" s="3082">
        <v>0</v>
      </c>
      <c r="L16" s="3082">
        <v>0</v>
      </c>
      <c r="M16" s="3086">
        <v>1</v>
      </c>
      <c r="N16" s="1310">
        <v>0</v>
      </c>
      <c r="O16" s="1310">
        <v>0</v>
      </c>
      <c r="P16" s="1310"/>
      <c r="Q16" s="1040">
        <v>0</v>
      </c>
      <c r="R16" s="1310"/>
      <c r="S16" s="1310">
        <v>0</v>
      </c>
      <c r="T16" s="1310">
        <v>0</v>
      </c>
      <c r="U16" s="1310">
        <v>1</v>
      </c>
      <c r="V16" s="1310">
        <v>0</v>
      </c>
      <c r="W16" s="1310">
        <v>0</v>
      </c>
      <c r="X16" s="1310">
        <v>9</v>
      </c>
      <c r="Y16" s="1310">
        <v>0</v>
      </c>
      <c r="Z16" s="1310">
        <v>0</v>
      </c>
      <c r="AA16" s="1310">
        <v>0</v>
      </c>
      <c r="AB16" s="1310">
        <v>0</v>
      </c>
      <c r="AC16" s="1310">
        <v>1</v>
      </c>
      <c r="AD16" s="1310">
        <v>0</v>
      </c>
      <c r="AE16" s="1310">
        <v>0</v>
      </c>
      <c r="AF16" s="1310">
        <v>1</v>
      </c>
      <c r="AG16" s="1310">
        <v>0</v>
      </c>
      <c r="AH16" s="1701">
        <v>0</v>
      </c>
      <c r="AI16" s="1712"/>
      <c r="AJ16" s="1869">
        <v>3</v>
      </c>
      <c r="AK16" s="1869"/>
      <c r="AL16" s="1869">
        <v>1</v>
      </c>
      <c r="AM16" s="1869"/>
      <c r="AN16" s="1869">
        <v>1</v>
      </c>
      <c r="AO16" s="1869"/>
      <c r="AP16" s="1869"/>
      <c r="AQ16" s="1869"/>
      <c r="AR16" s="1869"/>
      <c r="AS16" s="1869"/>
      <c r="AT16" s="1869"/>
      <c r="AU16" s="1869"/>
      <c r="AV16" s="1869"/>
      <c r="AW16" s="1869"/>
      <c r="AX16" s="1871"/>
      <c r="AY16" s="1873"/>
      <c r="AZ16" s="1869"/>
      <c r="BA16" s="1869"/>
      <c r="BB16" s="1869"/>
      <c r="BC16" s="1869"/>
      <c r="BD16" s="1871">
        <v>2</v>
      </c>
      <c r="BE16" s="1873"/>
      <c r="BF16" s="1869"/>
      <c r="BG16" s="1869"/>
      <c r="BH16" s="1869"/>
      <c r="BI16" s="1869">
        <v>1</v>
      </c>
      <c r="BJ16" s="1869"/>
      <c r="BK16" s="1869"/>
      <c r="BL16" s="1869"/>
      <c r="BM16" s="1869"/>
      <c r="BN16" s="1871"/>
      <c r="BO16" s="1868"/>
      <c r="BP16" s="1317">
        <v>1</v>
      </c>
      <c r="BQ16" s="1317"/>
      <c r="BR16" s="1317"/>
      <c r="BS16" s="1317"/>
      <c r="BT16" s="1317"/>
      <c r="BU16" s="1317"/>
      <c r="BV16" s="1317"/>
      <c r="BW16" s="1317"/>
      <c r="BX16" s="1317"/>
      <c r="BY16" s="1317"/>
      <c r="BZ16" s="1317">
        <v>1</v>
      </c>
      <c r="CA16" s="1317"/>
      <c r="CB16" s="1317"/>
      <c r="CC16" s="1714"/>
      <c r="CD16" s="1718"/>
      <c r="CE16" s="1713"/>
      <c r="CF16" s="1317"/>
      <c r="CG16" s="1317">
        <v>1</v>
      </c>
      <c r="CH16" s="1317"/>
      <c r="CI16" s="1317"/>
      <c r="CJ16" s="1714">
        <v>7</v>
      </c>
      <c r="CK16" s="1713"/>
      <c r="CL16" s="1317"/>
      <c r="CM16" s="1317"/>
      <c r="CN16" s="1317"/>
      <c r="CO16" s="1317"/>
      <c r="CP16" s="1317"/>
      <c r="CQ16" s="1317"/>
      <c r="CR16" s="1317">
        <v>1</v>
      </c>
      <c r="CS16" s="1317"/>
      <c r="CT16" s="1714"/>
      <c r="CU16" s="262">
        <f t="shared" ref="CU16:CU26" si="33">SUM(AI16:BC16)+SUM(BO16:CI16)</f>
        <v>8</v>
      </c>
      <c r="CV16" s="262">
        <f t="shared" ref="CV16:CV26" si="34">SUM(BE16:BN16)+SUM(CK16:CT16)</f>
        <v>2</v>
      </c>
      <c r="CW16" s="8">
        <f t="shared" ref="CW16:CW26" si="35">SUM(BO16:CI16)</f>
        <v>3</v>
      </c>
      <c r="CX16" s="358">
        <f t="shared" ref="CX16:CX26" si="36">+CU16+BD16+CJ16</f>
        <v>17</v>
      </c>
    </row>
    <row r="17" spans="1:102" hidden="1">
      <c r="A17" s="1309">
        <v>43525</v>
      </c>
      <c r="B17" s="1310">
        <v>0</v>
      </c>
      <c r="C17" s="1310">
        <v>0</v>
      </c>
      <c r="D17" s="1310">
        <v>0</v>
      </c>
      <c r="E17" s="1310">
        <v>0</v>
      </c>
      <c r="F17" s="1310">
        <v>0</v>
      </c>
      <c r="G17" s="1310">
        <v>1</v>
      </c>
      <c r="H17" s="1310">
        <v>0</v>
      </c>
      <c r="I17" s="1310">
        <v>1</v>
      </c>
      <c r="J17" s="1310">
        <v>0</v>
      </c>
      <c r="K17" s="3082">
        <v>0</v>
      </c>
      <c r="L17" s="3082">
        <v>0</v>
      </c>
      <c r="M17" s="3086">
        <v>1</v>
      </c>
      <c r="N17" s="1310">
        <v>0</v>
      </c>
      <c r="O17" s="1310">
        <v>1</v>
      </c>
      <c r="P17" s="1310"/>
      <c r="Q17" s="1040">
        <v>0</v>
      </c>
      <c r="R17" s="1310"/>
      <c r="S17" s="1310">
        <v>0</v>
      </c>
      <c r="T17" s="1310">
        <v>1</v>
      </c>
      <c r="U17" s="1310">
        <v>0</v>
      </c>
      <c r="V17" s="1310">
        <v>0</v>
      </c>
      <c r="W17" s="1310">
        <v>0</v>
      </c>
      <c r="X17" s="1310">
        <v>11</v>
      </c>
      <c r="Y17" s="1310">
        <v>0</v>
      </c>
      <c r="Z17" s="1310">
        <v>0</v>
      </c>
      <c r="AA17" s="1310">
        <v>1</v>
      </c>
      <c r="AB17" s="1310">
        <v>0</v>
      </c>
      <c r="AC17" s="1310">
        <v>0</v>
      </c>
      <c r="AD17" s="1310">
        <v>0</v>
      </c>
      <c r="AE17" s="1310">
        <v>1</v>
      </c>
      <c r="AF17" s="1310">
        <v>0</v>
      </c>
      <c r="AG17" s="1310">
        <v>0</v>
      </c>
      <c r="AH17" s="1701">
        <v>0</v>
      </c>
      <c r="AI17" s="1712"/>
      <c r="AJ17" s="1869"/>
      <c r="AK17" s="1869"/>
      <c r="AL17" s="1869"/>
      <c r="AM17" s="1869"/>
      <c r="AN17" s="1869">
        <v>1</v>
      </c>
      <c r="AO17" s="1869"/>
      <c r="AP17" s="1869">
        <v>1</v>
      </c>
      <c r="AQ17" s="1869"/>
      <c r="AR17" s="1869"/>
      <c r="AS17" s="1869"/>
      <c r="AT17" s="1869"/>
      <c r="AU17" s="1869"/>
      <c r="AV17" s="1869"/>
      <c r="AW17" s="1869"/>
      <c r="AX17" s="1871"/>
      <c r="AY17" s="1873"/>
      <c r="AZ17" s="1869">
        <v>1</v>
      </c>
      <c r="BA17" s="1869"/>
      <c r="BB17" s="1869"/>
      <c r="BC17" s="1869"/>
      <c r="BD17" s="1871">
        <v>2</v>
      </c>
      <c r="BE17" s="1873"/>
      <c r="BF17" s="1869"/>
      <c r="BG17" s="1869"/>
      <c r="BH17" s="1869"/>
      <c r="BI17" s="1869"/>
      <c r="BJ17" s="1869"/>
      <c r="BK17" s="1869">
        <v>1</v>
      </c>
      <c r="BL17" s="1869"/>
      <c r="BM17" s="1869"/>
      <c r="BN17" s="1871"/>
      <c r="BO17" s="1868"/>
      <c r="BP17" s="1317"/>
      <c r="BQ17" s="1317"/>
      <c r="BR17" s="1317"/>
      <c r="BS17" s="1317"/>
      <c r="BT17" s="1317"/>
      <c r="BU17" s="1317"/>
      <c r="BV17" s="1317"/>
      <c r="BW17" s="1317"/>
      <c r="BX17" s="1317"/>
      <c r="BY17" s="1317"/>
      <c r="BZ17" s="1317">
        <v>1</v>
      </c>
      <c r="CA17" s="1317"/>
      <c r="CB17" s="1317">
        <v>1</v>
      </c>
      <c r="CC17" s="1714"/>
      <c r="CD17" s="1718"/>
      <c r="CE17" s="1713"/>
      <c r="CF17" s="1317"/>
      <c r="CG17" s="1317"/>
      <c r="CH17" s="1317"/>
      <c r="CI17" s="1317"/>
      <c r="CJ17" s="1714">
        <v>9</v>
      </c>
      <c r="CK17" s="1713"/>
      <c r="CL17" s="1317"/>
      <c r="CM17" s="1317">
        <v>1</v>
      </c>
      <c r="CN17" s="1317"/>
      <c r="CO17" s="1317"/>
      <c r="CP17" s="1317"/>
      <c r="CQ17" s="1317"/>
      <c r="CR17" s="1317"/>
      <c r="CS17" s="1317"/>
      <c r="CT17" s="1714"/>
      <c r="CU17" s="262">
        <f t="shared" si="33"/>
        <v>5</v>
      </c>
      <c r="CV17" s="262">
        <f t="shared" si="34"/>
        <v>2</v>
      </c>
      <c r="CW17" s="8">
        <f t="shared" si="35"/>
        <v>2</v>
      </c>
      <c r="CX17" s="358">
        <f t="shared" si="36"/>
        <v>16</v>
      </c>
    </row>
    <row r="18" spans="1:102" hidden="1">
      <c r="A18" s="1309">
        <v>43556</v>
      </c>
      <c r="B18" s="1310">
        <v>1</v>
      </c>
      <c r="C18" s="1310">
        <v>0</v>
      </c>
      <c r="D18" s="1310">
        <v>0</v>
      </c>
      <c r="E18" s="1310">
        <v>2</v>
      </c>
      <c r="F18" s="1310">
        <v>0</v>
      </c>
      <c r="G18" s="1310">
        <v>0</v>
      </c>
      <c r="H18" s="1310">
        <v>0</v>
      </c>
      <c r="I18" s="1310">
        <v>0</v>
      </c>
      <c r="J18" s="1310">
        <v>0</v>
      </c>
      <c r="K18" s="3082">
        <v>1</v>
      </c>
      <c r="L18" s="3082">
        <v>0</v>
      </c>
      <c r="M18" s="3086">
        <v>1</v>
      </c>
      <c r="N18" s="1310">
        <v>0</v>
      </c>
      <c r="O18" s="1310">
        <v>0</v>
      </c>
      <c r="P18" s="1310"/>
      <c r="Q18" s="1040">
        <v>1</v>
      </c>
      <c r="R18" s="1310"/>
      <c r="S18" s="1310">
        <v>0</v>
      </c>
      <c r="T18" s="1310">
        <v>0</v>
      </c>
      <c r="U18" s="1310">
        <v>0</v>
      </c>
      <c r="V18" s="1310">
        <v>1</v>
      </c>
      <c r="W18" s="1310">
        <v>1</v>
      </c>
      <c r="X18" s="1310">
        <v>8</v>
      </c>
      <c r="Y18" s="1310">
        <v>0</v>
      </c>
      <c r="Z18" s="1310">
        <v>0</v>
      </c>
      <c r="AA18" s="1310">
        <v>0</v>
      </c>
      <c r="AB18" s="1310">
        <v>0</v>
      </c>
      <c r="AC18" s="1310">
        <v>0</v>
      </c>
      <c r="AD18" s="1310">
        <v>0</v>
      </c>
      <c r="AE18" s="1310">
        <v>0</v>
      </c>
      <c r="AF18" s="1310">
        <v>1</v>
      </c>
      <c r="AG18" s="1310">
        <v>0</v>
      </c>
      <c r="AH18" s="1701">
        <v>1</v>
      </c>
      <c r="AI18" s="1712">
        <v>1</v>
      </c>
      <c r="AJ18" s="1869"/>
      <c r="AK18" s="1869"/>
      <c r="AL18" s="1869">
        <v>2</v>
      </c>
      <c r="AM18" s="1869"/>
      <c r="AN18" s="1869"/>
      <c r="AO18" s="1869"/>
      <c r="AP18" s="1869"/>
      <c r="AQ18" s="1869"/>
      <c r="AR18" s="1869"/>
      <c r="AS18" s="1869"/>
      <c r="AT18" s="1869"/>
      <c r="AU18" s="1869"/>
      <c r="AV18" s="1869"/>
      <c r="AW18" s="1869"/>
      <c r="AX18" s="1871"/>
      <c r="AY18" s="1873"/>
      <c r="AZ18" s="1869"/>
      <c r="BA18" s="1869"/>
      <c r="BB18" s="1869">
        <v>1</v>
      </c>
      <c r="BC18" s="1869"/>
      <c r="BD18" s="1871">
        <v>1</v>
      </c>
      <c r="BE18" s="1873"/>
      <c r="BF18" s="1869"/>
      <c r="BG18" s="1869"/>
      <c r="BH18" s="1869"/>
      <c r="BI18" s="1869"/>
      <c r="BJ18" s="1869"/>
      <c r="BK18" s="1869"/>
      <c r="BL18" s="1869">
        <v>1</v>
      </c>
      <c r="BM18" s="1869"/>
      <c r="BN18" s="1871"/>
      <c r="BO18" s="1868"/>
      <c r="BP18" s="1317"/>
      <c r="BQ18" s="1317"/>
      <c r="BR18" s="1317"/>
      <c r="BS18" s="1317"/>
      <c r="BT18" s="1317"/>
      <c r="BU18" s="1317"/>
      <c r="BV18" s="1317"/>
      <c r="BW18" s="1317"/>
      <c r="BX18" s="1317">
        <v>1</v>
      </c>
      <c r="BY18" s="1317"/>
      <c r="BZ18" s="1317">
        <v>1</v>
      </c>
      <c r="CA18" s="1317"/>
      <c r="CB18" s="1317"/>
      <c r="CC18" s="1714">
        <v>1</v>
      </c>
      <c r="CD18" s="1718"/>
      <c r="CE18" s="1713"/>
      <c r="CF18" s="1317"/>
      <c r="CG18" s="1317"/>
      <c r="CH18" s="1317"/>
      <c r="CI18" s="1317">
        <v>1</v>
      </c>
      <c r="CJ18" s="1714">
        <v>7</v>
      </c>
      <c r="CK18" s="1713"/>
      <c r="CL18" s="1317"/>
      <c r="CM18" s="1317"/>
      <c r="CN18" s="1317"/>
      <c r="CO18" s="1317"/>
      <c r="CP18" s="1317"/>
      <c r="CQ18" s="1317"/>
      <c r="CR18" s="1317"/>
      <c r="CS18" s="1317"/>
      <c r="CT18" s="1714">
        <v>1</v>
      </c>
      <c r="CU18" s="262">
        <f t="shared" si="33"/>
        <v>8</v>
      </c>
      <c r="CV18" s="262">
        <f t="shared" si="34"/>
        <v>2</v>
      </c>
      <c r="CW18" s="8">
        <f t="shared" si="35"/>
        <v>4</v>
      </c>
      <c r="CX18" s="358">
        <f t="shared" si="36"/>
        <v>16</v>
      </c>
    </row>
    <row r="19" spans="1:102" hidden="1">
      <c r="A19" s="1309">
        <v>43586</v>
      </c>
      <c r="B19" s="1310">
        <v>0</v>
      </c>
      <c r="C19" s="1310">
        <v>0</v>
      </c>
      <c r="D19" s="1310">
        <v>0</v>
      </c>
      <c r="E19" s="1310">
        <v>5</v>
      </c>
      <c r="F19" s="1310">
        <v>0</v>
      </c>
      <c r="G19" s="1310">
        <v>1</v>
      </c>
      <c r="H19" s="1310">
        <v>0</v>
      </c>
      <c r="I19" s="1310">
        <v>0</v>
      </c>
      <c r="J19" s="1310">
        <v>0</v>
      </c>
      <c r="K19" s="3082">
        <v>0</v>
      </c>
      <c r="L19" s="3082">
        <v>0</v>
      </c>
      <c r="M19" s="3086">
        <v>0</v>
      </c>
      <c r="N19" s="1310">
        <v>1</v>
      </c>
      <c r="O19" s="1310">
        <v>0</v>
      </c>
      <c r="P19" s="1310"/>
      <c r="Q19" s="1040">
        <v>0</v>
      </c>
      <c r="R19" s="1310"/>
      <c r="S19" s="1310">
        <v>0</v>
      </c>
      <c r="T19" s="1310">
        <v>2</v>
      </c>
      <c r="U19" s="1310">
        <v>0</v>
      </c>
      <c r="V19" s="1310">
        <v>0</v>
      </c>
      <c r="W19" s="1310">
        <v>0</v>
      </c>
      <c r="X19" s="1310">
        <v>10</v>
      </c>
      <c r="Y19" s="1310">
        <v>0</v>
      </c>
      <c r="Z19" s="1310">
        <v>0</v>
      </c>
      <c r="AA19" s="1310">
        <v>0</v>
      </c>
      <c r="AB19" s="1310">
        <v>0</v>
      </c>
      <c r="AC19" s="1310">
        <v>0</v>
      </c>
      <c r="AD19" s="1310">
        <v>1</v>
      </c>
      <c r="AE19" s="1310">
        <v>0</v>
      </c>
      <c r="AF19" s="1310">
        <v>0</v>
      </c>
      <c r="AG19" s="1310">
        <v>1</v>
      </c>
      <c r="AH19" s="1701">
        <v>0</v>
      </c>
      <c r="AI19" s="1712"/>
      <c r="AJ19" s="1869"/>
      <c r="AK19" s="1869"/>
      <c r="AL19" s="1869">
        <v>5</v>
      </c>
      <c r="AM19" s="1869"/>
      <c r="AN19" s="1869">
        <v>1</v>
      </c>
      <c r="AO19" s="1869"/>
      <c r="AP19" s="1869"/>
      <c r="AQ19" s="1869"/>
      <c r="AR19" s="1869"/>
      <c r="AS19" s="1869"/>
      <c r="AT19" s="1869"/>
      <c r="AU19" s="1869"/>
      <c r="AV19" s="1869"/>
      <c r="AW19" s="1869"/>
      <c r="AX19" s="1871"/>
      <c r="AY19" s="1873"/>
      <c r="AZ19" s="1869">
        <v>2</v>
      </c>
      <c r="BA19" s="1869"/>
      <c r="BB19" s="1869"/>
      <c r="BC19" s="1869"/>
      <c r="BD19" s="1871">
        <v>2</v>
      </c>
      <c r="BE19" s="1873"/>
      <c r="BF19" s="1869"/>
      <c r="BG19" s="1869"/>
      <c r="BH19" s="1869"/>
      <c r="BI19" s="1869"/>
      <c r="BJ19" s="1869">
        <v>1</v>
      </c>
      <c r="BK19" s="1869"/>
      <c r="BL19" s="1869"/>
      <c r="BM19" s="1869">
        <v>1</v>
      </c>
      <c r="BN19" s="1871"/>
      <c r="BO19" s="1868"/>
      <c r="BP19" s="1317"/>
      <c r="BQ19" s="1317"/>
      <c r="BR19" s="1317"/>
      <c r="BS19" s="1317"/>
      <c r="BT19" s="1317"/>
      <c r="BU19" s="1317"/>
      <c r="BV19" s="1317"/>
      <c r="BW19" s="1317"/>
      <c r="BX19" s="1317"/>
      <c r="BY19" s="1317"/>
      <c r="BZ19" s="1317"/>
      <c r="CA19" s="1317">
        <v>1</v>
      </c>
      <c r="CB19" s="1317"/>
      <c r="CC19" s="1714"/>
      <c r="CD19" s="1718"/>
      <c r="CE19" s="1713"/>
      <c r="CF19" s="1317"/>
      <c r="CG19" s="1317"/>
      <c r="CH19" s="1317"/>
      <c r="CI19" s="1317"/>
      <c r="CJ19" s="1714">
        <v>8</v>
      </c>
      <c r="CK19" s="1713"/>
      <c r="CL19" s="1317"/>
      <c r="CM19" s="1317"/>
      <c r="CN19" s="1317"/>
      <c r="CO19" s="1317"/>
      <c r="CP19" s="1317"/>
      <c r="CQ19" s="1317"/>
      <c r="CR19" s="1317"/>
      <c r="CS19" s="1317"/>
      <c r="CT19" s="1714"/>
      <c r="CU19" s="262">
        <f t="shared" si="33"/>
        <v>9</v>
      </c>
      <c r="CV19" s="262">
        <f t="shared" si="34"/>
        <v>2</v>
      </c>
      <c r="CW19" s="8">
        <f t="shared" si="35"/>
        <v>1</v>
      </c>
      <c r="CX19" s="358">
        <f t="shared" si="36"/>
        <v>19</v>
      </c>
    </row>
    <row r="20" spans="1:102" hidden="1">
      <c r="A20" s="1309">
        <v>43617</v>
      </c>
      <c r="B20" s="1310">
        <v>0</v>
      </c>
      <c r="C20" s="1310">
        <v>0</v>
      </c>
      <c r="D20" s="1310">
        <v>0</v>
      </c>
      <c r="E20" s="1310">
        <v>0</v>
      </c>
      <c r="F20" s="1310">
        <v>0</v>
      </c>
      <c r="G20" s="1310">
        <v>1</v>
      </c>
      <c r="H20" s="1310">
        <v>0</v>
      </c>
      <c r="I20" s="1310">
        <v>0</v>
      </c>
      <c r="J20" s="1310">
        <v>0</v>
      </c>
      <c r="K20" s="3082">
        <v>0</v>
      </c>
      <c r="L20" s="3082">
        <v>0</v>
      </c>
      <c r="M20" s="3086">
        <v>1</v>
      </c>
      <c r="N20" s="1310">
        <v>0</v>
      </c>
      <c r="O20" s="1310">
        <v>0</v>
      </c>
      <c r="P20" s="1310"/>
      <c r="Q20" s="1040">
        <v>0</v>
      </c>
      <c r="R20" s="1310"/>
      <c r="S20" s="1310">
        <v>0</v>
      </c>
      <c r="T20" s="1310">
        <v>2</v>
      </c>
      <c r="U20" s="1310">
        <v>1</v>
      </c>
      <c r="V20" s="1310">
        <v>1</v>
      </c>
      <c r="W20" s="1310">
        <v>1</v>
      </c>
      <c r="X20" s="1310">
        <v>10</v>
      </c>
      <c r="Y20" s="1310">
        <v>0</v>
      </c>
      <c r="Z20" s="1310">
        <v>1</v>
      </c>
      <c r="AA20" s="1310">
        <v>0</v>
      </c>
      <c r="AB20" s="1310">
        <v>0</v>
      </c>
      <c r="AC20" s="1310">
        <v>0</v>
      </c>
      <c r="AD20" s="1310">
        <v>0</v>
      </c>
      <c r="AE20" s="1310">
        <v>0</v>
      </c>
      <c r="AF20" s="1310">
        <v>0</v>
      </c>
      <c r="AG20" s="1310">
        <v>0</v>
      </c>
      <c r="AH20" s="1701">
        <v>0</v>
      </c>
      <c r="AI20" s="1712"/>
      <c r="AJ20" s="1869"/>
      <c r="AK20" s="1869"/>
      <c r="AL20" s="1869"/>
      <c r="AM20" s="1869"/>
      <c r="AN20" s="1869"/>
      <c r="AO20" s="1869"/>
      <c r="AP20" s="1869"/>
      <c r="AQ20" s="1869"/>
      <c r="AR20" s="1869"/>
      <c r="AS20" s="1869"/>
      <c r="AT20" s="1869"/>
      <c r="AU20" s="1869"/>
      <c r="AV20" s="1869"/>
      <c r="AW20" s="1869"/>
      <c r="AX20" s="1871"/>
      <c r="AY20" s="1873"/>
      <c r="AZ20" s="1869">
        <v>2</v>
      </c>
      <c r="BA20" s="1869">
        <v>1</v>
      </c>
      <c r="BB20" s="1869">
        <v>1</v>
      </c>
      <c r="BC20" s="1869">
        <v>1</v>
      </c>
      <c r="BD20" s="1871">
        <v>1</v>
      </c>
      <c r="BE20" s="1873"/>
      <c r="BF20" s="1869"/>
      <c r="BG20" s="1869"/>
      <c r="BH20" s="1869"/>
      <c r="BI20" s="1869"/>
      <c r="BJ20" s="1869"/>
      <c r="BK20" s="1869"/>
      <c r="BL20" s="1869"/>
      <c r="BM20" s="1869"/>
      <c r="BN20" s="1871"/>
      <c r="BO20" s="1868"/>
      <c r="BP20" s="1317"/>
      <c r="BQ20" s="1317"/>
      <c r="BR20" s="1317"/>
      <c r="BS20" s="1317"/>
      <c r="BT20" s="1317">
        <v>1</v>
      </c>
      <c r="BU20" s="1317"/>
      <c r="BV20" s="1317"/>
      <c r="BW20" s="1317"/>
      <c r="BX20" s="1317"/>
      <c r="BY20" s="1317"/>
      <c r="BZ20" s="1317">
        <v>1</v>
      </c>
      <c r="CA20" s="1317"/>
      <c r="CB20" s="1317"/>
      <c r="CC20" s="1714"/>
      <c r="CD20" s="1718"/>
      <c r="CE20" s="1713"/>
      <c r="CF20" s="1317"/>
      <c r="CG20" s="1317"/>
      <c r="CH20" s="1317"/>
      <c r="CI20" s="1317"/>
      <c r="CJ20" s="1714">
        <v>9</v>
      </c>
      <c r="CK20" s="1713"/>
      <c r="CL20" s="1317">
        <v>1</v>
      </c>
      <c r="CM20" s="1317"/>
      <c r="CN20" s="1317"/>
      <c r="CO20" s="1317"/>
      <c r="CP20" s="1317"/>
      <c r="CQ20" s="1317"/>
      <c r="CR20" s="1317"/>
      <c r="CS20" s="1317"/>
      <c r="CT20" s="1714"/>
      <c r="CU20" s="262">
        <f t="shared" si="33"/>
        <v>7</v>
      </c>
      <c r="CV20" s="262">
        <f t="shared" si="34"/>
        <v>1</v>
      </c>
      <c r="CW20" s="8">
        <f t="shared" si="35"/>
        <v>2</v>
      </c>
      <c r="CX20" s="358">
        <f t="shared" si="36"/>
        <v>17</v>
      </c>
    </row>
    <row r="21" spans="1:102" hidden="1">
      <c r="A21" s="1309">
        <v>43647</v>
      </c>
      <c r="B21" s="1310">
        <v>0</v>
      </c>
      <c r="C21" s="1310">
        <v>0</v>
      </c>
      <c r="D21" s="1310">
        <v>0</v>
      </c>
      <c r="E21" s="1310">
        <v>1</v>
      </c>
      <c r="F21" s="1310">
        <v>0</v>
      </c>
      <c r="G21" s="1310">
        <v>1</v>
      </c>
      <c r="H21" s="1310">
        <v>0</v>
      </c>
      <c r="I21" s="1310">
        <v>0</v>
      </c>
      <c r="J21" s="1310">
        <v>0</v>
      </c>
      <c r="K21" s="3082">
        <v>1</v>
      </c>
      <c r="L21" s="3082">
        <v>0</v>
      </c>
      <c r="M21" s="3086">
        <v>1</v>
      </c>
      <c r="N21" s="1310">
        <v>0</v>
      </c>
      <c r="O21" s="1310">
        <v>0</v>
      </c>
      <c r="P21" s="1310"/>
      <c r="Q21" s="1040">
        <v>0</v>
      </c>
      <c r="R21" s="1310"/>
      <c r="S21" s="1310">
        <v>0</v>
      </c>
      <c r="T21" s="1310">
        <v>1</v>
      </c>
      <c r="U21" s="1310">
        <v>3</v>
      </c>
      <c r="V21" s="1310">
        <v>1</v>
      </c>
      <c r="W21" s="1310">
        <v>0</v>
      </c>
      <c r="X21" s="1310">
        <v>14</v>
      </c>
      <c r="Y21" s="1310">
        <v>1</v>
      </c>
      <c r="Z21" s="1310">
        <v>0</v>
      </c>
      <c r="AA21" s="1310">
        <v>0</v>
      </c>
      <c r="AB21" s="1310">
        <v>0</v>
      </c>
      <c r="AC21" s="1310">
        <v>1</v>
      </c>
      <c r="AD21" s="1310">
        <v>1</v>
      </c>
      <c r="AE21" s="1310">
        <v>0</v>
      </c>
      <c r="AF21" s="1310">
        <v>1</v>
      </c>
      <c r="AG21" s="1310">
        <v>0</v>
      </c>
      <c r="AH21" s="1701">
        <v>0</v>
      </c>
      <c r="AI21" s="1712"/>
      <c r="AJ21" s="1869"/>
      <c r="AK21" s="1869"/>
      <c r="AL21" s="1869"/>
      <c r="AM21" s="1869"/>
      <c r="AN21" s="1869">
        <v>1</v>
      </c>
      <c r="AO21" s="1869"/>
      <c r="AP21" s="1869"/>
      <c r="AQ21" s="1869"/>
      <c r="AR21" s="1869"/>
      <c r="AS21" s="1869"/>
      <c r="AT21" s="1869">
        <v>1</v>
      </c>
      <c r="AU21" s="1869"/>
      <c r="AV21" s="1869"/>
      <c r="AW21" s="1869"/>
      <c r="AX21" s="1871"/>
      <c r="AY21" s="1873"/>
      <c r="AZ21" s="1869">
        <v>1</v>
      </c>
      <c r="BA21" s="1869">
        <v>2</v>
      </c>
      <c r="BB21" s="1869">
        <v>1</v>
      </c>
      <c r="BC21" s="1869"/>
      <c r="BD21" s="1871">
        <v>3</v>
      </c>
      <c r="BE21" s="1873">
        <v>1</v>
      </c>
      <c r="BF21" s="1869"/>
      <c r="BG21" s="1869"/>
      <c r="BH21" s="1869"/>
      <c r="BI21" s="1869">
        <v>1</v>
      </c>
      <c r="BJ21" s="1869">
        <v>1</v>
      </c>
      <c r="BK21" s="1869"/>
      <c r="BL21" s="1869">
        <v>1</v>
      </c>
      <c r="BM21" s="1869"/>
      <c r="BN21" s="1871"/>
      <c r="BO21" s="1868"/>
      <c r="BP21" s="1317"/>
      <c r="BQ21" s="1317"/>
      <c r="BR21" s="1317">
        <v>1</v>
      </c>
      <c r="BS21" s="1317"/>
      <c r="BT21" s="1317"/>
      <c r="BU21" s="1317"/>
      <c r="BV21" s="1317"/>
      <c r="BW21" s="1317"/>
      <c r="BX21" s="1317">
        <v>1</v>
      </c>
      <c r="BY21" s="1317"/>
      <c r="BZ21" s="1317"/>
      <c r="CA21" s="1317"/>
      <c r="CB21" s="1317"/>
      <c r="CC21" s="1714"/>
      <c r="CD21" s="1718"/>
      <c r="CE21" s="1713"/>
      <c r="CF21" s="1317"/>
      <c r="CG21" s="1317">
        <v>1</v>
      </c>
      <c r="CH21" s="1317"/>
      <c r="CI21" s="1317"/>
      <c r="CJ21" s="1714">
        <v>11</v>
      </c>
      <c r="CK21" s="1713"/>
      <c r="CL21" s="1317"/>
      <c r="CM21" s="1317"/>
      <c r="CN21" s="1317"/>
      <c r="CO21" s="1317"/>
      <c r="CP21" s="1317"/>
      <c r="CQ21" s="1317"/>
      <c r="CR21" s="1317"/>
      <c r="CS21" s="1317"/>
      <c r="CT21" s="1714"/>
      <c r="CU21" s="262">
        <f t="shared" si="33"/>
        <v>9</v>
      </c>
      <c r="CV21" s="262">
        <f t="shared" si="34"/>
        <v>4</v>
      </c>
      <c r="CW21" s="8">
        <f t="shared" si="35"/>
        <v>3</v>
      </c>
      <c r="CX21" s="358">
        <f t="shared" si="36"/>
        <v>23</v>
      </c>
    </row>
    <row r="22" spans="1:102" hidden="1">
      <c r="A22" s="1309">
        <v>43678</v>
      </c>
      <c r="B22" s="1310">
        <v>0</v>
      </c>
      <c r="C22" s="1310">
        <v>1</v>
      </c>
      <c r="D22" s="1310">
        <v>0</v>
      </c>
      <c r="E22" s="1310">
        <v>0</v>
      </c>
      <c r="F22" s="1310">
        <v>0</v>
      </c>
      <c r="G22" s="1310">
        <v>0</v>
      </c>
      <c r="H22" s="1310">
        <v>0</v>
      </c>
      <c r="I22" s="1310">
        <v>0</v>
      </c>
      <c r="J22" s="1310">
        <v>0</v>
      </c>
      <c r="K22" s="3082">
        <v>1</v>
      </c>
      <c r="L22" s="3082">
        <v>0</v>
      </c>
      <c r="M22" s="3086">
        <v>1</v>
      </c>
      <c r="N22" s="1310">
        <v>0</v>
      </c>
      <c r="O22" s="1310">
        <v>0</v>
      </c>
      <c r="P22" s="1310"/>
      <c r="Q22" s="1040">
        <v>0</v>
      </c>
      <c r="R22" s="1310"/>
      <c r="S22" s="1310">
        <v>0</v>
      </c>
      <c r="T22" s="1310">
        <v>2</v>
      </c>
      <c r="U22" s="1310">
        <v>0</v>
      </c>
      <c r="V22" s="1310">
        <v>0</v>
      </c>
      <c r="W22" s="1310">
        <v>1</v>
      </c>
      <c r="X22" s="1310">
        <v>13</v>
      </c>
      <c r="Y22" s="1310">
        <v>0</v>
      </c>
      <c r="Z22" s="1310">
        <v>0</v>
      </c>
      <c r="AA22" s="1310">
        <v>0</v>
      </c>
      <c r="AB22" s="1310">
        <v>0</v>
      </c>
      <c r="AC22" s="1310">
        <v>0</v>
      </c>
      <c r="AD22" s="1310">
        <v>1</v>
      </c>
      <c r="AE22" s="1310">
        <v>0</v>
      </c>
      <c r="AF22" s="1310">
        <v>0</v>
      </c>
      <c r="AG22" s="1310">
        <v>0</v>
      </c>
      <c r="AH22" s="1701">
        <v>0</v>
      </c>
      <c r="AI22" s="1712"/>
      <c r="AJ22" s="1869">
        <v>1</v>
      </c>
      <c r="AK22" s="1869"/>
      <c r="AL22" s="1869"/>
      <c r="AM22" s="1869"/>
      <c r="AN22" s="1869"/>
      <c r="AO22" s="1869"/>
      <c r="AP22" s="1869"/>
      <c r="AQ22" s="1869"/>
      <c r="AR22" s="1869"/>
      <c r="AS22" s="1869"/>
      <c r="AT22" s="1869"/>
      <c r="AU22" s="1869"/>
      <c r="AV22" s="1869"/>
      <c r="AW22" s="1869"/>
      <c r="AX22" s="1871"/>
      <c r="AY22" s="1873"/>
      <c r="AZ22" s="1869">
        <v>2</v>
      </c>
      <c r="BA22" s="1869"/>
      <c r="BB22" s="1869"/>
      <c r="BC22" s="1869"/>
      <c r="BD22" s="1871">
        <v>5</v>
      </c>
      <c r="BE22" s="1873"/>
      <c r="BF22" s="1869"/>
      <c r="BG22" s="1869"/>
      <c r="BH22" s="1869"/>
      <c r="BI22" s="1869"/>
      <c r="BJ22" s="1869">
        <v>1</v>
      </c>
      <c r="BK22" s="1869"/>
      <c r="BL22" s="1869"/>
      <c r="BM22" s="1869"/>
      <c r="BN22" s="1871"/>
      <c r="BO22" s="1868"/>
      <c r="BP22" s="1317"/>
      <c r="BQ22" s="1317"/>
      <c r="BR22" s="1317"/>
      <c r="BS22" s="1317"/>
      <c r="BT22" s="1317"/>
      <c r="BU22" s="1317"/>
      <c r="BV22" s="1317"/>
      <c r="BW22" s="1317"/>
      <c r="BX22" s="1317">
        <v>1</v>
      </c>
      <c r="BY22" s="1317"/>
      <c r="BZ22" s="1317">
        <v>1</v>
      </c>
      <c r="CA22" s="1317"/>
      <c r="CB22" s="1317"/>
      <c r="CC22" s="1714"/>
      <c r="CD22" s="1718"/>
      <c r="CE22" s="1713"/>
      <c r="CF22" s="1317"/>
      <c r="CG22" s="1317"/>
      <c r="CH22" s="1317"/>
      <c r="CI22" s="1317">
        <v>1</v>
      </c>
      <c r="CJ22" s="1714">
        <v>8</v>
      </c>
      <c r="CK22" s="1713"/>
      <c r="CL22" s="1317"/>
      <c r="CM22" s="1317"/>
      <c r="CN22" s="1317"/>
      <c r="CO22" s="1317"/>
      <c r="CP22" s="1317"/>
      <c r="CQ22" s="1317"/>
      <c r="CR22" s="1317"/>
      <c r="CS22" s="1317"/>
      <c r="CT22" s="1714"/>
      <c r="CU22" s="262">
        <f t="shared" si="33"/>
        <v>6</v>
      </c>
      <c r="CV22" s="262">
        <f t="shared" si="34"/>
        <v>1</v>
      </c>
      <c r="CW22" s="8">
        <f t="shared" si="35"/>
        <v>3</v>
      </c>
      <c r="CX22" s="358">
        <f t="shared" si="36"/>
        <v>19</v>
      </c>
    </row>
    <row r="23" spans="1:102" hidden="1">
      <c r="A23" s="1309">
        <v>43709</v>
      </c>
      <c r="B23" s="1310">
        <v>1</v>
      </c>
      <c r="C23" s="1310">
        <v>0</v>
      </c>
      <c r="D23" s="1310">
        <v>0</v>
      </c>
      <c r="E23" s="1310">
        <v>1</v>
      </c>
      <c r="F23" s="1310">
        <v>0</v>
      </c>
      <c r="G23" s="1310">
        <v>1</v>
      </c>
      <c r="H23" s="1310">
        <v>0</v>
      </c>
      <c r="I23" s="1310">
        <v>0</v>
      </c>
      <c r="J23" s="1310">
        <v>0</v>
      </c>
      <c r="K23" s="3082">
        <v>1</v>
      </c>
      <c r="L23" s="3082">
        <v>0</v>
      </c>
      <c r="M23" s="3086">
        <v>0</v>
      </c>
      <c r="N23" s="1310">
        <v>0</v>
      </c>
      <c r="O23" s="1310">
        <v>0</v>
      </c>
      <c r="P23" s="1310"/>
      <c r="Q23" s="1040">
        <v>0</v>
      </c>
      <c r="R23" s="1310"/>
      <c r="S23" s="1310">
        <v>0</v>
      </c>
      <c r="T23" s="1310">
        <v>0</v>
      </c>
      <c r="U23" s="1310">
        <v>0</v>
      </c>
      <c r="V23" s="1310">
        <v>1</v>
      </c>
      <c r="W23" s="1310">
        <v>0</v>
      </c>
      <c r="X23" s="1310">
        <v>17</v>
      </c>
      <c r="Y23" s="1310">
        <v>0</v>
      </c>
      <c r="Z23" s="1310">
        <v>1</v>
      </c>
      <c r="AA23" s="1310">
        <v>0</v>
      </c>
      <c r="AB23" s="1310">
        <v>0</v>
      </c>
      <c r="AC23" s="1310">
        <v>0</v>
      </c>
      <c r="AD23" s="1310">
        <v>0</v>
      </c>
      <c r="AE23" s="1310">
        <v>0</v>
      </c>
      <c r="AF23" s="1310">
        <v>0</v>
      </c>
      <c r="AG23" s="1310">
        <v>0</v>
      </c>
      <c r="AH23" s="1701">
        <v>0</v>
      </c>
      <c r="AI23" s="1712">
        <v>1</v>
      </c>
      <c r="AJ23" s="1869"/>
      <c r="AK23" s="1869"/>
      <c r="AL23" s="1869">
        <v>1</v>
      </c>
      <c r="AM23" s="1869"/>
      <c r="AN23" s="1869">
        <v>1</v>
      </c>
      <c r="AO23" s="1869"/>
      <c r="AP23" s="1869"/>
      <c r="AQ23" s="1869"/>
      <c r="AR23" s="1869">
        <v>1</v>
      </c>
      <c r="AS23" s="1869"/>
      <c r="AT23" s="1869"/>
      <c r="AU23" s="1869"/>
      <c r="AV23" s="1869"/>
      <c r="AW23" s="1869"/>
      <c r="AX23" s="1871"/>
      <c r="AY23" s="1873"/>
      <c r="AZ23" s="1869"/>
      <c r="BA23" s="1869"/>
      <c r="BB23" s="1869">
        <v>1</v>
      </c>
      <c r="BC23" s="1869"/>
      <c r="BD23" s="1871"/>
      <c r="BE23" s="1873"/>
      <c r="BF23" s="1869">
        <v>1</v>
      </c>
      <c r="BG23" s="1869"/>
      <c r="BH23" s="1869"/>
      <c r="BI23" s="1869"/>
      <c r="BJ23" s="1869"/>
      <c r="BK23" s="1869"/>
      <c r="BL23" s="1869"/>
      <c r="BM23" s="1869"/>
      <c r="BN23" s="1871"/>
      <c r="BO23" s="1868"/>
      <c r="BP23" s="1317"/>
      <c r="BQ23" s="1317"/>
      <c r="BR23" s="1317"/>
      <c r="BS23" s="1317"/>
      <c r="BT23" s="1317"/>
      <c r="BU23" s="1317"/>
      <c r="BV23" s="1317"/>
      <c r="BW23" s="1317"/>
      <c r="BX23" s="1317"/>
      <c r="BY23" s="1317"/>
      <c r="BZ23" s="1317"/>
      <c r="CA23" s="1317"/>
      <c r="CB23" s="1317"/>
      <c r="CC23" s="1714"/>
      <c r="CD23" s="1718"/>
      <c r="CE23" s="1713"/>
      <c r="CF23" s="1317"/>
      <c r="CG23" s="1317"/>
      <c r="CH23" s="1317"/>
      <c r="CI23" s="1317"/>
      <c r="CJ23" s="1714">
        <v>17</v>
      </c>
      <c r="CK23" s="1713"/>
      <c r="CL23" s="1317"/>
      <c r="CM23" s="1317"/>
      <c r="CN23" s="1317"/>
      <c r="CO23" s="1317"/>
      <c r="CP23" s="1317"/>
      <c r="CQ23" s="1317"/>
      <c r="CR23" s="1317"/>
      <c r="CS23" s="1317"/>
      <c r="CT23" s="1714"/>
      <c r="CU23" s="262">
        <f t="shared" si="33"/>
        <v>5</v>
      </c>
      <c r="CV23" s="262">
        <f t="shared" si="34"/>
        <v>1</v>
      </c>
      <c r="CW23" s="8">
        <f t="shared" si="35"/>
        <v>0</v>
      </c>
      <c r="CX23" s="358">
        <f t="shared" si="36"/>
        <v>22</v>
      </c>
    </row>
    <row r="24" spans="1:102" hidden="1">
      <c r="A24" s="1309">
        <v>43739</v>
      </c>
      <c r="B24" s="1310">
        <v>2</v>
      </c>
      <c r="C24" s="1310">
        <v>1</v>
      </c>
      <c r="D24" s="1310">
        <v>0</v>
      </c>
      <c r="E24" s="1310">
        <v>0</v>
      </c>
      <c r="F24" s="1310">
        <v>1</v>
      </c>
      <c r="G24" s="1310">
        <v>1</v>
      </c>
      <c r="H24" s="1310">
        <v>0</v>
      </c>
      <c r="I24" s="1310">
        <v>0</v>
      </c>
      <c r="J24" s="1310">
        <v>0</v>
      </c>
      <c r="K24" s="3082">
        <v>0</v>
      </c>
      <c r="L24" s="3082">
        <v>1</v>
      </c>
      <c r="M24" s="3086">
        <v>0</v>
      </c>
      <c r="N24" s="1310">
        <v>0</v>
      </c>
      <c r="O24" s="1310">
        <v>0</v>
      </c>
      <c r="P24" s="1310"/>
      <c r="Q24" s="1040">
        <v>1</v>
      </c>
      <c r="R24" s="1310"/>
      <c r="S24" s="1310">
        <v>0</v>
      </c>
      <c r="T24" s="1310">
        <v>0</v>
      </c>
      <c r="U24" s="1310">
        <v>0</v>
      </c>
      <c r="V24" s="1310">
        <v>0</v>
      </c>
      <c r="W24" s="1310">
        <v>0</v>
      </c>
      <c r="X24" s="1310">
        <v>12</v>
      </c>
      <c r="Y24" s="1310">
        <v>0</v>
      </c>
      <c r="Z24" s="1310">
        <v>0</v>
      </c>
      <c r="AA24" s="1310">
        <v>0</v>
      </c>
      <c r="AB24" s="1310">
        <v>1</v>
      </c>
      <c r="AC24" s="1310">
        <v>0</v>
      </c>
      <c r="AD24" s="1310">
        <v>0</v>
      </c>
      <c r="AE24" s="1310">
        <v>0</v>
      </c>
      <c r="AF24" s="1310">
        <v>0</v>
      </c>
      <c r="AG24" s="1310">
        <v>0</v>
      </c>
      <c r="AH24" s="1701">
        <v>0</v>
      </c>
      <c r="AI24" s="1712">
        <v>2</v>
      </c>
      <c r="AJ24" s="1869">
        <v>1</v>
      </c>
      <c r="AK24" s="1869"/>
      <c r="AL24" s="1869"/>
      <c r="AM24" s="1869">
        <v>1</v>
      </c>
      <c r="AN24" s="1869">
        <v>1</v>
      </c>
      <c r="AO24" s="1869"/>
      <c r="AP24" s="1869"/>
      <c r="AQ24" s="1869"/>
      <c r="AR24" s="1869"/>
      <c r="AS24" s="1869"/>
      <c r="AT24" s="1869"/>
      <c r="AU24" s="1869"/>
      <c r="AV24" s="1869"/>
      <c r="AW24" s="1869">
        <v>1</v>
      </c>
      <c r="AX24" s="1871"/>
      <c r="AY24" s="1873"/>
      <c r="AZ24" s="1869"/>
      <c r="BA24" s="1869"/>
      <c r="BB24" s="1869"/>
      <c r="BC24" s="1869"/>
      <c r="BD24" s="1871">
        <v>1</v>
      </c>
      <c r="BE24" s="1873"/>
      <c r="BF24" s="1869"/>
      <c r="BG24" s="1869"/>
      <c r="BH24" s="1869"/>
      <c r="BI24" s="1869"/>
      <c r="BJ24" s="1869"/>
      <c r="BK24" s="1869"/>
      <c r="BL24" s="1869"/>
      <c r="BM24" s="1869"/>
      <c r="BN24" s="1871"/>
      <c r="BO24" s="1868"/>
      <c r="BP24" s="1317"/>
      <c r="BQ24" s="1317"/>
      <c r="BR24" s="1317"/>
      <c r="BS24" s="1317"/>
      <c r="BT24" s="1317"/>
      <c r="BU24" s="1317"/>
      <c r="BV24" s="1317"/>
      <c r="BW24" s="1317"/>
      <c r="BX24" s="1317"/>
      <c r="BY24" s="1317">
        <v>1</v>
      </c>
      <c r="BZ24" s="1317"/>
      <c r="CA24" s="1317"/>
      <c r="CB24" s="1317"/>
      <c r="CC24" s="1714"/>
      <c r="CD24" s="1718"/>
      <c r="CE24" s="1713"/>
      <c r="CF24" s="1317"/>
      <c r="CG24" s="1317"/>
      <c r="CH24" s="1317"/>
      <c r="CI24" s="1317"/>
      <c r="CJ24" s="1714">
        <v>11</v>
      </c>
      <c r="CK24" s="1713"/>
      <c r="CL24" s="1317"/>
      <c r="CM24" s="1317"/>
      <c r="CN24" s="1317">
        <v>1</v>
      </c>
      <c r="CO24" s="1317"/>
      <c r="CP24" s="1317"/>
      <c r="CQ24" s="1317"/>
      <c r="CR24" s="1317"/>
      <c r="CS24" s="1317"/>
      <c r="CT24" s="1714"/>
      <c r="CU24" s="262">
        <f t="shared" si="33"/>
        <v>7</v>
      </c>
      <c r="CV24" s="262">
        <f t="shared" si="34"/>
        <v>1</v>
      </c>
      <c r="CW24" s="8">
        <f t="shared" si="35"/>
        <v>1</v>
      </c>
      <c r="CX24" s="358">
        <f t="shared" si="36"/>
        <v>19</v>
      </c>
    </row>
    <row r="25" spans="1:102" hidden="1">
      <c r="A25" s="1309">
        <v>43770</v>
      </c>
      <c r="B25" s="1310">
        <v>0</v>
      </c>
      <c r="C25" s="1310">
        <v>0</v>
      </c>
      <c r="D25" s="1310">
        <v>1</v>
      </c>
      <c r="E25" s="1310">
        <v>2</v>
      </c>
      <c r="F25" s="1310">
        <v>0</v>
      </c>
      <c r="G25" s="1310">
        <v>1</v>
      </c>
      <c r="H25" s="1310">
        <v>0</v>
      </c>
      <c r="I25" s="1310">
        <v>0</v>
      </c>
      <c r="J25" s="1310">
        <v>0</v>
      </c>
      <c r="K25" s="3082">
        <v>0</v>
      </c>
      <c r="L25" s="3082">
        <v>1</v>
      </c>
      <c r="M25" s="3086">
        <v>0</v>
      </c>
      <c r="N25" s="1310">
        <v>0</v>
      </c>
      <c r="O25" s="1310">
        <v>1</v>
      </c>
      <c r="P25" s="1310"/>
      <c r="Q25" s="1040">
        <v>1</v>
      </c>
      <c r="R25" s="1310"/>
      <c r="S25" s="1310">
        <v>0</v>
      </c>
      <c r="T25" s="1310">
        <v>0</v>
      </c>
      <c r="U25" s="1310">
        <v>0</v>
      </c>
      <c r="V25" s="1310">
        <v>0</v>
      </c>
      <c r="W25" s="1310">
        <v>0</v>
      </c>
      <c r="X25" s="1310">
        <v>8</v>
      </c>
      <c r="Y25" s="1310">
        <v>0</v>
      </c>
      <c r="Z25" s="1310">
        <v>0</v>
      </c>
      <c r="AA25" s="1310">
        <v>0</v>
      </c>
      <c r="AB25" s="1310">
        <v>0</v>
      </c>
      <c r="AC25" s="1310">
        <v>0</v>
      </c>
      <c r="AD25" s="1310">
        <v>2</v>
      </c>
      <c r="AE25" s="1310">
        <v>0</v>
      </c>
      <c r="AF25" s="1310">
        <v>0</v>
      </c>
      <c r="AG25" s="1310">
        <v>0</v>
      </c>
      <c r="AH25" s="1701">
        <v>0</v>
      </c>
      <c r="AI25" s="1712"/>
      <c r="AJ25" s="1869"/>
      <c r="AK25" s="1869">
        <v>1</v>
      </c>
      <c r="AL25" s="1869">
        <v>2</v>
      </c>
      <c r="AM25" s="1869"/>
      <c r="AN25" s="1869">
        <v>1</v>
      </c>
      <c r="AO25" s="1869"/>
      <c r="AP25" s="1869"/>
      <c r="AQ25" s="1869"/>
      <c r="AR25" s="1869"/>
      <c r="AS25" s="1869"/>
      <c r="AT25" s="1869"/>
      <c r="AU25" s="1869"/>
      <c r="AV25" s="1869"/>
      <c r="AW25" s="1869">
        <v>1</v>
      </c>
      <c r="AX25" s="1871"/>
      <c r="AY25" s="1873"/>
      <c r="AZ25" s="1869"/>
      <c r="BA25" s="1869"/>
      <c r="BB25" s="1869"/>
      <c r="BC25" s="1869"/>
      <c r="BD25" s="1871">
        <v>2</v>
      </c>
      <c r="BE25" s="1873"/>
      <c r="BF25" s="1869"/>
      <c r="BG25" s="1869"/>
      <c r="BH25" s="1869"/>
      <c r="BI25" s="1869"/>
      <c r="BJ25" s="1869">
        <v>2</v>
      </c>
      <c r="BK25" s="1869"/>
      <c r="BL25" s="1869"/>
      <c r="BM25" s="1869"/>
      <c r="BN25" s="1871"/>
      <c r="BO25" s="1868"/>
      <c r="BP25" s="1317"/>
      <c r="BQ25" s="1317"/>
      <c r="BR25" s="1317"/>
      <c r="BS25" s="1317"/>
      <c r="BT25" s="1317"/>
      <c r="BU25" s="1317"/>
      <c r="BV25" s="1317"/>
      <c r="BW25" s="1317"/>
      <c r="BX25" s="1317"/>
      <c r="BY25" s="1317">
        <v>1</v>
      </c>
      <c r="BZ25" s="1317"/>
      <c r="CA25" s="1317"/>
      <c r="CB25" s="1317">
        <v>1</v>
      </c>
      <c r="CC25" s="1714"/>
      <c r="CD25" s="1718"/>
      <c r="CE25" s="1713"/>
      <c r="CF25" s="1317"/>
      <c r="CG25" s="1317"/>
      <c r="CH25" s="1317"/>
      <c r="CI25" s="1317"/>
      <c r="CJ25" s="1714">
        <v>6</v>
      </c>
      <c r="CK25" s="1713"/>
      <c r="CL25" s="1317"/>
      <c r="CM25" s="1317"/>
      <c r="CN25" s="1317"/>
      <c r="CO25" s="1317"/>
      <c r="CP25" s="1317"/>
      <c r="CQ25" s="1317"/>
      <c r="CR25" s="1317"/>
      <c r="CS25" s="1317"/>
      <c r="CT25" s="1714"/>
      <c r="CU25" s="262">
        <f t="shared" si="33"/>
        <v>7</v>
      </c>
      <c r="CV25" s="262">
        <f t="shared" si="34"/>
        <v>2</v>
      </c>
      <c r="CW25" s="8">
        <f t="shared" si="35"/>
        <v>2</v>
      </c>
      <c r="CX25" s="358">
        <f t="shared" si="36"/>
        <v>15</v>
      </c>
    </row>
    <row r="26" spans="1:102" hidden="1">
      <c r="A26" s="1309">
        <v>43800</v>
      </c>
      <c r="B26" s="1310">
        <v>0</v>
      </c>
      <c r="C26" s="1310">
        <v>1</v>
      </c>
      <c r="D26" s="1310">
        <v>0</v>
      </c>
      <c r="E26" s="1310">
        <v>2</v>
      </c>
      <c r="F26" s="1310">
        <v>1</v>
      </c>
      <c r="G26" s="1310">
        <v>0</v>
      </c>
      <c r="H26" s="1310">
        <v>0</v>
      </c>
      <c r="I26" s="1310">
        <v>0</v>
      </c>
      <c r="J26" s="1310">
        <v>0</v>
      </c>
      <c r="K26" s="3082">
        <v>0</v>
      </c>
      <c r="L26" s="3082">
        <v>0</v>
      </c>
      <c r="M26" s="3086">
        <v>0</v>
      </c>
      <c r="N26" s="1310">
        <v>0</v>
      </c>
      <c r="O26" s="1310">
        <v>1</v>
      </c>
      <c r="P26" s="1310"/>
      <c r="Q26" s="1040">
        <v>0</v>
      </c>
      <c r="R26" s="1310"/>
      <c r="S26" s="1310">
        <v>0</v>
      </c>
      <c r="T26" s="1310">
        <v>0</v>
      </c>
      <c r="U26" s="1310">
        <v>0</v>
      </c>
      <c r="V26" s="1310">
        <v>0</v>
      </c>
      <c r="W26" s="1310">
        <v>0</v>
      </c>
      <c r="X26" s="1310">
        <v>4</v>
      </c>
      <c r="Y26" s="1310">
        <v>0</v>
      </c>
      <c r="Z26" s="1310">
        <v>1</v>
      </c>
      <c r="AA26" s="1310">
        <v>0</v>
      </c>
      <c r="AB26" s="1310">
        <v>0</v>
      </c>
      <c r="AC26" s="1310">
        <v>1</v>
      </c>
      <c r="AD26" s="1310">
        <v>0</v>
      </c>
      <c r="AE26" s="1310">
        <v>2</v>
      </c>
      <c r="AF26" s="1310">
        <v>0</v>
      </c>
      <c r="AG26" s="1310">
        <v>0</v>
      </c>
      <c r="AH26" s="1701">
        <v>0</v>
      </c>
      <c r="AI26" s="1712"/>
      <c r="AJ26" s="1869">
        <v>1</v>
      </c>
      <c r="AK26" s="1869"/>
      <c r="AL26" s="1869">
        <v>2</v>
      </c>
      <c r="AM26" s="1869">
        <v>1</v>
      </c>
      <c r="AN26" s="1869"/>
      <c r="AO26" s="1869"/>
      <c r="AP26" s="1869"/>
      <c r="AQ26" s="1869"/>
      <c r="AR26" s="1869"/>
      <c r="AS26" s="1869"/>
      <c r="AT26" s="1869"/>
      <c r="AU26" s="1869"/>
      <c r="AV26" s="1869"/>
      <c r="AW26" s="1869"/>
      <c r="AX26" s="1871"/>
      <c r="AY26" s="1873"/>
      <c r="AZ26" s="1869"/>
      <c r="BA26" s="1869"/>
      <c r="BB26" s="1869"/>
      <c r="BC26" s="1869"/>
      <c r="BD26" s="1871">
        <v>2</v>
      </c>
      <c r="BE26" s="1873"/>
      <c r="BF26" s="1869">
        <v>1</v>
      </c>
      <c r="BG26" s="1869"/>
      <c r="BH26" s="1869"/>
      <c r="BI26" s="1869">
        <v>1</v>
      </c>
      <c r="BJ26" s="1869"/>
      <c r="BK26" s="1869">
        <v>2</v>
      </c>
      <c r="BL26" s="1869"/>
      <c r="BM26" s="1869"/>
      <c r="BN26" s="1871"/>
      <c r="BO26" s="1868"/>
      <c r="BP26" s="1317"/>
      <c r="BQ26" s="1317"/>
      <c r="BR26" s="1317"/>
      <c r="BS26" s="1317"/>
      <c r="BT26" s="1317"/>
      <c r="BU26" s="1317"/>
      <c r="BV26" s="1317"/>
      <c r="BW26" s="1317"/>
      <c r="BX26" s="1317"/>
      <c r="BY26" s="1317"/>
      <c r="BZ26" s="1317"/>
      <c r="CA26" s="1317"/>
      <c r="CB26" s="1317">
        <v>1</v>
      </c>
      <c r="CC26" s="1714"/>
      <c r="CD26" s="1718"/>
      <c r="CE26" s="1713"/>
      <c r="CF26" s="1317"/>
      <c r="CG26" s="1317"/>
      <c r="CH26" s="1317"/>
      <c r="CI26" s="1317"/>
      <c r="CJ26" s="1714">
        <v>2</v>
      </c>
      <c r="CK26" s="1713"/>
      <c r="CL26" s="1317"/>
      <c r="CM26" s="1317"/>
      <c r="CN26" s="1317"/>
      <c r="CO26" s="1317"/>
      <c r="CP26" s="1317"/>
      <c r="CQ26" s="1317"/>
      <c r="CR26" s="1317"/>
      <c r="CS26" s="1317"/>
      <c r="CT26" s="1714"/>
      <c r="CU26" s="262">
        <f t="shared" si="33"/>
        <v>5</v>
      </c>
      <c r="CV26" s="262">
        <f t="shared" si="34"/>
        <v>4</v>
      </c>
      <c r="CW26" s="8">
        <f t="shared" si="35"/>
        <v>1</v>
      </c>
      <c r="CX26" s="358">
        <f t="shared" si="36"/>
        <v>9</v>
      </c>
    </row>
    <row r="27" spans="1:102" hidden="1">
      <c r="A27" s="1309">
        <v>43831</v>
      </c>
      <c r="B27" s="1310">
        <f t="shared" si="2"/>
        <v>0</v>
      </c>
      <c r="C27" s="1310">
        <f t="shared" si="3"/>
        <v>0</v>
      </c>
      <c r="D27" s="1310">
        <f t="shared" si="4"/>
        <v>0</v>
      </c>
      <c r="E27" s="1310">
        <f t="shared" si="5"/>
        <v>1</v>
      </c>
      <c r="F27" s="1310">
        <f t="shared" si="6"/>
        <v>0</v>
      </c>
      <c r="G27" s="1310">
        <f t="shared" si="7"/>
        <v>2</v>
      </c>
      <c r="H27" s="1310">
        <f t="shared" si="8"/>
        <v>0</v>
      </c>
      <c r="I27" s="1310">
        <f t="shared" si="9"/>
        <v>0</v>
      </c>
      <c r="J27" s="1310">
        <f t="shared" si="10"/>
        <v>0</v>
      </c>
      <c r="K27" s="3082">
        <f t="shared" si="11"/>
        <v>0</v>
      </c>
      <c r="L27" s="3082">
        <f t="shared" si="12"/>
        <v>0</v>
      </c>
      <c r="M27" s="3086">
        <f t="shared" si="13"/>
        <v>0</v>
      </c>
      <c r="N27" s="1310">
        <f t="shared" si="14"/>
        <v>0</v>
      </c>
      <c r="O27" s="1310">
        <f t="shared" si="15"/>
        <v>0</v>
      </c>
      <c r="P27" s="1310"/>
      <c r="Q27" s="1040">
        <f t="shared" si="16"/>
        <v>0</v>
      </c>
      <c r="R27" s="1310"/>
      <c r="S27" s="1310">
        <f t="shared" si="17"/>
        <v>0</v>
      </c>
      <c r="T27" s="1310">
        <f t="shared" si="18"/>
        <v>0</v>
      </c>
      <c r="U27" s="1310">
        <f t="shared" si="19"/>
        <v>0</v>
      </c>
      <c r="V27" s="1310">
        <f t="shared" si="20"/>
        <v>0</v>
      </c>
      <c r="W27" s="1310">
        <f t="shared" si="21"/>
        <v>1</v>
      </c>
      <c r="X27" s="1310">
        <f t="shared" si="22"/>
        <v>6</v>
      </c>
      <c r="Y27" s="1310">
        <f t="shared" si="23"/>
        <v>0</v>
      </c>
      <c r="Z27" s="1310">
        <f t="shared" si="24"/>
        <v>0</v>
      </c>
      <c r="AA27" s="1310">
        <f t="shared" si="25"/>
        <v>0</v>
      </c>
      <c r="AB27" s="1310">
        <f t="shared" si="26"/>
        <v>0</v>
      </c>
      <c r="AC27" s="1310">
        <f t="shared" si="27"/>
        <v>1</v>
      </c>
      <c r="AD27" s="1310">
        <f t="shared" si="28"/>
        <v>0</v>
      </c>
      <c r="AE27" s="1310">
        <f t="shared" si="29"/>
        <v>0</v>
      </c>
      <c r="AF27" s="1310">
        <f t="shared" si="30"/>
        <v>0</v>
      </c>
      <c r="AG27" s="1310">
        <f t="shared" si="31"/>
        <v>0</v>
      </c>
      <c r="AH27" s="1701">
        <f t="shared" si="32"/>
        <v>0</v>
      </c>
      <c r="AI27" s="1712"/>
      <c r="AJ27" s="1869"/>
      <c r="AK27" s="1869"/>
      <c r="AL27" s="1869">
        <v>1</v>
      </c>
      <c r="AM27" s="1869"/>
      <c r="AN27" s="1869">
        <v>2</v>
      </c>
      <c r="AO27" s="1869"/>
      <c r="AP27" s="1869"/>
      <c r="AQ27" s="1869"/>
      <c r="AR27" s="1869"/>
      <c r="AS27" s="1869"/>
      <c r="AT27" s="1869"/>
      <c r="AU27" s="1869"/>
      <c r="AV27" s="1869"/>
      <c r="AW27" s="1869"/>
      <c r="AX27" s="1871"/>
      <c r="AY27" s="1873"/>
      <c r="AZ27" s="1869"/>
      <c r="BA27" s="1869"/>
      <c r="BB27" s="1869"/>
      <c r="BC27" s="1869">
        <v>1</v>
      </c>
      <c r="BD27" s="1871"/>
      <c r="BE27" s="1873"/>
      <c r="BF27" s="1869"/>
      <c r="BG27" s="1869"/>
      <c r="BH27" s="1869"/>
      <c r="BI27" s="1869">
        <v>1</v>
      </c>
      <c r="BJ27" s="1869"/>
      <c r="BK27" s="1869"/>
      <c r="BL27" s="1869"/>
      <c r="BM27" s="1869"/>
      <c r="BN27" s="1871"/>
      <c r="BO27" s="1868"/>
      <c r="BP27" s="1317"/>
      <c r="BQ27" s="1317"/>
      <c r="BR27" s="1317"/>
      <c r="BS27" s="1317"/>
      <c r="BT27" s="1317"/>
      <c r="BU27" s="1317"/>
      <c r="BV27" s="1317"/>
      <c r="BW27" s="1317"/>
      <c r="BX27" s="1317"/>
      <c r="BY27" s="1317"/>
      <c r="BZ27" s="1317"/>
      <c r="CA27" s="1317"/>
      <c r="CB27" s="1317"/>
      <c r="CC27" s="1714"/>
      <c r="CD27" s="1718"/>
      <c r="CE27" s="1713"/>
      <c r="CF27" s="1317"/>
      <c r="CG27" s="1317"/>
      <c r="CH27" s="1317"/>
      <c r="CI27" s="1317"/>
      <c r="CJ27" s="1714">
        <v>6</v>
      </c>
      <c r="CK27" s="1713"/>
      <c r="CL27" s="1317"/>
      <c r="CM27" s="1317"/>
      <c r="CN27" s="1317"/>
      <c r="CO27" s="1317"/>
      <c r="CP27" s="1317"/>
      <c r="CQ27" s="1317"/>
      <c r="CR27" s="1317"/>
      <c r="CS27" s="1317"/>
      <c r="CT27" s="1714"/>
      <c r="CU27" s="262">
        <f>SUM(AI27:BC27)+SUM(BO27:CI27)</f>
        <v>4</v>
      </c>
      <c r="CV27" s="262">
        <f t="shared" ref="CV27:CV38" si="37">SUM(BE27:BN27)+SUM(CK27:CT27)</f>
        <v>1</v>
      </c>
      <c r="CW27" s="8">
        <f t="shared" ref="CW27:CW38" si="38">SUM(BO27:CI27)</f>
        <v>0</v>
      </c>
      <c r="CX27" s="358">
        <f t="shared" ref="CX27:CX38" si="39">+CU27+BD27+CJ27</f>
        <v>10</v>
      </c>
    </row>
    <row r="28" spans="1:102" hidden="1">
      <c r="A28" s="1309">
        <v>43862</v>
      </c>
      <c r="B28" s="1310">
        <f t="shared" si="2"/>
        <v>0</v>
      </c>
      <c r="C28" s="1310">
        <f t="shared" si="3"/>
        <v>1</v>
      </c>
      <c r="D28" s="1310">
        <f t="shared" si="4"/>
        <v>0</v>
      </c>
      <c r="E28" s="1310">
        <f t="shared" si="5"/>
        <v>1</v>
      </c>
      <c r="F28" s="1310">
        <f t="shared" si="6"/>
        <v>0</v>
      </c>
      <c r="G28" s="1310">
        <f t="shared" si="7"/>
        <v>2</v>
      </c>
      <c r="H28" s="1310">
        <f t="shared" si="8"/>
        <v>0</v>
      </c>
      <c r="I28" s="1310">
        <f t="shared" si="9"/>
        <v>0</v>
      </c>
      <c r="J28" s="1310">
        <f t="shared" si="10"/>
        <v>0</v>
      </c>
      <c r="K28" s="3082">
        <f t="shared" si="11"/>
        <v>0</v>
      </c>
      <c r="L28" s="3082">
        <f t="shared" si="12"/>
        <v>1</v>
      </c>
      <c r="M28" s="3086">
        <f t="shared" si="13"/>
        <v>1</v>
      </c>
      <c r="N28" s="1310">
        <f t="shared" si="14"/>
        <v>0</v>
      </c>
      <c r="O28" s="1310">
        <f t="shared" si="15"/>
        <v>0</v>
      </c>
      <c r="P28" s="1310"/>
      <c r="Q28" s="1040">
        <f t="shared" si="16"/>
        <v>0</v>
      </c>
      <c r="R28" s="1310"/>
      <c r="S28" s="1310">
        <f t="shared" si="17"/>
        <v>0</v>
      </c>
      <c r="T28" s="1310">
        <f t="shared" si="18"/>
        <v>1</v>
      </c>
      <c r="U28" s="1310">
        <f t="shared" si="19"/>
        <v>0</v>
      </c>
      <c r="V28" s="1310">
        <f t="shared" ref="V28:V50" si="40">+BB28+CH28</f>
        <v>0</v>
      </c>
      <c r="W28" s="1310">
        <f t="shared" ref="W28:W50" si="41">+BC28+CI28</f>
        <v>0</v>
      </c>
      <c r="X28" s="1310">
        <f t="shared" si="22"/>
        <v>7</v>
      </c>
      <c r="Y28" s="1310">
        <f t="shared" si="23"/>
        <v>0</v>
      </c>
      <c r="Z28" s="1310">
        <f t="shared" si="24"/>
        <v>0</v>
      </c>
      <c r="AA28" s="1310">
        <f t="shared" si="25"/>
        <v>0</v>
      </c>
      <c r="AB28" s="1310">
        <f t="shared" si="26"/>
        <v>0</v>
      </c>
      <c r="AC28" s="1310">
        <f t="shared" si="27"/>
        <v>0</v>
      </c>
      <c r="AD28" s="1310">
        <f t="shared" si="28"/>
        <v>0</v>
      </c>
      <c r="AE28" s="1310">
        <f t="shared" si="29"/>
        <v>0</v>
      </c>
      <c r="AF28" s="1310">
        <f t="shared" si="30"/>
        <v>0</v>
      </c>
      <c r="AG28" s="1310">
        <f t="shared" si="31"/>
        <v>0</v>
      </c>
      <c r="AH28" s="1701">
        <f t="shared" si="32"/>
        <v>0</v>
      </c>
      <c r="AI28" s="1712"/>
      <c r="AJ28" s="1869">
        <v>1</v>
      </c>
      <c r="AK28" s="1869"/>
      <c r="AL28" s="1869">
        <v>1</v>
      </c>
      <c r="AM28" s="1869"/>
      <c r="AN28" s="1869">
        <v>2</v>
      </c>
      <c r="AO28" s="1869"/>
      <c r="AP28" s="1869"/>
      <c r="AQ28" s="1869"/>
      <c r="AR28" s="1869"/>
      <c r="AS28" s="1869">
        <v>1</v>
      </c>
      <c r="AT28" s="1869"/>
      <c r="AU28" s="1869"/>
      <c r="AV28" s="1869"/>
      <c r="AW28" s="1869"/>
      <c r="AX28" s="1871"/>
      <c r="AY28" s="1873"/>
      <c r="AZ28" s="1869">
        <v>1</v>
      </c>
      <c r="BA28" s="1869"/>
      <c r="BB28" s="1869"/>
      <c r="BC28" s="1869"/>
      <c r="BD28" s="1871">
        <v>1</v>
      </c>
      <c r="BE28" s="1873"/>
      <c r="BF28" s="1869"/>
      <c r="BG28" s="1869"/>
      <c r="BH28" s="1869"/>
      <c r="BI28" s="1869"/>
      <c r="BJ28" s="1869"/>
      <c r="BK28" s="1869"/>
      <c r="BL28" s="1869"/>
      <c r="BM28" s="1869"/>
      <c r="BN28" s="1871"/>
      <c r="BO28" s="1868"/>
      <c r="BP28" s="1317"/>
      <c r="BQ28" s="1317"/>
      <c r="BR28" s="1317"/>
      <c r="BS28" s="1317"/>
      <c r="BT28" s="1317"/>
      <c r="BU28" s="1317"/>
      <c r="BV28" s="1317"/>
      <c r="BW28" s="1317"/>
      <c r="BX28" s="1317"/>
      <c r="BY28" s="1317"/>
      <c r="BZ28" s="1317">
        <v>1</v>
      </c>
      <c r="CA28" s="1317"/>
      <c r="CB28" s="1317"/>
      <c r="CC28" s="1714"/>
      <c r="CD28" s="1718"/>
      <c r="CE28" s="1713"/>
      <c r="CF28" s="1317"/>
      <c r="CG28" s="1317"/>
      <c r="CH28" s="1317"/>
      <c r="CI28" s="1317"/>
      <c r="CJ28" s="1714">
        <v>6</v>
      </c>
      <c r="CK28" s="1713"/>
      <c r="CL28" s="1317"/>
      <c r="CM28" s="1317"/>
      <c r="CN28" s="1317"/>
      <c r="CO28" s="1317"/>
      <c r="CP28" s="1317"/>
      <c r="CQ28" s="1317"/>
      <c r="CR28" s="1317"/>
      <c r="CS28" s="1317"/>
      <c r="CT28" s="1714"/>
      <c r="CU28" s="262">
        <f t="shared" ref="CU28:CU38" si="42">SUM(AI28:BC28)+SUM(BO28:CI28)</f>
        <v>7</v>
      </c>
      <c r="CV28" s="262">
        <f t="shared" si="37"/>
        <v>0</v>
      </c>
      <c r="CW28" s="8">
        <f t="shared" si="38"/>
        <v>1</v>
      </c>
      <c r="CX28" s="358">
        <f t="shared" si="39"/>
        <v>14</v>
      </c>
    </row>
    <row r="29" spans="1:102" hidden="1">
      <c r="A29" s="1309">
        <v>43891</v>
      </c>
      <c r="B29" s="1310">
        <f t="shared" si="2"/>
        <v>0</v>
      </c>
      <c r="C29" s="1310">
        <f t="shared" si="3"/>
        <v>0</v>
      </c>
      <c r="D29" s="1310">
        <f t="shared" si="4"/>
        <v>0</v>
      </c>
      <c r="E29" s="1310">
        <f t="shared" si="5"/>
        <v>3</v>
      </c>
      <c r="F29" s="1310">
        <f t="shared" si="6"/>
        <v>0</v>
      </c>
      <c r="G29" s="1310">
        <f t="shared" si="7"/>
        <v>1</v>
      </c>
      <c r="H29" s="1310">
        <f t="shared" si="8"/>
        <v>0</v>
      </c>
      <c r="I29" s="1310">
        <f t="shared" si="9"/>
        <v>0</v>
      </c>
      <c r="J29" s="1310">
        <f t="shared" si="10"/>
        <v>0</v>
      </c>
      <c r="K29" s="3082">
        <f t="shared" si="11"/>
        <v>0</v>
      </c>
      <c r="L29" s="3082">
        <f t="shared" si="12"/>
        <v>0</v>
      </c>
      <c r="M29" s="3086">
        <f t="shared" si="13"/>
        <v>0</v>
      </c>
      <c r="N29" s="1310">
        <f t="shared" si="14"/>
        <v>0</v>
      </c>
      <c r="O29" s="1310">
        <f t="shared" si="15"/>
        <v>0</v>
      </c>
      <c r="P29" s="1310"/>
      <c r="Q29" s="1040">
        <f t="shared" si="16"/>
        <v>0</v>
      </c>
      <c r="R29" s="1310"/>
      <c r="S29" s="1310">
        <f t="shared" si="17"/>
        <v>0</v>
      </c>
      <c r="T29" s="1310">
        <f t="shared" si="18"/>
        <v>1</v>
      </c>
      <c r="U29" s="1310">
        <f t="shared" si="19"/>
        <v>1</v>
      </c>
      <c r="V29" s="1310">
        <f t="shared" si="40"/>
        <v>2</v>
      </c>
      <c r="W29" s="1310">
        <f t="shared" si="41"/>
        <v>0</v>
      </c>
      <c r="X29" s="1310">
        <f t="shared" si="22"/>
        <v>15</v>
      </c>
      <c r="Y29" s="1310">
        <f t="shared" si="23"/>
        <v>0</v>
      </c>
      <c r="Z29" s="1310">
        <f t="shared" si="24"/>
        <v>1</v>
      </c>
      <c r="AA29" s="1310">
        <f t="shared" si="25"/>
        <v>0</v>
      </c>
      <c r="AB29" s="1310">
        <f t="shared" si="26"/>
        <v>1</v>
      </c>
      <c r="AC29" s="1310">
        <f t="shared" si="27"/>
        <v>0</v>
      </c>
      <c r="AD29" s="1310">
        <f t="shared" si="28"/>
        <v>0</v>
      </c>
      <c r="AE29" s="1310">
        <f t="shared" si="29"/>
        <v>0</v>
      </c>
      <c r="AF29" s="1310">
        <f t="shared" si="30"/>
        <v>2</v>
      </c>
      <c r="AG29" s="1310">
        <f t="shared" si="31"/>
        <v>2</v>
      </c>
      <c r="AH29" s="1701">
        <f t="shared" si="32"/>
        <v>0</v>
      </c>
      <c r="AI29" s="1712"/>
      <c r="AJ29" s="1869"/>
      <c r="AK29" s="1869"/>
      <c r="AL29" s="1869">
        <v>2</v>
      </c>
      <c r="AM29" s="1869"/>
      <c r="AN29" s="1869">
        <v>1</v>
      </c>
      <c r="AO29" s="1869"/>
      <c r="AP29" s="1869"/>
      <c r="AQ29" s="1869"/>
      <c r="AR29" s="1869"/>
      <c r="AS29" s="1869"/>
      <c r="AT29" s="1869"/>
      <c r="AU29" s="1869"/>
      <c r="AV29" s="1869"/>
      <c r="AW29" s="1869"/>
      <c r="AX29" s="1871"/>
      <c r="AY29" s="1873"/>
      <c r="AZ29" s="1869"/>
      <c r="BA29" s="1869"/>
      <c r="BB29" s="1869">
        <v>2</v>
      </c>
      <c r="BC29" s="1869"/>
      <c r="BD29" s="1871">
        <v>4</v>
      </c>
      <c r="BE29" s="1873"/>
      <c r="BF29" s="1869">
        <v>1</v>
      </c>
      <c r="BG29" s="1869"/>
      <c r="BH29" s="1869">
        <v>1</v>
      </c>
      <c r="BI29" s="1869"/>
      <c r="BJ29" s="1869"/>
      <c r="BK29" s="1869"/>
      <c r="BL29" s="1869">
        <v>1</v>
      </c>
      <c r="BM29" s="1869">
        <v>1</v>
      </c>
      <c r="BN29" s="1871"/>
      <c r="BO29" s="1868"/>
      <c r="BP29" s="1317"/>
      <c r="BQ29" s="1317"/>
      <c r="BR29" s="1317">
        <v>1</v>
      </c>
      <c r="BS29" s="1317"/>
      <c r="BT29" s="1317"/>
      <c r="BU29" s="1317"/>
      <c r="BV29" s="1317"/>
      <c r="BW29" s="1317"/>
      <c r="BX29" s="1317"/>
      <c r="BY29" s="1317"/>
      <c r="BZ29" s="1317"/>
      <c r="CA29" s="1317"/>
      <c r="CB29" s="1317"/>
      <c r="CC29" s="1714"/>
      <c r="CD29" s="1718"/>
      <c r="CE29" s="1713"/>
      <c r="CF29" s="1317">
        <v>1</v>
      </c>
      <c r="CG29" s="1317">
        <v>1</v>
      </c>
      <c r="CH29" s="1317"/>
      <c r="CI29" s="1317"/>
      <c r="CJ29" s="1714">
        <v>11</v>
      </c>
      <c r="CK29" s="1713"/>
      <c r="CL29" s="1317"/>
      <c r="CM29" s="1317"/>
      <c r="CN29" s="1317"/>
      <c r="CO29" s="1317"/>
      <c r="CP29" s="1317"/>
      <c r="CQ29" s="1317"/>
      <c r="CR29" s="1317">
        <v>1</v>
      </c>
      <c r="CS29" s="1317">
        <v>1</v>
      </c>
      <c r="CT29" s="1714"/>
      <c r="CU29" s="262">
        <f t="shared" si="42"/>
        <v>8</v>
      </c>
      <c r="CV29" s="262">
        <f t="shared" si="37"/>
        <v>6</v>
      </c>
      <c r="CW29" s="8">
        <f t="shared" si="38"/>
        <v>3</v>
      </c>
      <c r="CX29" s="358">
        <f t="shared" si="39"/>
        <v>23</v>
      </c>
    </row>
    <row r="30" spans="1:102" hidden="1">
      <c r="A30" s="1309">
        <v>43922</v>
      </c>
      <c r="B30" s="1310">
        <f t="shared" si="2"/>
        <v>1</v>
      </c>
      <c r="C30" s="1310">
        <f t="shared" si="3"/>
        <v>0</v>
      </c>
      <c r="D30" s="1310">
        <f t="shared" si="4"/>
        <v>1</v>
      </c>
      <c r="E30" s="1310">
        <f t="shared" si="5"/>
        <v>0</v>
      </c>
      <c r="F30" s="1310">
        <f t="shared" si="6"/>
        <v>1</v>
      </c>
      <c r="G30" s="1310">
        <f t="shared" si="7"/>
        <v>1</v>
      </c>
      <c r="H30" s="1310">
        <f t="shared" si="8"/>
        <v>0</v>
      </c>
      <c r="I30" s="1310">
        <f t="shared" si="9"/>
        <v>0</v>
      </c>
      <c r="J30" s="1310">
        <f t="shared" si="10"/>
        <v>0</v>
      </c>
      <c r="K30" s="3082">
        <f t="shared" si="11"/>
        <v>1</v>
      </c>
      <c r="L30" s="3082">
        <f t="shared" si="12"/>
        <v>0</v>
      </c>
      <c r="M30" s="3086">
        <f t="shared" si="13"/>
        <v>0</v>
      </c>
      <c r="N30" s="1310">
        <f t="shared" si="14"/>
        <v>0</v>
      </c>
      <c r="O30" s="1310">
        <f t="shared" si="15"/>
        <v>0</v>
      </c>
      <c r="P30" s="1310"/>
      <c r="Q30" s="1040">
        <f t="shared" si="16"/>
        <v>0</v>
      </c>
      <c r="R30" s="1310"/>
      <c r="S30" s="1310">
        <f t="shared" si="17"/>
        <v>0</v>
      </c>
      <c r="T30" s="1310">
        <f t="shared" si="18"/>
        <v>0</v>
      </c>
      <c r="U30" s="1310">
        <f t="shared" si="19"/>
        <v>0</v>
      </c>
      <c r="V30" s="1310">
        <f t="shared" si="40"/>
        <v>1</v>
      </c>
      <c r="W30" s="1310">
        <f t="shared" si="41"/>
        <v>0</v>
      </c>
      <c r="X30" s="1310">
        <f t="shared" si="22"/>
        <v>0</v>
      </c>
      <c r="Y30" s="1310">
        <f t="shared" si="23"/>
        <v>0</v>
      </c>
      <c r="Z30" s="1310">
        <f t="shared" si="24"/>
        <v>1</v>
      </c>
      <c r="AA30" s="1310">
        <f t="shared" si="25"/>
        <v>0</v>
      </c>
      <c r="AB30" s="1310">
        <f t="shared" si="26"/>
        <v>0</v>
      </c>
      <c r="AC30" s="1310">
        <f t="shared" si="27"/>
        <v>0</v>
      </c>
      <c r="AD30" s="1310">
        <f t="shared" si="28"/>
        <v>0</v>
      </c>
      <c r="AE30" s="1310">
        <f t="shared" si="29"/>
        <v>0</v>
      </c>
      <c r="AF30" s="1310">
        <f t="shared" si="30"/>
        <v>0</v>
      </c>
      <c r="AG30" s="1310">
        <f t="shared" si="31"/>
        <v>0</v>
      </c>
      <c r="AH30" s="1701">
        <f t="shared" si="32"/>
        <v>0</v>
      </c>
      <c r="AI30" s="1712">
        <v>1</v>
      </c>
      <c r="AJ30" s="1869"/>
      <c r="AK30" s="1869">
        <v>1</v>
      </c>
      <c r="AL30" s="1869"/>
      <c r="AM30" s="1869">
        <v>1</v>
      </c>
      <c r="AN30" s="1869">
        <v>1</v>
      </c>
      <c r="AO30" s="1869"/>
      <c r="AP30" s="1869"/>
      <c r="AQ30" s="1869"/>
      <c r="AR30" s="1869"/>
      <c r="AS30" s="1869"/>
      <c r="AT30" s="1869"/>
      <c r="AU30" s="1869"/>
      <c r="AV30" s="1869"/>
      <c r="AW30" s="1869"/>
      <c r="AX30" s="1871"/>
      <c r="AY30" s="1873"/>
      <c r="AZ30" s="1869"/>
      <c r="BA30" s="1869"/>
      <c r="BB30" s="1869">
        <v>1</v>
      </c>
      <c r="BC30" s="1869"/>
      <c r="BD30" s="1871"/>
      <c r="BE30" s="1873"/>
      <c r="BF30" s="1869"/>
      <c r="BG30" s="1869"/>
      <c r="BH30" s="1869"/>
      <c r="BI30" s="1869"/>
      <c r="BJ30" s="1869"/>
      <c r="BK30" s="1869"/>
      <c r="BL30" s="1869"/>
      <c r="BM30" s="1869"/>
      <c r="BN30" s="1871"/>
      <c r="BO30" s="1868"/>
      <c r="BP30" s="1317"/>
      <c r="BQ30" s="1317"/>
      <c r="BR30" s="1317"/>
      <c r="BS30" s="1317"/>
      <c r="BT30" s="1317"/>
      <c r="BU30" s="1317"/>
      <c r="BV30" s="1317"/>
      <c r="BW30" s="1317"/>
      <c r="BX30" s="1317">
        <v>1</v>
      </c>
      <c r="BY30" s="1317"/>
      <c r="BZ30" s="1317"/>
      <c r="CA30" s="1317"/>
      <c r="CB30" s="1317"/>
      <c r="CC30" s="1714"/>
      <c r="CD30" s="1718"/>
      <c r="CE30" s="1713"/>
      <c r="CF30" s="1317"/>
      <c r="CG30" s="1317"/>
      <c r="CH30" s="1317"/>
      <c r="CI30" s="1317"/>
      <c r="CJ30" s="1714"/>
      <c r="CK30" s="1713"/>
      <c r="CL30" s="1317">
        <v>1</v>
      </c>
      <c r="CM30" s="1317"/>
      <c r="CN30" s="1317"/>
      <c r="CO30" s="1317"/>
      <c r="CP30" s="1317"/>
      <c r="CQ30" s="1317"/>
      <c r="CR30" s="1317"/>
      <c r="CS30" s="1317"/>
      <c r="CT30" s="1714"/>
      <c r="CU30" s="262">
        <f t="shared" si="42"/>
        <v>6</v>
      </c>
      <c r="CV30" s="262">
        <f t="shared" si="37"/>
        <v>1</v>
      </c>
      <c r="CW30" s="8">
        <f t="shared" si="38"/>
        <v>1</v>
      </c>
      <c r="CX30" s="358">
        <f t="shared" si="39"/>
        <v>6</v>
      </c>
    </row>
    <row r="31" spans="1:102" hidden="1">
      <c r="A31" s="1309">
        <v>43952</v>
      </c>
      <c r="B31" s="1310">
        <f t="shared" si="2"/>
        <v>0</v>
      </c>
      <c r="C31" s="1310">
        <f t="shared" si="3"/>
        <v>0</v>
      </c>
      <c r="D31" s="1310">
        <f t="shared" si="4"/>
        <v>1</v>
      </c>
      <c r="E31" s="1310">
        <f t="shared" si="5"/>
        <v>1</v>
      </c>
      <c r="F31" s="1310">
        <f t="shared" si="6"/>
        <v>0</v>
      </c>
      <c r="G31" s="1310">
        <f t="shared" si="7"/>
        <v>0</v>
      </c>
      <c r="H31" s="1310">
        <f t="shared" si="8"/>
        <v>0</v>
      </c>
      <c r="I31" s="1310">
        <f t="shared" si="9"/>
        <v>0</v>
      </c>
      <c r="J31" s="1310">
        <f t="shared" si="10"/>
        <v>0</v>
      </c>
      <c r="K31" s="3082">
        <f t="shared" si="11"/>
        <v>1</v>
      </c>
      <c r="L31" s="3082">
        <f t="shared" si="12"/>
        <v>0</v>
      </c>
      <c r="M31" s="3086">
        <f t="shared" si="13"/>
        <v>0</v>
      </c>
      <c r="N31" s="1310">
        <f t="shared" si="14"/>
        <v>0</v>
      </c>
      <c r="O31" s="1310">
        <f t="shared" si="15"/>
        <v>0</v>
      </c>
      <c r="P31" s="1310"/>
      <c r="Q31" s="1040">
        <f t="shared" si="16"/>
        <v>0</v>
      </c>
      <c r="R31" s="1310"/>
      <c r="S31" s="1310">
        <f t="shared" si="17"/>
        <v>0</v>
      </c>
      <c r="T31" s="1310">
        <f t="shared" si="18"/>
        <v>1</v>
      </c>
      <c r="U31" s="1310">
        <f t="shared" si="19"/>
        <v>0</v>
      </c>
      <c r="V31" s="1310">
        <f t="shared" si="40"/>
        <v>0</v>
      </c>
      <c r="W31" s="1310">
        <f t="shared" si="41"/>
        <v>0</v>
      </c>
      <c r="X31" s="1310">
        <f t="shared" si="22"/>
        <v>7</v>
      </c>
      <c r="Y31" s="1310">
        <f t="shared" si="23"/>
        <v>0</v>
      </c>
      <c r="Z31" s="1310">
        <f t="shared" si="24"/>
        <v>0</v>
      </c>
      <c r="AA31" s="1310">
        <f t="shared" si="25"/>
        <v>0</v>
      </c>
      <c r="AB31" s="1310">
        <f t="shared" si="26"/>
        <v>0</v>
      </c>
      <c r="AC31" s="1310">
        <f t="shared" si="27"/>
        <v>0</v>
      </c>
      <c r="AD31" s="1310">
        <f t="shared" si="28"/>
        <v>0</v>
      </c>
      <c r="AE31" s="1310">
        <f t="shared" si="29"/>
        <v>0</v>
      </c>
      <c r="AF31" s="1310">
        <f t="shared" si="30"/>
        <v>1</v>
      </c>
      <c r="AG31" s="1310">
        <f t="shared" si="31"/>
        <v>0</v>
      </c>
      <c r="AH31" s="1701">
        <f t="shared" si="32"/>
        <v>0</v>
      </c>
      <c r="AI31" s="1712"/>
      <c r="AJ31" s="1869"/>
      <c r="AK31" s="1869">
        <v>1</v>
      </c>
      <c r="AL31" s="1869"/>
      <c r="AM31" s="1869"/>
      <c r="AN31" s="1869"/>
      <c r="AO31" s="1869"/>
      <c r="AP31" s="1869"/>
      <c r="AQ31" s="1869"/>
      <c r="AR31" s="1869">
        <v>1</v>
      </c>
      <c r="AS31" s="1869"/>
      <c r="AT31" s="1869"/>
      <c r="AU31" s="1869"/>
      <c r="AV31" s="1869"/>
      <c r="AW31" s="1869"/>
      <c r="AX31" s="1871"/>
      <c r="AY31" s="1873"/>
      <c r="AZ31" s="1869">
        <v>1</v>
      </c>
      <c r="BA31" s="1869"/>
      <c r="BB31" s="1869"/>
      <c r="BC31" s="1869"/>
      <c r="BD31" s="1871"/>
      <c r="BE31" s="1873"/>
      <c r="BF31" s="1869"/>
      <c r="BG31" s="1869"/>
      <c r="BH31" s="1869"/>
      <c r="BI31" s="1869"/>
      <c r="BJ31" s="1869"/>
      <c r="BK31" s="1869"/>
      <c r="BL31" s="1869">
        <v>1</v>
      </c>
      <c r="BM31" s="1869"/>
      <c r="BN31" s="1871"/>
      <c r="BO31" s="1868"/>
      <c r="BP31" s="1317"/>
      <c r="BQ31" s="1317"/>
      <c r="BR31" s="1317">
        <v>1</v>
      </c>
      <c r="BS31" s="1317"/>
      <c r="BT31" s="1317"/>
      <c r="BU31" s="1317"/>
      <c r="BV31" s="1317"/>
      <c r="BW31" s="1317"/>
      <c r="BX31" s="1317"/>
      <c r="BY31" s="1317"/>
      <c r="BZ31" s="1317"/>
      <c r="CA31" s="1317"/>
      <c r="CB31" s="1317"/>
      <c r="CC31" s="1714"/>
      <c r="CD31" s="1718"/>
      <c r="CE31" s="1713"/>
      <c r="CF31" s="1317"/>
      <c r="CG31" s="1317"/>
      <c r="CH31" s="1317"/>
      <c r="CI31" s="1317"/>
      <c r="CJ31" s="1714">
        <v>7</v>
      </c>
      <c r="CK31" s="1713"/>
      <c r="CL31" s="1317"/>
      <c r="CM31" s="1317"/>
      <c r="CN31" s="1317"/>
      <c r="CO31" s="1317"/>
      <c r="CP31" s="1317"/>
      <c r="CQ31" s="1317"/>
      <c r="CR31" s="1317"/>
      <c r="CS31" s="1317"/>
      <c r="CT31" s="1714"/>
      <c r="CU31" s="262">
        <f t="shared" si="42"/>
        <v>4</v>
      </c>
      <c r="CV31" s="262">
        <f t="shared" si="37"/>
        <v>1</v>
      </c>
      <c r="CW31" s="8">
        <f t="shared" si="38"/>
        <v>1</v>
      </c>
      <c r="CX31" s="358">
        <f t="shared" si="39"/>
        <v>11</v>
      </c>
    </row>
    <row r="32" spans="1:102" hidden="1">
      <c r="A32" s="1309">
        <v>43983</v>
      </c>
      <c r="B32" s="1310">
        <f t="shared" si="2"/>
        <v>0</v>
      </c>
      <c r="C32" s="1310">
        <f t="shared" si="3"/>
        <v>0</v>
      </c>
      <c r="D32" s="1310">
        <f t="shared" si="4"/>
        <v>0</v>
      </c>
      <c r="E32" s="1310">
        <f t="shared" si="5"/>
        <v>1</v>
      </c>
      <c r="F32" s="1310">
        <f t="shared" si="6"/>
        <v>0</v>
      </c>
      <c r="G32" s="1310">
        <f t="shared" si="7"/>
        <v>0</v>
      </c>
      <c r="H32" s="1310">
        <f t="shared" si="8"/>
        <v>0</v>
      </c>
      <c r="I32" s="1310">
        <f t="shared" si="9"/>
        <v>0</v>
      </c>
      <c r="J32" s="1310">
        <f t="shared" si="10"/>
        <v>0</v>
      </c>
      <c r="K32" s="3082">
        <f t="shared" si="11"/>
        <v>0</v>
      </c>
      <c r="L32" s="3082">
        <f t="shared" si="12"/>
        <v>0</v>
      </c>
      <c r="M32" s="3086">
        <f t="shared" si="13"/>
        <v>0</v>
      </c>
      <c r="N32" s="1310">
        <f t="shared" si="14"/>
        <v>0</v>
      </c>
      <c r="O32" s="1310">
        <f t="shared" si="15"/>
        <v>0</v>
      </c>
      <c r="P32" s="1310"/>
      <c r="Q32" s="1040">
        <f t="shared" si="16"/>
        <v>0</v>
      </c>
      <c r="R32" s="1310"/>
      <c r="S32" s="1310">
        <f t="shared" si="17"/>
        <v>0</v>
      </c>
      <c r="T32" s="1310">
        <f t="shared" si="18"/>
        <v>0</v>
      </c>
      <c r="U32" s="1310">
        <f t="shared" si="19"/>
        <v>0</v>
      </c>
      <c r="V32" s="1310">
        <f t="shared" si="40"/>
        <v>0</v>
      </c>
      <c r="W32" s="1310">
        <f t="shared" si="41"/>
        <v>0</v>
      </c>
      <c r="X32" s="1310">
        <f t="shared" si="22"/>
        <v>5</v>
      </c>
      <c r="Y32" s="1310">
        <f t="shared" si="23"/>
        <v>0</v>
      </c>
      <c r="Z32" s="1310">
        <f t="shared" si="24"/>
        <v>1</v>
      </c>
      <c r="AA32" s="1310">
        <f t="shared" si="25"/>
        <v>0</v>
      </c>
      <c r="AB32" s="1310">
        <f t="shared" si="26"/>
        <v>0</v>
      </c>
      <c r="AC32" s="1310">
        <f t="shared" si="27"/>
        <v>1</v>
      </c>
      <c r="AD32" s="1310">
        <f t="shared" si="28"/>
        <v>2</v>
      </c>
      <c r="AE32" s="1310">
        <f t="shared" si="29"/>
        <v>0</v>
      </c>
      <c r="AF32" s="1310">
        <f t="shared" si="30"/>
        <v>1</v>
      </c>
      <c r="AG32" s="1310">
        <f t="shared" si="31"/>
        <v>0</v>
      </c>
      <c r="AH32" s="1701">
        <f t="shared" si="32"/>
        <v>0</v>
      </c>
      <c r="AI32" s="1712"/>
      <c r="AJ32" s="1869"/>
      <c r="AK32" s="1869"/>
      <c r="AL32" s="1869">
        <v>1</v>
      </c>
      <c r="AM32" s="1869"/>
      <c r="AN32" s="1869"/>
      <c r="AO32" s="1869"/>
      <c r="AP32" s="1869"/>
      <c r="AQ32" s="1869"/>
      <c r="AR32" s="1869"/>
      <c r="AS32" s="1869"/>
      <c r="AT32" s="1869"/>
      <c r="AU32" s="1869"/>
      <c r="AV32" s="1869"/>
      <c r="AW32" s="1869"/>
      <c r="AX32" s="1871"/>
      <c r="AY32" s="1873"/>
      <c r="AZ32" s="1869"/>
      <c r="BA32" s="1869"/>
      <c r="BB32" s="1869"/>
      <c r="BC32" s="1869"/>
      <c r="BD32" s="1871"/>
      <c r="BE32" s="1873"/>
      <c r="BF32" s="1869">
        <v>1</v>
      </c>
      <c r="BG32" s="1869"/>
      <c r="BH32" s="1869"/>
      <c r="BI32" s="1869"/>
      <c r="BJ32" s="1869">
        <v>1</v>
      </c>
      <c r="BK32" s="1869"/>
      <c r="BL32" s="1869">
        <v>1</v>
      </c>
      <c r="BM32" s="1869"/>
      <c r="BN32" s="1871"/>
      <c r="BO32" s="1868"/>
      <c r="BP32" s="1317"/>
      <c r="BQ32" s="1317"/>
      <c r="BR32" s="1317"/>
      <c r="BS32" s="1317"/>
      <c r="BT32" s="1317"/>
      <c r="BU32" s="1317"/>
      <c r="BV32" s="1317"/>
      <c r="BW32" s="1317"/>
      <c r="BX32" s="1317"/>
      <c r="BY32" s="1317"/>
      <c r="BZ32" s="1317"/>
      <c r="CA32" s="1317"/>
      <c r="CB32" s="1317"/>
      <c r="CC32" s="1714"/>
      <c r="CD32" s="1718"/>
      <c r="CE32" s="1713"/>
      <c r="CF32" s="1317"/>
      <c r="CG32" s="1317"/>
      <c r="CH32" s="1317"/>
      <c r="CI32" s="1317"/>
      <c r="CJ32" s="1714">
        <v>5</v>
      </c>
      <c r="CK32" s="1713"/>
      <c r="CL32" s="1317"/>
      <c r="CM32" s="1317"/>
      <c r="CN32" s="1317"/>
      <c r="CO32" s="1317">
        <v>1</v>
      </c>
      <c r="CP32" s="1317">
        <v>1</v>
      </c>
      <c r="CQ32" s="1317"/>
      <c r="CR32" s="1317"/>
      <c r="CS32" s="1317"/>
      <c r="CT32" s="1714"/>
      <c r="CU32" s="262">
        <f t="shared" si="42"/>
        <v>1</v>
      </c>
      <c r="CV32" s="262">
        <f t="shared" si="37"/>
        <v>5</v>
      </c>
      <c r="CW32" s="8">
        <f t="shared" si="38"/>
        <v>0</v>
      </c>
      <c r="CX32" s="358">
        <f t="shared" si="39"/>
        <v>6</v>
      </c>
    </row>
    <row r="33" spans="1:102" hidden="1">
      <c r="A33" s="1309">
        <v>44013</v>
      </c>
      <c r="B33" s="1310">
        <f t="shared" si="2"/>
        <v>0</v>
      </c>
      <c r="C33" s="1310">
        <f t="shared" si="3"/>
        <v>1</v>
      </c>
      <c r="D33" s="1310">
        <f t="shared" si="4"/>
        <v>0</v>
      </c>
      <c r="E33" s="1310">
        <f t="shared" si="5"/>
        <v>2</v>
      </c>
      <c r="F33" s="1310">
        <f t="shared" si="6"/>
        <v>1</v>
      </c>
      <c r="G33" s="1310">
        <f t="shared" si="7"/>
        <v>0</v>
      </c>
      <c r="H33" s="1310">
        <f t="shared" si="8"/>
        <v>0</v>
      </c>
      <c r="I33" s="1310">
        <f t="shared" si="9"/>
        <v>1</v>
      </c>
      <c r="J33" s="1310">
        <f t="shared" si="10"/>
        <v>0</v>
      </c>
      <c r="K33" s="3082">
        <f t="shared" si="11"/>
        <v>0</v>
      </c>
      <c r="L33" s="3082">
        <f t="shared" si="12"/>
        <v>0</v>
      </c>
      <c r="M33" s="3086">
        <f t="shared" si="13"/>
        <v>0</v>
      </c>
      <c r="N33" s="1310">
        <f t="shared" si="14"/>
        <v>0</v>
      </c>
      <c r="O33" s="1310">
        <f t="shared" si="15"/>
        <v>0</v>
      </c>
      <c r="P33" s="1310"/>
      <c r="Q33" s="1040">
        <f t="shared" si="16"/>
        <v>0</v>
      </c>
      <c r="R33" s="1310"/>
      <c r="S33" s="1310">
        <f t="shared" si="17"/>
        <v>0</v>
      </c>
      <c r="T33" s="1310">
        <f t="shared" si="18"/>
        <v>1</v>
      </c>
      <c r="U33" s="1310">
        <f t="shared" si="19"/>
        <v>0</v>
      </c>
      <c r="V33" s="1310">
        <f t="shared" si="40"/>
        <v>0</v>
      </c>
      <c r="W33" s="1310">
        <f t="shared" si="41"/>
        <v>1</v>
      </c>
      <c r="X33" s="1310">
        <f t="shared" si="22"/>
        <v>14</v>
      </c>
      <c r="Y33" s="1310">
        <f t="shared" si="23"/>
        <v>0</v>
      </c>
      <c r="Z33" s="1310">
        <f t="shared" si="24"/>
        <v>1</v>
      </c>
      <c r="AA33" s="1310">
        <f t="shared" si="25"/>
        <v>0</v>
      </c>
      <c r="AB33" s="1310">
        <f t="shared" si="26"/>
        <v>0</v>
      </c>
      <c r="AC33" s="1310">
        <f t="shared" si="27"/>
        <v>0</v>
      </c>
      <c r="AD33" s="1310">
        <f t="shared" si="28"/>
        <v>0</v>
      </c>
      <c r="AE33" s="1310">
        <f t="shared" si="29"/>
        <v>0</v>
      </c>
      <c r="AF33" s="1310">
        <f t="shared" si="30"/>
        <v>0</v>
      </c>
      <c r="AG33" s="1310">
        <f t="shared" si="31"/>
        <v>0</v>
      </c>
      <c r="AH33" s="1701">
        <f t="shared" si="32"/>
        <v>0</v>
      </c>
      <c r="AI33" s="1712"/>
      <c r="AJ33" s="1869">
        <v>1</v>
      </c>
      <c r="AK33" s="1869"/>
      <c r="AL33" s="1869">
        <v>2</v>
      </c>
      <c r="AM33" s="1869"/>
      <c r="AN33" s="1869"/>
      <c r="AO33" s="1869"/>
      <c r="AP33" s="1869">
        <v>1</v>
      </c>
      <c r="AQ33" s="1869"/>
      <c r="AR33" s="1869"/>
      <c r="AS33" s="1869"/>
      <c r="AT33" s="1869"/>
      <c r="AU33" s="1869"/>
      <c r="AV33" s="1869"/>
      <c r="AW33" s="1869"/>
      <c r="AX33" s="1871"/>
      <c r="AY33" s="1873"/>
      <c r="AZ33" s="1869">
        <v>1</v>
      </c>
      <c r="BA33" s="1869"/>
      <c r="BB33" s="1869"/>
      <c r="BC33" s="1869">
        <v>1</v>
      </c>
      <c r="BD33" s="1871"/>
      <c r="BE33" s="1873"/>
      <c r="BF33" s="1869">
        <v>1</v>
      </c>
      <c r="BG33" s="1869"/>
      <c r="BH33" s="1869"/>
      <c r="BI33" s="1869"/>
      <c r="BJ33" s="1869"/>
      <c r="BK33" s="1869"/>
      <c r="BL33" s="1869"/>
      <c r="BM33" s="1869"/>
      <c r="BN33" s="1871"/>
      <c r="BO33" s="1868"/>
      <c r="BP33" s="1317"/>
      <c r="BQ33" s="1317"/>
      <c r="BR33" s="1317"/>
      <c r="BS33" s="1317">
        <v>1</v>
      </c>
      <c r="BT33" s="1317"/>
      <c r="BU33" s="1317"/>
      <c r="BV33" s="1317"/>
      <c r="BW33" s="1317"/>
      <c r="BX33" s="1317"/>
      <c r="BY33" s="1317"/>
      <c r="BZ33" s="1317"/>
      <c r="CA33" s="1317"/>
      <c r="CB33" s="1317"/>
      <c r="CC33" s="1714"/>
      <c r="CD33" s="1718"/>
      <c r="CE33" s="1713"/>
      <c r="CF33" s="1317"/>
      <c r="CG33" s="1317"/>
      <c r="CH33" s="1317"/>
      <c r="CI33" s="1317"/>
      <c r="CJ33" s="1714">
        <v>14</v>
      </c>
      <c r="CK33" s="1713"/>
      <c r="CL33" s="1317"/>
      <c r="CM33" s="1317"/>
      <c r="CN33" s="1317"/>
      <c r="CO33" s="1317"/>
      <c r="CP33" s="1317"/>
      <c r="CQ33" s="1317"/>
      <c r="CR33" s="1317"/>
      <c r="CS33" s="1317"/>
      <c r="CT33" s="1714"/>
      <c r="CU33" s="262">
        <f t="shared" si="42"/>
        <v>7</v>
      </c>
      <c r="CV33" s="262">
        <f t="shared" si="37"/>
        <v>1</v>
      </c>
      <c r="CW33" s="8">
        <f t="shared" si="38"/>
        <v>1</v>
      </c>
      <c r="CX33" s="358">
        <f t="shared" si="39"/>
        <v>21</v>
      </c>
    </row>
    <row r="34" spans="1:102" hidden="1">
      <c r="A34" s="1309">
        <v>44044</v>
      </c>
      <c r="B34" s="1310">
        <f t="shared" si="2"/>
        <v>1</v>
      </c>
      <c r="C34" s="1310">
        <f t="shared" si="3"/>
        <v>0</v>
      </c>
      <c r="D34" s="1310">
        <f t="shared" si="4"/>
        <v>1</v>
      </c>
      <c r="E34" s="1310">
        <f t="shared" si="5"/>
        <v>2</v>
      </c>
      <c r="F34" s="1310">
        <f t="shared" si="6"/>
        <v>0</v>
      </c>
      <c r="G34" s="1310">
        <f t="shared" si="7"/>
        <v>0</v>
      </c>
      <c r="H34" s="1310">
        <f t="shared" si="8"/>
        <v>0</v>
      </c>
      <c r="I34" s="1310">
        <f t="shared" si="9"/>
        <v>1</v>
      </c>
      <c r="J34" s="1310">
        <f t="shared" si="10"/>
        <v>1</v>
      </c>
      <c r="K34" s="3082">
        <f t="shared" si="11"/>
        <v>0</v>
      </c>
      <c r="L34" s="3082">
        <f t="shared" si="12"/>
        <v>0</v>
      </c>
      <c r="M34" s="3086">
        <f t="shared" si="13"/>
        <v>0</v>
      </c>
      <c r="N34" s="1310">
        <f t="shared" si="14"/>
        <v>0</v>
      </c>
      <c r="O34" s="1310">
        <f t="shared" si="15"/>
        <v>0</v>
      </c>
      <c r="P34" s="1310"/>
      <c r="Q34" s="1040">
        <f t="shared" si="16"/>
        <v>1</v>
      </c>
      <c r="R34" s="1310"/>
      <c r="S34" s="1310">
        <f t="shared" si="17"/>
        <v>0</v>
      </c>
      <c r="T34" s="1310">
        <f t="shared" si="18"/>
        <v>0</v>
      </c>
      <c r="U34" s="1310">
        <f t="shared" si="19"/>
        <v>0</v>
      </c>
      <c r="V34" s="1310">
        <f t="shared" si="40"/>
        <v>0</v>
      </c>
      <c r="W34" s="1310">
        <f t="shared" si="41"/>
        <v>0</v>
      </c>
      <c r="X34" s="1310">
        <f t="shared" si="22"/>
        <v>4</v>
      </c>
      <c r="Y34" s="1310">
        <f t="shared" si="23"/>
        <v>1</v>
      </c>
      <c r="Z34" s="1310">
        <f t="shared" si="24"/>
        <v>0</v>
      </c>
      <c r="AA34" s="1310">
        <f t="shared" si="25"/>
        <v>1</v>
      </c>
      <c r="AB34" s="1310">
        <f t="shared" si="26"/>
        <v>0</v>
      </c>
      <c r="AC34" s="1310">
        <f t="shared" si="27"/>
        <v>0</v>
      </c>
      <c r="AD34" s="1310">
        <f t="shared" si="28"/>
        <v>1</v>
      </c>
      <c r="AE34" s="1310">
        <f t="shared" si="29"/>
        <v>0</v>
      </c>
      <c r="AF34" s="1310">
        <f t="shared" si="30"/>
        <v>0</v>
      </c>
      <c r="AG34" s="1310">
        <f t="shared" si="31"/>
        <v>0</v>
      </c>
      <c r="AH34" s="1701">
        <f t="shared" si="32"/>
        <v>0</v>
      </c>
      <c r="AI34" s="1712">
        <v>1</v>
      </c>
      <c r="AJ34" s="1869"/>
      <c r="AK34" s="1869">
        <v>1</v>
      </c>
      <c r="AL34" s="1869">
        <v>1</v>
      </c>
      <c r="AM34" s="1869"/>
      <c r="AN34" s="1869"/>
      <c r="AO34" s="1869"/>
      <c r="AP34" s="1869">
        <v>1</v>
      </c>
      <c r="AQ34" s="1869">
        <v>1</v>
      </c>
      <c r="AR34" s="1869"/>
      <c r="AS34" s="1869"/>
      <c r="AT34" s="1869"/>
      <c r="AU34" s="1869"/>
      <c r="AV34" s="1869"/>
      <c r="AW34" s="1869">
        <v>1</v>
      </c>
      <c r="AX34" s="1871"/>
      <c r="AY34" s="1873"/>
      <c r="AZ34" s="1869"/>
      <c r="BA34" s="1869"/>
      <c r="BB34" s="1869"/>
      <c r="BC34" s="1869"/>
      <c r="BD34" s="1871">
        <v>1</v>
      </c>
      <c r="BE34" s="1873"/>
      <c r="BF34" s="1869"/>
      <c r="BG34" s="1869">
        <v>1</v>
      </c>
      <c r="BH34" s="1869"/>
      <c r="BI34" s="1869"/>
      <c r="BJ34" s="1869"/>
      <c r="BK34" s="1869"/>
      <c r="BL34" s="1869"/>
      <c r="BM34" s="1869"/>
      <c r="BN34" s="1871"/>
      <c r="BO34" s="1868"/>
      <c r="BP34" s="1317"/>
      <c r="BQ34" s="1317"/>
      <c r="BR34" s="1317">
        <v>1</v>
      </c>
      <c r="BS34" s="1317"/>
      <c r="BT34" s="1317"/>
      <c r="BU34" s="1317"/>
      <c r="BV34" s="1317"/>
      <c r="BW34" s="1317"/>
      <c r="BX34" s="1317"/>
      <c r="BY34" s="1317"/>
      <c r="BZ34" s="1317"/>
      <c r="CA34" s="1317"/>
      <c r="CB34" s="1317"/>
      <c r="CC34" s="1714"/>
      <c r="CD34" s="1718"/>
      <c r="CE34" s="1713"/>
      <c r="CF34" s="1317"/>
      <c r="CG34" s="1317"/>
      <c r="CH34" s="1317"/>
      <c r="CI34" s="1317"/>
      <c r="CJ34" s="1714">
        <v>3</v>
      </c>
      <c r="CK34" s="1713">
        <v>1</v>
      </c>
      <c r="CL34" s="1317"/>
      <c r="CM34" s="1317"/>
      <c r="CN34" s="1317"/>
      <c r="CO34" s="1317"/>
      <c r="CP34" s="1317">
        <v>1</v>
      </c>
      <c r="CQ34" s="1317"/>
      <c r="CR34" s="1317"/>
      <c r="CS34" s="1317"/>
      <c r="CT34" s="1714"/>
      <c r="CU34" s="262">
        <f t="shared" si="42"/>
        <v>7</v>
      </c>
      <c r="CV34" s="262">
        <f t="shared" si="37"/>
        <v>3</v>
      </c>
      <c r="CW34" s="8">
        <f t="shared" si="38"/>
        <v>1</v>
      </c>
      <c r="CX34" s="358">
        <f t="shared" si="39"/>
        <v>11</v>
      </c>
    </row>
    <row r="35" spans="1:102" hidden="1">
      <c r="A35" s="1309">
        <v>44075</v>
      </c>
      <c r="B35" s="1310">
        <f t="shared" si="2"/>
        <v>1</v>
      </c>
      <c r="C35" s="1310">
        <f t="shared" si="3"/>
        <v>0</v>
      </c>
      <c r="D35" s="1310">
        <f t="shared" si="4"/>
        <v>0</v>
      </c>
      <c r="E35" s="1310">
        <f t="shared" si="5"/>
        <v>2</v>
      </c>
      <c r="F35" s="1310">
        <f t="shared" si="6"/>
        <v>0</v>
      </c>
      <c r="G35" s="1310">
        <f t="shared" si="7"/>
        <v>1</v>
      </c>
      <c r="H35" s="1310">
        <f t="shared" si="8"/>
        <v>0</v>
      </c>
      <c r="I35" s="1310">
        <f t="shared" si="9"/>
        <v>0</v>
      </c>
      <c r="J35" s="1310">
        <f t="shared" si="10"/>
        <v>1</v>
      </c>
      <c r="K35" s="3082">
        <f t="shared" si="11"/>
        <v>0</v>
      </c>
      <c r="L35" s="3082">
        <f t="shared" si="12"/>
        <v>0</v>
      </c>
      <c r="M35" s="3086">
        <f t="shared" si="13"/>
        <v>0</v>
      </c>
      <c r="N35" s="1310">
        <f t="shared" si="14"/>
        <v>0</v>
      </c>
      <c r="O35" s="1310">
        <f t="shared" si="15"/>
        <v>0</v>
      </c>
      <c r="P35" s="1310"/>
      <c r="Q35" s="1040">
        <f t="shared" si="16"/>
        <v>1</v>
      </c>
      <c r="R35" s="1310"/>
      <c r="S35" s="1310">
        <f t="shared" si="17"/>
        <v>0</v>
      </c>
      <c r="T35" s="1310">
        <f t="shared" si="18"/>
        <v>0</v>
      </c>
      <c r="U35" s="1310">
        <f t="shared" si="19"/>
        <v>0</v>
      </c>
      <c r="V35" s="1310">
        <f t="shared" si="40"/>
        <v>0</v>
      </c>
      <c r="W35" s="1310">
        <f t="shared" si="41"/>
        <v>1</v>
      </c>
      <c r="X35" s="1310">
        <f t="shared" si="22"/>
        <v>8</v>
      </c>
      <c r="Y35" s="1310">
        <f t="shared" si="23"/>
        <v>0</v>
      </c>
      <c r="Z35" s="1310">
        <f t="shared" si="24"/>
        <v>1</v>
      </c>
      <c r="AA35" s="1310">
        <f t="shared" si="25"/>
        <v>0</v>
      </c>
      <c r="AB35" s="1310">
        <f t="shared" si="26"/>
        <v>2</v>
      </c>
      <c r="AC35" s="1310">
        <f t="shared" si="27"/>
        <v>0</v>
      </c>
      <c r="AD35" s="1310">
        <f t="shared" si="28"/>
        <v>1</v>
      </c>
      <c r="AE35" s="1310">
        <f t="shared" si="29"/>
        <v>0</v>
      </c>
      <c r="AF35" s="1310">
        <f t="shared" si="30"/>
        <v>0</v>
      </c>
      <c r="AG35" s="1310">
        <f t="shared" si="31"/>
        <v>0</v>
      </c>
      <c r="AH35" s="1701">
        <f t="shared" si="32"/>
        <v>0</v>
      </c>
      <c r="AI35" s="1712">
        <v>1</v>
      </c>
      <c r="AJ35" s="1869"/>
      <c r="AK35" s="1869"/>
      <c r="AL35" s="1869">
        <v>1</v>
      </c>
      <c r="AM35" s="1869"/>
      <c r="AN35" s="1869">
        <v>1</v>
      </c>
      <c r="AO35" s="1869"/>
      <c r="AP35" s="1869"/>
      <c r="AQ35" s="1869">
        <v>1</v>
      </c>
      <c r="AR35" s="1869"/>
      <c r="AS35" s="1869"/>
      <c r="AT35" s="1869"/>
      <c r="AU35" s="1869"/>
      <c r="AV35" s="1869"/>
      <c r="AW35" s="1869">
        <v>1</v>
      </c>
      <c r="AX35" s="1871"/>
      <c r="AY35" s="1873"/>
      <c r="AZ35" s="1869"/>
      <c r="BA35" s="1869"/>
      <c r="BB35" s="1869"/>
      <c r="BC35" s="1869"/>
      <c r="BD35" s="1871">
        <v>1</v>
      </c>
      <c r="BE35" s="1873"/>
      <c r="BF35" s="1869">
        <v>1</v>
      </c>
      <c r="BG35" s="1869"/>
      <c r="BH35" s="1869">
        <v>1</v>
      </c>
      <c r="BI35" s="1869"/>
      <c r="BJ35" s="1869"/>
      <c r="BK35" s="1869"/>
      <c r="BL35" s="1869"/>
      <c r="BM35" s="1869"/>
      <c r="BN35" s="1871"/>
      <c r="BO35" s="1868"/>
      <c r="BP35" s="1317"/>
      <c r="BQ35" s="1317"/>
      <c r="BR35" s="1317">
        <v>1</v>
      </c>
      <c r="BS35" s="1317"/>
      <c r="BT35" s="1317"/>
      <c r="BU35" s="1317"/>
      <c r="BV35" s="1317"/>
      <c r="BW35" s="1317"/>
      <c r="BX35" s="1317"/>
      <c r="BY35" s="1317"/>
      <c r="BZ35" s="1317"/>
      <c r="CA35" s="1317"/>
      <c r="CB35" s="1317"/>
      <c r="CC35" s="1714"/>
      <c r="CD35" s="1718"/>
      <c r="CE35" s="1713"/>
      <c r="CF35" s="1317"/>
      <c r="CG35" s="1317"/>
      <c r="CH35" s="1317"/>
      <c r="CI35" s="1317">
        <v>1</v>
      </c>
      <c r="CJ35" s="1714">
        <v>7</v>
      </c>
      <c r="CK35" s="1713"/>
      <c r="CL35" s="1317"/>
      <c r="CM35" s="1317"/>
      <c r="CN35" s="1317">
        <v>1</v>
      </c>
      <c r="CO35" s="1317"/>
      <c r="CP35" s="1317">
        <v>1</v>
      </c>
      <c r="CQ35" s="1317"/>
      <c r="CR35" s="1317"/>
      <c r="CS35" s="1317"/>
      <c r="CT35" s="1714"/>
      <c r="CU35" s="262">
        <f t="shared" si="42"/>
        <v>7</v>
      </c>
      <c r="CV35" s="262">
        <f t="shared" si="37"/>
        <v>4</v>
      </c>
      <c r="CW35" s="8">
        <f t="shared" si="38"/>
        <v>2</v>
      </c>
      <c r="CX35" s="358">
        <f t="shared" si="39"/>
        <v>15</v>
      </c>
    </row>
    <row r="36" spans="1:102" hidden="1">
      <c r="A36" s="1309">
        <v>44105</v>
      </c>
      <c r="B36" s="1310">
        <f t="shared" si="2"/>
        <v>1</v>
      </c>
      <c r="C36" s="1310">
        <f t="shared" si="3"/>
        <v>0</v>
      </c>
      <c r="D36" s="1310">
        <f t="shared" si="4"/>
        <v>0</v>
      </c>
      <c r="E36" s="1310">
        <f t="shared" si="5"/>
        <v>3</v>
      </c>
      <c r="F36" s="1310">
        <f t="shared" si="6"/>
        <v>0</v>
      </c>
      <c r="G36" s="1310">
        <f t="shared" si="7"/>
        <v>1</v>
      </c>
      <c r="H36" s="1310">
        <f t="shared" si="8"/>
        <v>0</v>
      </c>
      <c r="I36" s="1310">
        <f t="shared" si="9"/>
        <v>0</v>
      </c>
      <c r="J36" s="1310">
        <f t="shared" si="10"/>
        <v>1</v>
      </c>
      <c r="K36" s="3082">
        <f t="shared" si="11"/>
        <v>0</v>
      </c>
      <c r="L36" s="3082">
        <f t="shared" si="12"/>
        <v>0</v>
      </c>
      <c r="M36" s="3086">
        <f t="shared" si="13"/>
        <v>0</v>
      </c>
      <c r="N36" s="1310">
        <f t="shared" si="14"/>
        <v>0</v>
      </c>
      <c r="O36" s="1310">
        <f t="shared" si="15"/>
        <v>0</v>
      </c>
      <c r="P36" s="1310"/>
      <c r="Q36" s="1040">
        <f t="shared" si="16"/>
        <v>0</v>
      </c>
      <c r="R36" s="1310"/>
      <c r="S36" s="1310">
        <f t="shared" si="17"/>
        <v>0</v>
      </c>
      <c r="T36" s="1310">
        <f t="shared" si="18"/>
        <v>0</v>
      </c>
      <c r="U36" s="1310">
        <f t="shared" si="19"/>
        <v>0</v>
      </c>
      <c r="V36" s="1310">
        <f t="shared" si="40"/>
        <v>0</v>
      </c>
      <c r="W36" s="1310">
        <f t="shared" si="41"/>
        <v>1</v>
      </c>
      <c r="X36" s="1310">
        <f t="shared" si="22"/>
        <v>12</v>
      </c>
      <c r="Y36" s="1310">
        <f t="shared" si="23"/>
        <v>0</v>
      </c>
      <c r="Z36" s="1310">
        <f t="shared" si="24"/>
        <v>0</v>
      </c>
      <c r="AA36" s="1310">
        <f t="shared" si="25"/>
        <v>0</v>
      </c>
      <c r="AB36" s="1310">
        <f t="shared" si="26"/>
        <v>0</v>
      </c>
      <c r="AC36" s="1310">
        <f t="shared" si="27"/>
        <v>0</v>
      </c>
      <c r="AD36" s="1310">
        <f t="shared" si="28"/>
        <v>0</v>
      </c>
      <c r="AE36" s="1310">
        <f t="shared" si="29"/>
        <v>0</v>
      </c>
      <c r="AF36" s="1310">
        <f t="shared" si="30"/>
        <v>0</v>
      </c>
      <c r="AG36" s="1310">
        <f t="shared" si="31"/>
        <v>1</v>
      </c>
      <c r="AH36" s="1701">
        <f t="shared" si="32"/>
        <v>0</v>
      </c>
      <c r="AI36" s="1712">
        <v>1</v>
      </c>
      <c r="AJ36" s="1869"/>
      <c r="AK36" s="1869"/>
      <c r="AL36" s="1869">
        <v>3</v>
      </c>
      <c r="AM36" s="1869"/>
      <c r="AN36" s="1869">
        <v>1</v>
      </c>
      <c r="AO36" s="1869"/>
      <c r="AP36" s="1869"/>
      <c r="AQ36" s="1869">
        <v>1</v>
      </c>
      <c r="AR36" s="1869"/>
      <c r="AS36" s="1869"/>
      <c r="AT36" s="1869"/>
      <c r="AU36" s="1869"/>
      <c r="AV36" s="1869"/>
      <c r="AW36" s="1869"/>
      <c r="AX36" s="1871"/>
      <c r="AY36" s="1873"/>
      <c r="AZ36" s="1869"/>
      <c r="BA36" s="1869"/>
      <c r="BB36" s="1869"/>
      <c r="BC36" s="1869">
        <v>1</v>
      </c>
      <c r="BD36" s="1871"/>
      <c r="BE36" s="1873"/>
      <c r="BF36" s="1869"/>
      <c r="BG36" s="1869"/>
      <c r="BH36" s="1869"/>
      <c r="BI36" s="1869"/>
      <c r="BJ36" s="1869"/>
      <c r="BK36" s="1869"/>
      <c r="BL36" s="1869"/>
      <c r="BM36" s="1869">
        <v>1</v>
      </c>
      <c r="BN36" s="1871"/>
      <c r="BO36" s="1868"/>
      <c r="BP36" s="1317"/>
      <c r="BQ36" s="1317"/>
      <c r="BR36" s="1317"/>
      <c r="BS36" s="1317"/>
      <c r="BT36" s="1317"/>
      <c r="BU36" s="1317"/>
      <c r="BV36" s="1317"/>
      <c r="BW36" s="1317"/>
      <c r="BX36" s="1317"/>
      <c r="BY36" s="1317"/>
      <c r="BZ36" s="1317"/>
      <c r="CA36" s="1317"/>
      <c r="CB36" s="1317"/>
      <c r="CC36" s="1317"/>
      <c r="CD36" s="1317"/>
      <c r="CE36" s="1317"/>
      <c r="CF36" s="1317"/>
      <c r="CG36" s="1317"/>
      <c r="CH36" s="1317"/>
      <c r="CI36" s="1317"/>
      <c r="CJ36" s="1317">
        <v>12</v>
      </c>
      <c r="CK36" s="1317"/>
      <c r="CL36" s="1317"/>
      <c r="CM36" s="1317"/>
      <c r="CN36" s="1317"/>
      <c r="CO36" s="1317"/>
      <c r="CP36" s="1317"/>
      <c r="CQ36" s="1317"/>
      <c r="CR36" s="1317"/>
      <c r="CS36" s="1317"/>
      <c r="CT36" s="1317"/>
      <c r="CU36" s="262">
        <f t="shared" si="42"/>
        <v>7</v>
      </c>
      <c r="CV36" s="262">
        <f t="shared" si="37"/>
        <v>1</v>
      </c>
      <c r="CW36" s="8">
        <f t="shared" si="38"/>
        <v>0</v>
      </c>
      <c r="CX36" s="358">
        <f t="shared" si="39"/>
        <v>19</v>
      </c>
    </row>
    <row r="37" spans="1:102" hidden="1">
      <c r="A37" s="1309">
        <v>44136</v>
      </c>
      <c r="B37" s="1310">
        <f t="shared" si="2"/>
        <v>0</v>
      </c>
      <c r="C37" s="1310">
        <f t="shared" si="3"/>
        <v>0</v>
      </c>
      <c r="D37" s="1310">
        <f t="shared" si="4"/>
        <v>0</v>
      </c>
      <c r="E37" s="1310">
        <f t="shared" si="5"/>
        <v>0</v>
      </c>
      <c r="F37" s="1310">
        <f t="shared" si="6"/>
        <v>0</v>
      </c>
      <c r="G37" s="1310">
        <f t="shared" si="7"/>
        <v>1</v>
      </c>
      <c r="H37" s="1310">
        <f t="shared" si="8"/>
        <v>0</v>
      </c>
      <c r="I37" s="1310">
        <f t="shared" si="9"/>
        <v>1</v>
      </c>
      <c r="J37" s="1310">
        <f t="shared" si="10"/>
        <v>0</v>
      </c>
      <c r="K37" s="3082">
        <f t="shared" si="11"/>
        <v>0</v>
      </c>
      <c r="L37" s="3082">
        <f t="shared" si="12"/>
        <v>0</v>
      </c>
      <c r="M37" s="3086">
        <f t="shared" si="13"/>
        <v>1</v>
      </c>
      <c r="N37" s="1310">
        <f t="shared" si="14"/>
        <v>0</v>
      </c>
      <c r="O37" s="1310">
        <f t="shared" si="15"/>
        <v>0</v>
      </c>
      <c r="P37" s="1310"/>
      <c r="Q37" s="1040">
        <f t="shared" si="16"/>
        <v>0</v>
      </c>
      <c r="R37" s="1310"/>
      <c r="S37" s="1310">
        <f t="shared" si="17"/>
        <v>0</v>
      </c>
      <c r="T37" s="1310">
        <f t="shared" si="18"/>
        <v>0</v>
      </c>
      <c r="U37" s="1310">
        <f t="shared" si="19"/>
        <v>0</v>
      </c>
      <c r="V37" s="1310">
        <f t="shared" si="40"/>
        <v>0</v>
      </c>
      <c r="W37" s="1310">
        <f t="shared" si="41"/>
        <v>1</v>
      </c>
      <c r="X37" s="1310">
        <f t="shared" si="22"/>
        <v>14</v>
      </c>
      <c r="Y37" s="1310">
        <f t="shared" si="23"/>
        <v>0</v>
      </c>
      <c r="Z37" s="1310">
        <f t="shared" si="24"/>
        <v>1</v>
      </c>
      <c r="AA37" s="1310">
        <f t="shared" si="25"/>
        <v>0</v>
      </c>
      <c r="AB37" s="1310">
        <f t="shared" si="26"/>
        <v>0</v>
      </c>
      <c r="AC37" s="1310">
        <f t="shared" si="27"/>
        <v>0</v>
      </c>
      <c r="AD37" s="1310">
        <f t="shared" si="28"/>
        <v>0</v>
      </c>
      <c r="AE37" s="1310">
        <f t="shared" si="29"/>
        <v>0</v>
      </c>
      <c r="AF37" s="1310">
        <f t="shared" si="30"/>
        <v>0</v>
      </c>
      <c r="AG37" s="1310">
        <f t="shared" si="31"/>
        <v>0</v>
      </c>
      <c r="AH37" s="1701">
        <f t="shared" si="32"/>
        <v>0</v>
      </c>
      <c r="AI37" s="1712"/>
      <c r="AJ37" s="1869"/>
      <c r="AK37" s="1869"/>
      <c r="AL37" s="1869"/>
      <c r="AM37" s="1869"/>
      <c r="AN37" s="1869">
        <v>1</v>
      </c>
      <c r="AO37" s="1869"/>
      <c r="AP37" s="1869">
        <v>1</v>
      </c>
      <c r="AQ37" s="1869"/>
      <c r="AR37" s="1869"/>
      <c r="AS37" s="1869"/>
      <c r="AT37" s="1869"/>
      <c r="AU37" s="1869"/>
      <c r="AV37" s="1869"/>
      <c r="AW37" s="1869"/>
      <c r="AX37" s="1871"/>
      <c r="AY37" s="1873"/>
      <c r="AZ37" s="1869"/>
      <c r="BA37" s="1869"/>
      <c r="BB37" s="1869"/>
      <c r="BC37" s="1869"/>
      <c r="BD37" s="1871"/>
      <c r="BE37" s="1873"/>
      <c r="BF37" s="1869">
        <v>1</v>
      </c>
      <c r="BG37" s="1869"/>
      <c r="BH37" s="1869"/>
      <c r="BI37" s="1869"/>
      <c r="BJ37" s="1869"/>
      <c r="BK37" s="1869"/>
      <c r="BL37" s="1869"/>
      <c r="BM37" s="1869"/>
      <c r="BN37" s="1871"/>
      <c r="BO37" s="1868"/>
      <c r="BP37" s="1317"/>
      <c r="BQ37" s="1317"/>
      <c r="BR37" s="1317"/>
      <c r="BS37" s="1317"/>
      <c r="BT37" s="1317"/>
      <c r="BU37" s="1317"/>
      <c r="BV37" s="1317"/>
      <c r="BW37" s="1317"/>
      <c r="BX37" s="1317"/>
      <c r="BY37" s="1317"/>
      <c r="BZ37" s="1317">
        <v>1</v>
      </c>
      <c r="CA37" s="1317"/>
      <c r="CB37" s="1317"/>
      <c r="CC37" s="1317"/>
      <c r="CD37" s="1317"/>
      <c r="CE37" s="1317"/>
      <c r="CF37" s="1317"/>
      <c r="CG37" s="1317"/>
      <c r="CH37" s="1317"/>
      <c r="CI37" s="1317">
        <v>1</v>
      </c>
      <c r="CJ37" s="1317">
        <v>14</v>
      </c>
      <c r="CK37" s="1317"/>
      <c r="CL37" s="1317"/>
      <c r="CM37" s="1317"/>
      <c r="CN37" s="1317"/>
      <c r="CO37" s="1317"/>
      <c r="CP37" s="1317"/>
      <c r="CQ37" s="1317"/>
      <c r="CR37" s="1317"/>
      <c r="CS37" s="1317"/>
      <c r="CT37" s="1317"/>
      <c r="CU37" s="262">
        <f t="shared" si="42"/>
        <v>4</v>
      </c>
      <c r="CV37" s="262">
        <f t="shared" si="37"/>
        <v>1</v>
      </c>
      <c r="CW37" s="8">
        <f t="shared" si="38"/>
        <v>2</v>
      </c>
      <c r="CX37" s="358">
        <f t="shared" si="39"/>
        <v>18</v>
      </c>
    </row>
    <row r="38" spans="1:102" hidden="1">
      <c r="A38" s="1309">
        <v>44166</v>
      </c>
      <c r="B38" s="1310">
        <f t="shared" si="2"/>
        <v>0</v>
      </c>
      <c r="C38" s="1310">
        <f t="shared" si="3"/>
        <v>1</v>
      </c>
      <c r="D38" s="1310">
        <f t="shared" si="4"/>
        <v>0</v>
      </c>
      <c r="E38" s="1310">
        <f t="shared" si="5"/>
        <v>0</v>
      </c>
      <c r="F38" s="1310">
        <f t="shared" si="6"/>
        <v>0</v>
      </c>
      <c r="G38" s="1310">
        <f t="shared" si="7"/>
        <v>0</v>
      </c>
      <c r="H38" s="1310">
        <f t="shared" si="8"/>
        <v>0</v>
      </c>
      <c r="I38" s="1310">
        <f t="shared" si="9"/>
        <v>0</v>
      </c>
      <c r="J38" s="1310">
        <f t="shared" si="10"/>
        <v>0</v>
      </c>
      <c r="K38" s="3082">
        <f t="shared" si="11"/>
        <v>0</v>
      </c>
      <c r="L38" s="3082">
        <f t="shared" si="12"/>
        <v>0</v>
      </c>
      <c r="M38" s="3086">
        <f t="shared" si="13"/>
        <v>1</v>
      </c>
      <c r="N38" s="1310">
        <f t="shared" si="14"/>
        <v>0</v>
      </c>
      <c r="O38" s="1310">
        <f t="shared" si="15"/>
        <v>0</v>
      </c>
      <c r="P38" s="1310"/>
      <c r="Q38" s="1040">
        <f t="shared" si="16"/>
        <v>0</v>
      </c>
      <c r="R38" s="1310"/>
      <c r="S38" s="1310">
        <f t="shared" si="17"/>
        <v>0</v>
      </c>
      <c r="T38" s="1310">
        <f t="shared" si="18"/>
        <v>1</v>
      </c>
      <c r="U38" s="1310">
        <f t="shared" si="19"/>
        <v>0</v>
      </c>
      <c r="V38" s="1310">
        <f t="shared" si="40"/>
        <v>0</v>
      </c>
      <c r="W38" s="1310">
        <f t="shared" si="41"/>
        <v>0</v>
      </c>
      <c r="X38" s="1310">
        <f t="shared" si="22"/>
        <v>6</v>
      </c>
      <c r="Y38" s="1310">
        <f t="shared" si="23"/>
        <v>0</v>
      </c>
      <c r="Z38" s="1310">
        <f t="shared" si="24"/>
        <v>0</v>
      </c>
      <c r="AA38" s="1310">
        <f t="shared" si="25"/>
        <v>1</v>
      </c>
      <c r="AB38" s="1310">
        <f t="shared" si="26"/>
        <v>0</v>
      </c>
      <c r="AC38" s="1310">
        <f t="shared" si="27"/>
        <v>0</v>
      </c>
      <c r="AD38" s="1310">
        <f t="shared" si="28"/>
        <v>0</v>
      </c>
      <c r="AE38" s="1310">
        <f t="shared" si="29"/>
        <v>0</v>
      </c>
      <c r="AF38" s="1310">
        <f t="shared" si="30"/>
        <v>0</v>
      </c>
      <c r="AG38" s="1310">
        <f t="shared" si="31"/>
        <v>0</v>
      </c>
      <c r="AH38" s="1701">
        <f t="shared" si="32"/>
        <v>1</v>
      </c>
      <c r="AI38" s="1712"/>
      <c r="AJ38" s="1869"/>
      <c r="AK38" s="1869"/>
      <c r="AL38" s="1869"/>
      <c r="AM38" s="1869"/>
      <c r="AN38" s="1869"/>
      <c r="AO38" s="1869"/>
      <c r="AP38" s="1869"/>
      <c r="AQ38" s="1869"/>
      <c r="AR38" s="1869"/>
      <c r="AS38" s="1869"/>
      <c r="AT38" s="1869"/>
      <c r="AU38" s="1869"/>
      <c r="AV38" s="1869"/>
      <c r="AW38" s="1869"/>
      <c r="AX38" s="1871"/>
      <c r="AY38" s="1873"/>
      <c r="AZ38" s="1869">
        <v>1</v>
      </c>
      <c r="BA38" s="1869"/>
      <c r="BB38" s="1869"/>
      <c r="BC38" s="1869"/>
      <c r="BD38" s="1871"/>
      <c r="BE38" s="1873"/>
      <c r="BF38" s="1869"/>
      <c r="BG38" s="1869">
        <v>1</v>
      </c>
      <c r="BH38" s="1869"/>
      <c r="BI38" s="1869"/>
      <c r="BJ38" s="1869"/>
      <c r="BK38" s="1869"/>
      <c r="BL38" s="1869"/>
      <c r="BM38" s="1869"/>
      <c r="BN38" s="1871"/>
      <c r="BO38" s="1868"/>
      <c r="BP38" s="1317">
        <v>1</v>
      </c>
      <c r="BQ38" s="1317"/>
      <c r="BR38" s="1317"/>
      <c r="BS38" s="1317"/>
      <c r="BT38" s="1317"/>
      <c r="BU38" s="1317"/>
      <c r="BV38" s="1317"/>
      <c r="BW38" s="1317"/>
      <c r="BX38" s="1317"/>
      <c r="BY38" s="1317"/>
      <c r="BZ38" s="1317">
        <v>1</v>
      </c>
      <c r="CA38" s="1317"/>
      <c r="CB38" s="1317"/>
      <c r="CC38" s="1317"/>
      <c r="CD38" s="1317"/>
      <c r="CE38" s="1317"/>
      <c r="CF38" s="1317"/>
      <c r="CG38" s="1317"/>
      <c r="CH38" s="1317"/>
      <c r="CI38" s="1317"/>
      <c r="CJ38" s="1317">
        <v>6</v>
      </c>
      <c r="CK38" s="1317"/>
      <c r="CL38" s="1317"/>
      <c r="CM38" s="1317"/>
      <c r="CN38" s="1317"/>
      <c r="CO38" s="1317"/>
      <c r="CP38" s="1317"/>
      <c r="CQ38" s="1317"/>
      <c r="CR38" s="1317"/>
      <c r="CS38" s="1317"/>
      <c r="CT38" s="1317">
        <v>1</v>
      </c>
      <c r="CU38" s="262">
        <f t="shared" si="42"/>
        <v>3</v>
      </c>
      <c r="CV38" s="262">
        <f t="shared" si="37"/>
        <v>2</v>
      </c>
      <c r="CW38" s="8">
        <f t="shared" si="38"/>
        <v>2</v>
      </c>
      <c r="CX38" s="358">
        <f t="shared" si="39"/>
        <v>9</v>
      </c>
    </row>
    <row r="39" spans="1:102" hidden="1">
      <c r="A39" s="1309">
        <v>44197</v>
      </c>
      <c r="B39" s="1310">
        <f t="shared" si="2"/>
        <v>1</v>
      </c>
      <c r="C39" s="1310">
        <f t="shared" si="3"/>
        <v>0</v>
      </c>
      <c r="D39" s="1310">
        <f t="shared" si="4"/>
        <v>0</v>
      </c>
      <c r="E39" s="1310">
        <f t="shared" si="5"/>
        <v>0</v>
      </c>
      <c r="F39" s="1310">
        <f t="shared" si="6"/>
        <v>0</v>
      </c>
      <c r="G39" s="1310">
        <f t="shared" si="7"/>
        <v>1</v>
      </c>
      <c r="H39" s="1310">
        <f t="shared" si="8"/>
        <v>0</v>
      </c>
      <c r="I39" s="1310">
        <f t="shared" si="9"/>
        <v>0</v>
      </c>
      <c r="J39" s="1310">
        <f t="shared" si="10"/>
        <v>0</v>
      </c>
      <c r="K39" s="3082">
        <f t="shared" si="11"/>
        <v>0</v>
      </c>
      <c r="L39" s="3082">
        <f t="shared" si="12"/>
        <v>0</v>
      </c>
      <c r="M39" s="3086">
        <f t="shared" si="13"/>
        <v>0</v>
      </c>
      <c r="N39" s="1310">
        <f t="shared" si="14"/>
        <v>0</v>
      </c>
      <c r="O39" s="1310">
        <f t="shared" si="15"/>
        <v>3</v>
      </c>
      <c r="P39" s="1310">
        <f>+AW39+CC39</f>
        <v>3</v>
      </c>
      <c r="Q39" s="1040">
        <f>+AX39+CD39</f>
        <v>0</v>
      </c>
      <c r="R39" s="1310"/>
      <c r="S39" s="1310">
        <f t="shared" si="17"/>
        <v>0</v>
      </c>
      <c r="T39" s="1310">
        <f t="shared" si="18"/>
        <v>0</v>
      </c>
      <c r="U39" s="1310">
        <f t="shared" si="19"/>
        <v>1</v>
      </c>
      <c r="V39" s="1310">
        <f t="shared" si="40"/>
        <v>0</v>
      </c>
      <c r="W39" s="1310">
        <f t="shared" si="41"/>
        <v>1</v>
      </c>
      <c r="X39" s="1310">
        <f t="shared" si="22"/>
        <v>8</v>
      </c>
      <c r="Y39" s="1310">
        <f t="shared" si="23"/>
        <v>0</v>
      </c>
      <c r="Z39" s="1310">
        <f t="shared" si="24"/>
        <v>0</v>
      </c>
      <c r="AA39" s="1310">
        <f t="shared" si="25"/>
        <v>0</v>
      </c>
      <c r="AB39" s="1310">
        <f t="shared" si="26"/>
        <v>0</v>
      </c>
      <c r="AC39" s="1310">
        <f t="shared" si="27"/>
        <v>0</v>
      </c>
      <c r="AD39" s="1310">
        <f t="shared" si="28"/>
        <v>0</v>
      </c>
      <c r="AE39" s="1310">
        <f t="shared" si="29"/>
        <v>0</v>
      </c>
      <c r="AF39" s="1310">
        <f t="shared" si="30"/>
        <v>0</v>
      </c>
      <c r="AG39" s="1310">
        <f t="shared" si="31"/>
        <v>0</v>
      </c>
      <c r="AH39" s="1701">
        <f t="shared" si="32"/>
        <v>0</v>
      </c>
      <c r="AI39" s="1712">
        <v>1</v>
      </c>
      <c r="AJ39" s="1869"/>
      <c r="AK39" s="1869"/>
      <c r="AL39" s="1869"/>
      <c r="AM39" s="1869"/>
      <c r="AN39" s="1869">
        <v>1</v>
      </c>
      <c r="AO39" s="1869"/>
      <c r="AP39" s="1869"/>
      <c r="AQ39" s="1869"/>
      <c r="AR39" s="1869"/>
      <c r="AS39" s="1869"/>
      <c r="AT39" s="1869"/>
      <c r="AU39" s="1869"/>
      <c r="AV39" s="1869"/>
      <c r="AW39" s="1869"/>
      <c r="AX39" s="1871"/>
      <c r="AY39" s="1873"/>
      <c r="AZ39" s="1869"/>
      <c r="BA39" s="1869"/>
      <c r="BB39" s="1869"/>
      <c r="BC39" s="1869">
        <v>1</v>
      </c>
      <c r="BD39" s="1871">
        <v>3</v>
      </c>
      <c r="BE39" s="1873"/>
      <c r="BF39" s="1869"/>
      <c r="BG39" s="1869"/>
      <c r="BH39" s="1869"/>
      <c r="BI39" s="1869"/>
      <c r="BJ39" s="1869"/>
      <c r="BK39" s="1869"/>
      <c r="BL39" s="1869"/>
      <c r="BM39" s="1869"/>
      <c r="BN39" s="1871"/>
      <c r="BO39" s="1868"/>
      <c r="BP39" s="1317"/>
      <c r="BQ39" s="1317"/>
      <c r="BR39" s="1317"/>
      <c r="BS39" s="1317"/>
      <c r="BT39" s="1317"/>
      <c r="BU39" s="1317"/>
      <c r="BV39" s="1317"/>
      <c r="BW39" s="1317"/>
      <c r="BX39" s="1317"/>
      <c r="BY39" s="1317"/>
      <c r="BZ39" s="1317"/>
      <c r="CA39" s="1317"/>
      <c r="CB39" s="1317">
        <v>3</v>
      </c>
      <c r="CC39" s="1317">
        <v>3</v>
      </c>
      <c r="CD39" s="1317"/>
      <c r="CE39" s="1317"/>
      <c r="CF39" s="1317"/>
      <c r="CG39" s="1317">
        <v>1</v>
      </c>
      <c r="CH39" s="1317"/>
      <c r="CI39" s="1317"/>
      <c r="CJ39" s="1317">
        <v>5</v>
      </c>
      <c r="CK39" s="1317"/>
      <c r="CL39" s="1317"/>
      <c r="CM39" s="1317"/>
      <c r="CN39" s="1317"/>
      <c r="CO39" s="1317"/>
      <c r="CP39" s="1317"/>
      <c r="CQ39" s="1317"/>
      <c r="CR39" s="1317"/>
      <c r="CS39" s="1317"/>
      <c r="CT39" s="1317"/>
      <c r="CU39" s="262"/>
      <c r="CV39" s="262">
        <f>+CK39+CP39+CQ39+CR39+CS39+CT39+BE39+BJ39+BK39+BL39+BM39+BN39</f>
        <v>0</v>
      </c>
      <c r="CX39" s="358"/>
    </row>
    <row r="40" spans="1:102" hidden="1">
      <c r="A40" s="1309">
        <v>44228</v>
      </c>
      <c r="B40" s="1310">
        <f t="shared" si="2"/>
        <v>0</v>
      </c>
      <c r="C40" s="1310">
        <f t="shared" si="3"/>
        <v>0</v>
      </c>
      <c r="D40" s="1310">
        <f t="shared" si="4"/>
        <v>0</v>
      </c>
      <c r="E40" s="1310">
        <f t="shared" si="5"/>
        <v>0</v>
      </c>
      <c r="F40" s="1310">
        <f t="shared" si="6"/>
        <v>0</v>
      </c>
      <c r="G40" s="1310">
        <f t="shared" si="7"/>
        <v>0</v>
      </c>
      <c r="H40" s="1310">
        <f t="shared" si="8"/>
        <v>0</v>
      </c>
      <c r="I40" s="1310">
        <f t="shared" si="9"/>
        <v>0</v>
      </c>
      <c r="J40" s="1310">
        <f t="shared" si="10"/>
        <v>1</v>
      </c>
      <c r="K40" s="3082">
        <f t="shared" si="11"/>
        <v>1</v>
      </c>
      <c r="L40" s="3082">
        <f t="shared" si="12"/>
        <v>0</v>
      </c>
      <c r="M40" s="3086">
        <f t="shared" si="13"/>
        <v>0</v>
      </c>
      <c r="N40" s="1310">
        <f t="shared" si="14"/>
        <v>0</v>
      </c>
      <c r="O40" s="1310">
        <f t="shared" si="15"/>
        <v>0</v>
      </c>
      <c r="P40" s="1310">
        <f t="shared" ref="P40:P50" si="43">+AW40+CC40</f>
        <v>0</v>
      </c>
      <c r="Q40" s="1040">
        <f t="shared" ref="Q40:Q50" si="44">+AX40+CD40</f>
        <v>0</v>
      </c>
      <c r="R40" s="1310"/>
      <c r="S40" s="1310">
        <f t="shared" si="17"/>
        <v>0</v>
      </c>
      <c r="T40" s="1310">
        <f t="shared" si="18"/>
        <v>0</v>
      </c>
      <c r="U40" s="1310">
        <f t="shared" si="19"/>
        <v>0</v>
      </c>
      <c r="V40" s="1310">
        <f t="shared" si="40"/>
        <v>1</v>
      </c>
      <c r="W40" s="1310">
        <f t="shared" si="41"/>
        <v>0</v>
      </c>
      <c r="X40" s="1310">
        <f t="shared" si="22"/>
        <v>5</v>
      </c>
      <c r="Y40" s="1310">
        <f t="shared" si="23"/>
        <v>2</v>
      </c>
      <c r="Z40" s="1310">
        <f t="shared" si="24"/>
        <v>0</v>
      </c>
      <c r="AA40" s="1310">
        <f t="shared" si="25"/>
        <v>0</v>
      </c>
      <c r="AB40" s="1310">
        <f t="shared" si="26"/>
        <v>0</v>
      </c>
      <c r="AC40" s="1310">
        <f t="shared" si="27"/>
        <v>0</v>
      </c>
      <c r="AD40" s="1310">
        <f t="shared" si="28"/>
        <v>0</v>
      </c>
      <c r="AE40" s="1310">
        <f t="shared" si="29"/>
        <v>0</v>
      </c>
      <c r="AF40" s="1310">
        <f t="shared" si="30"/>
        <v>0</v>
      </c>
      <c r="AG40" s="1310">
        <f t="shared" si="31"/>
        <v>0</v>
      </c>
      <c r="AH40" s="1701">
        <f t="shared" si="32"/>
        <v>0</v>
      </c>
      <c r="AI40" s="1712"/>
      <c r="AJ40" s="1869"/>
      <c r="AK40" s="1869"/>
      <c r="AL40" s="1869"/>
      <c r="AM40" s="1869"/>
      <c r="AN40" s="1869"/>
      <c r="AO40" s="1869"/>
      <c r="AP40" s="1869"/>
      <c r="AQ40" s="1869">
        <v>1</v>
      </c>
      <c r="AR40" s="1869"/>
      <c r="AS40" s="1869"/>
      <c r="AT40" s="1869"/>
      <c r="AU40" s="1869"/>
      <c r="AV40" s="1869"/>
      <c r="AW40" s="1869"/>
      <c r="AX40" s="1871"/>
      <c r="AY40" s="1873"/>
      <c r="AZ40" s="1869"/>
      <c r="BA40" s="1869"/>
      <c r="BB40" s="1869">
        <v>1</v>
      </c>
      <c r="BC40" s="1869"/>
      <c r="BD40" s="1871">
        <v>1</v>
      </c>
      <c r="BE40" s="1873">
        <v>2</v>
      </c>
      <c r="BF40" s="1869"/>
      <c r="BG40" s="1869"/>
      <c r="BH40" s="1869"/>
      <c r="BI40" s="1869"/>
      <c r="BJ40" s="1869"/>
      <c r="BK40" s="1869"/>
      <c r="BL40" s="1869"/>
      <c r="BM40" s="1869"/>
      <c r="BN40" s="1871"/>
      <c r="BO40" s="1868"/>
      <c r="BP40" s="1317"/>
      <c r="BQ40" s="1317"/>
      <c r="BR40" s="1317"/>
      <c r="BS40" s="1317"/>
      <c r="BT40" s="1317"/>
      <c r="BU40" s="1317"/>
      <c r="BV40" s="1317"/>
      <c r="BW40" s="1317"/>
      <c r="BX40" s="1317">
        <v>1</v>
      </c>
      <c r="BY40" s="1317"/>
      <c r="BZ40" s="1317"/>
      <c r="CA40" s="1317"/>
      <c r="CB40" s="1317"/>
      <c r="CC40" s="1317"/>
      <c r="CD40" s="1317"/>
      <c r="CE40" s="1317"/>
      <c r="CF40" s="1317"/>
      <c r="CG40" s="1317"/>
      <c r="CH40" s="1317"/>
      <c r="CI40" s="1317"/>
      <c r="CJ40" s="1317">
        <v>4</v>
      </c>
      <c r="CK40" s="1317"/>
      <c r="CL40" s="1317"/>
      <c r="CM40" s="1317"/>
      <c r="CN40" s="1317"/>
      <c r="CO40" s="1317"/>
      <c r="CP40" s="1317"/>
      <c r="CQ40" s="1317"/>
      <c r="CR40" s="1317"/>
      <c r="CS40" s="1317"/>
      <c r="CT40" s="1317"/>
      <c r="CU40" s="262"/>
      <c r="CV40" s="262">
        <f t="shared" ref="CV40:CV50" si="45">+CK40+CP40+CQ40+CR40+CS40+CT40+BE40+BJ40+BK40+BL40+BM40+BN40</f>
        <v>2</v>
      </c>
      <c r="CX40" s="358"/>
    </row>
    <row r="41" spans="1:102" hidden="1">
      <c r="A41" s="1309">
        <v>44256</v>
      </c>
      <c r="B41" s="1310">
        <f t="shared" si="2"/>
        <v>1</v>
      </c>
      <c r="C41" s="1310">
        <f t="shared" si="3"/>
        <v>0</v>
      </c>
      <c r="D41" s="1310">
        <f t="shared" si="4"/>
        <v>1</v>
      </c>
      <c r="E41" s="1310">
        <f t="shared" si="5"/>
        <v>1</v>
      </c>
      <c r="F41" s="1310">
        <f t="shared" si="6"/>
        <v>1</v>
      </c>
      <c r="G41" s="1310">
        <f t="shared" si="7"/>
        <v>1</v>
      </c>
      <c r="H41" s="1310">
        <f t="shared" si="8"/>
        <v>0</v>
      </c>
      <c r="I41" s="1310">
        <f t="shared" si="9"/>
        <v>1</v>
      </c>
      <c r="J41" s="1310">
        <f t="shared" si="10"/>
        <v>0</v>
      </c>
      <c r="K41" s="3082">
        <f t="shared" si="11"/>
        <v>0</v>
      </c>
      <c r="L41" s="3082">
        <f t="shared" si="12"/>
        <v>0</v>
      </c>
      <c r="M41" s="3086">
        <f t="shared" si="13"/>
        <v>0</v>
      </c>
      <c r="N41" s="1310">
        <f t="shared" si="14"/>
        <v>0</v>
      </c>
      <c r="O41" s="1310">
        <f t="shared" si="15"/>
        <v>1</v>
      </c>
      <c r="P41" s="1310">
        <f t="shared" si="43"/>
        <v>0</v>
      </c>
      <c r="Q41" s="1040">
        <f t="shared" si="44"/>
        <v>0</v>
      </c>
      <c r="R41" s="1310"/>
      <c r="S41" s="1310">
        <f t="shared" si="17"/>
        <v>0</v>
      </c>
      <c r="T41" s="1310">
        <f t="shared" si="18"/>
        <v>0</v>
      </c>
      <c r="U41" s="1310">
        <f t="shared" si="19"/>
        <v>1</v>
      </c>
      <c r="V41" s="1310">
        <f t="shared" si="40"/>
        <v>0</v>
      </c>
      <c r="W41" s="1310">
        <f t="shared" si="41"/>
        <v>0</v>
      </c>
      <c r="X41" s="1310">
        <f t="shared" si="22"/>
        <v>7</v>
      </c>
      <c r="Y41" s="1310">
        <f t="shared" si="23"/>
        <v>0</v>
      </c>
      <c r="Z41" s="1310">
        <f t="shared" si="24"/>
        <v>1</v>
      </c>
      <c r="AA41" s="1310">
        <f t="shared" si="25"/>
        <v>1</v>
      </c>
      <c r="AB41" s="1310">
        <f t="shared" si="26"/>
        <v>0</v>
      </c>
      <c r="AC41" s="1310">
        <f t="shared" si="27"/>
        <v>0</v>
      </c>
      <c r="AD41" s="1310">
        <f t="shared" si="28"/>
        <v>0</v>
      </c>
      <c r="AE41" s="1310">
        <f t="shared" si="29"/>
        <v>1</v>
      </c>
      <c r="AF41" s="1310">
        <f t="shared" si="30"/>
        <v>0</v>
      </c>
      <c r="AG41" s="1310">
        <f t="shared" si="31"/>
        <v>0</v>
      </c>
      <c r="AH41" s="1701">
        <f t="shared" si="32"/>
        <v>0</v>
      </c>
      <c r="AI41" s="1712">
        <v>1</v>
      </c>
      <c r="AJ41" s="1869"/>
      <c r="AK41" s="1869">
        <v>1</v>
      </c>
      <c r="AL41" s="1869">
        <v>1</v>
      </c>
      <c r="AM41" s="1869">
        <v>1</v>
      </c>
      <c r="AN41" s="1869">
        <v>1</v>
      </c>
      <c r="AO41" s="1869"/>
      <c r="AP41" s="1869">
        <v>1</v>
      </c>
      <c r="AQ41" s="1869"/>
      <c r="AR41" s="1869"/>
      <c r="AS41" s="1869"/>
      <c r="AT41" s="1869"/>
      <c r="AU41" s="1869"/>
      <c r="AV41" s="1869"/>
      <c r="AW41" s="1869"/>
      <c r="AX41" s="1871"/>
      <c r="AY41" s="1873"/>
      <c r="AZ41" s="1869"/>
      <c r="BA41" s="1869">
        <v>1</v>
      </c>
      <c r="BB41" s="1869"/>
      <c r="BC41" s="1869"/>
      <c r="BD41" s="1871"/>
      <c r="BE41" s="1873"/>
      <c r="BF41" s="1869">
        <v>1</v>
      </c>
      <c r="BG41" s="1869">
        <v>1</v>
      </c>
      <c r="BH41" s="1869"/>
      <c r="BI41" s="1869"/>
      <c r="BJ41" s="1869"/>
      <c r="BK41" s="1869"/>
      <c r="BL41" s="1869"/>
      <c r="BM41" s="1869"/>
      <c r="BN41" s="1871"/>
      <c r="BO41" s="1868"/>
      <c r="BP41" s="1317"/>
      <c r="BQ41" s="1317"/>
      <c r="BR41" s="1317"/>
      <c r="BS41" s="1317"/>
      <c r="BT41" s="1317"/>
      <c r="BU41" s="1317"/>
      <c r="BV41" s="1317"/>
      <c r="BW41" s="1317"/>
      <c r="BX41" s="1317"/>
      <c r="BY41" s="1317"/>
      <c r="BZ41" s="1317"/>
      <c r="CA41" s="1317"/>
      <c r="CB41" s="1317">
        <v>1</v>
      </c>
      <c r="CC41" s="1317"/>
      <c r="CD41" s="1317"/>
      <c r="CE41" s="1317"/>
      <c r="CF41" s="1317"/>
      <c r="CG41" s="1317"/>
      <c r="CH41" s="1317"/>
      <c r="CI41" s="1317"/>
      <c r="CJ41" s="1317">
        <v>7</v>
      </c>
      <c r="CK41" s="1317"/>
      <c r="CL41" s="1317"/>
      <c r="CM41" s="1317"/>
      <c r="CN41" s="1317"/>
      <c r="CO41" s="1317"/>
      <c r="CP41" s="1317"/>
      <c r="CQ41" s="1317">
        <v>1</v>
      </c>
      <c r="CR41" s="1317"/>
      <c r="CS41" s="1317"/>
      <c r="CT41" s="1317"/>
      <c r="CU41" s="262"/>
      <c r="CV41" s="262">
        <f t="shared" si="45"/>
        <v>1</v>
      </c>
      <c r="CX41" s="358"/>
    </row>
    <row r="42" spans="1:102" hidden="1">
      <c r="A42" s="1309">
        <v>44287</v>
      </c>
      <c r="B42" s="1310">
        <f t="shared" si="2"/>
        <v>1</v>
      </c>
      <c r="C42" s="1310">
        <f t="shared" si="3"/>
        <v>0</v>
      </c>
      <c r="D42" s="1310">
        <f t="shared" si="4"/>
        <v>0</v>
      </c>
      <c r="E42" s="1310">
        <f t="shared" si="5"/>
        <v>0</v>
      </c>
      <c r="F42" s="1310">
        <f t="shared" si="6"/>
        <v>1</v>
      </c>
      <c r="G42" s="1310">
        <f t="shared" si="7"/>
        <v>1</v>
      </c>
      <c r="H42" s="1310">
        <f t="shared" si="8"/>
        <v>0</v>
      </c>
      <c r="I42" s="1310">
        <f t="shared" si="9"/>
        <v>0</v>
      </c>
      <c r="J42" s="1310">
        <f t="shared" si="10"/>
        <v>0</v>
      </c>
      <c r="K42" s="3082">
        <f t="shared" si="11"/>
        <v>1</v>
      </c>
      <c r="L42" s="3082">
        <f t="shared" si="12"/>
        <v>0</v>
      </c>
      <c r="M42" s="3086">
        <f t="shared" si="13"/>
        <v>1</v>
      </c>
      <c r="N42" s="1310">
        <f t="shared" si="14"/>
        <v>0</v>
      </c>
      <c r="O42" s="1310">
        <f t="shared" si="15"/>
        <v>0</v>
      </c>
      <c r="P42" s="1310">
        <f t="shared" si="43"/>
        <v>0</v>
      </c>
      <c r="Q42" s="1040">
        <f t="shared" si="44"/>
        <v>0</v>
      </c>
      <c r="R42" s="1310"/>
      <c r="S42" s="1310">
        <f t="shared" si="17"/>
        <v>0</v>
      </c>
      <c r="T42" s="1310">
        <f t="shared" si="18"/>
        <v>0</v>
      </c>
      <c r="U42" s="1310">
        <f t="shared" si="19"/>
        <v>0</v>
      </c>
      <c r="V42" s="1310">
        <f t="shared" si="40"/>
        <v>0</v>
      </c>
      <c r="W42" s="1310">
        <f t="shared" si="41"/>
        <v>0</v>
      </c>
      <c r="X42" s="1310">
        <f t="shared" si="22"/>
        <v>2</v>
      </c>
      <c r="Y42" s="1310">
        <f t="shared" si="23"/>
        <v>1</v>
      </c>
      <c r="Z42" s="1310">
        <f t="shared" si="24"/>
        <v>0</v>
      </c>
      <c r="AA42" s="1310">
        <f t="shared" si="25"/>
        <v>0</v>
      </c>
      <c r="AB42" s="1310">
        <f t="shared" si="26"/>
        <v>0</v>
      </c>
      <c r="AC42" s="1310">
        <f t="shared" si="27"/>
        <v>1</v>
      </c>
      <c r="AD42" s="1310">
        <f t="shared" si="28"/>
        <v>0</v>
      </c>
      <c r="AE42" s="1310">
        <f t="shared" si="29"/>
        <v>0</v>
      </c>
      <c r="AF42" s="1310">
        <f t="shared" si="30"/>
        <v>0</v>
      </c>
      <c r="AG42" s="1310">
        <f t="shared" si="31"/>
        <v>1</v>
      </c>
      <c r="AH42" s="1701">
        <f t="shared" si="32"/>
        <v>0</v>
      </c>
      <c r="AI42" s="1712">
        <v>1</v>
      </c>
      <c r="AJ42" s="1869"/>
      <c r="AK42" s="1869"/>
      <c r="AL42" s="1869"/>
      <c r="AM42" s="1869">
        <v>1</v>
      </c>
      <c r="AN42" s="1869">
        <v>1</v>
      </c>
      <c r="AO42" s="1869"/>
      <c r="AP42" s="1869"/>
      <c r="AQ42" s="1869"/>
      <c r="AR42" s="1869">
        <v>1</v>
      </c>
      <c r="AS42" s="1869"/>
      <c r="AT42" s="1869">
        <v>1</v>
      </c>
      <c r="AU42" s="1869"/>
      <c r="AV42" s="1869"/>
      <c r="AW42" s="1869"/>
      <c r="AX42" s="1871"/>
      <c r="AY42" s="1873"/>
      <c r="AZ42" s="1869"/>
      <c r="BA42" s="1869"/>
      <c r="BB42" s="1869"/>
      <c r="BC42" s="1869"/>
      <c r="BD42" s="1871"/>
      <c r="BE42" s="1873">
        <v>1</v>
      </c>
      <c r="BF42" s="1869"/>
      <c r="BG42" s="1869"/>
      <c r="BH42" s="1869"/>
      <c r="BI42" s="1869"/>
      <c r="BJ42" s="1869"/>
      <c r="BK42" s="1869"/>
      <c r="BL42" s="1869"/>
      <c r="BM42" s="1869"/>
      <c r="BN42" s="1871"/>
      <c r="BO42" s="1868"/>
      <c r="BP42" s="1317"/>
      <c r="BQ42" s="1317"/>
      <c r="BR42" s="1317"/>
      <c r="BS42" s="1317"/>
      <c r="BT42" s="1317"/>
      <c r="BU42" s="1317"/>
      <c r="BV42" s="1317"/>
      <c r="BW42" s="1317"/>
      <c r="BX42" s="1317"/>
      <c r="BY42" s="1317"/>
      <c r="BZ42" s="1317"/>
      <c r="CA42" s="1317"/>
      <c r="CB42" s="1317"/>
      <c r="CC42" s="1317"/>
      <c r="CD42" s="1317"/>
      <c r="CE42" s="1317"/>
      <c r="CF42" s="1317"/>
      <c r="CG42" s="1317"/>
      <c r="CH42" s="1317"/>
      <c r="CI42" s="1317"/>
      <c r="CJ42" s="1317">
        <v>2</v>
      </c>
      <c r="CK42" s="1317"/>
      <c r="CL42" s="1317"/>
      <c r="CM42" s="1317"/>
      <c r="CN42" s="1317"/>
      <c r="CO42" s="1317">
        <v>1</v>
      </c>
      <c r="CP42" s="1317"/>
      <c r="CQ42" s="1317"/>
      <c r="CR42" s="1317"/>
      <c r="CS42" s="1317">
        <v>1</v>
      </c>
      <c r="CT42" s="1317"/>
      <c r="CU42" s="262"/>
      <c r="CV42" s="262">
        <f t="shared" si="45"/>
        <v>2</v>
      </c>
      <c r="CX42" s="358"/>
    </row>
    <row r="43" spans="1:102" hidden="1">
      <c r="A43" s="1309">
        <v>44317</v>
      </c>
      <c r="B43" s="1310">
        <f t="shared" si="2"/>
        <v>0</v>
      </c>
      <c r="C43" s="1310">
        <f t="shared" si="3"/>
        <v>0</v>
      </c>
      <c r="D43" s="1310">
        <f t="shared" si="4"/>
        <v>0</v>
      </c>
      <c r="E43" s="1310">
        <f t="shared" si="5"/>
        <v>1</v>
      </c>
      <c r="F43" s="1310">
        <f t="shared" si="6"/>
        <v>0</v>
      </c>
      <c r="G43" s="1310">
        <f t="shared" si="7"/>
        <v>1</v>
      </c>
      <c r="H43" s="1310">
        <f t="shared" si="8"/>
        <v>0</v>
      </c>
      <c r="I43" s="1310">
        <f t="shared" si="9"/>
        <v>2</v>
      </c>
      <c r="J43" s="1310">
        <f t="shared" si="10"/>
        <v>0</v>
      </c>
      <c r="K43" s="3082">
        <f t="shared" si="11"/>
        <v>0</v>
      </c>
      <c r="L43" s="3082">
        <f t="shared" si="12"/>
        <v>0</v>
      </c>
      <c r="M43" s="3086">
        <f t="shared" si="13"/>
        <v>0</v>
      </c>
      <c r="N43" s="1310">
        <f t="shared" si="14"/>
        <v>0</v>
      </c>
      <c r="O43" s="1310">
        <f t="shared" si="15"/>
        <v>1</v>
      </c>
      <c r="P43" s="1310">
        <f t="shared" si="43"/>
        <v>0</v>
      </c>
      <c r="Q43" s="1040">
        <f t="shared" si="44"/>
        <v>0</v>
      </c>
      <c r="R43" s="1310"/>
      <c r="S43" s="1310">
        <f t="shared" si="17"/>
        <v>0</v>
      </c>
      <c r="T43" s="1310">
        <f t="shared" si="18"/>
        <v>0</v>
      </c>
      <c r="U43" s="1310">
        <f t="shared" si="19"/>
        <v>0</v>
      </c>
      <c r="V43" s="1310">
        <f t="shared" si="40"/>
        <v>0</v>
      </c>
      <c r="W43" s="1310">
        <f t="shared" si="41"/>
        <v>0</v>
      </c>
      <c r="X43" s="1310">
        <f t="shared" si="22"/>
        <v>9</v>
      </c>
      <c r="Y43" s="1310">
        <f t="shared" si="23"/>
        <v>0</v>
      </c>
      <c r="Z43" s="1310">
        <f t="shared" si="24"/>
        <v>1</v>
      </c>
      <c r="AA43" s="1310">
        <f t="shared" si="25"/>
        <v>0</v>
      </c>
      <c r="AB43" s="1310">
        <f t="shared" si="26"/>
        <v>0</v>
      </c>
      <c r="AC43" s="1310">
        <f t="shared" si="27"/>
        <v>0</v>
      </c>
      <c r="AD43" s="1310">
        <f t="shared" si="28"/>
        <v>0</v>
      </c>
      <c r="AE43" s="1310">
        <f t="shared" si="29"/>
        <v>0</v>
      </c>
      <c r="AF43" s="1310">
        <f t="shared" si="30"/>
        <v>0</v>
      </c>
      <c r="AG43" s="1310">
        <f t="shared" si="31"/>
        <v>0</v>
      </c>
      <c r="AH43" s="1701">
        <f t="shared" si="32"/>
        <v>0</v>
      </c>
      <c r="AI43" s="1712"/>
      <c r="AJ43" s="1869"/>
      <c r="AK43" s="1869"/>
      <c r="AL43" s="1869">
        <v>1</v>
      </c>
      <c r="AM43" s="1869"/>
      <c r="AN43" s="1869">
        <v>1</v>
      </c>
      <c r="AO43" s="1869"/>
      <c r="AP43" s="1869">
        <v>2</v>
      </c>
      <c r="AQ43" s="1869"/>
      <c r="AR43" s="1869"/>
      <c r="AS43" s="1869"/>
      <c r="AT43" s="1869"/>
      <c r="AU43" s="1869"/>
      <c r="AV43" s="1869"/>
      <c r="AW43" s="1869"/>
      <c r="AX43" s="1871"/>
      <c r="AY43" s="1873"/>
      <c r="AZ43" s="1869"/>
      <c r="BA43" s="1869"/>
      <c r="BB43" s="1869"/>
      <c r="BC43" s="1869"/>
      <c r="BD43" s="1871">
        <v>1</v>
      </c>
      <c r="BE43" s="1873"/>
      <c r="BF43" s="1869"/>
      <c r="BG43" s="1869"/>
      <c r="BH43" s="1869"/>
      <c r="BI43" s="1869"/>
      <c r="BJ43" s="1869"/>
      <c r="BK43" s="1869"/>
      <c r="BL43" s="1869"/>
      <c r="BM43" s="1869"/>
      <c r="BN43" s="1871"/>
      <c r="BO43" s="1868"/>
      <c r="BP43" s="1317"/>
      <c r="BQ43" s="1317"/>
      <c r="BR43" s="1317"/>
      <c r="BS43" s="1317"/>
      <c r="BT43" s="1317"/>
      <c r="BU43" s="1317"/>
      <c r="BV43" s="1317"/>
      <c r="BW43" s="1317"/>
      <c r="BX43" s="1317"/>
      <c r="BY43" s="1317"/>
      <c r="BZ43" s="1317"/>
      <c r="CA43" s="1317"/>
      <c r="CB43" s="1317">
        <v>1</v>
      </c>
      <c r="CC43" s="1317"/>
      <c r="CD43" s="1317"/>
      <c r="CE43" s="1317"/>
      <c r="CF43" s="1317"/>
      <c r="CG43" s="1317"/>
      <c r="CH43" s="1317"/>
      <c r="CI43" s="1317"/>
      <c r="CJ43" s="1317">
        <v>8</v>
      </c>
      <c r="CK43" s="1317"/>
      <c r="CL43" s="1317">
        <v>1</v>
      </c>
      <c r="CM43" s="1317"/>
      <c r="CN43" s="1317"/>
      <c r="CO43" s="1317"/>
      <c r="CP43" s="1317"/>
      <c r="CQ43" s="1317"/>
      <c r="CR43" s="1317"/>
      <c r="CS43" s="1317"/>
      <c r="CT43" s="1317"/>
      <c r="CU43" s="262"/>
      <c r="CV43" s="262">
        <f t="shared" si="45"/>
        <v>0</v>
      </c>
      <c r="CX43" s="358"/>
    </row>
    <row r="44" spans="1:102" hidden="1">
      <c r="A44" s="1309">
        <v>44348</v>
      </c>
      <c r="B44" s="1310">
        <f t="shared" si="2"/>
        <v>0</v>
      </c>
      <c r="C44" s="1310">
        <f t="shared" si="3"/>
        <v>2</v>
      </c>
      <c r="D44" s="1310">
        <f t="shared" si="4"/>
        <v>0</v>
      </c>
      <c r="E44" s="1310">
        <f t="shared" si="5"/>
        <v>0</v>
      </c>
      <c r="F44" s="1310">
        <f t="shared" si="6"/>
        <v>0</v>
      </c>
      <c r="G44" s="1310">
        <f t="shared" si="7"/>
        <v>1</v>
      </c>
      <c r="H44" s="1310">
        <f t="shared" si="8"/>
        <v>0</v>
      </c>
      <c r="I44" s="1310">
        <f t="shared" si="9"/>
        <v>1</v>
      </c>
      <c r="J44" s="1310">
        <f t="shared" si="10"/>
        <v>0</v>
      </c>
      <c r="K44" s="3082">
        <f t="shared" si="11"/>
        <v>0</v>
      </c>
      <c r="L44" s="3082">
        <f t="shared" si="12"/>
        <v>0</v>
      </c>
      <c r="M44" s="3086">
        <f t="shared" si="13"/>
        <v>0</v>
      </c>
      <c r="N44" s="1310">
        <f t="shared" si="14"/>
        <v>0</v>
      </c>
      <c r="O44" s="1310">
        <f t="shared" si="15"/>
        <v>0</v>
      </c>
      <c r="P44" s="1310">
        <f t="shared" si="43"/>
        <v>0</v>
      </c>
      <c r="Q44" s="1040">
        <f t="shared" si="44"/>
        <v>1</v>
      </c>
      <c r="R44" s="1310"/>
      <c r="S44" s="1310">
        <f t="shared" si="17"/>
        <v>1</v>
      </c>
      <c r="T44" s="1310">
        <f t="shared" si="18"/>
        <v>1</v>
      </c>
      <c r="U44" s="1310">
        <f t="shared" si="19"/>
        <v>1</v>
      </c>
      <c r="V44" s="1310">
        <f t="shared" si="40"/>
        <v>0</v>
      </c>
      <c r="W44" s="1310">
        <f t="shared" si="41"/>
        <v>1</v>
      </c>
      <c r="X44" s="1310">
        <f t="shared" si="22"/>
        <v>4</v>
      </c>
      <c r="Y44" s="1310">
        <f t="shared" si="23"/>
        <v>0</v>
      </c>
      <c r="Z44" s="1310">
        <f t="shared" si="24"/>
        <v>0</v>
      </c>
      <c r="AA44" s="1310">
        <f t="shared" si="25"/>
        <v>2</v>
      </c>
      <c r="AB44" s="1310">
        <f t="shared" si="26"/>
        <v>1</v>
      </c>
      <c r="AC44" s="1310">
        <f t="shared" si="27"/>
        <v>0</v>
      </c>
      <c r="AD44" s="1310">
        <f t="shared" si="28"/>
        <v>1</v>
      </c>
      <c r="AE44" s="1310">
        <f t="shared" si="29"/>
        <v>0</v>
      </c>
      <c r="AF44" s="1310">
        <f t="shared" si="30"/>
        <v>0</v>
      </c>
      <c r="AG44" s="1310">
        <f t="shared" si="31"/>
        <v>0</v>
      </c>
      <c r="AH44" s="1701">
        <f t="shared" si="32"/>
        <v>0</v>
      </c>
      <c r="AI44" s="1712"/>
      <c r="AJ44" s="1869">
        <v>2</v>
      </c>
      <c r="AK44" s="1869"/>
      <c r="AL44" s="1869">
        <v>0</v>
      </c>
      <c r="AM44" s="1869"/>
      <c r="AN44" s="1869">
        <v>1</v>
      </c>
      <c r="AO44" s="1869"/>
      <c r="AP44" s="1869">
        <v>1</v>
      </c>
      <c r="AQ44" s="1869"/>
      <c r="AR44" s="1869"/>
      <c r="AS44" s="1869"/>
      <c r="AT44" s="1869"/>
      <c r="AU44" s="1869"/>
      <c r="AV44" s="1869"/>
      <c r="AW44" s="1869"/>
      <c r="AX44" s="1871">
        <v>1</v>
      </c>
      <c r="AY44" s="1873">
        <v>1</v>
      </c>
      <c r="AZ44" s="1869"/>
      <c r="BA44" s="1869">
        <v>1</v>
      </c>
      <c r="BB44" s="1869"/>
      <c r="BC44" s="1869">
        <v>1</v>
      </c>
      <c r="BD44" s="1871">
        <v>1</v>
      </c>
      <c r="BE44" s="1873"/>
      <c r="BF44" s="1869"/>
      <c r="BG44" s="1869">
        <v>2</v>
      </c>
      <c r="BH44" s="1869"/>
      <c r="BI44" s="1869"/>
      <c r="BJ44" s="1869"/>
      <c r="BK44" s="1869"/>
      <c r="BL44" s="1869"/>
      <c r="BM44" s="1869"/>
      <c r="BN44" s="1871"/>
      <c r="BO44" s="1868"/>
      <c r="BP44" s="1317"/>
      <c r="BQ44" s="1317"/>
      <c r="BR44" s="1317"/>
      <c r="BS44" s="1317"/>
      <c r="BT44" s="1317"/>
      <c r="BU44" s="1317"/>
      <c r="BV44" s="1317"/>
      <c r="BW44" s="1317"/>
      <c r="BX44" s="1317"/>
      <c r="BY44" s="1317"/>
      <c r="BZ44" s="1317"/>
      <c r="CA44" s="1317"/>
      <c r="CB44" s="1317"/>
      <c r="CC44" s="1317"/>
      <c r="CD44" s="1317"/>
      <c r="CE44" s="1317"/>
      <c r="CF44" s="1317">
        <v>1</v>
      </c>
      <c r="CG44" s="1317"/>
      <c r="CH44" s="1317"/>
      <c r="CI44" s="1317"/>
      <c r="CJ44" s="1317">
        <v>3</v>
      </c>
      <c r="CK44" s="1317"/>
      <c r="CL44" s="1317"/>
      <c r="CM44" s="1317"/>
      <c r="CN44" s="1317">
        <v>1</v>
      </c>
      <c r="CO44" s="1317"/>
      <c r="CP44" s="1317">
        <v>1</v>
      </c>
      <c r="CQ44" s="1317"/>
      <c r="CR44" s="1317"/>
      <c r="CS44" s="1317"/>
      <c r="CT44" s="1317"/>
      <c r="CU44" s="262"/>
      <c r="CV44" s="262">
        <f t="shared" si="45"/>
        <v>1</v>
      </c>
      <c r="CX44" s="358"/>
    </row>
    <row r="45" spans="1:102" hidden="1">
      <c r="A45" s="1309">
        <v>44378</v>
      </c>
      <c r="B45" s="1310">
        <f t="shared" si="2"/>
        <v>1</v>
      </c>
      <c r="C45" s="1310">
        <f t="shared" si="3"/>
        <v>0</v>
      </c>
      <c r="D45" s="1310">
        <f t="shared" si="4"/>
        <v>1</v>
      </c>
      <c r="E45" s="1310">
        <f t="shared" si="5"/>
        <v>2</v>
      </c>
      <c r="F45" s="1310">
        <f t="shared" si="6"/>
        <v>0</v>
      </c>
      <c r="G45" s="1310">
        <f t="shared" si="7"/>
        <v>1</v>
      </c>
      <c r="H45" s="1310">
        <f t="shared" si="8"/>
        <v>0</v>
      </c>
      <c r="I45" s="1310">
        <f t="shared" si="9"/>
        <v>0</v>
      </c>
      <c r="J45" s="1310">
        <f t="shared" si="10"/>
        <v>0</v>
      </c>
      <c r="K45" s="3082">
        <f t="shared" si="11"/>
        <v>0</v>
      </c>
      <c r="L45" s="3082">
        <f t="shared" si="12"/>
        <v>0</v>
      </c>
      <c r="M45" s="3086">
        <f t="shared" si="13"/>
        <v>0</v>
      </c>
      <c r="N45" s="1310">
        <f t="shared" si="14"/>
        <v>1</v>
      </c>
      <c r="O45" s="1310">
        <f t="shared" si="15"/>
        <v>1</v>
      </c>
      <c r="P45" s="1310">
        <f t="shared" si="43"/>
        <v>0</v>
      </c>
      <c r="Q45" s="1040">
        <f t="shared" si="44"/>
        <v>0</v>
      </c>
      <c r="R45" s="1310"/>
      <c r="S45" s="1310">
        <f t="shared" si="17"/>
        <v>0</v>
      </c>
      <c r="T45" s="1310">
        <f t="shared" si="18"/>
        <v>0</v>
      </c>
      <c r="U45" s="1310">
        <f t="shared" si="19"/>
        <v>0</v>
      </c>
      <c r="V45" s="1310">
        <f t="shared" si="40"/>
        <v>0</v>
      </c>
      <c r="W45" s="1310">
        <f t="shared" si="41"/>
        <v>0</v>
      </c>
      <c r="X45" s="1310">
        <f t="shared" si="22"/>
        <v>8</v>
      </c>
      <c r="Y45" s="1310">
        <f t="shared" si="23"/>
        <v>0</v>
      </c>
      <c r="Z45" s="1310">
        <f t="shared" si="24"/>
        <v>0</v>
      </c>
      <c r="AA45" s="1310">
        <f t="shared" si="25"/>
        <v>0</v>
      </c>
      <c r="AB45" s="1310">
        <f t="shared" si="26"/>
        <v>0</v>
      </c>
      <c r="AC45" s="1310">
        <f t="shared" si="27"/>
        <v>0</v>
      </c>
      <c r="AD45" s="1310">
        <f t="shared" si="28"/>
        <v>1</v>
      </c>
      <c r="AE45" s="1310">
        <f t="shared" si="29"/>
        <v>0</v>
      </c>
      <c r="AF45" s="1310">
        <f t="shared" si="30"/>
        <v>0</v>
      </c>
      <c r="AG45" s="1310">
        <f t="shared" si="31"/>
        <v>1</v>
      </c>
      <c r="AH45" s="1701">
        <f t="shared" si="32"/>
        <v>0</v>
      </c>
      <c r="AI45" s="1712">
        <v>1</v>
      </c>
      <c r="AJ45" s="1869"/>
      <c r="AK45" s="1869">
        <v>1</v>
      </c>
      <c r="AL45" s="1869">
        <v>2</v>
      </c>
      <c r="AM45" s="1869"/>
      <c r="AN45" s="1869">
        <v>1</v>
      </c>
      <c r="AO45" s="1869"/>
      <c r="AP45" s="1869"/>
      <c r="AQ45" s="1869"/>
      <c r="AR45" s="1869"/>
      <c r="AS45" s="1869"/>
      <c r="AT45" s="1869"/>
      <c r="AU45" s="1869"/>
      <c r="AV45" s="1869"/>
      <c r="AW45" s="1869"/>
      <c r="AX45" s="1871"/>
      <c r="AY45" s="1873"/>
      <c r="AZ45" s="1869"/>
      <c r="BA45" s="1869"/>
      <c r="BB45" s="1869"/>
      <c r="BC45" s="1869"/>
      <c r="BD45" s="1871">
        <v>1</v>
      </c>
      <c r="BE45" s="1873"/>
      <c r="BF45" s="1869"/>
      <c r="BG45" s="1869"/>
      <c r="BH45" s="1869"/>
      <c r="BI45" s="1869"/>
      <c r="BJ45" s="1869">
        <v>1</v>
      </c>
      <c r="BK45" s="1869"/>
      <c r="BL45" s="1869"/>
      <c r="BM45" s="1869"/>
      <c r="BN45" s="1871"/>
      <c r="BO45" s="1868"/>
      <c r="BP45" s="1317"/>
      <c r="BQ45" s="1317"/>
      <c r="BR45" s="1317"/>
      <c r="BS45" s="1317"/>
      <c r="BT45" s="1317"/>
      <c r="BU45" s="1317"/>
      <c r="BV45" s="1317"/>
      <c r="BW45" s="1317"/>
      <c r="BX45" s="1317"/>
      <c r="BY45" s="1317"/>
      <c r="BZ45" s="1317"/>
      <c r="CA45" s="1317">
        <v>1</v>
      </c>
      <c r="CB45" s="1317">
        <v>1</v>
      </c>
      <c r="CC45" s="1317"/>
      <c r="CD45" s="1317"/>
      <c r="CE45" s="1317"/>
      <c r="CF45" s="1317"/>
      <c r="CG45" s="1317"/>
      <c r="CH45" s="1317"/>
      <c r="CI45" s="1317"/>
      <c r="CJ45" s="1317">
        <v>7</v>
      </c>
      <c r="CK45" s="1317"/>
      <c r="CL45" s="1317"/>
      <c r="CM45" s="1317"/>
      <c r="CN45" s="1317"/>
      <c r="CO45" s="1317"/>
      <c r="CP45" s="1317"/>
      <c r="CQ45" s="1317"/>
      <c r="CR45" s="1317"/>
      <c r="CS45" s="1317">
        <v>1</v>
      </c>
      <c r="CT45" s="1317"/>
      <c r="CU45" s="262"/>
      <c r="CV45" s="262">
        <f t="shared" si="45"/>
        <v>2</v>
      </c>
      <c r="CX45" s="358"/>
    </row>
    <row r="46" spans="1:102" hidden="1">
      <c r="A46" s="1309">
        <v>44409</v>
      </c>
      <c r="B46" s="1310">
        <f t="shared" si="2"/>
        <v>0</v>
      </c>
      <c r="C46" s="1310">
        <f t="shared" si="3"/>
        <v>0</v>
      </c>
      <c r="D46" s="1310">
        <f t="shared" si="4"/>
        <v>0</v>
      </c>
      <c r="E46" s="1310">
        <f t="shared" si="5"/>
        <v>1</v>
      </c>
      <c r="F46" s="1310">
        <f t="shared" si="6"/>
        <v>0</v>
      </c>
      <c r="G46" s="1310">
        <f t="shared" si="7"/>
        <v>0</v>
      </c>
      <c r="H46" s="1310">
        <f t="shared" si="8"/>
        <v>0</v>
      </c>
      <c r="I46" s="1310">
        <f t="shared" si="9"/>
        <v>0</v>
      </c>
      <c r="J46" s="1310">
        <f t="shared" si="10"/>
        <v>0</v>
      </c>
      <c r="K46" s="3082">
        <f t="shared" si="11"/>
        <v>2</v>
      </c>
      <c r="L46" s="3082">
        <f t="shared" si="12"/>
        <v>0</v>
      </c>
      <c r="M46" s="3086">
        <f t="shared" si="13"/>
        <v>0</v>
      </c>
      <c r="N46" s="1310">
        <f t="shared" si="14"/>
        <v>0</v>
      </c>
      <c r="O46" s="1310">
        <f t="shared" si="15"/>
        <v>0</v>
      </c>
      <c r="P46" s="1310">
        <f t="shared" si="43"/>
        <v>0</v>
      </c>
      <c r="Q46" s="1040">
        <f t="shared" si="44"/>
        <v>2</v>
      </c>
      <c r="R46" s="1310"/>
      <c r="S46" s="1310">
        <f t="shared" si="17"/>
        <v>0</v>
      </c>
      <c r="T46" s="1310">
        <f t="shared" si="18"/>
        <v>2</v>
      </c>
      <c r="U46" s="1310">
        <f t="shared" si="19"/>
        <v>0</v>
      </c>
      <c r="V46" s="1310">
        <f t="shared" si="40"/>
        <v>1</v>
      </c>
      <c r="W46" s="1310">
        <f t="shared" si="41"/>
        <v>0</v>
      </c>
      <c r="X46" s="1310">
        <f t="shared" si="22"/>
        <v>4</v>
      </c>
      <c r="Y46" s="1310">
        <f t="shared" si="23"/>
        <v>0</v>
      </c>
      <c r="Z46" s="1310">
        <f t="shared" si="24"/>
        <v>0</v>
      </c>
      <c r="AA46" s="1310">
        <f t="shared" si="25"/>
        <v>0</v>
      </c>
      <c r="AB46" s="1310">
        <f t="shared" si="26"/>
        <v>0</v>
      </c>
      <c r="AC46" s="1310">
        <f t="shared" si="27"/>
        <v>0</v>
      </c>
      <c r="AD46" s="1310">
        <f t="shared" si="28"/>
        <v>0</v>
      </c>
      <c r="AE46" s="1310">
        <f t="shared" si="29"/>
        <v>1</v>
      </c>
      <c r="AF46" s="1310">
        <f t="shared" si="30"/>
        <v>1</v>
      </c>
      <c r="AG46" s="1310">
        <f t="shared" si="31"/>
        <v>0</v>
      </c>
      <c r="AH46" s="1701">
        <f t="shared" si="32"/>
        <v>0</v>
      </c>
      <c r="AI46" s="1712"/>
      <c r="AJ46" s="1869"/>
      <c r="AK46" s="1869"/>
      <c r="AL46" s="1869">
        <v>1</v>
      </c>
      <c r="AM46" s="1869"/>
      <c r="AN46" s="1869"/>
      <c r="AO46" s="1869"/>
      <c r="AP46" s="1869"/>
      <c r="AQ46" s="1869"/>
      <c r="AR46" s="1869">
        <v>2</v>
      </c>
      <c r="AS46" s="1869"/>
      <c r="AT46" s="1869"/>
      <c r="AU46" s="1869"/>
      <c r="AV46" s="1869"/>
      <c r="AW46" s="1869"/>
      <c r="AX46" s="1871">
        <v>1</v>
      </c>
      <c r="AY46" s="1873"/>
      <c r="AZ46" s="1869">
        <v>2</v>
      </c>
      <c r="BA46" s="1869"/>
      <c r="BB46" s="1869">
        <v>1</v>
      </c>
      <c r="BC46" s="1869"/>
      <c r="BD46" s="1871"/>
      <c r="BE46" s="1873"/>
      <c r="BF46" s="1869"/>
      <c r="BG46" s="1869"/>
      <c r="BH46" s="1869"/>
      <c r="BI46" s="1869"/>
      <c r="BJ46" s="1869"/>
      <c r="BK46" s="1869">
        <v>1</v>
      </c>
      <c r="BL46" s="1869"/>
      <c r="BM46" s="1869"/>
      <c r="BN46" s="1871"/>
      <c r="BO46" s="1868"/>
      <c r="BP46" s="1317"/>
      <c r="BQ46" s="1317"/>
      <c r="BR46" s="1317"/>
      <c r="BS46" s="1317"/>
      <c r="BT46" s="1317"/>
      <c r="BU46" s="1317"/>
      <c r="BV46" s="1317"/>
      <c r="BW46" s="1317"/>
      <c r="BX46" s="1317"/>
      <c r="BY46" s="1317"/>
      <c r="BZ46" s="1317"/>
      <c r="CA46" s="1317"/>
      <c r="CB46" s="1317"/>
      <c r="CC46" s="1317"/>
      <c r="CD46" s="1317">
        <v>1</v>
      </c>
      <c r="CE46" s="1317"/>
      <c r="CF46" s="1317"/>
      <c r="CG46" s="1317"/>
      <c r="CH46" s="1317"/>
      <c r="CI46" s="1317"/>
      <c r="CJ46" s="1317">
        <v>4</v>
      </c>
      <c r="CK46" s="1317"/>
      <c r="CL46" s="1317"/>
      <c r="CM46" s="1317"/>
      <c r="CN46" s="1317"/>
      <c r="CO46" s="1317"/>
      <c r="CP46" s="1317"/>
      <c r="CQ46" s="1317"/>
      <c r="CR46" s="1317">
        <v>1</v>
      </c>
      <c r="CS46" s="1317"/>
      <c r="CT46" s="1317"/>
      <c r="CU46" s="262"/>
      <c r="CV46" s="262">
        <f t="shared" si="45"/>
        <v>2</v>
      </c>
      <c r="CX46" s="358"/>
    </row>
    <row r="47" spans="1:102" hidden="1">
      <c r="A47" s="1309">
        <v>44440</v>
      </c>
      <c r="B47" s="1310">
        <f t="shared" si="2"/>
        <v>0</v>
      </c>
      <c r="C47" s="1310">
        <f t="shared" si="3"/>
        <v>0</v>
      </c>
      <c r="D47" s="1310">
        <f t="shared" si="4"/>
        <v>2</v>
      </c>
      <c r="E47" s="1310">
        <f t="shared" si="5"/>
        <v>0</v>
      </c>
      <c r="F47" s="1310">
        <f t="shared" si="6"/>
        <v>0</v>
      </c>
      <c r="G47" s="1310">
        <f t="shared" si="7"/>
        <v>1</v>
      </c>
      <c r="H47" s="1310">
        <f t="shared" si="8"/>
        <v>1</v>
      </c>
      <c r="I47" s="1310">
        <f t="shared" si="9"/>
        <v>0</v>
      </c>
      <c r="J47" s="1310">
        <f t="shared" si="10"/>
        <v>1</v>
      </c>
      <c r="K47" s="3082">
        <f t="shared" si="11"/>
        <v>0</v>
      </c>
      <c r="L47" s="3082">
        <f t="shared" si="12"/>
        <v>0</v>
      </c>
      <c r="M47" s="3086">
        <f t="shared" si="13"/>
        <v>0</v>
      </c>
      <c r="N47" s="1310">
        <f t="shared" si="14"/>
        <v>0</v>
      </c>
      <c r="O47" s="1310">
        <f t="shared" si="15"/>
        <v>0</v>
      </c>
      <c r="P47" s="1310">
        <f t="shared" si="43"/>
        <v>0</v>
      </c>
      <c r="Q47" s="1040">
        <f t="shared" si="44"/>
        <v>0</v>
      </c>
      <c r="R47" s="1310"/>
      <c r="S47" s="1310">
        <f t="shared" si="17"/>
        <v>0</v>
      </c>
      <c r="T47" s="1310">
        <f t="shared" si="18"/>
        <v>1</v>
      </c>
      <c r="U47" s="1310">
        <f t="shared" si="19"/>
        <v>0</v>
      </c>
      <c r="V47" s="1310">
        <f t="shared" si="40"/>
        <v>0</v>
      </c>
      <c r="W47" s="1310">
        <f t="shared" si="41"/>
        <v>0</v>
      </c>
      <c r="X47" s="1310">
        <f t="shared" si="22"/>
        <v>4</v>
      </c>
      <c r="Y47" s="1310">
        <f t="shared" si="23"/>
        <v>0</v>
      </c>
      <c r="Z47" s="1310">
        <f t="shared" si="24"/>
        <v>0</v>
      </c>
      <c r="AA47" s="1310">
        <f t="shared" si="25"/>
        <v>0</v>
      </c>
      <c r="AB47" s="1310">
        <f t="shared" si="26"/>
        <v>0</v>
      </c>
      <c r="AC47" s="1310">
        <f t="shared" si="27"/>
        <v>0</v>
      </c>
      <c r="AD47" s="1310">
        <f t="shared" si="28"/>
        <v>0</v>
      </c>
      <c r="AE47" s="1310">
        <f t="shared" si="29"/>
        <v>0</v>
      </c>
      <c r="AF47" s="1310">
        <f t="shared" si="30"/>
        <v>0</v>
      </c>
      <c r="AG47" s="1310">
        <f t="shared" si="31"/>
        <v>0</v>
      </c>
      <c r="AH47" s="1701">
        <f t="shared" si="32"/>
        <v>0</v>
      </c>
      <c r="AI47" s="1712"/>
      <c r="AJ47" s="1869"/>
      <c r="AK47" s="1869">
        <v>2</v>
      </c>
      <c r="AL47" s="1869"/>
      <c r="AM47" s="1869"/>
      <c r="AN47" s="1869">
        <v>1</v>
      </c>
      <c r="AO47" s="1869">
        <v>1</v>
      </c>
      <c r="AP47" s="1869"/>
      <c r="AQ47" s="1869">
        <v>1</v>
      </c>
      <c r="AR47" s="1869"/>
      <c r="AS47" s="1869"/>
      <c r="AT47" s="1869"/>
      <c r="AU47" s="1869"/>
      <c r="AV47" s="1869"/>
      <c r="AW47" s="1869"/>
      <c r="AX47" s="1871"/>
      <c r="AY47" s="1873"/>
      <c r="AZ47" s="1869">
        <v>1</v>
      </c>
      <c r="BA47" s="1869"/>
      <c r="BB47" s="1869"/>
      <c r="BC47" s="1869"/>
      <c r="BD47" s="1871">
        <v>2</v>
      </c>
      <c r="BE47" s="1873"/>
      <c r="BF47" s="1869"/>
      <c r="BG47" s="1869"/>
      <c r="BH47" s="1869"/>
      <c r="BI47" s="1869"/>
      <c r="BJ47" s="1869"/>
      <c r="BK47" s="1869"/>
      <c r="BL47" s="1869"/>
      <c r="BM47" s="1869"/>
      <c r="BN47" s="1871"/>
      <c r="BO47" s="1868"/>
      <c r="BP47" s="1317"/>
      <c r="BQ47" s="1317"/>
      <c r="BR47" s="1317"/>
      <c r="BS47" s="1317"/>
      <c r="BT47" s="1317"/>
      <c r="BU47" s="1317"/>
      <c r="BV47" s="1317"/>
      <c r="BW47" s="1317"/>
      <c r="BX47" s="1317"/>
      <c r="BY47" s="1317"/>
      <c r="BZ47" s="1317"/>
      <c r="CA47" s="1317"/>
      <c r="CB47" s="1317"/>
      <c r="CC47" s="1317"/>
      <c r="CD47" s="1317"/>
      <c r="CE47" s="1317"/>
      <c r="CF47" s="1317"/>
      <c r="CG47" s="1317"/>
      <c r="CH47" s="1317"/>
      <c r="CI47" s="1317"/>
      <c r="CJ47" s="1317">
        <v>2</v>
      </c>
      <c r="CK47" s="1317"/>
      <c r="CL47" s="1317"/>
      <c r="CM47" s="1317"/>
      <c r="CN47" s="1317"/>
      <c r="CO47" s="1317"/>
      <c r="CP47" s="1317"/>
      <c r="CQ47" s="1317"/>
      <c r="CR47" s="1317"/>
      <c r="CS47" s="1317"/>
      <c r="CT47" s="1317"/>
      <c r="CU47" s="262"/>
      <c r="CV47" s="262">
        <f t="shared" si="45"/>
        <v>0</v>
      </c>
      <c r="CX47" s="358"/>
    </row>
    <row r="48" spans="1:102" hidden="1">
      <c r="A48" s="1309">
        <v>44470</v>
      </c>
      <c r="B48" s="1310">
        <f t="shared" si="2"/>
        <v>1</v>
      </c>
      <c r="C48" s="1310">
        <f t="shared" si="3"/>
        <v>0</v>
      </c>
      <c r="D48" s="1310">
        <f t="shared" si="4"/>
        <v>0</v>
      </c>
      <c r="E48" s="1310">
        <f t="shared" si="5"/>
        <v>0</v>
      </c>
      <c r="F48" s="1310">
        <f t="shared" si="6"/>
        <v>0</v>
      </c>
      <c r="G48" s="1310">
        <f t="shared" si="7"/>
        <v>1</v>
      </c>
      <c r="H48" s="1310">
        <f t="shared" si="8"/>
        <v>0</v>
      </c>
      <c r="I48" s="1310">
        <f t="shared" si="9"/>
        <v>0</v>
      </c>
      <c r="J48" s="1310">
        <f t="shared" si="10"/>
        <v>0</v>
      </c>
      <c r="K48" s="3082">
        <f t="shared" si="11"/>
        <v>0</v>
      </c>
      <c r="L48" s="3082">
        <f t="shared" si="12"/>
        <v>0</v>
      </c>
      <c r="M48" s="3086">
        <f t="shared" si="13"/>
        <v>1</v>
      </c>
      <c r="N48" s="1310">
        <f t="shared" si="14"/>
        <v>0</v>
      </c>
      <c r="O48" s="1310">
        <f t="shared" si="15"/>
        <v>0</v>
      </c>
      <c r="P48" s="1310">
        <f t="shared" si="43"/>
        <v>0</v>
      </c>
      <c r="Q48" s="1040">
        <f t="shared" si="44"/>
        <v>1</v>
      </c>
      <c r="R48" s="1310"/>
      <c r="S48" s="1310">
        <f t="shared" si="17"/>
        <v>0</v>
      </c>
      <c r="T48" s="1310">
        <f t="shared" si="18"/>
        <v>0</v>
      </c>
      <c r="U48" s="1310">
        <f t="shared" si="19"/>
        <v>0</v>
      </c>
      <c r="V48" s="1310">
        <f t="shared" si="40"/>
        <v>1</v>
      </c>
      <c r="W48" s="1310">
        <f t="shared" si="41"/>
        <v>0</v>
      </c>
      <c r="X48" s="1310">
        <f t="shared" si="22"/>
        <v>13</v>
      </c>
      <c r="Y48" s="1310">
        <f t="shared" si="23"/>
        <v>0</v>
      </c>
      <c r="Z48" s="1310">
        <f t="shared" si="24"/>
        <v>0</v>
      </c>
      <c r="AA48" s="1310">
        <f t="shared" si="25"/>
        <v>0</v>
      </c>
      <c r="AB48" s="1310">
        <f t="shared" si="26"/>
        <v>0</v>
      </c>
      <c r="AC48" s="1310">
        <f t="shared" si="27"/>
        <v>0</v>
      </c>
      <c r="AD48" s="1310">
        <f t="shared" si="28"/>
        <v>0</v>
      </c>
      <c r="AE48" s="1310">
        <f t="shared" si="29"/>
        <v>0</v>
      </c>
      <c r="AF48" s="1310">
        <f t="shared" si="30"/>
        <v>1</v>
      </c>
      <c r="AG48" s="1310">
        <f t="shared" si="31"/>
        <v>0</v>
      </c>
      <c r="AH48" s="1701">
        <f t="shared" si="32"/>
        <v>0</v>
      </c>
      <c r="AI48" s="1712">
        <v>1</v>
      </c>
      <c r="AJ48" s="1869"/>
      <c r="AK48" s="1869"/>
      <c r="AL48" s="1869"/>
      <c r="AM48" s="1869"/>
      <c r="AN48" s="1869">
        <v>1</v>
      </c>
      <c r="AO48" s="1869"/>
      <c r="AP48" s="1869"/>
      <c r="AQ48" s="1869"/>
      <c r="AR48" s="1869"/>
      <c r="AS48" s="1869"/>
      <c r="AT48" s="1869">
        <v>1</v>
      </c>
      <c r="AU48" s="1869"/>
      <c r="AV48" s="1869"/>
      <c r="AW48" s="1869"/>
      <c r="AX48" s="1871"/>
      <c r="AY48" s="1873"/>
      <c r="AZ48" s="1869"/>
      <c r="BA48" s="1869"/>
      <c r="BB48" s="1869">
        <v>1</v>
      </c>
      <c r="BC48" s="1869"/>
      <c r="BD48" s="1871">
        <v>2</v>
      </c>
      <c r="BE48" s="1873"/>
      <c r="BF48" s="1869"/>
      <c r="BG48" s="1869"/>
      <c r="BH48" s="1869"/>
      <c r="BI48" s="1869"/>
      <c r="BJ48" s="1869"/>
      <c r="BK48" s="1869"/>
      <c r="BL48" s="1869"/>
      <c r="BM48" s="1869"/>
      <c r="BN48" s="1871"/>
      <c r="BO48" s="1868"/>
      <c r="BP48" s="1317"/>
      <c r="BQ48" s="1317"/>
      <c r="BR48" s="1317"/>
      <c r="BS48" s="1317"/>
      <c r="BT48" s="1317"/>
      <c r="BU48" s="1317"/>
      <c r="BV48" s="1317"/>
      <c r="BW48" s="1317"/>
      <c r="BX48" s="1317"/>
      <c r="BY48" s="1317"/>
      <c r="BZ48" s="1317"/>
      <c r="CA48" s="1317"/>
      <c r="CB48" s="1317"/>
      <c r="CC48" s="1317"/>
      <c r="CD48" s="1317">
        <v>1</v>
      </c>
      <c r="CE48" s="1317"/>
      <c r="CF48" s="1317"/>
      <c r="CG48" s="1317"/>
      <c r="CH48" s="1317"/>
      <c r="CI48" s="1317"/>
      <c r="CJ48" s="1317">
        <v>11</v>
      </c>
      <c r="CK48" s="1317"/>
      <c r="CL48" s="1317"/>
      <c r="CM48" s="1317"/>
      <c r="CN48" s="1317"/>
      <c r="CO48" s="1317"/>
      <c r="CP48" s="1317"/>
      <c r="CQ48" s="1317"/>
      <c r="CR48" s="1317">
        <v>1</v>
      </c>
      <c r="CS48" s="1317"/>
      <c r="CT48" s="1317"/>
      <c r="CU48" s="262"/>
      <c r="CV48" s="262">
        <f t="shared" si="45"/>
        <v>1</v>
      </c>
      <c r="CX48" s="358"/>
    </row>
    <row r="49" spans="1:104" hidden="1">
      <c r="A49" s="1309">
        <v>44501</v>
      </c>
      <c r="B49" s="1310">
        <f t="shared" si="2"/>
        <v>0</v>
      </c>
      <c r="C49" s="1310">
        <f t="shared" si="3"/>
        <v>0</v>
      </c>
      <c r="D49" s="1310">
        <f t="shared" si="4"/>
        <v>1</v>
      </c>
      <c r="E49" s="1310">
        <f t="shared" si="5"/>
        <v>0</v>
      </c>
      <c r="F49" s="1310">
        <f t="shared" si="6"/>
        <v>1</v>
      </c>
      <c r="G49" s="1310">
        <f t="shared" si="7"/>
        <v>0</v>
      </c>
      <c r="H49" s="1310">
        <f t="shared" si="8"/>
        <v>0</v>
      </c>
      <c r="I49" s="1310">
        <f t="shared" si="9"/>
        <v>0</v>
      </c>
      <c r="J49" s="1310">
        <f t="shared" si="10"/>
        <v>0</v>
      </c>
      <c r="K49" s="3082">
        <f t="shared" si="11"/>
        <v>1</v>
      </c>
      <c r="L49" s="3082">
        <f t="shared" si="12"/>
        <v>0</v>
      </c>
      <c r="M49" s="3086">
        <f t="shared" si="13"/>
        <v>0</v>
      </c>
      <c r="N49" s="1310">
        <f t="shared" si="14"/>
        <v>0</v>
      </c>
      <c r="O49" s="1310">
        <f t="shared" si="15"/>
        <v>0</v>
      </c>
      <c r="P49" s="1310">
        <f t="shared" si="43"/>
        <v>0</v>
      </c>
      <c r="Q49" s="1040">
        <f t="shared" si="44"/>
        <v>0</v>
      </c>
      <c r="R49" s="1310"/>
      <c r="S49" s="1310">
        <f t="shared" si="17"/>
        <v>0</v>
      </c>
      <c r="T49" s="1310">
        <f t="shared" si="18"/>
        <v>0</v>
      </c>
      <c r="U49" s="1310">
        <f t="shared" si="19"/>
        <v>1</v>
      </c>
      <c r="V49" s="1310">
        <f t="shared" si="40"/>
        <v>1</v>
      </c>
      <c r="W49" s="1310">
        <f t="shared" si="41"/>
        <v>0</v>
      </c>
      <c r="X49" s="1310">
        <f t="shared" si="22"/>
        <v>6</v>
      </c>
      <c r="Y49" s="1310">
        <f t="shared" si="23"/>
        <v>0</v>
      </c>
      <c r="Z49" s="1310">
        <f t="shared" si="24"/>
        <v>0</v>
      </c>
      <c r="AA49" s="1310">
        <f t="shared" si="25"/>
        <v>1</v>
      </c>
      <c r="AB49" s="1310">
        <f t="shared" si="26"/>
        <v>0</v>
      </c>
      <c r="AC49" s="1310">
        <f t="shared" si="27"/>
        <v>0</v>
      </c>
      <c r="AD49" s="1310">
        <f t="shared" si="28"/>
        <v>0</v>
      </c>
      <c r="AE49" s="1310">
        <f t="shared" si="29"/>
        <v>0</v>
      </c>
      <c r="AF49" s="1310">
        <f t="shared" si="30"/>
        <v>1</v>
      </c>
      <c r="AG49" s="1310">
        <f t="shared" si="31"/>
        <v>0</v>
      </c>
      <c r="AH49" s="1701">
        <f t="shared" si="32"/>
        <v>0</v>
      </c>
      <c r="AI49" s="1712"/>
      <c r="AJ49" s="1869"/>
      <c r="AK49" s="1869">
        <v>1</v>
      </c>
      <c r="AL49" s="1869"/>
      <c r="AM49" s="1869"/>
      <c r="AN49" s="1869"/>
      <c r="AO49" s="1869"/>
      <c r="AP49" s="1869"/>
      <c r="AQ49" s="1869"/>
      <c r="AR49" s="1869"/>
      <c r="AS49" s="1869"/>
      <c r="AT49" s="1869"/>
      <c r="AU49" s="1869"/>
      <c r="AV49" s="1869"/>
      <c r="AW49" s="1869"/>
      <c r="AX49" s="1871"/>
      <c r="AY49" s="1873"/>
      <c r="AZ49" s="1869"/>
      <c r="BA49" s="1869">
        <v>1</v>
      </c>
      <c r="BB49" s="1869">
        <v>1</v>
      </c>
      <c r="BC49" s="1869"/>
      <c r="BD49" s="1871"/>
      <c r="BE49" s="1873"/>
      <c r="BF49" s="1869"/>
      <c r="BG49" s="1869">
        <v>1</v>
      </c>
      <c r="BH49" s="1869"/>
      <c r="BI49" s="1869"/>
      <c r="BJ49" s="1869"/>
      <c r="BK49" s="1869"/>
      <c r="BL49" s="1869">
        <v>1</v>
      </c>
      <c r="BM49" s="1869"/>
      <c r="BN49" s="1871"/>
      <c r="BO49" s="1868"/>
      <c r="BP49" s="1317"/>
      <c r="BQ49" s="1317"/>
      <c r="BR49" s="1317"/>
      <c r="BS49" s="1317">
        <v>1</v>
      </c>
      <c r="BT49" s="1317"/>
      <c r="BU49" s="1317"/>
      <c r="BV49" s="1317"/>
      <c r="BW49" s="1317"/>
      <c r="BX49" s="1317">
        <v>1</v>
      </c>
      <c r="BY49" s="1317"/>
      <c r="BZ49" s="1317"/>
      <c r="CA49" s="1317"/>
      <c r="CB49" s="1317"/>
      <c r="CC49" s="1317"/>
      <c r="CD49" s="1317"/>
      <c r="CE49" s="1317"/>
      <c r="CF49" s="1317"/>
      <c r="CG49" s="1317"/>
      <c r="CH49" s="1317"/>
      <c r="CI49" s="1317"/>
      <c r="CJ49" s="1317">
        <v>6</v>
      </c>
      <c r="CK49" s="1317"/>
      <c r="CL49" s="1317"/>
      <c r="CM49" s="1317"/>
      <c r="CN49" s="1317"/>
      <c r="CO49" s="1317"/>
      <c r="CP49" s="1317"/>
      <c r="CQ49" s="1317"/>
      <c r="CR49" s="1317"/>
      <c r="CS49" s="1317"/>
      <c r="CT49" s="1317"/>
      <c r="CU49" s="262"/>
      <c r="CV49" s="262">
        <f t="shared" si="45"/>
        <v>1</v>
      </c>
      <c r="CX49" s="358"/>
    </row>
    <row r="50" spans="1:104" hidden="1">
      <c r="A50" s="1309">
        <v>44531</v>
      </c>
      <c r="B50" s="1310">
        <f t="shared" si="2"/>
        <v>0</v>
      </c>
      <c r="C50" s="1310">
        <f t="shared" si="3"/>
        <v>0</v>
      </c>
      <c r="D50" s="1310">
        <f t="shared" si="4"/>
        <v>0</v>
      </c>
      <c r="E50" s="1310">
        <f t="shared" si="5"/>
        <v>0</v>
      </c>
      <c r="F50" s="1310">
        <f t="shared" si="6"/>
        <v>1</v>
      </c>
      <c r="G50" s="1310">
        <f t="shared" si="7"/>
        <v>0</v>
      </c>
      <c r="H50" s="1310">
        <f t="shared" si="8"/>
        <v>0</v>
      </c>
      <c r="I50" s="1310">
        <f t="shared" si="9"/>
        <v>0</v>
      </c>
      <c r="J50" s="1310">
        <f t="shared" si="10"/>
        <v>0</v>
      </c>
      <c r="K50" s="3082">
        <f t="shared" si="11"/>
        <v>0</v>
      </c>
      <c r="L50" s="3082">
        <f t="shared" si="12"/>
        <v>0</v>
      </c>
      <c r="M50" s="3086">
        <f t="shared" si="13"/>
        <v>0</v>
      </c>
      <c r="N50" s="1310">
        <f t="shared" si="14"/>
        <v>0</v>
      </c>
      <c r="O50" s="1310">
        <f t="shared" si="15"/>
        <v>0</v>
      </c>
      <c r="P50" s="1310">
        <f t="shared" si="43"/>
        <v>0</v>
      </c>
      <c r="Q50" s="1040">
        <f t="shared" si="44"/>
        <v>0</v>
      </c>
      <c r="R50" s="1310"/>
      <c r="S50" s="1310">
        <f t="shared" si="17"/>
        <v>0</v>
      </c>
      <c r="T50" s="1310">
        <f t="shared" si="18"/>
        <v>0</v>
      </c>
      <c r="U50" s="1310">
        <f t="shared" si="19"/>
        <v>0</v>
      </c>
      <c r="V50" s="1310">
        <f t="shared" si="40"/>
        <v>1</v>
      </c>
      <c r="W50" s="1310">
        <f t="shared" si="41"/>
        <v>0</v>
      </c>
      <c r="X50" s="1310">
        <f t="shared" si="22"/>
        <v>6</v>
      </c>
      <c r="Y50" s="1310">
        <f t="shared" si="23"/>
        <v>0</v>
      </c>
      <c r="Z50" s="1310">
        <f t="shared" si="24"/>
        <v>0</v>
      </c>
      <c r="AA50" s="1310">
        <f t="shared" si="25"/>
        <v>0</v>
      </c>
      <c r="AB50" s="1310">
        <f t="shared" si="26"/>
        <v>0</v>
      </c>
      <c r="AC50" s="1310">
        <f t="shared" si="27"/>
        <v>0</v>
      </c>
      <c r="AD50" s="1310">
        <f t="shared" si="28"/>
        <v>2</v>
      </c>
      <c r="AE50" s="1310">
        <f t="shared" si="29"/>
        <v>0</v>
      </c>
      <c r="AF50" s="1310">
        <f t="shared" si="30"/>
        <v>1</v>
      </c>
      <c r="AG50" s="1310">
        <f t="shared" si="31"/>
        <v>0</v>
      </c>
      <c r="AH50" s="1701">
        <f t="shared" si="32"/>
        <v>0</v>
      </c>
      <c r="AI50" s="1712"/>
      <c r="AJ50" s="1869"/>
      <c r="AK50" s="1869"/>
      <c r="AL50" s="1869"/>
      <c r="AM50" s="1869">
        <v>1</v>
      </c>
      <c r="AN50" s="1869"/>
      <c r="AO50" s="1869"/>
      <c r="AP50" s="1869"/>
      <c r="AQ50" s="1869"/>
      <c r="AR50" s="1869"/>
      <c r="AS50" s="1869"/>
      <c r="AT50" s="1869"/>
      <c r="AU50" s="1869"/>
      <c r="AV50" s="1869"/>
      <c r="AW50" s="1869"/>
      <c r="AX50" s="1871"/>
      <c r="AY50" s="1873"/>
      <c r="AZ50" s="1869"/>
      <c r="BA50" s="1869"/>
      <c r="BB50" s="1869">
        <v>1</v>
      </c>
      <c r="BC50" s="1869"/>
      <c r="BD50" s="1871">
        <v>1</v>
      </c>
      <c r="BE50" s="1873"/>
      <c r="BF50" s="1869"/>
      <c r="BG50" s="1869"/>
      <c r="BH50" s="1869"/>
      <c r="BI50" s="1869"/>
      <c r="BJ50" s="1869">
        <v>1</v>
      </c>
      <c r="BK50" s="1869"/>
      <c r="BL50" s="1869">
        <v>1</v>
      </c>
      <c r="BM50" s="1869"/>
      <c r="BN50" s="1871"/>
      <c r="BO50" s="1894"/>
      <c r="BP50" s="1895"/>
      <c r="BQ50" s="1895"/>
      <c r="BR50" s="1895"/>
      <c r="BS50" s="1895"/>
      <c r="BT50" s="1895"/>
      <c r="BU50" s="1895"/>
      <c r="BV50" s="1895"/>
      <c r="BW50" s="1895"/>
      <c r="BX50" s="1895"/>
      <c r="BY50" s="1895"/>
      <c r="BZ50" s="1895"/>
      <c r="CA50" s="1895"/>
      <c r="CB50" s="1895"/>
      <c r="CC50" s="1895"/>
      <c r="CD50" s="1895"/>
      <c r="CE50" s="1895"/>
      <c r="CF50" s="1895"/>
      <c r="CG50" s="1895"/>
      <c r="CH50" s="1895"/>
      <c r="CI50" s="1895"/>
      <c r="CJ50" s="1895">
        <v>5</v>
      </c>
      <c r="CK50" s="1895"/>
      <c r="CL50" s="1895"/>
      <c r="CM50" s="1895"/>
      <c r="CN50" s="1895"/>
      <c r="CO50" s="1895"/>
      <c r="CP50" s="1895">
        <v>1</v>
      </c>
      <c r="CQ50" s="1895"/>
      <c r="CR50" s="1895"/>
      <c r="CS50" s="1895"/>
      <c r="CT50" s="1895"/>
      <c r="CU50" s="262"/>
      <c r="CV50" s="262">
        <f t="shared" si="45"/>
        <v>3</v>
      </c>
      <c r="CX50" s="358"/>
    </row>
    <row r="51" spans="1:104" hidden="1">
      <c r="A51" s="1309">
        <v>44562</v>
      </c>
      <c r="B51" s="1310">
        <f t="shared" ref="B51:B62" si="46">+AI51+BO51</f>
        <v>0</v>
      </c>
      <c r="C51" s="1310">
        <f t="shared" ref="C51:C62" si="47">+AJ51+BP51</f>
        <v>1</v>
      </c>
      <c r="D51" s="1310">
        <f t="shared" ref="D51:D62" si="48">+AK51+BQ51</f>
        <v>0</v>
      </c>
      <c r="E51" s="1310">
        <f t="shared" ref="E51:E62" si="49">+AL51+BR51</f>
        <v>0</v>
      </c>
      <c r="F51" s="1310">
        <f t="shared" ref="F51:F62" si="50">+AM51+BS51</f>
        <v>0</v>
      </c>
      <c r="G51" s="1310">
        <f t="shared" ref="G51:G62" si="51">+AN51+BT51</f>
        <v>0</v>
      </c>
      <c r="H51" s="1310">
        <f t="shared" ref="H51:H62" si="52">+AO51+BU51</f>
        <v>0</v>
      </c>
      <c r="I51" s="1310">
        <f t="shared" ref="I51:I62" si="53">+AP51+BV51</f>
        <v>0</v>
      </c>
      <c r="J51" s="1310">
        <f t="shared" ref="J51:J62" si="54">+AQ51+BW51</f>
        <v>0</v>
      </c>
      <c r="K51" s="3082">
        <f t="shared" ref="K51:K62" si="55">+AR51+BX51</f>
        <v>0</v>
      </c>
      <c r="L51" s="3082">
        <f t="shared" ref="L51:L62" si="56">+AS51+BY51</f>
        <v>0</v>
      </c>
      <c r="M51" s="3086">
        <f t="shared" ref="M51:M62" si="57">+AT51+BZ51</f>
        <v>0</v>
      </c>
      <c r="N51" s="1310">
        <f t="shared" ref="N51:N62" si="58">+AU51+CA51</f>
        <v>0</v>
      </c>
      <c r="O51" s="1310">
        <f t="shared" ref="O51:O62" si="59">+AV51+CB51</f>
        <v>0</v>
      </c>
      <c r="P51" s="1310">
        <f t="shared" ref="P51:P62" si="60">+AW51+CC51</f>
        <v>0</v>
      </c>
      <c r="Q51" s="1040">
        <f t="shared" ref="Q51:Q62" si="61">+AX51+CD51</f>
        <v>0</v>
      </c>
      <c r="R51" s="1310"/>
      <c r="S51" s="1310">
        <f t="shared" ref="S51:S62" si="62">+AY51+CE51</f>
        <v>0</v>
      </c>
      <c r="T51" s="1310">
        <f t="shared" ref="T51:T62" si="63">+AZ51+CF51</f>
        <v>0</v>
      </c>
      <c r="U51" s="1310">
        <f t="shared" ref="U51:U62" si="64">+BA51+CG51</f>
        <v>1</v>
      </c>
      <c r="V51" s="1310">
        <f t="shared" ref="V51:V62" si="65">+BB51+CH51</f>
        <v>0</v>
      </c>
      <c r="W51" s="1310">
        <f t="shared" ref="W51:W62" si="66">+BC51+CI51</f>
        <v>0</v>
      </c>
      <c r="X51" s="1310">
        <f t="shared" ref="X51:X62" si="67">+BD51+CJ51</f>
        <v>3</v>
      </c>
      <c r="Y51" s="1310">
        <f t="shared" ref="Y51:Y62" si="68">+BE51+CK51</f>
        <v>1</v>
      </c>
      <c r="Z51" s="1310">
        <f t="shared" ref="Z51:Z62" si="69">+BF51+CL51</f>
        <v>0</v>
      </c>
      <c r="AA51" s="1310">
        <f t="shared" ref="AA51:AA62" si="70">+BG51+CM51</f>
        <v>0</v>
      </c>
      <c r="AB51" s="1310">
        <f t="shared" ref="AB51:AB62" si="71">+BH51+CN51</f>
        <v>0</v>
      </c>
      <c r="AC51" s="1310">
        <f t="shared" ref="AC51:AC62" si="72">+BI51+CO51</f>
        <v>0</v>
      </c>
      <c r="AD51" s="1310">
        <f t="shared" ref="AD51:AD62" si="73">+BJ51+CP51</f>
        <v>0</v>
      </c>
      <c r="AE51" s="1310">
        <f t="shared" ref="AE51:AE62" si="74">+BK51+CQ51</f>
        <v>0</v>
      </c>
      <c r="AF51" s="1310">
        <f t="shared" ref="AF51:AF62" si="75">+BL51+CR51</f>
        <v>1</v>
      </c>
      <c r="AG51" s="1310">
        <f t="shared" ref="AG51:AG62" si="76">+BM51+CS51</f>
        <v>0</v>
      </c>
      <c r="AH51" s="1701">
        <f t="shared" ref="AH51:AH62" si="77">+BN51+CT51</f>
        <v>0</v>
      </c>
      <c r="AI51" s="1712"/>
      <c r="AJ51" s="1869">
        <v>1</v>
      </c>
      <c r="AK51" s="1869"/>
      <c r="AL51" s="1869"/>
      <c r="AM51" s="1869"/>
      <c r="AN51" s="1869"/>
      <c r="AO51" s="1869"/>
      <c r="AP51" s="1869"/>
      <c r="AQ51" s="1869"/>
      <c r="AR51" s="1869"/>
      <c r="AS51" s="1869"/>
      <c r="AT51" s="1869"/>
      <c r="AU51" s="1869"/>
      <c r="AV51" s="1869"/>
      <c r="AW51" s="1869"/>
      <c r="AX51" s="1871"/>
      <c r="AY51" s="1873"/>
      <c r="AZ51" s="1869"/>
      <c r="BA51" s="1869">
        <v>1</v>
      </c>
      <c r="BB51" s="1869"/>
      <c r="BC51" s="1869"/>
      <c r="BD51" s="1871"/>
      <c r="BE51" s="1873">
        <v>1</v>
      </c>
      <c r="BF51" s="1869"/>
      <c r="BG51" s="1869"/>
      <c r="BH51" s="1869"/>
      <c r="BI51" s="1869"/>
      <c r="BJ51" s="1869"/>
      <c r="BK51" s="1869"/>
      <c r="BL51" s="1869"/>
      <c r="BM51" s="1869"/>
      <c r="BN51" s="1871"/>
      <c r="BO51" s="2148"/>
      <c r="BP51" s="2149"/>
      <c r="BQ51" s="2149"/>
      <c r="BR51" s="2149"/>
      <c r="BS51" s="2149"/>
      <c r="BT51" s="2149"/>
      <c r="BU51" s="2149"/>
      <c r="BV51" s="2149"/>
      <c r="BW51" s="2149"/>
      <c r="BX51" s="2149"/>
      <c r="BY51" s="2149"/>
      <c r="BZ51" s="2149"/>
      <c r="CA51" s="2149"/>
      <c r="CB51" s="2149"/>
      <c r="CC51" s="2149"/>
      <c r="CD51" s="2150"/>
      <c r="CE51" s="2148"/>
      <c r="CF51" s="2149"/>
      <c r="CG51" s="2149"/>
      <c r="CH51" s="2149"/>
      <c r="CI51" s="2149"/>
      <c r="CJ51" s="2150">
        <v>3</v>
      </c>
      <c r="CK51" s="2148"/>
      <c r="CL51" s="2149"/>
      <c r="CM51" s="2149"/>
      <c r="CN51" s="2149"/>
      <c r="CO51" s="2149"/>
      <c r="CP51" s="2149"/>
      <c r="CQ51" s="2149"/>
      <c r="CR51" s="2149">
        <v>1</v>
      </c>
      <c r="CS51" s="2149"/>
      <c r="CT51" s="2150"/>
      <c r="CU51" s="262"/>
      <c r="CV51" s="262"/>
      <c r="CX51" s="358"/>
    </row>
    <row r="52" spans="1:104" hidden="1">
      <c r="A52" s="1309">
        <v>44593</v>
      </c>
      <c r="B52" s="1310">
        <f t="shared" si="46"/>
        <v>1</v>
      </c>
      <c r="C52" s="1310">
        <f t="shared" si="47"/>
        <v>0</v>
      </c>
      <c r="D52" s="1310">
        <f t="shared" si="48"/>
        <v>0</v>
      </c>
      <c r="E52" s="1310">
        <f t="shared" si="49"/>
        <v>2</v>
      </c>
      <c r="F52" s="1310">
        <f t="shared" si="50"/>
        <v>0</v>
      </c>
      <c r="G52" s="1310">
        <f t="shared" si="51"/>
        <v>0</v>
      </c>
      <c r="H52" s="1310">
        <f t="shared" si="52"/>
        <v>0</v>
      </c>
      <c r="I52" s="1310">
        <f t="shared" si="53"/>
        <v>0</v>
      </c>
      <c r="J52" s="1310">
        <f t="shared" si="54"/>
        <v>0</v>
      </c>
      <c r="K52" s="3082">
        <f t="shared" si="55"/>
        <v>1</v>
      </c>
      <c r="L52" s="3082">
        <f t="shared" si="56"/>
        <v>1</v>
      </c>
      <c r="M52" s="3086">
        <f t="shared" si="57"/>
        <v>0</v>
      </c>
      <c r="N52" s="1310">
        <f t="shared" si="58"/>
        <v>0</v>
      </c>
      <c r="O52" s="1310">
        <f t="shared" si="59"/>
        <v>0</v>
      </c>
      <c r="P52" s="1310">
        <f t="shared" si="60"/>
        <v>0</v>
      </c>
      <c r="Q52" s="1040">
        <f t="shared" si="61"/>
        <v>0</v>
      </c>
      <c r="R52" s="1310"/>
      <c r="S52" s="1310">
        <f t="shared" si="62"/>
        <v>0</v>
      </c>
      <c r="T52" s="1310">
        <f t="shared" si="63"/>
        <v>0</v>
      </c>
      <c r="U52" s="1310">
        <f t="shared" si="64"/>
        <v>0</v>
      </c>
      <c r="V52" s="1310">
        <f t="shared" si="65"/>
        <v>0</v>
      </c>
      <c r="W52" s="1310">
        <f t="shared" si="66"/>
        <v>0</v>
      </c>
      <c r="X52" s="1310">
        <f t="shared" si="67"/>
        <v>2</v>
      </c>
      <c r="Y52" s="1310">
        <f t="shared" si="68"/>
        <v>0</v>
      </c>
      <c r="Z52" s="1310">
        <f t="shared" si="69"/>
        <v>0</v>
      </c>
      <c r="AA52" s="1310">
        <f t="shared" si="70"/>
        <v>0</v>
      </c>
      <c r="AB52" s="1310">
        <f t="shared" si="71"/>
        <v>0</v>
      </c>
      <c r="AC52" s="1310">
        <f t="shared" si="72"/>
        <v>0</v>
      </c>
      <c r="AD52" s="1310">
        <f t="shared" si="73"/>
        <v>0</v>
      </c>
      <c r="AE52" s="1310">
        <f t="shared" si="74"/>
        <v>0</v>
      </c>
      <c r="AF52" s="1310">
        <f t="shared" si="75"/>
        <v>0</v>
      </c>
      <c r="AG52" s="1310">
        <f t="shared" si="76"/>
        <v>1</v>
      </c>
      <c r="AH52" s="1701">
        <f t="shared" si="77"/>
        <v>0</v>
      </c>
      <c r="AI52" s="1712">
        <v>1</v>
      </c>
      <c r="AJ52" s="1869"/>
      <c r="AK52" s="1869"/>
      <c r="AL52" s="1869">
        <v>2</v>
      </c>
      <c r="AM52" s="1869"/>
      <c r="AN52" s="1869"/>
      <c r="AO52" s="1869"/>
      <c r="AP52" s="1869"/>
      <c r="AQ52" s="1869"/>
      <c r="AR52" s="1869">
        <v>1</v>
      </c>
      <c r="AS52" s="1869">
        <v>1</v>
      </c>
      <c r="AT52" s="1869"/>
      <c r="AU52" s="1869"/>
      <c r="AV52" s="1869"/>
      <c r="AW52" s="1869"/>
      <c r="AX52" s="1871"/>
      <c r="AY52" s="1873"/>
      <c r="AZ52" s="1869"/>
      <c r="BA52" s="1869"/>
      <c r="BB52" s="1869"/>
      <c r="BC52" s="1869"/>
      <c r="BD52" s="1871">
        <v>1</v>
      </c>
      <c r="BE52" s="1873"/>
      <c r="BF52" s="1869"/>
      <c r="BG52" s="1869"/>
      <c r="BH52" s="1869"/>
      <c r="BI52" s="1869"/>
      <c r="BJ52" s="1869"/>
      <c r="BK52" s="1869"/>
      <c r="BL52" s="1869"/>
      <c r="BM52" s="1869">
        <v>1</v>
      </c>
      <c r="BN52" s="2275"/>
      <c r="BO52" s="1317"/>
      <c r="BP52" s="1317"/>
      <c r="BQ52" s="1317"/>
      <c r="BR52" s="1317"/>
      <c r="BS52" s="1317"/>
      <c r="BT52" s="1317"/>
      <c r="BU52" s="1317"/>
      <c r="BV52" s="1317"/>
      <c r="BW52" s="1317"/>
      <c r="BX52" s="1317"/>
      <c r="BY52" s="1317"/>
      <c r="BZ52" s="1317"/>
      <c r="CA52" s="1317"/>
      <c r="CB52" s="1317"/>
      <c r="CC52" s="1317"/>
      <c r="CD52" s="1317"/>
      <c r="CE52" s="1317"/>
      <c r="CF52" s="1317"/>
      <c r="CG52" s="1317"/>
      <c r="CH52" s="1317"/>
      <c r="CI52" s="1317"/>
      <c r="CJ52" s="1317">
        <v>1</v>
      </c>
      <c r="CK52" s="1317"/>
      <c r="CL52" s="1317"/>
      <c r="CM52" s="1317"/>
      <c r="CN52" s="1317"/>
      <c r="CO52" s="1317"/>
      <c r="CP52" s="1317"/>
      <c r="CQ52" s="1317"/>
      <c r="CR52" s="1317"/>
      <c r="CS52" s="1317"/>
      <c r="CT52" s="1317"/>
      <c r="CU52" s="262"/>
      <c r="CV52" s="262"/>
      <c r="CX52" s="358"/>
    </row>
    <row r="53" spans="1:104" hidden="1">
      <c r="A53" s="1309">
        <v>44621</v>
      </c>
      <c r="B53" s="1310">
        <f t="shared" si="46"/>
        <v>0</v>
      </c>
      <c r="C53" s="1310">
        <f t="shared" si="47"/>
        <v>0</v>
      </c>
      <c r="D53" s="1310">
        <f t="shared" si="48"/>
        <v>2</v>
      </c>
      <c r="E53" s="1310">
        <f t="shared" si="49"/>
        <v>0</v>
      </c>
      <c r="F53" s="1310">
        <f t="shared" si="50"/>
        <v>0</v>
      </c>
      <c r="G53" s="1310">
        <f t="shared" si="51"/>
        <v>0</v>
      </c>
      <c r="H53" s="1310">
        <f t="shared" si="52"/>
        <v>0</v>
      </c>
      <c r="I53" s="1310">
        <f t="shared" si="53"/>
        <v>0</v>
      </c>
      <c r="J53" s="1310">
        <f t="shared" si="54"/>
        <v>0</v>
      </c>
      <c r="K53" s="3082">
        <f t="shared" si="55"/>
        <v>4</v>
      </c>
      <c r="L53" s="3082">
        <f t="shared" si="56"/>
        <v>0</v>
      </c>
      <c r="M53" s="3086">
        <f t="shared" si="57"/>
        <v>0</v>
      </c>
      <c r="N53" s="1310">
        <f t="shared" si="58"/>
        <v>0</v>
      </c>
      <c r="O53" s="1310">
        <f t="shared" si="59"/>
        <v>0</v>
      </c>
      <c r="P53" s="1310">
        <f t="shared" si="60"/>
        <v>0</v>
      </c>
      <c r="Q53" s="1040">
        <f t="shared" si="61"/>
        <v>0</v>
      </c>
      <c r="R53" s="1310"/>
      <c r="S53" s="1310">
        <f t="shared" si="62"/>
        <v>1</v>
      </c>
      <c r="T53" s="1310">
        <f t="shared" si="63"/>
        <v>0</v>
      </c>
      <c r="U53" s="1310">
        <f t="shared" si="64"/>
        <v>0</v>
      </c>
      <c r="V53" s="1310">
        <f t="shared" si="65"/>
        <v>0</v>
      </c>
      <c r="W53" s="1310">
        <f t="shared" si="66"/>
        <v>0</v>
      </c>
      <c r="X53" s="1310">
        <f t="shared" si="67"/>
        <v>8</v>
      </c>
      <c r="Y53" s="1310">
        <f t="shared" si="68"/>
        <v>1</v>
      </c>
      <c r="Z53" s="1310">
        <f t="shared" si="69"/>
        <v>0</v>
      </c>
      <c r="AA53" s="1310">
        <f t="shared" si="70"/>
        <v>0</v>
      </c>
      <c r="AB53" s="1310">
        <f t="shared" si="71"/>
        <v>0</v>
      </c>
      <c r="AC53" s="1310">
        <f t="shared" si="72"/>
        <v>0</v>
      </c>
      <c r="AD53" s="1310">
        <f t="shared" si="73"/>
        <v>1</v>
      </c>
      <c r="AE53" s="1310">
        <f t="shared" si="74"/>
        <v>0</v>
      </c>
      <c r="AF53" s="1310">
        <f t="shared" si="75"/>
        <v>0</v>
      </c>
      <c r="AG53" s="1310">
        <f t="shared" si="76"/>
        <v>2</v>
      </c>
      <c r="AH53" s="1701">
        <f t="shared" si="77"/>
        <v>1</v>
      </c>
      <c r="AI53" s="1712"/>
      <c r="AJ53" s="1869"/>
      <c r="AK53" s="1869">
        <v>2</v>
      </c>
      <c r="AL53" s="1869"/>
      <c r="AM53" s="1869"/>
      <c r="AN53" s="1869"/>
      <c r="AO53" s="1869"/>
      <c r="AP53" s="1869"/>
      <c r="AQ53" s="1869"/>
      <c r="AR53" s="1869">
        <v>1</v>
      </c>
      <c r="AS53" s="1869"/>
      <c r="AT53" s="1869"/>
      <c r="AU53" s="1869"/>
      <c r="AV53" s="1869"/>
      <c r="AW53" s="1869"/>
      <c r="AX53" s="1871"/>
      <c r="AY53" s="1873">
        <v>1</v>
      </c>
      <c r="AZ53" s="1869"/>
      <c r="BA53" s="1869"/>
      <c r="BB53" s="1869"/>
      <c r="BC53" s="1869"/>
      <c r="BD53" s="1871">
        <v>1</v>
      </c>
      <c r="BE53" s="1873"/>
      <c r="BF53" s="1869"/>
      <c r="BG53" s="1869"/>
      <c r="BH53" s="1869"/>
      <c r="BI53" s="1869"/>
      <c r="BJ53" s="1869"/>
      <c r="BK53" s="1869"/>
      <c r="BL53" s="1869"/>
      <c r="BM53" s="1869"/>
      <c r="BN53" s="2275"/>
      <c r="BO53" s="1317"/>
      <c r="BP53" s="1317"/>
      <c r="BQ53" s="1317"/>
      <c r="BR53" s="1317"/>
      <c r="BS53" s="1317"/>
      <c r="BT53" s="1317"/>
      <c r="BU53" s="1317"/>
      <c r="BV53" s="1317"/>
      <c r="BW53" s="1317"/>
      <c r="BX53" s="1317">
        <v>3</v>
      </c>
      <c r="BY53" s="1317"/>
      <c r="BZ53" s="1317"/>
      <c r="CA53" s="1317"/>
      <c r="CB53" s="1317"/>
      <c r="CC53" s="1317"/>
      <c r="CD53" s="1317"/>
      <c r="CE53" s="1317"/>
      <c r="CF53" s="1317"/>
      <c r="CG53" s="1317"/>
      <c r="CH53" s="1317"/>
      <c r="CI53" s="1317"/>
      <c r="CJ53" s="1317">
        <v>7</v>
      </c>
      <c r="CK53" s="1317">
        <v>1</v>
      </c>
      <c r="CL53" s="1317"/>
      <c r="CM53" s="1317"/>
      <c r="CN53" s="1317"/>
      <c r="CO53" s="1317"/>
      <c r="CP53" s="1317">
        <v>1</v>
      </c>
      <c r="CQ53" s="1317"/>
      <c r="CR53" s="1317"/>
      <c r="CS53" s="1317">
        <v>2</v>
      </c>
      <c r="CT53" s="1317">
        <v>1</v>
      </c>
      <c r="CU53" s="262"/>
      <c r="CV53" s="262"/>
      <c r="CX53" s="358"/>
    </row>
    <row r="54" spans="1:104" hidden="1">
      <c r="A54" s="1309">
        <v>44652</v>
      </c>
      <c r="B54" s="1310">
        <f t="shared" si="46"/>
        <v>0</v>
      </c>
      <c r="C54" s="1310">
        <f t="shared" si="47"/>
        <v>0</v>
      </c>
      <c r="D54" s="1310">
        <f t="shared" si="48"/>
        <v>0</v>
      </c>
      <c r="E54" s="1310">
        <f t="shared" si="49"/>
        <v>0</v>
      </c>
      <c r="F54" s="1310">
        <f t="shared" si="50"/>
        <v>0</v>
      </c>
      <c r="G54" s="1310">
        <f t="shared" si="51"/>
        <v>1</v>
      </c>
      <c r="H54" s="1310">
        <f t="shared" si="52"/>
        <v>0</v>
      </c>
      <c r="I54" s="1310">
        <f t="shared" si="53"/>
        <v>0</v>
      </c>
      <c r="J54" s="1310">
        <f t="shared" si="54"/>
        <v>0</v>
      </c>
      <c r="K54" s="3082">
        <f t="shared" si="55"/>
        <v>1</v>
      </c>
      <c r="L54" s="3082">
        <f t="shared" si="56"/>
        <v>0</v>
      </c>
      <c r="M54" s="3086">
        <f t="shared" si="57"/>
        <v>0</v>
      </c>
      <c r="N54" s="1310">
        <f t="shared" si="58"/>
        <v>0</v>
      </c>
      <c r="O54" s="1310">
        <f t="shared" si="59"/>
        <v>0</v>
      </c>
      <c r="P54" s="1310">
        <f t="shared" si="60"/>
        <v>0</v>
      </c>
      <c r="Q54" s="1040">
        <f t="shared" si="61"/>
        <v>0</v>
      </c>
      <c r="R54" s="1310"/>
      <c r="S54" s="1310">
        <f t="shared" si="62"/>
        <v>0</v>
      </c>
      <c r="T54" s="1310">
        <f t="shared" si="63"/>
        <v>1</v>
      </c>
      <c r="U54" s="1310">
        <f t="shared" si="64"/>
        <v>2</v>
      </c>
      <c r="V54" s="1310">
        <f t="shared" si="65"/>
        <v>0</v>
      </c>
      <c r="W54" s="1310">
        <f t="shared" si="66"/>
        <v>1</v>
      </c>
      <c r="X54" s="1310">
        <f t="shared" si="67"/>
        <v>1</v>
      </c>
      <c r="Y54" s="1310">
        <f t="shared" si="68"/>
        <v>0</v>
      </c>
      <c r="Z54" s="1310">
        <f t="shared" si="69"/>
        <v>0</v>
      </c>
      <c r="AA54" s="1310">
        <f t="shared" si="70"/>
        <v>0</v>
      </c>
      <c r="AB54" s="1310">
        <f t="shared" si="71"/>
        <v>0</v>
      </c>
      <c r="AC54" s="1310">
        <f t="shared" si="72"/>
        <v>0</v>
      </c>
      <c r="AD54" s="1310">
        <f t="shared" si="73"/>
        <v>0</v>
      </c>
      <c r="AE54" s="1310">
        <f t="shared" si="74"/>
        <v>0</v>
      </c>
      <c r="AF54" s="1310">
        <f t="shared" si="75"/>
        <v>0</v>
      </c>
      <c r="AG54" s="1310">
        <f t="shared" si="76"/>
        <v>0</v>
      </c>
      <c r="AH54" s="1701">
        <f t="shared" si="77"/>
        <v>0</v>
      </c>
      <c r="AI54" s="1712"/>
      <c r="AJ54" s="1869"/>
      <c r="AK54" s="1869"/>
      <c r="AL54" s="1869"/>
      <c r="AM54" s="1869"/>
      <c r="AN54" s="1869">
        <v>1</v>
      </c>
      <c r="AO54" s="1869"/>
      <c r="AP54" s="1869"/>
      <c r="AQ54" s="1869"/>
      <c r="AR54" s="1869"/>
      <c r="AS54" s="1869"/>
      <c r="AT54" s="1869"/>
      <c r="AU54" s="1869"/>
      <c r="AV54" s="1869"/>
      <c r="AW54" s="1869"/>
      <c r="AX54" s="1871"/>
      <c r="AY54" s="1873"/>
      <c r="AZ54" s="1869">
        <v>1</v>
      </c>
      <c r="BA54" s="1869">
        <v>2</v>
      </c>
      <c r="BB54" s="1869"/>
      <c r="BC54" s="1869">
        <v>1</v>
      </c>
      <c r="BD54" s="1871">
        <v>1</v>
      </c>
      <c r="BE54" s="1873"/>
      <c r="BF54" s="1869"/>
      <c r="BG54" s="1869"/>
      <c r="BH54" s="1869"/>
      <c r="BI54" s="1869"/>
      <c r="BJ54" s="1869"/>
      <c r="BK54" s="1869"/>
      <c r="BL54" s="1869"/>
      <c r="BM54" s="1869"/>
      <c r="BN54" s="2275"/>
      <c r="BO54" s="1317"/>
      <c r="BP54" s="1317"/>
      <c r="BQ54" s="1317"/>
      <c r="BR54" s="1317"/>
      <c r="BS54" s="1317"/>
      <c r="BT54" s="1317"/>
      <c r="BU54" s="1317"/>
      <c r="BV54" s="1317"/>
      <c r="BW54" s="1317"/>
      <c r="BX54" s="1317">
        <v>1</v>
      </c>
      <c r="BY54" s="1317"/>
      <c r="BZ54" s="1317"/>
      <c r="CA54" s="1317"/>
      <c r="CB54" s="1317"/>
      <c r="CC54" s="1317"/>
      <c r="CD54" s="1317"/>
      <c r="CE54" s="1317"/>
      <c r="CF54" s="1317"/>
      <c r="CG54" s="1317"/>
      <c r="CH54" s="1317"/>
      <c r="CI54" s="1317"/>
      <c r="CJ54" s="1317"/>
      <c r="CK54" s="1317"/>
      <c r="CL54" s="1317"/>
      <c r="CM54" s="1317"/>
      <c r="CN54" s="1317"/>
      <c r="CO54" s="1317"/>
      <c r="CP54" s="1317"/>
      <c r="CQ54" s="1317"/>
      <c r="CR54" s="1317"/>
      <c r="CS54" s="1317"/>
      <c r="CT54" s="1317"/>
      <c r="CU54" s="262"/>
      <c r="CV54" s="262"/>
      <c r="CX54" s="358"/>
    </row>
    <row r="55" spans="1:104" hidden="1">
      <c r="A55" s="1309">
        <v>44682</v>
      </c>
      <c r="B55" s="1310">
        <f t="shared" si="46"/>
        <v>0</v>
      </c>
      <c r="C55" s="1310">
        <f t="shared" si="47"/>
        <v>0</v>
      </c>
      <c r="D55" s="1310">
        <f t="shared" si="48"/>
        <v>0</v>
      </c>
      <c r="E55" s="1310">
        <f t="shared" si="49"/>
        <v>0</v>
      </c>
      <c r="F55" s="1310">
        <f t="shared" si="50"/>
        <v>0</v>
      </c>
      <c r="G55" s="1310">
        <f t="shared" si="51"/>
        <v>0</v>
      </c>
      <c r="H55" s="1310">
        <f t="shared" si="52"/>
        <v>0</v>
      </c>
      <c r="I55" s="1310">
        <f t="shared" si="53"/>
        <v>0</v>
      </c>
      <c r="J55" s="1310">
        <f t="shared" si="54"/>
        <v>0</v>
      </c>
      <c r="K55" s="3082">
        <f t="shared" si="55"/>
        <v>0</v>
      </c>
      <c r="L55" s="3082">
        <f t="shared" si="56"/>
        <v>0</v>
      </c>
      <c r="M55" s="3086">
        <f t="shared" si="57"/>
        <v>0</v>
      </c>
      <c r="N55" s="1310">
        <f t="shared" si="58"/>
        <v>0</v>
      </c>
      <c r="O55" s="1310">
        <f t="shared" si="59"/>
        <v>0</v>
      </c>
      <c r="P55" s="1310">
        <f t="shared" si="60"/>
        <v>0</v>
      </c>
      <c r="Q55" s="1040">
        <f t="shared" si="61"/>
        <v>0</v>
      </c>
      <c r="R55" s="1310"/>
      <c r="S55" s="1310">
        <f t="shared" si="62"/>
        <v>0</v>
      </c>
      <c r="T55" s="1310">
        <f t="shared" si="63"/>
        <v>0</v>
      </c>
      <c r="U55" s="1310">
        <f t="shared" si="64"/>
        <v>0</v>
      </c>
      <c r="V55" s="1310">
        <f t="shared" si="65"/>
        <v>0</v>
      </c>
      <c r="W55" s="1310">
        <f t="shared" si="66"/>
        <v>1</v>
      </c>
      <c r="X55" s="1310">
        <f t="shared" si="67"/>
        <v>1</v>
      </c>
      <c r="Y55" s="1310">
        <f t="shared" si="68"/>
        <v>0</v>
      </c>
      <c r="Z55" s="1310">
        <f t="shared" si="69"/>
        <v>0</v>
      </c>
      <c r="AA55" s="1310">
        <f t="shared" si="70"/>
        <v>0</v>
      </c>
      <c r="AB55" s="1310">
        <f t="shared" si="71"/>
        <v>0</v>
      </c>
      <c r="AC55" s="1310">
        <f t="shared" si="72"/>
        <v>0</v>
      </c>
      <c r="AD55" s="1310">
        <f t="shared" si="73"/>
        <v>0</v>
      </c>
      <c r="AE55" s="1310">
        <f t="shared" si="74"/>
        <v>0</v>
      </c>
      <c r="AF55" s="1310">
        <f t="shared" si="75"/>
        <v>0</v>
      </c>
      <c r="AG55" s="1310">
        <f t="shared" si="76"/>
        <v>0</v>
      </c>
      <c r="AH55" s="1701">
        <f t="shared" si="77"/>
        <v>0</v>
      </c>
      <c r="AI55" s="1712"/>
      <c r="AJ55" s="1869"/>
      <c r="AK55" s="1869"/>
      <c r="AL55" s="1869"/>
      <c r="AM55" s="1869"/>
      <c r="AN55" s="1869"/>
      <c r="AO55" s="1869"/>
      <c r="AP55" s="1869"/>
      <c r="AQ55" s="1869"/>
      <c r="AR55" s="1869"/>
      <c r="AS55" s="1869"/>
      <c r="AT55" s="1869"/>
      <c r="AU55" s="1869"/>
      <c r="AV55" s="1869"/>
      <c r="AW55" s="1869"/>
      <c r="AX55" s="1871"/>
      <c r="AY55" s="1873"/>
      <c r="AZ55" s="1869"/>
      <c r="BA55" s="1869"/>
      <c r="BB55" s="1869"/>
      <c r="BC55" s="1869">
        <v>1</v>
      </c>
      <c r="BD55" s="1871"/>
      <c r="BE55" s="1873"/>
      <c r="BF55" s="1869"/>
      <c r="BG55" s="1869"/>
      <c r="BH55" s="1869"/>
      <c r="BI55" s="1869"/>
      <c r="BJ55" s="1869"/>
      <c r="BK55" s="1869"/>
      <c r="BL55" s="1869"/>
      <c r="BM55" s="1869"/>
      <c r="BN55" s="2275"/>
      <c r="BO55" s="1317"/>
      <c r="BP55" s="1317"/>
      <c r="BQ55" s="1317"/>
      <c r="BR55" s="1317"/>
      <c r="BS55" s="1317"/>
      <c r="BT55" s="1317"/>
      <c r="BU55" s="1317"/>
      <c r="BV55" s="1317"/>
      <c r="BW55" s="1317"/>
      <c r="BX55" s="1317"/>
      <c r="BY55" s="1317"/>
      <c r="BZ55" s="1317"/>
      <c r="CA55" s="1317"/>
      <c r="CB55" s="1317"/>
      <c r="CC55" s="1317"/>
      <c r="CD55" s="1317"/>
      <c r="CE55" s="1317"/>
      <c r="CF55" s="1317"/>
      <c r="CG55" s="1317"/>
      <c r="CH55" s="1317"/>
      <c r="CI55" s="1317"/>
      <c r="CJ55" s="1317">
        <v>1</v>
      </c>
      <c r="CK55" s="1317"/>
      <c r="CL55" s="1317"/>
      <c r="CM55" s="1317"/>
      <c r="CN55" s="1317"/>
      <c r="CO55" s="1317"/>
      <c r="CP55" s="1317"/>
      <c r="CQ55" s="1317"/>
      <c r="CR55" s="1317"/>
      <c r="CS55" s="1317"/>
      <c r="CT55" s="1317"/>
      <c r="CU55" s="262"/>
      <c r="CV55" s="262"/>
      <c r="CX55" s="358"/>
    </row>
    <row r="56" spans="1:104" hidden="1">
      <c r="A56" s="1309">
        <v>44713</v>
      </c>
      <c r="B56" s="1310">
        <f t="shared" si="46"/>
        <v>0</v>
      </c>
      <c r="C56" s="1310">
        <f t="shared" si="47"/>
        <v>0</v>
      </c>
      <c r="D56" s="1310">
        <f t="shared" si="48"/>
        <v>0</v>
      </c>
      <c r="E56" s="1310">
        <f t="shared" si="49"/>
        <v>0</v>
      </c>
      <c r="F56" s="1310">
        <f t="shared" si="50"/>
        <v>0</v>
      </c>
      <c r="G56" s="1310">
        <f t="shared" si="51"/>
        <v>0</v>
      </c>
      <c r="H56" s="1310">
        <f t="shared" si="52"/>
        <v>0</v>
      </c>
      <c r="I56" s="1310">
        <f t="shared" si="53"/>
        <v>0</v>
      </c>
      <c r="J56" s="1310">
        <f t="shared" si="54"/>
        <v>0</v>
      </c>
      <c r="K56" s="3082">
        <f t="shared" si="55"/>
        <v>0</v>
      </c>
      <c r="L56" s="3082">
        <f t="shared" si="56"/>
        <v>0</v>
      </c>
      <c r="M56" s="3086">
        <f t="shared" si="57"/>
        <v>0</v>
      </c>
      <c r="N56" s="1310">
        <f t="shared" si="58"/>
        <v>0</v>
      </c>
      <c r="O56" s="1310">
        <f t="shared" si="59"/>
        <v>0</v>
      </c>
      <c r="P56" s="1310">
        <f t="shared" si="60"/>
        <v>0</v>
      </c>
      <c r="Q56" s="1040">
        <f t="shared" si="61"/>
        <v>0</v>
      </c>
      <c r="R56" s="1310"/>
      <c r="S56" s="1310">
        <f t="shared" si="62"/>
        <v>0</v>
      </c>
      <c r="T56" s="1310">
        <f t="shared" si="63"/>
        <v>0</v>
      </c>
      <c r="U56" s="1310">
        <f t="shared" si="64"/>
        <v>0</v>
      </c>
      <c r="V56" s="1310">
        <f t="shared" si="65"/>
        <v>1</v>
      </c>
      <c r="W56" s="1310">
        <f t="shared" si="66"/>
        <v>0</v>
      </c>
      <c r="X56" s="1310">
        <f t="shared" si="67"/>
        <v>6</v>
      </c>
      <c r="Y56" s="1310">
        <f t="shared" si="68"/>
        <v>0</v>
      </c>
      <c r="Z56" s="1310">
        <f t="shared" si="69"/>
        <v>0</v>
      </c>
      <c r="AA56" s="1310">
        <f t="shared" si="70"/>
        <v>0</v>
      </c>
      <c r="AB56" s="1310">
        <f t="shared" si="71"/>
        <v>0</v>
      </c>
      <c r="AC56" s="1310">
        <f t="shared" si="72"/>
        <v>0</v>
      </c>
      <c r="AD56" s="1310">
        <f t="shared" si="73"/>
        <v>0</v>
      </c>
      <c r="AE56" s="1310">
        <f t="shared" si="74"/>
        <v>0</v>
      </c>
      <c r="AF56" s="1310">
        <f t="shared" si="75"/>
        <v>0</v>
      </c>
      <c r="AG56" s="1310">
        <f t="shared" si="76"/>
        <v>0</v>
      </c>
      <c r="AH56" s="1701">
        <f t="shared" si="77"/>
        <v>0</v>
      </c>
      <c r="AI56" s="1712"/>
      <c r="AJ56" s="1869"/>
      <c r="AK56" s="1869"/>
      <c r="AL56" s="1869"/>
      <c r="AM56" s="1869"/>
      <c r="AN56" s="1869"/>
      <c r="AO56" s="1869"/>
      <c r="AP56" s="1869"/>
      <c r="AQ56" s="1869"/>
      <c r="AR56" s="1869"/>
      <c r="AS56" s="1869"/>
      <c r="AT56" s="1869"/>
      <c r="AU56" s="1869"/>
      <c r="AV56" s="1869"/>
      <c r="AW56" s="1869"/>
      <c r="AX56" s="1871"/>
      <c r="AY56" s="1873"/>
      <c r="AZ56" s="1869"/>
      <c r="BA56" s="1869"/>
      <c r="BB56" s="1869">
        <v>1</v>
      </c>
      <c r="BC56" s="1869"/>
      <c r="BD56" s="1871">
        <v>2</v>
      </c>
      <c r="BE56" s="1873"/>
      <c r="BF56" s="1869"/>
      <c r="BG56" s="1869"/>
      <c r="BH56" s="1869"/>
      <c r="BI56" s="1869"/>
      <c r="BJ56" s="1869"/>
      <c r="BK56" s="1869"/>
      <c r="BL56" s="1869"/>
      <c r="BM56" s="1869"/>
      <c r="BN56" s="2275"/>
      <c r="BO56" s="1317"/>
      <c r="BP56" s="1317"/>
      <c r="BQ56" s="1317"/>
      <c r="BR56" s="1317"/>
      <c r="BS56" s="1317"/>
      <c r="BT56" s="1317"/>
      <c r="BU56" s="1317"/>
      <c r="BV56" s="1317"/>
      <c r="BW56" s="1317"/>
      <c r="BX56" s="1317"/>
      <c r="BY56" s="1317"/>
      <c r="BZ56" s="1317"/>
      <c r="CA56" s="1317"/>
      <c r="CB56" s="1317"/>
      <c r="CC56" s="1317"/>
      <c r="CD56" s="1317"/>
      <c r="CE56" s="1317"/>
      <c r="CF56" s="1317"/>
      <c r="CG56" s="1317"/>
      <c r="CH56" s="1317"/>
      <c r="CI56" s="1317"/>
      <c r="CJ56" s="1317">
        <v>4</v>
      </c>
      <c r="CK56" s="1317"/>
      <c r="CL56" s="1317"/>
      <c r="CM56" s="1317"/>
      <c r="CN56" s="1317"/>
      <c r="CO56" s="1317"/>
      <c r="CP56" s="1317"/>
      <c r="CQ56" s="1317"/>
      <c r="CR56" s="1317"/>
      <c r="CS56" s="1317"/>
      <c r="CT56" s="1317"/>
      <c r="CU56" s="262"/>
      <c r="CV56" s="262"/>
      <c r="CX56" s="358"/>
    </row>
    <row r="57" spans="1:104" hidden="1">
      <c r="A57" s="1309">
        <v>44743</v>
      </c>
      <c r="B57" s="1310">
        <f t="shared" si="46"/>
        <v>0</v>
      </c>
      <c r="C57" s="1310">
        <f t="shared" si="47"/>
        <v>0</v>
      </c>
      <c r="D57" s="1310">
        <f t="shared" si="48"/>
        <v>0</v>
      </c>
      <c r="E57" s="1310">
        <f t="shared" si="49"/>
        <v>1</v>
      </c>
      <c r="F57" s="1310">
        <f t="shared" si="50"/>
        <v>0</v>
      </c>
      <c r="G57" s="1310">
        <f t="shared" si="51"/>
        <v>0</v>
      </c>
      <c r="H57" s="1310">
        <f t="shared" si="52"/>
        <v>0</v>
      </c>
      <c r="I57" s="1310">
        <f t="shared" si="53"/>
        <v>0</v>
      </c>
      <c r="J57" s="1310">
        <f t="shared" si="54"/>
        <v>0</v>
      </c>
      <c r="K57" s="3082">
        <f t="shared" si="55"/>
        <v>0</v>
      </c>
      <c r="L57" s="3082">
        <f t="shared" si="56"/>
        <v>1</v>
      </c>
      <c r="M57" s="3086">
        <f t="shared" si="57"/>
        <v>0</v>
      </c>
      <c r="N57" s="1310">
        <f t="shared" si="58"/>
        <v>0</v>
      </c>
      <c r="O57" s="1310">
        <f t="shared" si="59"/>
        <v>0</v>
      </c>
      <c r="P57" s="1310">
        <f t="shared" si="60"/>
        <v>0</v>
      </c>
      <c r="Q57" s="1040">
        <f t="shared" si="61"/>
        <v>0</v>
      </c>
      <c r="R57" s="1310"/>
      <c r="S57" s="1310">
        <f t="shared" si="62"/>
        <v>0</v>
      </c>
      <c r="T57" s="1310">
        <f t="shared" si="63"/>
        <v>0</v>
      </c>
      <c r="U57" s="1310">
        <f t="shared" si="64"/>
        <v>0</v>
      </c>
      <c r="V57" s="1310">
        <f t="shared" si="65"/>
        <v>0</v>
      </c>
      <c r="W57" s="1310">
        <f t="shared" si="66"/>
        <v>1</v>
      </c>
      <c r="X57" s="1310">
        <f t="shared" si="67"/>
        <v>5</v>
      </c>
      <c r="Y57" s="1310">
        <f t="shared" si="68"/>
        <v>2</v>
      </c>
      <c r="Z57" s="1310">
        <f t="shared" si="69"/>
        <v>0</v>
      </c>
      <c r="AA57" s="1310">
        <f t="shared" si="70"/>
        <v>0</v>
      </c>
      <c r="AB57" s="1310">
        <f t="shared" si="71"/>
        <v>0</v>
      </c>
      <c r="AC57" s="1310">
        <f t="shared" si="72"/>
        <v>0</v>
      </c>
      <c r="AD57" s="1310">
        <f t="shared" si="73"/>
        <v>0</v>
      </c>
      <c r="AE57" s="1310">
        <f t="shared" si="74"/>
        <v>0</v>
      </c>
      <c r="AF57" s="1310">
        <f t="shared" si="75"/>
        <v>0</v>
      </c>
      <c r="AG57" s="1310">
        <f t="shared" si="76"/>
        <v>0</v>
      </c>
      <c r="AH57" s="1701">
        <f t="shared" si="77"/>
        <v>0</v>
      </c>
      <c r="AI57" s="1712"/>
      <c r="AJ57" s="1869"/>
      <c r="AK57" s="1869"/>
      <c r="AL57" s="1869">
        <v>1</v>
      </c>
      <c r="AM57" s="1869"/>
      <c r="AN57" s="1869"/>
      <c r="AO57" s="1869"/>
      <c r="AP57" s="1869"/>
      <c r="AQ57" s="1869"/>
      <c r="AR57" s="1869"/>
      <c r="AS57" s="1869"/>
      <c r="AT57" s="1869"/>
      <c r="AU57" s="1869"/>
      <c r="AV57" s="1869"/>
      <c r="AW57" s="1869"/>
      <c r="AX57" s="1871"/>
      <c r="AY57" s="1873"/>
      <c r="AZ57" s="1869"/>
      <c r="BA57" s="1869"/>
      <c r="BB57" s="1869"/>
      <c r="BC57" s="1869"/>
      <c r="BD57" s="1871">
        <v>3</v>
      </c>
      <c r="BE57" s="1873">
        <v>2</v>
      </c>
      <c r="BF57" s="1869"/>
      <c r="BG57" s="1869"/>
      <c r="BH57" s="1869"/>
      <c r="BI57" s="1869"/>
      <c r="BJ57" s="1869"/>
      <c r="BK57" s="1869"/>
      <c r="BL57" s="1869"/>
      <c r="BM57" s="1869"/>
      <c r="BN57" s="2275"/>
      <c r="BO57" s="1317"/>
      <c r="BP57" s="1317"/>
      <c r="BQ57" s="1317"/>
      <c r="BR57" s="1317"/>
      <c r="BS57" s="1317"/>
      <c r="BT57" s="1317"/>
      <c r="BU57" s="1317"/>
      <c r="BV57" s="1317"/>
      <c r="BW57" s="1317"/>
      <c r="BX57" s="1317"/>
      <c r="BY57" s="1317">
        <v>1</v>
      </c>
      <c r="BZ57" s="1317"/>
      <c r="CA57" s="1317"/>
      <c r="CB57" s="1317"/>
      <c r="CC57" s="1317"/>
      <c r="CD57" s="1317"/>
      <c r="CE57" s="1317"/>
      <c r="CF57" s="1317"/>
      <c r="CG57" s="1317"/>
      <c r="CH57" s="1317"/>
      <c r="CI57" s="1317">
        <v>1</v>
      </c>
      <c r="CJ57" s="1317">
        <v>2</v>
      </c>
      <c r="CK57" s="1317"/>
      <c r="CL57" s="1317"/>
      <c r="CM57" s="1317"/>
      <c r="CN57" s="1317"/>
      <c r="CO57" s="1317"/>
      <c r="CP57" s="1317"/>
      <c r="CQ57" s="1317"/>
      <c r="CR57" s="1317"/>
      <c r="CS57" s="1317"/>
      <c r="CT57" s="1317"/>
      <c r="CU57" s="262"/>
      <c r="CV57" s="262"/>
      <c r="CX57" s="358"/>
    </row>
    <row r="58" spans="1:104" hidden="1">
      <c r="A58" s="1309">
        <v>44774</v>
      </c>
      <c r="B58" s="1310">
        <f t="shared" si="46"/>
        <v>0</v>
      </c>
      <c r="C58" s="1310">
        <f t="shared" si="47"/>
        <v>0</v>
      </c>
      <c r="D58" s="1310">
        <f t="shared" si="48"/>
        <v>0</v>
      </c>
      <c r="E58" s="1310">
        <f t="shared" si="49"/>
        <v>0</v>
      </c>
      <c r="F58" s="1310">
        <f t="shared" si="50"/>
        <v>0</v>
      </c>
      <c r="G58" s="1310">
        <f t="shared" si="51"/>
        <v>1</v>
      </c>
      <c r="H58" s="1310">
        <f t="shared" si="52"/>
        <v>0</v>
      </c>
      <c r="I58" s="1310">
        <f t="shared" si="53"/>
        <v>0</v>
      </c>
      <c r="J58" s="1310">
        <f t="shared" si="54"/>
        <v>0</v>
      </c>
      <c r="K58" s="3082">
        <f t="shared" si="55"/>
        <v>0</v>
      </c>
      <c r="L58" s="3082">
        <f t="shared" si="56"/>
        <v>0</v>
      </c>
      <c r="M58" s="3086">
        <f t="shared" si="57"/>
        <v>0</v>
      </c>
      <c r="N58" s="1310">
        <f t="shared" si="58"/>
        <v>0</v>
      </c>
      <c r="O58" s="1310">
        <f t="shared" si="59"/>
        <v>0</v>
      </c>
      <c r="P58" s="1310">
        <f t="shared" si="60"/>
        <v>0</v>
      </c>
      <c r="Q58" s="1040">
        <f t="shared" si="61"/>
        <v>0</v>
      </c>
      <c r="R58" s="1310"/>
      <c r="S58" s="1310">
        <f t="shared" si="62"/>
        <v>0</v>
      </c>
      <c r="T58" s="1310">
        <f t="shared" si="63"/>
        <v>0</v>
      </c>
      <c r="U58" s="1310">
        <f t="shared" si="64"/>
        <v>1</v>
      </c>
      <c r="V58" s="1310">
        <f t="shared" si="65"/>
        <v>0</v>
      </c>
      <c r="W58" s="1310">
        <f t="shared" si="66"/>
        <v>0</v>
      </c>
      <c r="X58" s="1310">
        <f t="shared" si="67"/>
        <v>3</v>
      </c>
      <c r="Y58" s="1310">
        <f t="shared" si="68"/>
        <v>0</v>
      </c>
      <c r="Z58" s="1310">
        <f t="shared" si="69"/>
        <v>0</v>
      </c>
      <c r="AA58" s="1310">
        <f t="shared" si="70"/>
        <v>0</v>
      </c>
      <c r="AB58" s="1310">
        <f t="shared" si="71"/>
        <v>0</v>
      </c>
      <c r="AC58" s="1310">
        <f t="shared" si="72"/>
        <v>0</v>
      </c>
      <c r="AD58" s="1310">
        <f t="shared" si="73"/>
        <v>0</v>
      </c>
      <c r="AE58" s="1310">
        <f t="shared" si="74"/>
        <v>0</v>
      </c>
      <c r="AF58" s="1310">
        <f t="shared" si="75"/>
        <v>1</v>
      </c>
      <c r="AG58" s="1310">
        <f t="shared" si="76"/>
        <v>0</v>
      </c>
      <c r="AH58" s="1701">
        <f t="shared" si="77"/>
        <v>0</v>
      </c>
      <c r="AI58" s="1712"/>
      <c r="AJ58" s="1869"/>
      <c r="AK58" s="1869"/>
      <c r="AL58" s="1869"/>
      <c r="AM58" s="1869"/>
      <c r="AN58" s="1869">
        <v>1</v>
      </c>
      <c r="AO58" s="1869"/>
      <c r="AP58" s="1869"/>
      <c r="AQ58" s="1869"/>
      <c r="AR58" s="1869"/>
      <c r="AS58" s="1869"/>
      <c r="AT58" s="1869"/>
      <c r="AU58" s="1869"/>
      <c r="AV58" s="1869"/>
      <c r="AW58" s="1869"/>
      <c r="AX58" s="1871"/>
      <c r="AY58" s="1873"/>
      <c r="AZ58" s="1869"/>
      <c r="BA58" s="1869">
        <v>1</v>
      </c>
      <c r="BB58" s="1869"/>
      <c r="BC58" s="1869"/>
      <c r="BD58" s="1871">
        <v>2</v>
      </c>
      <c r="BE58" s="1873"/>
      <c r="BF58" s="1869"/>
      <c r="BG58" s="1869"/>
      <c r="BH58" s="1869"/>
      <c r="BI58" s="1869"/>
      <c r="BJ58" s="1869"/>
      <c r="BK58" s="1869"/>
      <c r="BL58" s="1869">
        <v>1</v>
      </c>
      <c r="BM58" s="1869"/>
      <c r="BN58" s="2275"/>
      <c r="BO58" s="1317"/>
      <c r="BP58" s="1317"/>
      <c r="BQ58" s="1317"/>
      <c r="BR58" s="1317"/>
      <c r="BS58" s="1317"/>
      <c r="BT58" s="1317"/>
      <c r="BU58" s="1317"/>
      <c r="BV58" s="1317"/>
      <c r="BW58" s="1317"/>
      <c r="BX58" s="1317"/>
      <c r="BY58" s="1317"/>
      <c r="BZ58" s="1317"/>
      <c r="CA58" s="1317"/>
      <c r="CB58" s="1317"/>
      <c r="CC58" s="1317"/>
      <c r="CD58" s="1317"/>
      <c r="CE58" s="1317"/>
      <c r="CF58" s="1317"/>
      <c r="CG58" s="1317"/>
      <c r="CH58" s="1317"/>
      <c r="CI58" s="1317"/>
      <c r="CJ58" s="1317">
        <v>1</v>
      </c>
      <c r="CK58" s="1317"/>
      <c r="CL58" s="1317"/>
      <c r="CM58" s="1317"/>
      <c r="CN58" s="1317"/>
      <c r="CO58" s="1317"/>
      <c r="CP58" s="1317"/>
      <c r="CQ58" s="1317"/>
      <c r="CR58" s="1317"/>
      <c r="CS58" s="1317"/>
      <c r="CT58" s="1317"/>
      <c r="CU58" s="262"/>
      <c r="CV58" s="262"/>
      <c r="CX58" s="358"/>
    </row>
    <row r="59" spans="1:104" hidden="1">
      <c r="A59" s="1309">
        <v>44805</v>
      </c>
      <c r="B59" s="1310">
        <f t="shared" si="46"/>
        <v>0</v>
      </c>
      <c r="C59" s="1310">
        <f t="shared" si="47"/>
        <v>0</v>
      </c>
      <c r="D59" s="1310">
        <f t="shared" si="48"/>
        <v>1</v>
      </c>
      <c r="E59" s="1310">
        <f t="shared" si="49"/>
        <v>0</v>
      </c>
      <c r="F59" s="1310">
        <f t="shared" si="50"/>
        <v>0</v>
      </c>
      <c r="G59" s="1310">
        <f t="shared" si="51"/>
        <v>0</v>
      </c>
      <c r="H59" s="1310">
        <f t="shared" si="52"/>
        <v>0</v>
      </c>
      <c r="I59" s="1310">
        <f t="shared" si="53"/>
        <v>0</v>
      </c>
      <c r="J59" s="1310">
        <f t="shared" si="54"/>
        <v>0</v>
      </c>
      <c r="K59" s="3082">
        <f t="shared" si="55"/>
        <v>0</v>
      </c>
      <c r="L59" s="3082">
        <f t="shared" si="56"/>
        <v>0</v>
      </c>
      <c r="M59" s="3086">
        <f t="shared" si="57"/>
        <v>0</v>
      </c>
      <c r="N59" s="1310">
        <f t="shared" si="58"/>
        <v>0</v>
      </c>
      <c r="O59" s="1310">
        <f t="shared" si="59"/>
        <v>0</v>
      </c>
      <c r="P59" s="1310">
        <f t="shared" si="60"/>
        <v>0</v>
      </c>
      <c r="Q59" s="1040">
        <f t="shared" si="61"/>
        <v>0</v>
      </c>
      <c r="R59" s="1310"/>
      <c r="S59" s="1310">
        <f t="shared" si="62"/>
        <v>0</v>
      </c>
      <c r="T59" s="1310">
        <f t="shared" si="63"/>
        <v>0</v>
      </c>
      <c r="U59" s="1310">
        <f t="shared" si="64"/>
        <v>0</v>
      </c>
      <c r="V59" s="1310">
        <f t="shared" si="65"/>
        <v>0</v>
      </c>
      <c r="W59" s="1310">
        <f t="shared" si="66"/>
        <v>0</v>
      </c>
      <c r="X59" s="1310">
        <f t="shared" si="67"/>
        <v>2</v>
      </c>
      <c r="Y59" s="1310">
        <f t="shared" si="68"/>
        <v>0</v>
      </c>
      <c r="Z59" s="1310">
        <f t="shared" si="69"/>
        <v>0</v>
      </c>
      <c r="AA59" s="1310">
        <f t="shared" si="70"/>
        <v>0</v>
      </c>
      <c r="AB59" s="1310">
        <f t="shared" si="71"/>
        <v>0</v>
      </c>
      <c r="AC59" s="1310">
        <f t="shared" si="72"/>
        <v>0</v>
      </c>
      <c r="AD59" s="1310">
        <f t="shared" si="73"/>
        <v>0</v>
      </c>
      <c r="AE59" s="1310">
        <f t="shared" si="74"/>
        <v>0</v>
      </c>
      <c r="AF59" s="1310">
        <f t="shared" si="75"/>
        <v>0</v>
      </c>
      <c r="AG59" s="1310">
        <f t="shared" si="76"/>
        <v>0</v>
      </c>
      <c r="AH59" s="1701">
        <f t="shared" si="77"/>
        <v>0</v>
      </c>
      <c r="AI59" s="1712"/>
      <c r="AJ59" s="1869"/>
      <c r="AK59" s="1869">
        <v>1</v>
      </c>
      <c r="AL59" s="1869"/>
      <c r="AM59" s="1869"/>
      <c r="AN59" s="1869"/>
      <c r="AO59" s="1869"/>
      <c r="AP59" s="1869"/>
      <c r="AQ59" s="1869"/>
      <c r="AR59" s="1869"/>
      <c r="AS59" s="1869"/>
      <c r="AT59" s="1869"/>
      <c r="AU59" s="1869"/>
      <c r="AV59" s="1869"/>
      <c r="AW59" s="1869"/>
      <c r="AX59" s="1871"/>
      <c r="AY59" s="1873"/>
      <c r="AZ59" s="1869"/>
      <c r="BA59" s="1869"/>
      <c r="BB59" s="1869"/>
      <c r="BC59" s="1869"/>
      <c r="BD59" s="1871"/>
      <c r="BE59" s="1873"/>
      <c r="BF59" s="1869"/>
      <c r="BG59" s="1869"/>
      <c r="BH59" s="1869"/>
      <c r="BI59" s="1869"/>
      <c r="BJ59" s="1869"/>
      <c r="BK59" s="1869"/>
      <c r="BL59" s="1869"/>
      <c r="BM59" s="1869"/>
      <c r="BN59" s="2275"/>
      <c r="BO59" s="1317"/>
      <c r="BP59" s="1317"/>
      <c r="BQ59" s="1317"/>
      <c r="BR59" s="1317"/>
      <c r="BS59" s="1317"/>
      <c r="BT59" s="1317"/>
      <c r="BU59" s="1317"/>
      <c r="BV59" s="1317"/>
      <c r="BW59" s="1317"/>
      <c r="BX59" s="1317"/>
      <c r="BY59" s="1317"/>
      <c r="BZ59" s="1317"/>
      <c r="CA59" s="1317"/>
      <c r="CB59" s="1317"/>
      <c r="CC59" s="1317"/>
      <c r="CD59" s="1317"/>
      <c r="CE59" s="1317"/>
      <c r="CF59" s="1317"/>
      <c r="CG59" s="1317"/>
      <c r="CH59" s="1317"/>
      <c r="CI59" s="1317"/>
      <c r="CJ59" s="1317">
        <v>2</v>
      </c>
      <c r="CK59" s="1317"/>
      <c r="CL59" s="1317"/>
      <c r="CM59" s="1317"/>
      <c r="CN59" s="1317"/>
      <c r="CO59" s="1317"/>
      <c r="CP59" s="1317"/>
      <c r="CQ59" s="1317"/>
      <c r="CR59" s="1317"/>
      <c r="CS59" s="1317"/>
      <c r="CT59" s="1317"/>
      <c r="CU59" s="262"/>
      <c r="CV59" s="262"/>
      <c r="CX59" s="358"/>
    </row>
    <row r="60" spans="1:104" hidden="1">
      <c r="A60" s="1309">
        <v>44835</v>
      </c>
      <c r="B60" s="1310">
        <f t="shared" si="46"/>
        <v>0</v>
      </c>
      <c r="C60" s="1310">
        <f t="shared" si="47"/>
        <v>2</v>
      </c>
      <c r="D60" s="1310">
        <f t="shared" si="48"/>
        <v>0</v>
      </c>
      <c r="E60" s="1310">
        <f t="shared" si="49"/>
        <v>2</v>
      </c>
      <c r="F60" s="1310">
        <f t="shared" si="50"/>
        <v>0</v>
      </c>
      <c r="G60" s="1310">
        <f t="shared" si="51"/>
        <v>1</v>
      </c>
      <c r="H60" s="1310">
        <f t="shared" si="52"/>
        <v>0</v>
      </c>
      <c r="I60" s="1310">
        <f t="shared" si="53"/>
        <v>0</v>
      </c>
      <c r="J60" s="1310">
        <f t="shared" si="54"/>
        <v>1</v>
      </c>
      <c r="K60" s="3082">
        <f t="shared" si="55"/>
        <v>0</v>
      </c>
      <c r="L60" s="3082">
        <f t="shared" si="56"/>
        <v>0</v>
      </c>
      <c r="M60" s="3086">
        <f t="shared" si="57"/>
        <v>0</v>
      </c>
      <c r="N60" s="1310">
        <f t="shared" si="58"/>
        <v>0</v>
      </c>
      <c r="O60" s="1310">
        <f t="shared" si="59"/>
        <v>0</v>
      </c>
      <c r="P60" s="1310">
        <f t="shared" si="60"/>
        <v>0</v>
      </c>
      <c r="Q60" s="1040">
        <f t="shared" si="61"/>
        <v>0</v>
      </c>
      <c r="R60" s="1310"/>
      <c r="S60" s="1310">
        <f t="shared" si="62"/>
        <v>0</v>
      </c>
      <c r="T60" s="1310">
        <f t="shared" si="63"/>
        <v>1</v>
      </c>
      <c r="U60" s="1310">
        <f t="shared" si="64"/>
        <v>1</v>
      </c>
      <c r="V60" s="1310">
        <f t="shared" si="65"/>
        <v>0</v>
      </c>
      <c r="W60" s="1310">
        <f t="shared" si="66"/>
        <v>0</v>
      </c>
      <c r="X60" s="1310">
        <f t="shared" si="67"/>
        <v>2</v>
      </c>
      <c r="Y60" s="1310">
        <f t="shared" si="68"/>
        <v>1</v>
      </c>
      <c r="Z60" s="1310">
        <f t="shared" si="69"/>
        <v>0</v>
      </c>
      <c r="AA60" s="1310">
        <f t="shared" si="70"/>
        <v>0</v>
      </c>
      <c r="AB60" s="1310">
        <f t="shared" si="71"/>
        <v>0</v>
      </c>
      <c r="AC60" s="1310">
        <f t="shared" si="72"/>
        <v>0</v>
      </c>
      <c r="AD60" s="1310">
        <f t="shared" si="73"/>
        <v>0</v>
      </c>
      <c r="AE60" s="1310">
        <f t="shared" si="74"/>
        <v>0</v>
      </c>
      <c r="AF60" s="1310">
        <f t="shared" si="75"/>
        <v>0</v>
      </c>
      <c r="AG60" s="1310">
        <f t="shared" si="76"/>
        <v>1</v>
      </c>
      <c r="AH60" s="1701">
        <f t="shared" si="77"/>
        <v>0</v>
      </c>
      <c r="AI60" s="1712"/>
      <c r="AJ60" s="1869">
        <v>2</v>
      </c>
      <c r="AK60" s="1869"/>
      <c r="AL60" s="1869">
        <v>2</v>
      </c>
      <c r="AM60" s="1869"/>
      <c r="AN60" s="1869">
        <v>1</v>
      </c>
      <c r="AO60" s="1869"/>
      <c r="AP60" s="1869"/>
      <c r="AQ60" s="1869">
        <v>1</v>
      </c>
      <c r="AR60" s="1869"/>
      <c r="AS60" s="1869"/>
      <c r="AT60" s="1869"/>
      <c r="AU60" s="1869"/>
      <c r="AV60" s="1869"/>
      <c r="AW60" s="1869"/>
      <c r="AX60" s="1871"/>
      <c r="AY60" s="1873"/>
      <c r="AZ60" s="1869">
        <v>1</v>
      </c>
      <c r="BA60" s="1869">
        <v>1</v>
      </c>
      <c r="BB60" s="1869"/>
      <c r="BC60" s="1869"/>
      <c r="BD60" s="1871">
        <v>2</v>
      </c>
      <c r="BE60" s="1873">
        <v>1</v>
      </c>
      <c r="BF60" s="1869"/>
      <c r="BG60" s="1869"/>
      <c r="BH60" s="1869"/>
      <c r="BI60" s="1869"/>
      <c r="BJ60" s="1869"/>
      <c r="BK60" s="1869"/>
      <c r="BL60" s="1869"/>
      <c r="BM60" s="1869"/>
      <c r="BN60" s="2275"/>
      <c r="BO60" s="1317"/>
      <c r="BP60" s="1317"/>
      <c r="BQ60" s="1317"/>
      <c r="BR60" s="1317"/>
      <c r="BS60" s="1317"/>
      <c r="BT60" s="1317"/>
      <c r="BU60" s="1317"/>
      <c r="BV60" s="1317"/>
      <c r="BW60" s="1317"/>
      <c r="BX60" s="1317"/>
      <c r="BY60" s="1317"/>
      <c r="BZ60" s="1317"/>
      <c r="CA60" s="1317"/>
      <c r="CB60" s="1317"/>
      <c r="CC60" s="1317"/>
      <c r="CD60" s="1317"/>
      <c r="CE60" s="1317"/>
      <c r="CF60" s="1317"/>
      <c r="CG60" s="1317"/>
      <c r="CH60" s="1317"/>
      <c r="CI60" s="1317"/>
      <c r="CJ60" s="1317"/>
      <c r="CK60" s="1317"/>
      <c r="CL60" s="1317"/>
      <c r="CM60" s="1317"/>
      <c r="CN60" s="1317"/>
      <c r="CO60" s="1317"/>
      <c r="CP60" s="1317"/>
      <c r="CQ60" s="1317"/>
      <c r="CR60" s="1317"/>
      <c r="CS60" s="1317">
        <v>1</v>
      </c>
      <c r="CT60" s="1317"/>
      <c r="CU60" s="262"/>
      <c r="CV60" s="262"/>
      <c r="CX60" s="358"/>
    </row>
    <row r="61" spans="1:104" hidden="1">
      <c r="A61" s="1309">
        <v>44866</v>
      </c>
      <c r="B61" s="1310">
        <f t="shared" si="46"/>
        <v>0</v>
      </c>
      <c r="C61" s="1310">
        <f t="shared" si="47"/>
        <v>0</v>
      </c>
      <c r="D61" s="1310">
        <f t="shared" si="48"/>
        <v>0</v>
      </c>
      <c r="E61" s="1310">
        <f t="shared" si="49"/>
        <v>2</v>
      </c>
      <c r="F61" s="1310">
        <f t="shared" si="50"/>
        <v>0</v>
      </c>
      <c r="G61" s="1310">
        <f t="shared" si="51"/>
        <v>1</v>
      </c>
      <c r="H61" s="1310">
        <f t="shared" si="52"/>
        <v>0</v>
      </c>
      <c r="I61" s="1310">
        <f t="shared" si="53"/>
        <v>2</v>
      </c>
      <c r="J61" s="1310">
        <f t="shared" si="54"/>
        <v>0</v>
      </c>
      <c r="K61" s="3082">
        <f t="shared" si="55"/>
        <v>0</v>
      </c>
      <c r="L61" s="3082">
        <f t="shared" si="56"/>
        <v>0</v>
      </c>
      <c r="M61" s="3086">
        <f t="shared" si="57"/>
        <v>3</v>
      </c>
      <c r="N61" s="1310">
        <f t="shared" si="58"/>
        <v>0</v>
      </c>
      <c r="O61" s="1310">
        <f t="shared" si="59"/>
        <v>0</v>
      </c>
      <c r="P61" s="1310">
        <f t="shared" si="60"/>
        <v>0</v>
      </c>
      <c r="Q61" s="1040">
        <f t="shared" si="61"/>
        <v>0</v>
      </c>
      <c r="R61" s="1310"/>
      <c r="S61" s="1310">
        <f t="shared" si="62"/>
        <v>0</v>
      </c>
      <c r="T61" s="1310">
        <f t="shared" si="63"/>
        <v>1</v>
      </c>
      <c r="U61" s="1310">
        <f t="shared" si="64"/>
        <v>0</v>
      </c>
      <c r="V61" s="1310">
        <f t="shared" si="65"/>
        <v>0</v>
      </c>
      <c r="W61" s="1310">
        <f t="shared" si="66"/>
        <v>0</v>
      </c>
      <c r="X61" s="1310">
        <f t="shared" si="67"/>
        <v>3</v>
      </c>
      <c r="Y61" s="1310">
        <f t="shared" si="68"/>
        <v>0</v>
      </c>
      <c r="Z61" s="1310">
        <f t="shared" si="69"/>
        <v>0</v>
      </c>
      <c r="AA61" s="1310">
        <f t="shared" si="70"/>
        <v>0</v>
      </c>
      <c r="AB61" s="1310">
        <f t="shared" si="71"/>
        <v>0</v>
      </c>
      <c r="AC61" s="1310">
        <f t="shared" si="72"/>
        <v>0</v>
      </c>
      <c r="AD61" s="1310">
        <f t="shared" si="73"/>
        <v>0</v>
      </c>
      <c r="AE61" s="1310">
        <f t="shared" si="74"/>
        <v>0</v>
      </c>
      <c r="AF61" s="1310">
        <f t="shared" si="75"/>
        <v>0</v>
      </c>
      <c r="AG61" s="1310">
        <f t="shared" si="76"/>
        <v>0</v>
      </c>
      <c r="AH61" s="1701">
        <f t="shared" si="77"/>
        <v>0</v>
      </c>
      <c r="AI61" s="1712"/>
      <c r="AJ61" s="1869"/>
      <c r="AK61" s="1869"/>
      <c r="AL61" s="1869">
        <v>2</v>
      </c>
      <c r="AM61" s="1869"/>
      <c r="AN61" s="1869">
        <v>1</v>
      </c>
      <c r="AO61" s="1869"/>
      <c r="AP61" s="1869">
        <v>2</v>
      </c>
      <c r="AQ61" s="1869"/>
      <c r="AR61" s="1869"/>
      <c r="AS61" s="1869"/>
      <c r="AT61" s="1869">
        <v>3</v>
      </c>
      <c r="AU61" s="1869"/>
      <c r="AV61" s="1869"/>
      <c r="AW61" s="1869"/>
      <c r="AX61" s="1871"/>
      <c r="AY61" s="1873"/>
      <c r="AZ61" s="1869">
        <v>1</v>
      </c>
      <c r="BA61" s="1869"/>
      <c r="BB61" s="1869"/>
      <c r="BC61" s="1869"/>
      <c r="BD61" s="1871"/>
      <c r="BE61" s="1873"/>
      <c r="BF61" s="1869"/>
      <c r="BG61" s="1869"/>
      <c r="BH61" s="1869"/>
      <c r="BI61" s="1869"/>
      <c r="BJ61" s="1869"/>
      <c r="BK61" s="1869"/>
      <c r="BL61" s="1869"/>
      <c r="BM61" s="1869"/>
      <c r="BN61" s="2275"/>
      <c r="BO61" s="1317"/>
      <c r="BP61" s="1317"/>
      <c r="BQ61" s="1317"/>
      <c r="BR61" s="1317"/>
      <c r="BS61" s="1317"/>
      <c r="BT61" s="1317"/>
      <c r="BU61" s="1317"/>
      <c r="BV61" s="1317"/>
      <c r="BW61" s="1317"/>
      <c r="BX61" s="1317"/>
      <c r="BY61" s="1317"/>
      <c r="BZ61" s="1317"/>
      <c r="CA61" s="1317"/>
      <c r="CB61" s="1317"/>
      <c r="CC61" s="1317"/>
      <c r="CD61" s="1317"/>
      <c r="CE61" s="1317"/>
      <c r="CF61" s="1317"/>
      <c r="CG61" s="1317"/>
      <c r="CH61" s="1317"/>
      <c r="CI61" s="1317"/>
      <c r="CJ61" s="1317">
        <v>3</v>
      </c>
      <c r="CK61" s="1317"/>
      <c r="CL61" s="1317"/>
      <c r="CM61" s="1317"/>
      <c r="CN61" s="1317"/>
      <c r="CO61" s="1317"/>
      <c r="CP61" s="1317"/>
      <c r="CQ61" s="1317"/>
      <c r="CR61" s="1317"/>
      <c r="CS61" s="1317"/>
      <c r="CT61" s="1317"/>
      <c r="CU61" s="262"/>
      <c r="CV61" s="262"/>
      <c r="CX61" s="358"/>
    </row>
    <row r="62" spans="1:104" hidden="1">
      <c r="A62" s="1309">
        <v>44896</v>
      </c>
      <c r="B62" s="1310">
        <f t="shared" si="46"/>
        <v>0</v>
      </c>
      <c r="C62" s="1310">
        <f t="shared" si="47"/>
        <v>0</v>
      </c>
      <c r="D62" s="1310">
        <f t="shared" si="48"/>
        <v>0</v>
      </c>
      <c r="E62" s="1310">
        <f t="shared" si="49"/>
        <v>1</v>
      </c>
      <c r="F62" s="1310">
        <f t="shared" si="50"/>
        <v>0</v>
      </c>
      <c r="G62" s="1310">
        <f t="shared" si="51"/>
        <v>1</v>
      </c>
      <c r="H62" s="1310">
        <f t="shared" si="52"/>
        <v>0</v>
      </c>
      <c r="I62" s="1310">
        <f t="shared" si="53"/>
        <v>0</v>
      </c>
      <c r="J62" s="1310">
        <f t="shared" si="54"/>
        <v>0</v>
      </c>
      <c r="K62" s="3082">
        <f t="shared" si="55"/>
        <v>1</v>
      </c>
      <c r="L62" s="3082">
        <f t="shared" si="56"/>
        <v>0</v>
      </c>
      <c r="M62" s="3086">
        <f t="shared" si="57"/>
        <v>0</v>
      </c>
      <c r="N62" s="1310">
        <f t="shared" si="58"/>
        <v>0</v>
      </c>
      <c r="O62" s="1310">
        <f t="shared" si="59"/>
        <v>1</v>
      </c>
      <c r="P62" s="1310">
        <f t="shared" si="60"/>
        <v>1</v>
      </c>
      <c r="Q62" s="1040">
        <f t="shared" si="61"/>
        <v>0</v>
      </c>
      <c r="R62" s="1310"/>
      <c r="S62" s="1310">
        <f t="shared" si="62"/>
        <v>0</v>
      </c>
      <c r="T62" s="1310">
        <f t="shared" si="63"/>
        <v>0</v>
      </c>
      <c r="U62" s="1310">
        <f t="shared" si="64"/>
        <v>0</v>
      </c>
      <c r="V62" s="1310">
        <f t="shared" si="65"/>
        <v>0</v>
      </c>
      <c r="W62" s="1310">
        <f t="shared" si="66"/>
        <v>0</v>
      </c>
      <c r="X62" s="1310">
        <f t="shared" si="67"/>
        <v>2</v>
      </c>
      <c r="Y62" s="1310">
        <f t="shared" si="68"/>
        <v>0</v>
      </c>
      <c r="Z62" s="1310">
        <f t="shared" si="69"/>
        <v>0</v>
      </c>
      <c r="AA62" s="1310">
        <f t="shared" si="70"/>
        <v>0</v>
      </c>
      <c r="AB62" s="1310">
        <f t="shared" si="71"/>
        <v>0</v>
      </c>
      <c r="AC62" s="1310">
        <f t="shared" si="72"/>
        <v>0</v>
      </c>
      <c r="AD62" s="1310">
        <f t="shared" si="73"/>
        <v>1</v>
      </c>
      <c r="AE62" s="1310">
        <f t="shared" si="74"/>
        <v>0</v>
      </c>
      <c r="AF62" s="1310">
        <f t="shared" si="75"/>
        <v>0</v>
      </c>
      <c r="AG62" s="1310">
        <f t="shared" si="76"/>
        <v>0</v>
      </c>
      <c r="AH62" s="1701">
        <f t="shared" si="77"/>
        <v>0</v>
      </c>
      <c r="AI62" s="1712"/>
      <c r="AJ62" s="1869"/>
      <c r="AK62" s="1869"/>
      <c r="AL62" s="1869">
        <v>1</v>
      </c>
      <c r="AM62" s="1869"/>
      <c r="AN62" s="1869">
        <v>1</v>
      </c>
      <c r="AO62" s="1869"/>
      <c r="AP62" s="1869"/>
      <c r="AQ62" s="1869"/>
      <c r="AR62" s="1869"/>
      <c r="AS62" s="1869"/>
      <c r="AT62" s="1869"/>
      <c r="AU62" s="1869"/>
      <c r="AV62" s="1869"/>
      <c r="AW62" s="1869">
        <v>1</v>
      </c>
      <c r="AX62" s="1871"/>
      <c r="AY62" s="1873"/>
      <c r="AZ62" s="1869"/>
      <c r="BA62" s="1869"/>
      <c r="BB62" s="1869"/>
      <c r="BC62" s="1869"/>
      <c r="BD62" s="1871"/>
      <c r="BE62" s="1873"/>
      <c r="BF62" s="1869"/>
      <c r="BG62" s="1869"/>
      <c r="BH62" s="1869"/>
      <c r="BI62" s="1869"/>
      <c r="BJ62" s="1869">
        <v>1</v>
      </c>
      <c r="BK62" s="1869"/>
      <c r="BL62" s="1869"/>
      <c r="BM62" s="1869"/>
      <c r="BN62" s="2275"/>
      <c r="BO62" s="1317"/>
      <c r="BP62" s="1317"/>
      <c r="BQ62" s="1317"/>
      <c r="BR62" s="1317"/>
      <c r="BS62" s="1317"/>
      <c r="BT62" s="1317"/>
      <c r="BU62" s="1317"/>
      <c r="BV62" s="1317"/>
      <c r="BW62" s="1317"/>
      <c r="BX62" s="1317">
        <v>1</v>
      </c>
      <c r="BY62" s="1317"/>
      <c r="BZ62" s="1317"/>
      <c r="CA62" s="1317"/>
      <c r="CB62" s="1317">
        <v>1</v>
      </c>
      <c r="CC62" s="1317"/>
      <c r="CD62" s="1317"/>
      <c r="CE62" s="1317"/>
      <c r="CF62" s="1317"/>
      <c r="CG62" s="1317"/>
      <c r="CH62" s="1317"/>
      <c r="CI62" s="1317"/>
      <c r="CJ62" s="1317">
        <v>2</v>
      </c>
      <c r="CK62" s="1317"/>
      <c r="CL62" s="1317"/>
      <c r="CM62" s="1317"/>
      <c r="CN62" s="1317"/>
      <c r="CO62" s="1317"/>
      <c r="CP62" s="1317"/>
      <c r="CQ62" s="1317"/>
      <c r="CR62" s="1317"/>
      <c r="CS62" s="1317"/>
      <c r="CT62" s="1317"/>
      <c r="CU62" s="262"/>
      <c r="CV62" s="262"/>
      <c r="CX62" s="358"/>
    </row>
    <row r="63" spans="1:104">
      <c r="A63" s="1309">
        <v>44927</v>
      </c>
      <c r="B63" s="1310">
        <f t="shared" ref="B63:B74" si="78">+AI63+BO63</f>
        <v>0</v>
      </c>
      <c r="C63" s="1310">
        <f t="shared" ref="C63:C74" si="79">+AJ63+BP63</f>
        <v>0</v>
      </c>
      <c r="D63" s="1310">
        <f t="shared" ref="D63:D74" si="80">+AK63+BQ63</f>
        <v>2</v>
      </c>
      <c r="E63" s="1310">
        <f t="shared" ref="E63:E74" si="81">+AL63+BR63</f>
        <v>1</v>
      </c>
      <c r="F63" s="1310">
        <f t="shared" ref="F63:F74" si="82">+AM63+BS63</f>
        <v>0</v>
      </c>
      <c r="G63" s="1310">
        <f t="shared" ref="G63:G74" si="83">+AN63+BT63</f>
        <v>3</v>
      </c>
      <c r="H63" s="1310">
        <f t="shared" ref="H63:H74" si="84">+AO63+BU63</f>
        <v>0</v>
      </c>
      <c r="I63" s="1310">
        <f t="shared" ref="I63:I74" si="85">+AP63+BV63</f>
        <v>0</v>
      </c>
      <c r="J63" s="1310">
        <f t="shared" ref="J63:J74" si="86">+AQ63+BW63</f>
        <v>0</v>
      </c>
      <c r="K63" s="3082">
        <f t="shared" ref="K63:K74" si="87">+AR63+BX63</f>
        <v>0</v>
      </c>
      <c r="L63" s="3082">
        <f t="shared" ref="L63:L74" si="88">+AS63+BY63</f>
        <v>0</v>
      </c>
      <c r="M63" s="3086">
        <f t="shared" ref="M63:M74" si="89">+AT63+BZ63</f>
        <v>1</v>
      </c>
      <c r="N63" s="1310">
        <f t="shared" ref="N63:N74" si="90">+AU63+CA63</f>
        <v>0</v>
      </c>
      <c r="O63" s="1310">
        <f t="shared" ref="O63:O74" si="91">+AV63+CB63</f>
        <v>0</v>
      </c>
      <c r="P63" s="1310">
        <f>+AW63+CC63</f>
        <v>0</v>
      </c>
      <c r="Q63" s="1040">
        <f>+AX63+CD63</f>
        <v>0</v>
      </c>
      <c r="R63" s="1310">
        <f>SUM(B63:Q63)</f>
        <v>7</v>
      </c>
      <c r="S63" s="1310">
        <f t="shared" ref="S63:S74" si="92">+AY63+CE63</f>
        <v>0</v>
      </c>
      <c r="T63" s="1310">
        <f t="shared" ref="T63:T74" si="93">+AZ63+CF63</f>
        <v>0</v>
      </c>
      <c r="U63" s="1310">
        <f t="shared" ref="U63:U74" si="94">+BA63+CG63</f>
        <v>0</v>
      </c>
      <c r="V63" s="1310">
        <f t="shared" ref="V63:V74" si="95">+BB63+CH63</f>
        <v>0</v>
      </c>
      <c r="W63" s="1310">
        <f t="shared" ref="W63:W74" si="96">+BC63+CI63</f>
        <v>0</v>
      </c>
      <c r="X63" s="1310">
        <f t="shared" ref="X63:X74" si="97">+BD63+CJ63</f>
        <v>4</v>
      </c>
      <c r="Y63" s="1310">
        <f t="shared" ref="Y63:Y74" si="98">+BE63+CK63</f>
        <v>1</v>
      </c>
      <c r="Z63" s="1310">
        <f t="shared" ref="Z63:Z74" si="99">+BF63+CL63</f>
        <v>0</v>
      </c>
      <c r="AA63" s="1310">
        <f t="shared" ref="AA63:AA74" si="100">+BG63+CM63</f>
        <v>0</v>
      </c>
      <c r="AB63" s="1310">
        <f t="shared" ref="AB63:AB74" si="101">+BH63+CN63</f>
        <v>0</v>
      </c>
      <c r="AC63" s="1310">
        <f t="shared" ref="AC63:AC74" si="102">+BI63+CO63</f>
        <v>0</v>
      </c>
      <c r="AD63" s="1310">
        <f t="shared" ref="AD63:AD74" si="103">+BJ63+CP63</f>
        <v>0</v>
      </c>
      <c r="AE63" s="1310">
        <f t="shared" ref="AE63:AE74" si="104">+BK63+CQ63</f>
        <v>1</v>
      </c>
      <c r="AF63" s="1310">
        <f t="shared" ref="AF63:AF74" si="105">+BL63+CR63</f>
        <v>0</v>
      </c>
      <c r="AG63" s="1310">
        <f t="shared" ref="AG63:AG74" si="106">+BM63+CS63</f>
        <v>1</v>
      </c>
      <c r="AH63" s="1701">
        <f t="shared" ref="AH63:AH74" si="107">+BN63+CT63</f>
        <v>0</v>
      </c>
      <c r="AI63" s="2008"/>
      <c r="AJ63" s="2009"/>
      <c r="AK63" s="2010">
        <v>2</v>
      </c>
      <c r="AL63" s="2010">
        <v>1</v>
      </c>
      <c r="AM63" s="2010"/>
      <c r="AN63" s="2010">
        <v>3</v>
      </c>
      <c r="AO63" s="2010"/>
      <c r="AP63" s="2010"/>
      <c r="AQ63" s="2010"/>
      <c r="AR63" s="2010"/>
      <c r="AS63" s="2010"/>
      <c r="AT63" s="2010">
        <v>1</v>
      </c>
      <c r="AU63" s="2010"/>
      <c r="AV63" s="2010"/>
      <c r="AW63" s="2010"/>
      <c r="AX63" s="2011"/>
      <c r="AY63" s="2012"/>
      <c r="AZ63" s="2013"/>
      <c r="BA63" s="2014"/>
      <c r="BB63" s="2013"/>
      <c r="BC63" s="2013"/>
      <c r="BD63" s="2015">
        <v>3</v>
      </c>
      <c r="BE63" s="2016">
        <v>1</v>
      </c>
      <c r="BF63" s="2010"/>
      <c r="BG63" s="2010"/>
      <c r="BH63" s="2010"/>
      <c r="BI63" s="2010"/>
      <c r="BJ63" s="2010"/>
      <c r="BK63" s="2010">
        <v>1</v>
      </c>
      <c r="BL63" s="2009"/>
      <c r="BM63" s="2010"/>
      <c r="BN63" s="2011"/>
      <c r="BO63" s="2271"/>
      <c r="BP63" s="2272"/>
      <c r="BQ63" s="2272"/>
      <c r="BR63" s="2272"/>
      <c r="BS63" s="2272"/>
      <c r="BT63" s="2272"/>
      <c r="BU63" s="2272"/>
      <c r="BV63" s="2272"/>
      <c r="BW63" s="2272"/>
      <c r="BX63" s="2272"/>
      <c r="BY63" s="2272"/>
      <c r="BZ63" s="2272"/>
      <c r="CA63" s="2272"/>
      <c r="CB63" s="2272"/>
      <c r="CC63" s="2272"/>
      <c r="CD63" s="2276"/>
      <c r="CE63" s="2277"/>
      <c r="CF63" s="2278"/>
      <c r="CG63" s="2278"/>
      <c r="CH63" s="2278"/>
      <c r="CI63" s="2278"/>
      <c r="CJ63" s="2279">
        <v>1</v>
      </c>
      <c r="CK63" s="2271"/>
      <c r="CL63" s="2272"/>
      <c r="CM63" s="2272"/>
      <c r="CN63" s="2272"/>
      <c r="CO63" s="2272"/>
      <c r="CP63" s="2272"/>
      <c r="CQ63" s="2272"/>
      <c r="CR63" s="2280"/>
      <c r="CS63" s="2272">
        <v>1</v>
      </c>
      <c r="CT63" s="2276"/>
      <c r="CU63" s="262">
        <f>SUM(AI63:BC63)+SUM(BO63:CI63)</f>
        <v>7</v>
      </c>
      <c r="CV63" s="262">
        <f>SUM(BE63:BN63)+SUM(CK63:CT63)</f>
        <v>3</v>
      </c>
      <c r="CW63" s="8">
        <f>SUM(BO63:CI63)</f>
        <v>0</v>
      </c>
      <c r="CX63" s="358">
        <f>+CU63+BD63+CJ63</f>
        <v>11</v>
      </c>
      <c r="CY63" s="358">
        <f>SUM(CK63:CT63)+SUM(BE63:BN63)</f>
        <v>3</v>
      </c>
    </row>
    <row r="64" spans="1:104">
      <c r="A64" s="1309">
        <v>44958</v>
      </c>
      <c r="B64" s="1310">
        <f t="shared" si="78"/>
        <v>0</v>
      </c>
      <c r="C64" s="1310">
        <f t="shared" si="79"/>
        <v>1</v>
      </c>
      <c r="D64" s="1310">
        <f t="shared" si="80"/>
        <v>0</v>
      </c>
      <c r="E64" s="1310">
        <f t="shared" si="81"/>
        <v>1</v>
      </c>
      <c r="F64" s="1310">
        <f t="shared" si="82"/>
        <v>0</v>
      </c>
      <c r="G64" s="1310">
        <f t="shared" si="83"/>
        <v>1</v>
      </c>
      <c r="H64" s="1310">
        <f t="shared" si="84"/>
        <v>0</v>
      </c>
      <c r="I64" s="1310">
        <f t="shared" si="85"/>
        <v>0</v>
      </c>
      <c r="J64" s="1310">
        <f t="shared" si="86"/>
        <v>1</v>
      </c>
      <c r="K64" s="3082">
        <f t="shared" si="87"/>
        <v>1</v>
      </c>
      <c r="L64" s="3082">
        <f t="shared" si="88"/>
        <v>0</v>
      </c>
      <c r="M64" s="3086">
        <f t="shared" si="89"/>
        <v>1</v>
      </c>
      <c r="N64" s="1310">
        <f t="shared" si="90"/>
        <v>0</v>
      </c>
      <c r="O64" s="1310">
        <f t="shared" si="91"/>
        <v>0</v>
      </c>
      <c r="P64" s="1310">
        <f t="shared" ref="P64:P74" si="108">+AW64+CC64</f>
        <v>0</v>
      </c>
      <c r="Q64" s="1040">
        <f t="shared" ref="Q64:Q74" si="109">+AX64+CD64</f>
        <v>1</v>
      </c>
      <c r="R64" s="1310">
        <f t="shared" ref="R64:R74" si="110">SUM(B64:Q64)</f>
        <v>7</v>
      </c>
      <c r="S64" s="1310">
        <f t="shared" si="92"/>
        <v>0</v>
      </c>
      <c r="T64" s="1310">
        <f t="shared" si="93"/>
        <v>2</v>
      </c>
      <c r="U64" s="1310">
        <f t="shared" si="94"/>
        <v>1</v>
      </c>
      <c r="V64" s="1310">
        <f t="shared" si="95"/>
        <v>0</v>
      </c>
      <c r="W64" s="1310">
        <f t="shared" si="96"/>
        <v>0</v>
      </c>
      <c r="X64" s="1310">
        <f t="shared" si="97"/>
        <v>1</v>
      </c>
      <c r="Y64" s="1310">
        <f t="shared" si="98"/>
        <v>0</v>
      </c>
      <c r="Z64" s="1310">
        <f t="shared" si="99"/>
        <v>0</v>
      </c>
      <c r="AA64" s="1310">
        <f t="shared" si="100"/>
        <v>0</v>
      </c>
      <c r="AB64" s="1310">
        <f t="shared" si="101"/>
        <v>0</v>
      </c>
      <c r="AC64" s="1310">
        <f t="shared" si="102"/>
        <v>0</v>
      </c>
      <c r="AD64" s="1310">
        <f t="shared" si="103"/>
        <v>0</v>
      </c>
      <c r="AE64" s="1310">
        <f t="shared" si="104"/>
        <v>2</v>
      </c>
      <c r="AF64" s="1310">
        <f t="shared" si="105"/>
        <v>0</v>
      </c>
      <c r="AG64" s="1310">
        <f t="shared" si="106"/>
        <v>0</v>
      </c>
      <c r="AH64" s="1701">
        <f t="shared" si="107"/>
        <v>0</v>
      </c>
      <c r="AI64" s="2017"/>
      <c r="AJ64" s="2010">
        <v>1</v>
      </c>
      <c r="AK64" s="2010"/>
      <c r="AL64" s="2009">
        <v>1</v>
      </c>
      <c r="AM64" s="2010"/>
      <c r="AN64" s="2010">
        <v>1</v>
      </c>
      <c r="AO64" s="2010"/>
      <c r="AP64" s="2010"/>
      <c r="AQ64" s="2010"/>
      <c r="AR64" s="2009"/>
      <c r="AS64" s="2009"/>
      <c r="AT64" s="2010"/>
      <c r="AU64" s="2010"/>
      <c r="AV64" s="2010"/>
      <c r="AW64" s="2010"/>
      <c r="AX64" s="2011">
        <v>1</v>
      </c>
      <c r="AY64" s="2012"/>
      <c r="AZ64" s="2013">
        <v>2</v>
      </c>
      <c r="BA64" s="2013">
        <v>1</v>
      </c>
      <c r="BB64" s="2013"/>
      <c r="BC64" s="2013"/>
      <c r="BD64" s="2015">
        <v>1</v>
      </c>
      <c r="BE64" s="2018"/>
      <c r="BF64" s="2010"/>
      <c r="BG64" s="2010"/>
      <c r="BH64" s="2010"/>
      <c r="BI64" s="2010"/>
      <c r="BJ64" s="2010"/>
      <c r="BK64" s="2009">
        <v>2</v>
      </c>
      <c r="BL64" s="2010"/>
      <c r="BM64" s="2010"/>
      <c r="BN64" s="2011"/>
      <c r="BO64" s="1896"/>
      <c r="BP64" s="1567"/>
      <c r="BQ64" s="1567"/>
      <c r="BR64" s="1567"/>
      <c r="BS64" s="1567"/>
      <c r="BT64" s="1567"/>
      <c r="BU64" s="1567"/>
      <c r="BV64" s="1567"/>
      <c r="BW64" s="1567">
        <v>1</v>
      </c>
      <c r="BX64" s="1567">
        <v>1</v>
      </c>
      <c r="BY64" s="1567"/>
      <c r="BZ64" s="1567">
        <v>1</v>
      </c>
      <c r="CA64" s="1567"/>
      <c r="CB64" s="1567"/>
      <c r="CC64" s="1567"/>
      <c r="CD64" s="1897"/>
      <c r="CE64" s="1901"/>
      <c r="CF64" s="1867"/>
      <c r="CG64" s="1867"/>
      <c r="CH64" s="1867"/>
      <c r="CI64" s="1867"/>
      <c r="CJ64" s="1902"/>
      <c r="CK64" s="1896"/>
      <c r="CL64" s="1567"/>
      <c r="CM64" s="1567"/>
      <c r="CN64" s="1567"/>
      <c r="CO64" s="1567"/>
      <c r="CP64" s="1567"/>
      <c r="CQ64" s="1567"/>
      <c r="CR64" s="1567"/>
      <c r="CS64" s="1567"/>
      <c r="CT64" s="1897"/>
      <c r="CU64" s="262">
        <f t="shared" ref="CU64:CU74" si="111">SUM(AI64:BC64)+SUM(BO64:CI64)</f>
        <v>10</v>
      </c>
      <c r="CV64" s="262">
        <f t="shared" ref="CV64:CV74" si="112">SUM(BE64:BN64)+SUM(CK64:CT64)</f>
        <v>2</v>
      </c>
      <c r="CW64" s="8">
        <f>SUM(BO64:CI64)</f>
        <v>3</v>
      </c>
      <c r="CX64" s="358">
        <f>+CU64+BD64+CJ64</f>
        <v>11</v>
      </c>
      <c r="CY64" s="358">
        <f t="shared" ref="CY64:CY74" si="113">SUM(CK64:CT64)+SUM(BE64:BN64)</f>
        <v>2</v>
      </c>
      <c r="CZ64" t="s">
        <v>6383</v>
      </c>
    </row>
    <row r="65" spans="1:104">
      <c r="A65" s="1309">
        <v>44986</v>
      </c>
      <c r="B65" s="1310">
        <f t="shared" si="78"/>
        <v>0</v>
      </c>
      <c r="C65" s="1310">
        <f t="shared" si="79"/>
        <v>1</v>
      </c>
      <c r="D65" s="1310">
        <f t="shared" si="80"/>
        <v>0</v>
      </c>
      <c r="E65" s="1310">
        <f t="shared" si="81"/>
        <v>1</v>
      </c>
      <c r="F65" s="1310">
        <f t="shared" si="82"/>
        <v>0</v>
      </c>
      <c r="G65" s="1310">
        <f t="shared" si="83"/>
        <v>1</v>
      </c>
      <c r="H65" s="1310">
        <f t="shared" si="84"/>
        <v>0</v>
      </c>
      <c r="I65" s="1310">
        <f t="shared" si="85"/>
        <v>0</v>
      </c>
      <c r="J65" s="1310">
        <f t="shared" si="86"/>
        <v>1</v>
      </c>
      <c r="K65" s="3082">
        <f t="shared" si="87"/>
        <v>0</v>
      </c>
      <c r="L65" s="3082">
        <f t="shared" si="88"/>
        <v>0</v>
      </c>
      <c r="M65" s="3086">
        <f t="shared" si="89"/>
        <v>0</v>
      </c>
      <c r="N65" s="1310">
        <f t="shared" si="90"/>
        <v>0</v>
      </c>
      <c r="O65" s="1310">
        <f t="shared" si="91"/>
        <v>0</v>
      </c>
      <c r="P65" s="1310">
        <f t="shared" si="108"/>
        <v>0</v>
      </c>
      <c r="Q65" s="1040">
        <f t="shared" si="109"/>
        <v>0</v>
      </c>
      <c r="R65" s="1310">
        <f t="shared" si="110"/>
        <v>4</v>
      </c>
      <c r="S65" s="1310">
        <f t="shared" si="92"/>
        <v>0</v>
      </c>
      <c r="T65" s="1310">
        <f t="shared" si="93"/>
        <v>0</v>
      </c>
      <c r="U65" s="1310">
        <f t="shared" si="94"/>
        <v>1</v>
      </c>
      <c r="V65" s="1310">
        <f t="shared" si="95"/>
        <v>0</v>
      </c>
      <c r="W65" s="1310">
        <f t="shared" si="96"/>
        <v>0</v>
      </c>
      <c r="X65" s="1310">
        <f t="shared" si="97"/>
        <v>0</v>
      </c>
      <c r="Y65" s="1310">
        <f t="shared" si="98"/>
        <v>0</v>
      </c>
      <c r="Z65" s="1310">
        <f t="shared" si="99"/>
        <v>0</v>
      </c>
      <c r="AA65" s="1310">
        <f t="shared" si="100"/>
        <v>0</v>
      </c>
      <c r="AB65" s="1310">
        <f t="shared" si="101"/>
        <v>0</v>
      </c>
      <c r="AC65" s="1310">
        <f t="shared" si="102"/>
        <v>0</v>
      </c>
      <c r="AD65" s="1310">
        <f t="shared" si="103"/>
        <v>2</v>
      </c>
      <c r="AE65" s="1310">
        <f t="shared" si="104"/>
        <v>0</v>
      </c>
      <c r="AF65" s="1310">
        <f t="shared" si="105"/>
        <v>0</v>
      </c>
      <c r="AG65" s="1310">
        <f t="shared" si="106"/>
        <v>1</v>
      </c>
      <c r="AH65" s="1701">
        <f t="shared" si="107"/>
        <v>0</v>
      </c>
      <c r="AI65" s="2008"/>
      <c r="AJ65" s="2010">
        <v>1</v>
      </c>
      <c r="AK65" s="2009"/>
      <c r="AL65" s="2010">
        <v>1</v>
      </c>
      <c r="AM65" s="2010"/>
      <c r="AN65" s="2010">
        <v>1</v>
      </c>
      <c r="AO65" s="2010"/>
      <c r="AP65" s="2010"/>
      <c r="AQ65" s="2010">
        <v>1</v>
      </c>
      <c r="AR65" s="2010"/>
      <c r="AS65" s="2010"/>
      <c r="AT65" s="2010"/>
      <c r="AU65" s="2010"/>
      <c r="AV65" s="2010"/>
      <c r="AW65" s="2010"/>
      <c r="AX65" s="2011"/>
      <c r="AY65" s="2012"/>
      <c r="AZ65" s="2013"/>
      <c r="BA65" s="2013">
        <v>1</v>
      </c>
      <c r="BB65" s="2013"/>
      <c r="BC65" s="2013"/>
      <c r="BD65" s="2015"/>
      <c r="BE65" s="2018"/>
      <c r="BF65" s="2010"/>
      <c r="BG65" s="2010"/>
      <c r="BH65" s="2010"/>
      <c r="BI65" s="2010"/>
      <c r="BJ65" s="2010">
        <v>2</v>
      </c>
      <c r="BK65" s="2010"/>
      <c r="BL65" s="2010"/>
      <c r="BM65" s="2010">
        <v>1</v>
      </c>
      <c r="BN65" s="2011"/>
      <c r="BO65" s="1896"/>
      <c r="BP65" s="1567"/>
      <c r="BQ65" s="1567"/>
      <c r="BR65" s="1567"/>
      <c r="BS65" s="1567"/>
      <c r="BT65" s="1567"/>
      <c r="BU65" s="1567"/>
      <c r="BV65" s="1567"/>
      <c r="BW65" s="1567"/>
      <c r="BX65" s="2033"/>
      <c r="BY65" s="1567"/>
      <c r="BZ65" s="1567"/>
      <c r="CA65" s="1567"/>
      <c r="CB65" s="1567"/>
      <c r="CC65" s="1567"/>
      <c r="CD65" s="1897"/>
      <c r="CE65" s="1901"/>
      <c r="CF65" s="1867"/>
      <c r="CG65" s="1867"/>
      <c r="CH65" s="1867"/>
      <c r="CI65" s="1867"/>
      <c r="CJ65" s="1902"/>
      <c r="CK65" s="1896"/>
      <c r="CL65" s="1567"/>
      <c r="CM65" s="1567"/>
      <c r="CN65" s="1567"/>
      <c r="CO65" s="1567"/>
      <c r="CP65" s="1567"/>
      <c r="CQ65" s="1567"/>
      <c r="CR65" s="1567"/>
      <c r="CS65" s="1567"/>
      <c r="CT65" s="1897"/>
      <c r="CU65" s="262">
        <f t="shared" si="111"/>
        <v>5</v>
      </c>
      <c r="CV65" s="262">
        <f>SUM(BE65:BN65)+SUM(CK65:CT65)</f>
        <v>3</v>
      </c>
      <c r="CW65" s="8">
        <f t="shared" ref="CW65:CW74" si="114">SUM(BO65:CI65)</f>
        <v>0</v>
      </c>
      <c r="CX65" s="358">
        <f>+CU65+BD65+CJ65</f>
        <v>5</v>
      </c>
      <c r="CY65" s="358">
        <f t="shared" si="113"/>
        <v>3</v>
      </c>
    </row>
    <row r="66" spans="1:104">
      <c r="A66" s="1309">
        <v>45017</v>
      </c>
      <c r="B66" s="1310">
        <f t="shared" si="78"/>
        <v>0</v>
      </c>
      <c r="C66" s="1310">
        <f t="shared" si="79"/>
        <v>0</v>
      </c>
      <c r="D66" s="1310">
        <f t="shared" si="80"/>
        <v>1</v>
      </c>
      <c r="E66" s="1310">
        <f t="shared" si="81"/>
        <v>1</v>
      </c>
      <c r="F66" s="1310">
        <f t="shared" si="82"/>
        <v>0</v>
      </c>
      <c r="G66" s="1310">
        <f t="shared" si="83"/>
        <v>0</v>
      </c>
      <c r="H66" s="1310">
        <f t="shared" si="84"/>
        <v>0</v>
      </c>
      <c r="I66" s="1310">
        <f t="shared" si="85"/>
        <v>0</v>
      </c>
      <c r="J66" s="1310">
        <f t="shared" si="86"/>
        <v>0</v>
      </c>
      <c r="K66" s="3082">
        <f t="shared" si="87"/>
        <v>1</v>
      </c>
      <c r="L66" s="3082">
        <f t="shared" si="88"/>
        <v>0</v>
      </c>
      <c r="M66" s="3086">
        <f t="shared" si="89"/>
        <v>1</v>
      </c>
      <c r="N66" s="1310">
        <f t="shared" si="90"/>
        <v>0</v>
      </c>
      <c r="O66" s="1310">
        <f t="shared" si="91"/>
        <v>0</v>
      </c>
      <c r="P66" s="1310">
        <f t="shared" si="108"/>
        <v>0</v>
      </c>
      <c r="Q66" s="1040">
        <f t="shared" si="109"/>
        <v>0</v>
      </c>
      <c r="R66" s="1310">
        <f t="shared" si="110"/>
        <v>4</v>
      </c>
      <c r="S66" s="1310">
        <f t="shared" si="92"/>
        <v>0</v>
      </c>
      <c r="T66" s="1310">
        <f t="shared" si="93"/>
        <v>0</v>
      </c>
      <c r="U66" s="1310">
        <f t="shared" si="94"/>
        <v>1</v>
      </c>
      <c r="V66" s="1310">
        <f t="shared" si="95"/>
        <v>0</v>
      </c>
      <c r="W66" s="1310">
        <f t="shared" si="96"/>
        <v>0</v>
      </c>
      <c r="X66" s="1310">
        <f t="shared" si="97"/>
        <v>0</v>
      </c>
      <c r="Y66" s="1310">
        <f t="shared" si="98"/>
        <v>0</v>
      </c>
      <c r="Z66" s="1310">
        <f t="shared" si="99"/>
        <v>0</v>
      </c>
      <c r="AA66" s="1310">
        <f t="shared" si="100"/>
        <v>0</v>
      </c>
      <c r="AB66" s="1310">
        <f t="shared" si="101"/>
        <v>0</v>
      </c>
      <c r="AC66" s="1310">
        <f t="shared" si="102"/>
        <v>0</v>
      </c>
      <c r="AD66" s="1310">
        <f t="shared" si="103"/>
        <v>0</v>
      </c>
      <c r="AE66" s="1310">
        <f t="shared" si="104"/>
        <v>0</v>
      </c>
      <c r="AF66" s="1310">
        <f t="shared" si="105"/>
        <v>1</v>
      </c>
      <c r="AG66" s="1310">
        <f t="shared" si="106"/>
        <v>0</v>
      </c>
      <c r="AH66" s="1701">
        <f t="shared" si="107"/>
        <v>0</v>
      </c>
      <c r="AI66" s="2008"/>
      <c r="AJ66" s="2010"/>
      <c r="AK66" s="2010">
        <v>1</v>
      </c>
      <c r="AL66" s="2010">
        <v>1</v>
      </c>
      <c r="AM66" s="2010"/>
      <c r="AN66" s="2009"/>
      <c r="AO66" s="2010"/>
      <c r="AP66" s="2010"/>
      <c r="AQ66" s="2010"/>
      <c r="AR66" s="2010">
        <v>1</v>
      </c>
      <c r="AS66" s="2010"/>
      <c r="AT66" s="2010">
        <v>1</v>
      </c>
      <c r="AU66" s="2010"/>
      <c r="AV66" s="2010"/>
      <c r="AW66" s="2010"/>
      <c r="AX66" s="2011"/>
      <c r="AY66" s="2012"/>
      <c r="AZ66" s="2014"/>
      <c r="BA66" s="2014">
        <v>1</v>
      </c>
      <c r="BB66" s="2013"/>
      <c r="BC66" s="2014"/>
      <c r="BD66" s="2061"/>
      <c r="BE66" s="2018"/>
      <c r="BF66" s="2010"/>
      <c r="BG66" s="2010"/>
      <c r="BH66" s="2010"/>
      <c r="BI66" s="2010"/>
      <c r="BJ66" s="2010"/>
      <c r="BK66" s="2010"/>
      <c r="BL66" s="2010">
        <v>1</v>
      </c>
      <c r="BM66" s="2010"/>
      <c r="BN66" s="2011"/>
      <c r="BO66" s="1896"/>
      <c r="BP66" s="1567"/>
      <c r="BQ66" s="1567"/>
      <c r="BR66" s="1567"/>
      <c r="BS66" s="1567"/>
      <c r="BT66" s="1567"/>
      <c r="BU66" s="1567"/>
      <c r="BV66" s="1567"/>
      <c r="BW66" s="1567"/>
      <c r="BX66" s="2033"/>
      <c r="BY66" s="1567"/>
      <c r="BZ66" s="1567"/>
      <c r="CA66" s="1567"/>
      <c r="CB66" s="1567"/>
      <c r="CC66" s="1567"/>
      <c r="CD66" s="1897"/>
      <c r="CE66" s="1901"/>
      <c r="CF66" s="1867"/>
      <c r="CG66" s="1867"/>
      <c r="CH66" s="1867"/>
      <c r="CI66" s="1867"/>
      <c r="CJ66" s="1972"/>
      <c r="CK66" s="1896"/>
      <c r="CL66" s="1567"/>
      <c r="CM66" s="1567"/>
      <c r="CN66" s="1567"/>
      <c r="CO66" s="1567"/>
      <c r="CP66" s="1567"/>
      <c r="CQ66" s="1567"/>
      <c r="CR66" s="1567"/>
      <c r="CS66" s="1567"/>
      <c r="CT66" s="1897"/>
      <c r="CU66" s="262">
        <f t="shared" si="111"/>
        <v>5</v>
      </c>
      <c r="CV66" s="262">
        <f t="shared" si="112"/>
        <v>1</v>
      </c>
      <c r="CW66" s="8">
        <f t="shared" si="114"/>
        <v>0</v>
      </c>
      <c r="CX66" s="358">
        <f t="shared" ref="CX66:CX74" si="115">+CU66+BD66+CJ66</f>
        <v>5</v>
      </c>
      <c r="CY66" s="358">
        <f t="shared" si="113"/>
        <v>1</v>
      </c>
    </row>
    <row r="67" spans="1:104">
      <c r="A67" s="1309">
        <v>45047</v>
      </c>
      <c r="B67" s="1310">
        <f t="shared" si="78"/>
        <v>0</v>
      </c>
      <c r="C67" s="1310">
        <f t="shared" si="79"/>
        <v>0</v>
      </c>
      <c r="D67" s="1310">
        <f t="shared" si="80"/>
        <v>1</v>
      </c>
      <c r="E67" s="1310">
        <f t="shared" si="81"/>
        <v>0</v>
      </c>
      <c r="F67" s="1310">
        <f t="shared" si="82"/>
        <v>0</v>
      </c>
      <c r="G67" s="1310">
        <f t="shared" si="83"/>
        <v>0</v>
      </c>
      <c r="H67" s="1310">
        <f t="shared" si="84"/>
        <v>0</v>
      </c>
      <c r="I67" s="1310">
        <f t="shared" si="85"/>
        <v>0</v>
      </c>
      <c r="J67" s="1310">
        <f t="shared" si="86"/>
        <v>0</v>
      </c>
      <c r="K67" s="3082">
        <f t="shared" si="87"/>
        <v>0</v>
      </c>
      <c r="L67" s="3082">
        <f t="shared" si="88"/>
        <v>0</v>
      </c>
      <c r="M67" s="3086">
        <f t="shared" si="89"/>
        <v>1</v>
      </c>
      <c r="N67" s="1310">
        <f t="shared" si="90"/>
        <v>0</v>
      </c>
      <c r="O67" s="1310">
        <f t="shared" si="91"/>
        <v>0</v>
      </c>
      <c r="P67" s="1310">
        <f t="shared" si="108"/>
        <v>0</v>
      </c>
      <c r="Q67" s="1040">
        <f t="shared" si="109"/>
        <v>1</v>
      </c>
      <c r="R67" s="1310">
        <f t="shared" si="110"/>
        <v>3</v>
      </c>
      <c r="S67" s="1310">
        <f t="shared" si="92"/>
        <v>0</v>
      </c>
      <c r="T67" s="1310">
        <f t="shared" si="93"/>
        <v>0</v>
      </c>
      <c r="U67" s="1310">
        <f t="shared" si="94"/>
        <v>1</v>
      </c>
      <c r="V67" s="1310">
        <f t="shared" si="95"/>
        <v>0</v>
      </c>
      <c r="W67" s="1310">
        <f t="shared" si="96"/>
        <v>0</v>
      </c>
      <c r="X67" s="1310">
        <f t="shared" si="97"/>
        <v>1</v>
      </c>
      <c r="Y67" s="1310">
        <f t="shared" si="98"/>
        <v>0</v>
      </c>
      <c r="Z67" s="1310">
        <f t="shared" si="99"/>
        <v>0</v>
      </c>
      <c r="AA67" s="1310">
        <f t="shared" si="100"/>
        <v>0</v>
      </c>
      <c r="AB67" s="1310">
        <f t="shared" si="101"/>
        <v>0</v>
      </c>
      <c r="AC67" s="1310">
        <f t="shared" si="102"/>
        <v>0</v>
      </c>
      <c r="AD67" s="1310">
        <f t="shared" si="103"/>
        <v>0</v>
      </c>
      <c r="AE67" s="1310">
        <f t="shared" si="104"/>
        <v>0</v>
      </c>
      <c r="AF67" s="1310">
        <f t="shared" si="105"/>
        <v>0</v>
      </c>
      <c r="AG67" s="1310">
        <f t="shared" si="106"/>
        <v>0</v>
      </c>
      <c r="AH67" s="1701">
        <f t="shared" si="107"/>
        <v>0</v>
      </c>
      <c r="AI67" s="2008"/>
      <c r="AJ67" s="2010"/>
      <c r="AK67" s="2010">
        <v>1</v>
      </c>
      <c r="AL67" s="2010"/>
      <c r="AM67" s="2010"/>
      <c r="AN67" s="2010"/>
      <c r="AO67" s="2010"/>
      <c r="AP67" s="2010"/>
      <c r="AQ67" s="2010"/>
      <c r="AR67" s="2010"/>
      <c r="AS67" s="2010"/>
      <c r="AT67" s="2010"/>
      <c r="AU67" s="2010"/>
      <c r="AV67" s="2010"/>
      <c r="AW67" s="2010"/>
      <c r="AX67" s="2011">
        <v>1</v>
      </c>
      <c r="AY67" s="2012"/>
      <c r="AZ67" s="2013"/>
      <c r="BA67" s="2013">
        <v>1</v>
      </c>
      <c r="BB67" s="2013"/>
      <c r="BC67" s="2014"/>
      <c r="BD67" s="2015">
        <v>1</v>
      </c>
      <c r="BE67" s="2018"/>
      <c r="BF67" s="2010"/>
      <c r="BG67" s="2010"/>
      <c r="BH67" s="2010"/>
      <c r="BI67" s="2010"/>
      <c r="BJ67" s="2010"/>
      <c r="BK67" s="2010"/>
      <c r="BL67" s="2010"/>
      <c r="BM67" s="2010"/>
      <c r="BN67" s="2011"/>
      <c r="BO67" s="1896"/>
      <c r="BP67" s="1567"/>
      <c r="BQ67" s="1567"/>
      <c r="BR67" s="1567"/>
      <c r="BS67" s="1567"/>
      <c r="BT67" s="1567"/>
      <c r="BU67" s="1567"/>
      <c r="BV67" s="1567"/>
      <c r="BW67" s="1567"/>
      <c r="BX67" s="1567"/>
      <c r="BY67" s="1567"/>
      <c r="BZ67" s="1567">
        <v>1</v>
      </c>
      <c r="CA67" s="1567"/>
      <c r="CB67" s="1567"/>
      <c r="CC67" s="1567"/>
      <c r="CD67" s="1897"/>
      <c r="CE67" s="1901"/>
      <c r="CF67" s="1867"/>
      <c r="CG67" s="1867"/>
      <c r="CH67" s="1867"/>
      <c r="CI67" s="1867"/>
      <c r="CJ67" s="1902"/>
      <c r="CK67" s="1896"/>
      <c r="CL67" s="1567"/>
      <c r="CM67" s="1567"/>
      <c r="CN67" s="1567"/>
      <c r="CO67" s="1567"/>
      <c r="CP67" s="1567"/>
      <c r="CQ67" s="1567"/>
      <c r="CR67" s="1567"/>
      <c r="CS67" s="1567"/>
      <c r="CT67" s="1897"/>
      <c r="CU67" s="262">
        <f t="shared" si="111"/>
        <v>4</v>
      </c>
      <c r="CV67" s="262">
        <f t="shared" si="112"/>
        <v>0</v>
      </c>
      <c r="CW67" s="8">
        <f t="shared" si="114"/>
        <v>1</v>
      </c>
      <c r="CX67" s="358">
        <f t="shared" si="115"/>
        <v>5</v>
      </c>
      <c r="CY67" s="358">
        <f t="shared" si="113"/>
        <v>0</v>
      </c>
    </row>
    <row r="68" spans="1:104">
      <c r="A68" s="1309">
        <v>45078</v>
      </c>
      <c r="B68" s="1310">
        <f t="shared" si="78"/>
        <v>0</v>
      </c>
      <c r="C68" s="1310">
        <f t="shared" si="79"/>
        <v>0</v>
      </c>
      <c r="D68" s="1310">
        <f t="shared" si="80"/>
        <v>1</v>
      </c>
      <c r="E68" s="1310">
        <f t="shared" si="81"/>
        <v>0</v>
      </c>
      <c r="F68" s="1310">
        <f t="shared" si="82"/>
        <v>0</v>
      </c>
      <c r="G68" s="1310">
        <f t="shared" si="83"/>
        <v>1</v>
      </c>
      <c r="H68" s="1310">
        <f t="shared" si="84"/>
        <v>0</v>
      </c>
      <c r="I68" s="1310">
        <f t="shared" si="85"/>
        <v>0</v>
      </c>
      <c r="J68" s="1310">
        <f t="shared" si="86"/>
        <v>0</v>
      </c>
      <c r="K68" s="3082">
        <f t="shared" si="87"/>
        <v>1</v>
      </c>
      <c r="L68" s="3082">
        <f t="shared" si="88"/>
        <v>0</v>
      </c>
      <c r="M68" s="3086">
        <f t="shared" si="89"/>
        <v>0</v>
      </c>
      <c r="N68" s="1310">
        <f t="shared" si="90"/>
        <v>1</v>
      </c>
      <c r="O68" s="1310">
        <f t="shared" si="91"/>
        <v>1</v>
      </c>
      <c r="P68" s="1310">
        <f t="shared" si="108"/>
        <v>0</v>
      </c>
      <c r="Q68" s="1040">
        <f t="shared" si="109"/>
        <v>0</v>
      </c>
      <c r="R68" s="1310">
        <f t="shared" si="110"/>
        <v>5</v>
      </c>
      <c r="S68" s="1310">
        <f t="shared" si="92"/>
        <v>0</v>
      </c>
      <c r="T68" s="1310">
        <f t="shared" si="93"/>
        <v>0</v>
      </c>
      <c r="U68" s="1310">
        <f t="shared" si="94"/>
        <v>0</v>
      </c>
      <c r="V68" s="1310">
        <f t="shared" si="95"/>
        <v>0</v>
      </c>
      <c r="W68" s="1310">
        <f t="shared" si="96"/>
        <v>0</v>
      </c>
      <c r="X68" s="1310">
        <f t="shared" si="97"/>
        <v>0</v>
      </c>
      <c r="Y68" s="1310">
        <f t="shared" si="98"/>
        <v>1</v>
      </c>
      <c r="Z68" s="1310">
        <f t="shared" si="99"/>
        <v>0</v>
      </c>
      <c r="AA68" s="1310">
        <f t="shared" si="100"/>
        <v>0</v>
      </c>
      <c r="AB68" s="1310">
        <f t="shared" si="101"/>
        <v>0</v>
      </c>
      <c r="AC68" s="1310">
        <f t="shared" si="102"/>
        <v>0</v>
      </c>
      <c r="AD68" s="1310">
        <f t="shared" si="103"/>
        <v>0</v>
      </c>
      <c r="AE68" s="1310">
        <f t="shared" si="104"/>
        <v>0</v>
      </c>
      <c r="AF68" s="1310">
        <f t="shared" si="105"/>
        <v>1</v>
      </c>
      <c r="AG68" s="1310">
        <f t="shared" si="106"/>
        <v>0</v>
      </c>
      <c r="AH68" s="1701">
        <f t="shared" si="107"/>
        <v>1</v>
      </c>
      <c r="AI68" s="2008"/>
      <c r="AJ68" s="2010"/>
      <c r="AK68" s="2010">
        <v>1</v>
      </c>
      <c r="AL68" s="2010"/>
      <c r="AM68" s="2010"/>
      <c r="AN68" s="2010">
        <v>1</v>
      </c>
      <c r="AO68" s="2010"/>
      <c r="AP68" s="2010"/>
      <c r="AQ68" s="2010"/>
      <c r="AR68" s="2010">
        <v>1</v>
      </c>
      <c r="AS68" s="2010"/>
      <c r="AT68" s="2010"/>
      <c r="AU68" s="2010"/>
      <c r="AV68" s="2010"/>
      <c r="AW68" s="2010"/>
      <c r="AX68" s="2011"/>
      <c r="AY68" s="2012"/>
      <c r="AZ68" s="2013"/>
      <c r="BA68" s="2013"/>
      <c r="BB68" s="2013"/>
      <c r="BC68" s="2013"/>
      <c r="BD68" s="2015"/>
      <c r="BE68" s="2018"/>
      <c r="BF68" s="2010"/>
      <c r="BG68" s="2010"/>
      <c r="BH68" s="2010"/>
      <c r="BI68" s="2010"/>
      <c r="BJ68" s="2010"/>
      <c r="BK68" s="2010"/>
      <c r="BL68" s="2010"/>
      <c r="BM68" s="2010"/>
      <c r="BN68" s="2011">
        <v>1</v>
      </c>
      <c r="BO68" s="1896"/>
      <c r="BP68" s="1567"/>
      <c r="BQ68" s="1567"/>
      <c r="BR68" s="1567"/>
      <c r="BS68" s="1567"/>
      <c r="BT68" s="1567"/>
      <c r="BU68" s="1567"/>
      <c r="BV68" s="1567"/>
      <c r="BW68" s="1567"/>
      <c r="BX68" s="1567"/>
      <c r="BY68" s="1567"/>
      <c r="BZ68" s="1567"/>
      <c r="CA68" s="1567">
        <v>1</v>
      </c>
      <c r="CB68" s="1567">
        <v>1</v>
      </c>
      <c r="CC68" s="1567"/>
      <c r="CD68" s="1897"/>
      <c r="CE68" s="1901"/>
      <c r="CF68" s="1867"/>
      <c r="CG68" s="1867"/>
      <c r="CH68" s="1867"/>
      <c r="CI68" s="1867"/>
      <c r="CJ68" s="1902"/>
      <c r="CK68" s="1896">
        <v>1</v>
      </c>
      <c r="CL68" s="1567"/>
      <c r="CM68" s="1567"/>
      <c r="CN68" s="1567"/>
      <c r="CO68" s="1567"/>
      <c r="CP68" s="1567"/>
      <c r="CQ68" s="1567"/>
      <c r="CR68" s="1567">
        <v>1</v>
      </c>
      <c r="CS68" s="1567"/>
      <c r="CT68" s="1897"/>
      <c r="CU68" s="262">
        <f t="shared" si="111"/>
        <v>5</v>
      </c>
      <c r="CV68" s="262">
        <f t="shared" si="112"/>
        <v>3</v>
      </c>
      <c r="CW68" s="8">
        <f t="shared" ref="CW68:CW73" si="116">SUM(BO68:CI68)</f>
        <v>2</v>
      </c>
      <c r="CX68" s="358">
        <f>+CU68+BD68+CJ68</f>
        <v>5</v>
      </c>
      <c r="CY68" s="358">
        <f t="shared" si="113"/>
        <v>3</v>
      </c>
    </row>
    <row r="69" spans="1:104">
      <c r="A69" s="1309">
        <v>45108</v>
      </c>
      <c r="B69" s="1310">
        <f t="shared" si="78"/>
        <v>0</v>
      </c>
      <c r="C69" s="1310">
        <f t="shared" si="79"/>
        <v>1</v>
      </c>
      <c r="D69" s="1310">
        <f t="shared" si="80"/>
        <v>2</v>
      </c>
      <c r="E69" s="1310">
        <f t="shared" si="81"/>
        <v>3</v>
      </c>
      <c r="F69" s="1310">
        <f t="shared" si="82"/>
        <v>0</v>
      </c>
      <c r="G69" s="1310">
        <f t="shared" si="83"/>
        <v>0</v>
      </c>
      <c r="H69" s="1310">
        <f t="shared" si="84"/>
        <v>0</v>
      </c>
      <c r="I69" s="1310">
        <f t="shared" si="85"/>
        <v>1</v>
      </c>
      <c r="J69" s="1310">
        <f t="shared" si="86"/>
        <v>0</v>
      </c>
      <c r="K69" s="3082">
        <f t="shared" si="87"/>
        <v>1</v>
      </c>
      <c r="L69" s="3082">
        <f t="shared" si="88"/>
        <v>0</v>
      </c>
      <c r="M69" s="3086">
        <f t="shared" si="89"/>
        <v>0</v>
      </c>
      <c r="N69" s="1310">
        <f t="shared" si="90"/>
        <v>0</v>
      </c>
      <c r="O69" s="1310">
        <f t="shared" si="91"/>
        <v>0</v>
      </c>
      <c r="P69" s="1310">
        <f t="shared" si="108"/>
        <v>0</v>
      </c>
      <c r="Q69" s="1040">
        <f t="shared" si="109"/>
        <v>0</v>
      </c>
      <c r="R69" s="1310">
        <f t="shared" si="110"/>
        <v>8</v>
      </c>
      <c r="S69" s="1310">
        <f t="shared" si="92"/>
        <v>0</v>
      </c>
      <c r="T69" s="1310">
        <f t="shared" si="93"/>
        <v>0</v>
      </c>
      <c r="U69" s="1310">
        <f t="shared" si="94"/>
        <v>1</v>
      </c>
      <c r="V69" s="1310">
        <f t="shared" si="95"/>
        <v>0</v>
      </c>
      <c r="W69" s="1310">
        <f t="shared" si="96"/>
        <v>0</v>
      </c>
      <c r="X69" s="1310">
        <f t="shared" si="97"/>
        <v>1</v>
      </c>
      <c r="Y69" s="1310">
        <f t="shared" si="98"/>
        <v>0</v>
      </c>
      <c r="Z69" s="1310">
        <f t="shared" si="99"/>
        <v>0</v>
      </c>
      <c r="AA69" s="1310">
        <f t="shared" si="100"/>
        <v>0</v>
      </c>
      <c r="AB69" s="1310">
        <f t="shared" si="101"/>
        <v>0</v>
      </c>
      <c r="AC69" s="1310">
        <f t="shared" si="102"/>
        <v>0</v>
      </c>
      <c r="AD69" s="1310">
        <f t="shared" si="103"/>
        <v>0</v>
      </c>
      <c r="AE69" s="1310">
        <f t="shared" si="104"/>
        <v>0</v>
      </c>
      <c r="AF69" s="1310">
        <f t="shared" si="105"/>
        <v>0</v>
      </c>
      <c r="AG69" s="1310">
        <f t="shared" si="106"/>
        <v>0</v>
      </c>
      <c r="AH69" s="1701">
        <f t="shared" si="107"/>
        <v>0</v>
      </c>
      <c r="AI69" s="2008"/>
      <c r="AJ69" s="2010">
        <v>1</v>
      </c>
      <c r="AK69" s="2010">
        <v>1</v>
      </c>
      <c r="AL69" s="2010">
        <v>3</v>
      </c>
      <c r="AM69" s="2010"/>
      <c r="AN69" s="2010"/>
      <c r="AO69" s="2010"/>
      <c r="AP69" s="2010">
        <v>1</v>
      </c>
      <c r="AQ69" s="2010"/>
      <c r="AR69" s="2010"/>
      <c r="AS69" s="2010"/>
      <c r="AT69" s="2010"/>
      <c r="AU69" s="2010"/>
      <c r="AV69" s="2010"/>
      <c r="AW69" s="2010"/>
      <c r="AX69" s="2011"/>
      <c r="AY69" s="2012"/>
      <c r="AZ69" s="2013"/>
      <c r="BA69" s="2013">
        <v>1</v>
      </c>
      <c r="BB69" s="2013"/>
      <c r="BC69" s="2013"/>
      <c r="BD69" s="2015">
        <v>1</v>
      </c>
      <c r="BE69" s="2018"/>
      <c r="BF69" s="2010"/>
      <c r="BG69" s="2010"/>
      <c r="BH69" s="2010"/>
      <c r="BI69" s="2010"/>
      <c r="BJ69" s="2010"/>
      <c r="BK69" s="2010"/>
      <c r="BL69" s="2010"/>
      <c r="BM69" s="2010"/>
      <c r="BN69" s="2011"/>
      <c r="BO69" s="1896"/>
      <c r="BP69" s="1567"/>
      <c r="BQ69" s="1567">
        <v>1</v>
      </c>
      <c r="BR69" s="1567"/>
      <c r="BS69" s="1567"/>
      <c r="BT69" s="1567"/>
      <c r="BU69" s="1567"/>
      <c r="BV69" s="1567"/>
      <c r="BW69" s="1567"/>
      <c r="BX69" s="1567">
        <v>1</v>
      </c>
      <c r="BY69" s="1567"/>
      <c r="BZ69" s="1567"/>
      <c r="CA69" s="1567"/>
      <c r="CB69" s="1567"/>
      <c r="CC69" s="1567"/>
      <c r="CD69" s="1897"/>
      <c r="CE69" s="1901"/>
      <c r="CF69" s="1867"/>
      <c r="CG69" s="1867"/>
      <c r="CH69" s="1867"/>
      <c r="CI69" s="1867"/>
      <c r="CJ69" s="1902"/>
      <c r="CK69" s="1896"/>
      <c r="CL69" s="1567"/>
      <c r="CM69" s="1567"/>
      <c r="CN69" s="1567"/>
      <c r="CO69" s="1567"/>
      <c r="CP69" s="1567"/>
      <c r="CQ69" s="1567"/>
      <c r="CR69" s="1567"/>
      <c r="CS69" s="1567"/>
      <c r="CT69" s="1897"/>
      <c r="CU69" s="262">
        <f t="shared" si="111"/>
        <v>9</v>
      </c>
      <c r="CV69" s="262">
        <f t="shared" si="112"/>
        <v>0</v>
      </c>
      <c r="CW69" s="8">
        <f t="shared" si="116"/>
        <v>2</v>
      </c>
      <c r="CX69" s="358">
        <f t="shared" si="115"/>
        <v>10</v>
      </c>
      <c r="CY69" s="358">
        <f t="shared" si="113"/>
        <v>0</v>
      </c>
    </row>
    <row r="70" spans="1:104">
      <c r="A70" s="1309">
        <v>45139</v>
      </c>
      <c r="B70" s="1310">
        <f t="shared" si="78"/>
        <v>0</v>
      </c>
      <c r="C70" s="1310">
        <f t="shared" si="79"/>
        <v>1</v>
      </c>
      <c r="D70" s="1310">
        <f t="shared" si="80"/>
        <v>1</v>
      </c>
      <c r="E70" s="1310">
        <f t="shared" si="81"/>
        <v>2</v>
      </c>
      <c r="F70" s="1310">
        <f t="shared" si="82"/>
        <v>0</v>
      </c>
      <c r="G70" s="1310">
        <f t="shared" si="83"/>
        <v>0</v>
      </c>
      <c r="H70" s="1310">
        <f t="shared" si="84"/>
        <v>0</v>
      </c>
      <c r="I70" s="1310">
        <f t="shared" si="85"/>
        <v>0</v>
      </c>
      <c r="J70" s="1310">
        <f t="shared" si="86"/>
        <v>0</v>
      </c>
      <c r="K70" s="3082">
        <f t="shared" si="87"/>
        <v>0</v>
      </c>
      <c r="L70" s="3082">
        <f t="shared" si="88"/>
        <v>0</v>
      </c>
      <c r="M70" s="3086">
        <f t="shared" si="89"/>
        <v>0</v>
      </c>
      <c r="N70" s="1310">
        <f t="shared" si="90"/>
        <v>0</v>
      </c>
      <c r="O70" s="1310">
        <f t="shared" si="91"/>
        <v>0</v>
      </c>
      <c r="P70" s="1310">
        <f t="shared" si="108"/>
        <v>0</v>
      </c>
      <c r="Q70" s="1040">
        <f t="shared" si="109"/>
        <v>0</v>
      </c>
      <c r="R70" s="1310">
        <f t="shared" si="110"/>
        <v>4</v>
      </c>
      <c r="S70" s="1310">
        <f t="shared" si="92"/>
        <v>0</v>
      </c>
      <c r="T70" s="1310">
        <f t="shared" si="93"/>
        <v>0</v>
      </c>
      <c r="U70" s="1310">
        <f t="shared" si="94"/>
        <v>0</v>
      </c>
      <c r="V70" s="1310">
        <f t="shared" si="95"/>
        <v>0</v>
      </c>
      <c r="W70" s="1310">
        <f t="shared" si="96"/>
        <v>0</v>
      </c>
      <c r="X70" s="1310">
        <f t="shared" si="97"/>
        <v>3</v>
      </c>
      <c r="Y70" s="1310">
        <f t="shared" si="98"/>
        <v>1</v>
      </c>
      <c r="Z70" s="1310">
        <f t="shared" si="99"/>
        <v>0</v>
      </c>
      <c r="AA70" s="1310">
        <f>+BG70+CM70</f>
        <v>0</v>
      </c>
      <c r="AB70" s="1310">
        <f t="shared" si="101"/>
        <v>0</v>
      </c>
      <c r="AC70" s="1310">
        <f t="shared" si="102"/>
        <v>0</v>
      </c>
      <c r="AD70" s="1310">
        <f t="shared" si="103"/>
        <v>0</v>
      </c>
      <c r="AE70" s="1310">
        <f t="shared" si="104"/>
        <v>1</v>
      </c>
      <c r="AF70" s="1310">
        <f t="shared" si="105"/>
        <v>0</v>
      </c>
      <c r="AG70" s="1310">
        <f t="shared" si="106"/>
        <v>0</v>
      </c>
      <c r="AH70" s="1701">
        <f t="shared" si="107"/>
        <v>0</v>
      </c>
      <c r="AI70" s="2008"/>
      <c r="AJ70" s="2010">
        <v>1</v>
      </c>
      <c r="AK70" s="2010">
        <v>1</v>
      </c>
      <c r="AL70" s="2010">
        <v>2</v>
      </c>
      <c r="AM70" s="2010"/>
      <c r="AN70" s="2010"/>
      <c r="AO70" s="2010"/>
      <c r="AP70" s="2010"/>
      <c r="AQ70" s="2010"/>
      <c r="AR70" s="2010"/>
      <c r="AS70" s="2010"/>
      <c r="AT70" s="2010"/>
      <c r="AU70" s="2010"/>
      <c r="AV70" s="2010"/>
      <c r="AW70" s="2010"/>
      <c r="AX70" s="2011"/>
      <c r="AY70" s="2012"/>
      <c r="AZ70" s="2013"/>
      <c r="BA70" s="2013"/>
      <c r="BB70" s="2013"/>
      <c r="BC70" s="2013"/>
      <c r="BD70" s="2015">
        <v>1</v>
      </c>
      <c r="BE70" s="2018"/>
      <c r="BF70" s="2010"/>
      <c r="BG70" s="2010"/>
      <c r="BH70" s="2010"/>
      <c r="BI70" s="2010"/>
      <c r="BJ70" s="2010"/>
      <c r="BK70" s="2010">
        <v>1</v>
      </c>
      <c r="BL70" s="2009"/>
      <c r="BM70" s="2010"/>
      <c r="BN70" s="2011"/>
      <c r="BO70" s="1896"/>
      <c r="BP70" s="1567"/>
      <c r="BQ70" s="1567"/>
      <c r="BR70" s="1567"/>
      <c r="BS70" s="1567"/>
      <c r="BT70" s="1567"/>
      <c r="BU70" s="1567"/>
      <c r="BV70" s="1567"/>
      <c r="BW70" s="1567"/>
      <c r="BX70" s="1567"/>
      <c r="BY70" s="1567"/>
      <c r="BZ70" s="1567"/>
      <c r="CA70" s="1567"/>
      <c r="CB70" s="1567"/>
      <c r="CC70" s="1567"/>
      <c r="CD70" s="1897"/>
      <c r="CE70" s="1901"/>
      <c r="CF70" s="1867"/>
      <c r="CG70" s="1867"/>
      <c r="CH70" s="1867"/>
      <c r="CI70" s="1867"/>
      <c r="CJ70" s="1902">
        <v>2</v>
      </c>
      <c r="CK70" s="1896">
        <v>1</v>
      </c>
      <c r="CL70" s="1567"/>
      <c r="CM70" s="1567"/>
      <c r="CN70" s="1567"/>
      <c r="CO70" s="1567"/>
      <c r="CP70" s="1567"/>
      <c r="CQ70" s="1567"/>
      <c r="CR70" s="1567"/>
      <c r="CS70" s="1567"/>
      <c r="CT70" s="1897"/>
      <c r="CU70" s="262">
        <f t="shared" si="111"/>
        <v>4</v>
      </c>
      <c r="CV70" s="262">
        <f t="shared" si="112"/>
        <v>2</v>
      </c>
      <c r="CW70" s="8">
        <f t="shared" si="116"/>
        <v>0</v>
      </c>
      <c r="CX70" s="358">
        <f t="shared" si="115"/>
        <v>7</v>
      </c>
      <c r="CY70" s="358">
        <f t="shared" si="113"/>
        <v>2</v>
      </c>
    </row>
    <row r="71" spans="1:104">
      <c r="A71" s="1309">
        <v>45170</v>
      </c>
      <c r="B71" s="1310">
        <f t="shared" si="78"/>
        <v>0</v>
      </c>
      <c r="C71" s="1310">
        <f t="shared" si="79"/>
        <v>0</v>
      </c>
      <c r="D71" s="1310">
        <f t="shared" si="80"/>
        <v>0</v>
      </c>
      <c r="E71" s="1310">
        <f t="shared" si="81"/>
        <v>1</v>
      </c>
      <c r="F71" s="1310">
        <f t="shared" si="82"/>
        <v>0</v>
      </c>
      <c r="G71" s="1310">
        <f t="shared" si="83"/>
        <v>1</v>
      </c>
      <c r="H71" s="1310">
        <f t="shared" si="84"/>
        <v>0</v>
      </c>
      <c r="I71" s="1310">
        <f t="shared" si="85"/>
        <v>1</v>
      </c>
      <c r="J71" s="1310">
        <f t="shared" si="86"/>
        <v>1</v>
      </c>
      <c r="K71" s="3082">
        <f t="shared" si="87"/>
        <v>1</v>
      </c>
      <c r="L71" s="3082">
        <f t="shared" si="88"/>
        <v>1</v>
      </c>
      <c r="M71" s="3086">
        <f t="shared" si="89"/>
        <v>0</v>
      </c>
      <c r="N71" s="1310">
        <f t="shared" si="90"/>
        <v>0</v>
      </c>
      <c r="O71" s="1310">
        <f t="shared" si="91"/>
        <v>0</v>
      </c>
      <c r="P71" s="1310">
        <f t="shared" si="108"/>
        <v>0</v>
      </c>
      <c r="Q71" s="1040">
        <f t="shared" si="109"/>
        <v>0</v>
      </c>
      <c r="R71" s="1310">
        <f t="shared" si="110"/>
        <v>6</v>
      </c>
      <c r="S71" s="1310">
        <f t="shared" si="92"/>
        <v>0</v>
      </c>
      <c r="T71" s="1310">
        <f t="shared" si="93"/>
        <v>0</v>
      </c>
      <c r="U71" s="1310">
        <f t="shared" si="94"/>
        <v>0</v>
      </c>
      <c r="V71" s="1310">
        <f t="shared" si="95"/>
        <v>0</v>
      </c>
      <c r="W71" s="1310">
        <f t="shared" si="96"/>
        <v>0</v>
      </c>
      <c r="X71" s="1310">
        <f t="shared" si="97"/>
        <v>2</v>
      </c>
      <c r="Y71" s="1310">
        <f t="shared" si="98"/>
        <v>0</v>
      </c>
      <c r="Z71" s="1310">
        <f t="shared" si="99"/>
        <v>0</v>
      </c>
      <c r="AA71" s="1310">
        <f t="shared" si="100"/>
        <v>0</v>
      </c>
      <c r="AB71" s="1310">
        <f t="shared" si="101"/>
        <v>0</v>
      </c>
      <c r="AC71" s="1310">
        <f t="shared" si="102"/>
        <v>0</v>
      </c>
      <c r="AD71" s="1310">
        <f t="shared" si="103"/>
        <v>1</v>
      </c>
      <c r="AE71" s="1310">
        <f t="shared" si="104"/>
        <v>0</v>
      </c>
      <c r="AF71" s="1310">
        <f t="shared" si="105"/>
        <v>0</v>
      </c>
      <c r="AG71" s="1310">
        <f t="shared" si="106"/>
        <v>0</v>
      </c>
      <c r="AH71" s="1701">
        <f>+BN71+CT71</f>
        <v>0</v>
      </c>
      <c r="AI71" s="2008"/>
      <c r="AJ71" s="2010"/>
      <c r="AK71" s="2010"/>
      <c r="AL71" s="2010">
        <v>1</v>
      </c>
      <c r="AM71" s="2010"/>
      <c r="AN71" s="2010">
        <v>1</v>
      </c>
      <c r="AO71" s="2010"/>
      <c r="AP71" s="2010">
        <v>1</v>
      </c>
      <c r="AQ71" s="2010">
        <v>1</v>
      </c>
      <c r="AR71" s="2010">
        <v>1</v>
      </c>
      <c r="AS71" s="2010"/>
      <c r="AT71" s="2010"/>
      <c r="AU71" s="2010"/>
      <c r="AV71" s="2010"/>
      <c r="AW71" s="2010"/>
      <c r="AX71" s="2011"/>
      <c r="AY71" s="2012"/>
      <c r="AZ71" s="2013"/>
      <c r="BA71" s="2013"/>
      <c r="BB71" s="2013"/>
      <c r="BC71" s="2013"/>
      <c r="BD71" s="2015">
        <v>1</v>
      </c>
      <c r="BE71" s="2018"/>
      <c r="BF71" s="2010"/>
      <c r="BG71" s="2010"/>
      <c r="BH71" s="2010"/>
      <c r="BI71" s="2010"/>
      <c r="BJ71" s="2010">
        <v>1</v>
      </c>
      <c r="BK71" s="2010"/>
      <c r="BL71" s="2010"/>
      <c r="BM71" s="2010"/>
      <c r="BN71" s="2011"/>
      <c r="BO71" s="1896"/>
      <c r="BP71" s="1567"/>
      <c r="BQ71" s="1567"/>
      <c r="BR71" s="1567"/>
      <c r="BS71" s="1567"/>
      <c r="BT71" s="1567"/>
      <c r="BU71" s="1567"/>
      <c r="BV71" s="1567"/>
      <c r="BW71" s="1567"/>
      <c r="BX71" s="1567"/>
      <c r="BY71" s="1567">
        <v>1</v>
      </c>
      <c r="BZ71" s="1567"/>
      <c r="CA71" s="1567"/>
      <c r="CB71" s="1567"/>
      <c r="CC71" s="1567"/>
      <c r="CD71" s="1897"/>
      <c r="CE71" s="1901"/>
      <c r="CF71" s="1867"/>
      <c r="CG71" s="1867"/>
      <c r="CH71" s="1867"/>
      <c r="CI71" s="1867"/>
      <c r="CJ71" s="1902">
        <v>1</v>
      </c>
      <c r="CK71" s="1896"/>
      <c r="CL71" s="1567"/>
      <c r="CM71" s="1567"/>
      <c r="CN71" s="1567"/>
      <c r="CO71" s="1567"/>
      <c r="CP71" s="1567"/>
      <c r="CQ71" s="1567"/>
      <c r="CR71" s="1567"/>
      <c r="CS71" s="1567"/>
      <c r="CT71" s="1897"/>
      <c r="CU71" s="262">
        <f t="shared" si="111"/>
        <v>6</v>
      </c>
      <c r="CV71" s="262">
        <f t="shared" si="112"/>
        <v>1</v>
      </c>
      <c r="CW71" s="8">
        <f t="shared" si="116"/>
        <v>1</v>
      </c>
      <c r="CX71" s="358">
        <f t="shared" si="115"/>
        <v>8</v>
      </c>
      <c r="CY71" s="358">
        <f t="shared" si="113"/>
        <v>1</v>
      </c>
      <c r="CZ71" t="s">
        <v>6384</v>
      </c>
    </row>
    <row r="72" spans="1:104">
      <c r="A72" s="1309">
        <v>45200</v>
      </c>
      <c r="B72" s="1310">
        <f t="shared" si="78"/>
        <v>0</v>
      </c>
      <c r="C72" s="1310">
        <f t="shared" si="79"/>
        <v>0</v>
      </c>
      <c r="D72" s="1310">
        <f t="shared" si="80"/>
        <v>1</v>
      </c>
      <c r="E72" s="1310">
        <f t="shared" si="81"/>
        <v>1</v>
      </c>
      <c r="F72" s="1310">
        <f t="shared" si="82"/>
        <v>0</v>
      </c>
      <c r="G72" s="1310">
        <f t="shared" si="83"/>
        <v>0</v>
      </c>
      <c r="H72" s="1310">
        <f t="shared" si="84"/>
        <v>0</v>
      </c>
      <c r="I72" s="1310">
        <f t="shared" si="85"/>
        <v>1</v>
      </c>
      <c r="J72" s="1310">
        <f t="shared" si="86"/>
        <v>1</v>
      </c>
      <c r="K72" s="3082">
        <f t="shared" si="87"/>
        <v>1</v>
      </c>
      <c r="L72" s="3082">
        <f t="shared" si="88"/>
        <v>0</v>
      </c>
      <c r="M72" s="3086">
        <f t="shared" si="89"/>
        <v>0</v>
      </c>
      <c r="N72" s="1310">
        <f t="shared" si="90"/>
        <v>0</v>
      </c>
      <c r="O72" s="1310">
        <f t="shared" si="91"/>
        <v>0</v>
      </c>
      <c r="P72" s="1310">
        <f t="shared" si="108"/>
        <v>0</v>
      </c>
      <c r="Q72" s="1040">
        <f t="shared" si="109"/>
        <v>0</v>
      </c>
      <c r="R72" s="1310">
        <f t="shared" si="110"/>
        <v>5</v>
      </c>
      <c r="S72" s="1310">
        <f t="shared" si="92"/>
        <v>0</v>
      </c>
      <c r="T72" s="1310">
        <f t="shared" si="93"/>
        <v>0</v>
      </c>
      <c r="U72" s="1310">
        <f t="shared" si="94"/>
        <v>1</v>
      </c>
      <c r="V72" s="1310">
        <f t="shared" si="95"/>
        <v>0</v>
      </c>
      <c r="W72" s="1310">
        <f t="shared" si="96"/>
        <v>0</v>
      </c>
      <c r="X72" s="1310">
        <f t="shared" si="97"/>
        <v>1</v>
      </c>
      <c r="Y72" s="1310">
        <f t="shared" si="98"/>
        <v>1</v>
      </c>
      <c r="Z72" s="1310">
        <f t="shared" si="99"/>
        <v>0</v>
      </c>
      <c r="AA72" s="1310">
        <f t="shared" si="100"/>
        <v>0</v>
      </c>
      <c r="AB72" s="1310">
        <f t="shared" si="101"/>
        <v>0</v>
      </c>
      <c r="AC72" s="1310">
        <f t="shared" si="102"/>
        <v>0</v>
      </c>
      <c r="AD72" s="1310">
        <f t="shared" si="103"/>
        <v>0</v>
      </c>
      <c r="AE72" s="1310">
        <f t="shared" si="104"/>
        <v>0</v>
      </c>
      <c r="AF72" s="1310">
        <f t="shared" si="105"/>
        <v>0</v>
      </c>
      <c r="AG72" s="1310">
        <f t="shared" si="106"/>
        <v>0</v>
      </c>
      <c r="AH72" s="1701">
        <f t="shared" si="107"/>
        <v>0</v>
      </c>
      <c r="AI72" s="2008"/>
      <c r="AJ72" s="2010"/>
      <c r="AK72" s="2009">
        <v>1</v>
      </c>
      <c r="AL72" s="2009">
        <v>1</v>
      </c>
      <c r="AM72" s="2010"/>
      <c r="AN72" s="2010"/>
      <c r="AO72" s="2010"/>
      <c r="AP72" s="2009">
        <v>1</v>
      </c>
      <c r="AQ72" s="2009">
        <v>1</v>
      </c>
      <c r="AR72" s="2009">
        <v>1</v>
      </c>
      <c r="AS72" s="2010"/>
      <c r="AT72" s="2010"/>
      <c r="AU72" s="2010"/>
      <c r="AV72" s="2010"/>
      <c r="AW72" s="2010"/>
      <c r="AX72" s="2011"/>
      <c r="AY72" s="2012"/>
      <c r="AZ72" s="2013"/>
      <c r="BA72" s="2013">
        <v>1</v>
      </c>
      <c r="BB72" s="2013"/>
      <c r="BC72" s="2013"/>
      <c r="BD72" s="2015"/>
      <c r="BE72" s="2018"/>
      <c r="BF72" s="2010"/>
      <c r="BG72" s="2010"/>
      <c r="BH72" s="2010"/>
      <c r="BI72" s="2010"/>
      <c r="BJ72" s="2010"/>
      <c r="BK72" s="2010"/>
      <c r="BL72" s="2010"/>
      <c r="BM72" s="2010"/>
      <c r="BN72" s="2011"/>
      <c r="BO72" s="1896"/>
      <c r="BP72" s="1567"/>
      <c r="BQ72" s="1567"/>
      <c r="BR72" s="1567"/>
      <c r="BS72" s="1567"/>
      <c r="BT72" s="1567"/>
      <c r="BU72" s="1567"/>
      <c r="BV72" s="1567"/>
      <c r="BW72" s="1567"/>
      <c r="BX72" s="1567"/>
      <c r="BY72" s="1567"/>
      <c r="BZ72" s="1567"/>
      <c r="CA72" s="1567"/>
      <c r="CB72" s="1567"/>
      <c r="CC72" s="1567"/>
      <c r="CD72" s="1897"/>
      <c r="CE72" s="1901"/>
      <c r="CF72" s="1867"/>
      <c r="CG72" s="1867"/>
      <c r="CH72" s="1867"/>
      <c r="CI72" s="1867"/>
      <c r="CJ72" s="1972">
        <v>1</v>
      </c>
      <c r="CK72" s="2058">
        <v>1</v>
      </c>
      <c r="CL72" s="1567"/>
      <c r="CM72" s="1567"/>
      <c r="CN72" s="1567"/>
      <c r="CO72" s="1567"/>
      <c r="CP72" s="1567"/>
      <c r="CQ72" s="1567"/>
      <c r="CR72" s="1567"/>
      <c r="CS72" s="1567"/>
      <c r="CT72" s="1897"/>
      <c r="CU72" s="262">
        <f t="shared" si="111"/>
        <v>6</v>
      </c>
      <c r="CV72" s="262">
        <f t="shared" si="112"/>
        <v>1</v>
      </c>
      <c r="CW72" s="8">
        <f t="shared" si="116"/>
        <v>0</v>
      </c>
      <c r="CX72" s="358">
        <f t="shared" si="115"/>
        <v>7</v>
      </c>
      <c r="CY72" s="358">
        <f t="shared" si="113"/>
        <v>1</v>
      </c>
      <c r="CZ72" t="s">
        <v>6382</v>
      </c>
    </row>
    <row r="73" spans="1:104">
      <c r="A73" s="1309">
        <v>45231</v>
      </c>
      <c r="B73" s="1310">
        <f t="shared" si="78"/>
        <v>0</v>
      </c>
      <c r="C73" s="1310">
        <f t="shared" si="79"/>
        <v>0</v>
      </c>
      <c r="D73" s="1310">
        <f t="shared" si="80"/>
        <v>0</v>
      </c>
      <c r="E73" s="1310">
        <f t="shared" si="81"/>
        <v>0</v>
      </c>
      <c r="F73" s="1310">
        <f t="shared" si="82"/>
        <v>0</v>
      </c>
      <c r="G73" s="1310">
        <f t="shared" si="83"/>
        <v>1</v>
      </c>
      <c r="H73" s="1310">
        <f t="shared" si="84"/>
        <v>0</v>
      </c>
      <c r="I73" s="1310">
        <f t="shared" si="85"/>
        <v>0</v>
      </c>
      <c r="J73" s="1310">
        <f t="shared" si="86"/>
        <v>0</v>
      </c>
      <c r="K73" s="3082">
        <f t="shared" si="87"/>
        <v>1</v>
      </c>
      <c r="L73" s="3082">
        <f t="shared" si="88"/>
        <v>0</v>
      </c>
      <c r="M73" s="3086">
        <f t="shared" si="89"/>
        <v>1</v>
      </c>
      <c r="N73" s="1310">
        <f t="shared" si="90"/>
        <v>0</v>
      </c>
      <c r="O73" s="1310">
        <f t="shared" si="91"/>
        <v>0</v>
      </c>
      <c r="P73" s="1310">
        <f t="shared" si="108"/>
        <v>0</v>
      </c>
      <c r="Q73" s="1040">
        <f t="shared" si="109"/>
        <v>0</v>
      </c>
      <c r="R73" s="1310">
        <f t="shared" si="110"/>
        <v>3</v>
      </c>
      <c r="S73" s="1310">
        <f t="shared" si="92"/>
        <v>0</v>
      </c>
      <c r="T73" s="1310">
        <f t="shared" si="93"/>
        <v>0</v>
      </c>
      <c r="U73" s="1310">
        <f t="shared" si="94"/>
        <v>0</v>
      </c>
      <c r="V73" s="1310">
        <f t="shared" si="95"/>
        <v>0</v>
      </c>
      <c r="W73" s="1310">
        <f t="shared" si="96"/>
        <v>0</v>
      </c>
      <c r="X73" s="1310">
        <f t="shared" si="97"/>
        <v>3</v>
      </c>
      <c r="Y73" s="1310">
        <f t="shared" si="98"/>
        <v>0</v>
      </c>
      <c r="Z73" s="1310">
        <f t="shared" si="99"/>
        <v>0</v>
      </c>
      <c r="AA73" s="1310">
        <f t="shared" si="100"/>
        <v>0</v>
      </c>
      <c r="AB73" s="1310">
        <f t="shared" si="101"/>
        <v>0</v>
      </c>
      <c r="AC73" s="1310">
        <f t="shared" si="102"/>
        <v>0</v>
      </c>
      <c r="AD73" s="1310">
        <f t="shared" si="103"/>
        <v>0</v>
      </c>
      <c r="AE73" s="1310">
        <f t="shared" si="104"/>
        <v>0</v>
      </c>
      <c r="AF73" s="1310">
        <f t="shared" si="105"/>
        <v>0</v>
      </c>
      <c r="AG73" s="1310">
        <f t="shared" si="106"/>
        <v>0</v>
      </c>
      <c r="AH73" s="1701">
        <f t="shared" si="107"/>
        <v>1</v>
      </c>
      <c r="AI73" s="2008"/>
      <c r="AJ73" s="2010"/>
      <c r="AK73" s="2010"/>
      <c r="AL73" s="2010"/>
      <c r="AM73" s="2010"/>
      <c r="AN73" s="2010"/>
      <c r="AO73" s="2010"/>
      <c r="AP73" s="2010"/>
      <c r="AQ73" s="2010"/>
      <c r="AR73" s="2009">
        <v>1</v>
      </c>
      <c r="AS73" s="2010"/>
      <c r="AT73" s="2010"/>
      <c r="AU73" s="2010"/>
      <c r="AV73" s="2010"/>
      <c r="AW73" s="2010"/>
      <c r="AX73" s="2011"/>
      <c r="AY73" s="2012"/>
      <c r="AZ73" s="2013"/>
      <c r="BA73" s="2013"/>
      <c r="BB73" s="2013"/>
      <c r="BC73" s="2013"/>
      <c r="BD73" s="2061">
        <v>1</v>
      </c>
      <c r="BE73" s="2018"/>
      <c r="BF73" s="2010"/>
      <c r="BG73" s="2010"/>
      <c r="BH73" s="2010"/>
      <c r="BI73" s="2010"/>
      <c r="BJ73" s="2010"/>
      <c r="BK73" s="2010"/>
      <c r="BL73" s="2010"/>
      <c r="BM73" s="2010"/>
      <c r="BN73" s="3007">
        <v>1</v>
      </c>
      <c r="BO73" s="1896"/>
      <c r="BP73" s="1567"/>
      <c r="BQ73" s="1567"/>
      <c r="BR73" s="1567"/>
      <c r="BS73" s="1567"/>
      <c r="BT73" s="2033">
        <v>1</v>
      </c>
      <c r="BU73" s="1567"/>
      <c r="BV73" s="1567"/>
      <c r="BW73" s="1567"/>
      <c r="BX73" s="1567"/>
      <c r="BY73" s="1567"/>
      <c r="BZ73" s="2033">
        <v>1</v>
      </c>
      <c r="CA73" s="1567"/>
      <c r="CB73" s="1567"/>
      <c r="CC73" s="1567"/>
      <c r="CD73" s="1897"/>
      <c r="CE73" s="1901"/>
      <c r="CF73" s="1867"/>
      <c r="CG73" s="1867"/>
      <c r="CH73" s="1867"/>
      <c r="CI73" s="1867"/>
      <c r="CJ73" s="1972">
        <v>2</v>
      </c>
      <c r="CK73" s="1896"/>
      <c r="CL73" s="1567"/>
      <c r="CM73" s="1567"/>
      <c r="CN73" s="1567"/>
      <c r="CO73" s="1567"/>
      <c r="CP73" s="1567"/>
      <c r="CQ73" s="1567"/>
      <c r="CR73" s="1567"/>
      <c r="CS73" s="1567"/>
      <c r="CT73" s="1897"/>
      <c r="CU73" s="262">
        <f t="shared" si="111"/>
        <v>3</v>
      </c>
      <c r="CV73" s="262">
        <f t="shared" si="112"/>
        <v>1</v>
      </c>
      <c r="CW73" s="8">
        <f t="shared" si="116"/>
        <v>2</v>
      </c>
      <c r="CX73" s="358">
        <f t="shared" si="115"/>
        <v>6</v>
      </c>
      <c r="CY73" s="358">
        <f t="shared" si="113"/>
        <v>1</v>
      </c>
    </row>
    <row r="74" spans="1:104" ht="13.8" thickBot="1">
      <c r="A74" s="1309">
        <v>45261</v>
      </c>
      <c r="B74" s="1310">
        <f t="shared" si="78"/>
        <v>0</v>
      </c>
      <c r="C74" s="1310">
        <f t="shared" si="79"/>
        <v>0</v>
      </c>
      <c r="D74" s="1310">
        <f t="shared" si="80"/>
        <v>2</v>
      </c>
      <c r="E74" s="1310">
        <f t="shared" si="81"/>
        <v>0</v>
      </c>
      <c r="F74" s="1310">
        <f t="shared" si="82"/>
        <v>0</v>
      </c>
      <c r="G74" s="1310">
        <f t="shared" si="83"/>
        <v>0</v>
      </c>
      <c r="H74" s="1310">
        <f t="shared" si="84"/>
        <v>0</v>
      </c>
      <c r="I74" s="1310">
        <f t="shared" si="85"/>
        <v>0</v>
      </c>
      <c r="J74" s="1310">
        <f t="shared" si="86"/>
        <v>0</v>
      </c>
      <c r="K74" s="3082">
        <f t="shared" si="87"/>
        <v>1</v>
      </c>
      <c r="L74" s="3082">
        <f t="shared" si="88"/>
        <v>0</v>
      </c>
      <c r="M74" s="3086">
        <f t="shared" si="89"/>
        <v>2</v>
      </c>
      <c r="N74" s="1310">
        <f t="shared" si="90"/>
        <v>0</v>
      </c>
      <c r="O74" s="1310">
        <f t="shared" si="91"/>
        <v>1</v>
      </c>
      <c r="P74" s="1310">
        <f t="shared" si="108"/>
        <v>0</v>
      </c>
      <c r="Q74" s="1040">
        <f t="shared" si="109"/>
        <v>0</v>
      </c>
      <c r="R74" s="1310">
        <f t="shared" si="110"/>
        <v>6</v>
      </c>
      <c r="S74" s="1310">
        <f t="shared" si="92"/>
        <v>0</v>
      </c>
      <c r="T74" s="1310">
        <f t="shared" si="93"/>
        <v>0</v>
      </c>
      <c r="U74" s="1310">
        <f t="shared" si="94"/>
        <v>0</v>
      </c>
      <c r="V74" s="1310">
        <f t="shared" si="95"/>
        <v>0</v>
      </c>
      <c r="W74" s="1310">
        <f t="shared" si="96"/>
        <v>0</v>
      </c>
      <c r="X74" s="1310">
        <f t="shared" si="97"/>
        <v>1</v>
      </c>
      <c r="Y74" s="1310">
        <f t="shared" si="98"/>
        <v>0</v>
      </c>
      <c r="Z74" s="1310">
        <f t="shared" si="99"/>
        <v>0</v>
      </c>
      <c r="AA74" s="1310">
        <f t="shared" si="100"/>
        <v>0</v>
      </c>
      <c r="AB74" s="1310">
        <f t="shared" si="101"/>
        <v>0</v>
      </c>
      <c r="AC74" s="1310">
        <f t="shared" si="102"/>
        <v>0</v>
      </c>
      <c r="AD74" s="1310">
        <f t="shared" si="103"/>
        <v>0</v>
      </c>
      <c r="AE74" s="1310">
        <f t="shared" si="104"/>
        <v>0</v>
      </c>
      <c r="AF74" s="1310">
        <f t="shared" si="105"/>
        <v>1</v>
      </c>
      <c r="AG74" s="1310">
        <f t="shared" si="106"/>
        <v>0</v>
      </c>
      <c r="AH74" s="1701">
        <f t="shared" si="107"/>
        <v>0</v>
      </c>
      <c r="AI74" s="2019"/>
      <c r="AJ74" s="2020"/>
      <c r="AK74" s="2020">
        <v>2</v>
      </c>
      <c r="AL74" s="2020"/>
      <c r="AM74" s="2020"/>
      <c r="AN74" s="2020"/>
      <c r="AO74" s="2020"/>
      <c r="AP74" s="2020"/>
      <c r="AQ74" s="2020"/>
      <c r="AR74" s="2020"/>
      <c r="AS74" s="2020"/>
      <c r="AT74" s="2020"/>
      <c r="AU74" s="2020"/>
      <c r="AV74" s="2020"/>
      <c r="AW74" s="2020"/>
      <c r="AX74" s="2021"/>
      <c r="AY74" s="2022"/>
      <c r="AZ74" s="2023"/>
      <c r="BA74" s="2023"/>
      <c r="BB74" s="2023"/>
      <c r="BC74" s="2023"/>
      <c r="BD74" s="2024">
        <v>1</v>
      </c>
      <c r="BE74" s="2025"/>
      <c r="BF74" s="2020"/>
      <c r="BG74" s="2020"/>
      <c r="BH74" s="2020"/>
      <c r="BI74" s="2020"/>
      <c r="BJ74" s="2020"/>
      <c r="BK74" s="2020"/>
      <c r="BL74" s="2020"/>
      <c r="BM74" s="2020"/>
      <c r="BN74" s="2021"/>
      <c r="BO74" s="1898"/>
      <c r="BP74" s="1899"/>
      <c r="BQ74" s="1899"/>
      <c r="BR74" s="1899"/>
      <c r="BS74" s="1899"/>
      <c r="BT74" s="1899"/>
      <c r="BU74" s="1899"/>
      <c r="BV74" s="1899"/>
      <c r="BW74" s="1899"/>
      <c r="BX74" s="3032">
        <v>1</v>
      </c>
      <c r="BY74" s="1899"/>
      <c r="BZ74" s="3032">
        <f>1+1</f>
        <v>2</v>
      </c>
      <c r="CA74" s="1899"/>
      <c r="CB74" s="3032">
        <v>1</v>
      </c>
      <c r="CC74" s="1899"/>
      <c r="CD74" s="1900"/>
      <c r="CE74" s="1903"/>
      <c r="CF74" s="1904"/>
      <c r="CG74" s="1904"/>
      <c r="CH74" s="1904"/>
      <c r="CI74" s="1904"/>
      <c r="CJ74" s="1905"/>
      <c r="CK74" s="1898"/>
      <c r="CL74" s="1899"/>
      <c r="CM74" s="1899"/>
      <c r="CN74" s="1899"/>
      <c r="CO74" s="1899"/>
      <c r="CP74" s="1899"/>
      <c r="CQ74" s="1899"/>
      <c r="CR74" s="1899">
        <v>1</v>
      </c>
      <c r="CS74" s="1899"/>
      <c r="CT74" s="1900"/>
      <c r="CU74" s="262">
        <f t="shared" si="111"/>
        <v>6</v>
      </c>
      <c r="CV74" s="262">
        <f t="shared" si="112"/>
        <v>1</v>
      </c>
      <c r="CW74" s="8">
        <f t="shared" si="114"/>
        <v>4</v>
      </c>
      <c r="CX74" s="358">
        <f t="shared" si="115"/>
        <v>7</v>
      </c>
      <c r="CY74" s="358">
        <f t="shared" si="113"/>
        <v>1</v>
      </c>
    </row>
    <row r="75" spans="1:104">
      <c r="A75" s="1315" t="s">
        <v>5176</v>
      </c>
      <c r="B75" s="262">
        <f>SUM(B63:B74)</f>
        <v>0</v>
      </c>
      <c r="C75" s="262">
        <f t="shared" ref="C75:AH75" si="117">SUM(C63:C74)</f>
        <v>4</v>
      </c>
      <c r="D75" s="262">
        <f t="shared" si="117"/>
        <v>11</v>
      </c>
      <c r="E75" s="262">
        <f t="shared" si="117"/>
        <v>11</v>
      </c>
      <c r="F75" s="262">
        <f t="shared" si="117"/>
        <v>0</v>
      </c>
      <c r="G75" s="262">
        <f t="shared" si="117"/>
        <v>8</v>
      </c>
      <c r="H75" s="262">
        <f t="shared" si="117"/>
        <v>0</v>
      </c>
      <c r="I75" s="262">
        <f t="shared" si="117"/>
        <v>3</v>
      </c>
      <c r="J75" s="262">
        <f t="shared" si="117"/>
        <v>4</v>
      </c>
      <c r="K75" s="3083">
        <f t="shared" si="117"/>
        <v>8</v>
      </c>
      <c r="L75" s="3083">
        <f t="shared" si="117"/>
        <v>1</v>
      </c>
      <c r="M75" s="3087">
        <f t="shared" si="117"/>
        <v>7</v>
      </c>
      <c r="N75" s="262">
        <f t="shared" si="117"/>
        <v>1</v>
      </c>
      <c r="O75" s="262">
        <f t="shared" si="117"/>
        <v>2</v>
      </c>
      <c r="P75" s="262">
        <f t="shared" si="117"/>
        <v>0</v>
      </c>
      <c r="Q75" s="3080">
        <f t="shared" si="117"/>
        <v>2</v>
      </c>
      <c r="R75" s="262">
        <f>SUM(R63:R74)</f>
        <v>62</v>
      </c>
      <c r="S75" s="262">
        <f t="shared" si="117"/>
        <v>0</v>
      </c>
      <c r="T75" s="262">
        <f t="shared" si="117"/>
        <v>2</v>
      </c>
      <c r="U75" s="262">
        <f t="shared" si="117"/>
        <v>6</v>
      </c>
      <c r="V75" s="262">
        <f t="shared" si="117"/>
        <v>0</v>
      </c>
      <c r="W75" s="262">
        <f t="shared" si="117"/>
        <v>0</v>
      </c>
      <c r="X75" s="262">
        <f t="shared" si="117"/>
        <v>17</v>
      </c>
      <c r="Y75" s="262">
        <f t="shared" si="117"/>
        <v>4</v>
      </c>
      <c r="Z75" s="262">
        <f t="shared" si="117"/>
        <v>0</v>
      </c>
      <c r="AA75" s="262">
        <f t="shared" si="117"/>
        <v>0</v>
      </c>
      <c r="AB75" s="262">
        <f t="shared" si="117"/>
        <v>0</v>
      </c>
      <c r="AC75" s="262">
        <f t="shared" si="117"/>
        <v>0</v>
      </c>
      <c r="AD75" s="262">
        <f t="shared" si="117"/>
        <v>3</v>
      </c>
      <c r="AE75" s="262">
        <f t="shared" si="117"/>
        <v>4</v>
      </c>
      <c r="AF75" s="262">
        <f t="shared" si="117"/>
        <v>3</v>
      </c>
      <c r="AG75" s="262">
        <f t="shared" si="117"/>
        <v>2</v>
      </c>
      <c r="AH75" s="262">
        <f t="shared" si="117"/>
        <v>2</v>
      </c>
      <c r="AI75" s="358"/>
      <c r="AJ75" s="358"/>
      <c r="AK75" s="358"/>
      <c r="AL75" s="358"/>
      <c r="AM75" s="358"/>
      <c r="AN75" s="358"/>
      <c r="AO75" s="358"/>
      <c r="AP75" s="358"/>
      <c r="AQ75" s="358"/>
      <c r="AR75" s="358"/>
      <c r="AS75" s="358"/>
      <c r="AT75" s="358"/>
      <c r="AU75" s="358"/>
      <c r="AV75" s="358"/>
      <c r="AW75" s="358"/>
      <c r="AX75" s="358"/>
      <c r="AY75" s="358"/>
      <c r="AZ75" s="358"/>
      <c r="BA75" s="358"/>
      <c r="BB75" s="358"/>
      <c r="BC75" s="358"/>
      <c r="BD75" s="358"/>
      <c r="BE75" s="358"/>
      <c r="BF75" s="358"/>
      <c r="BG75" s="358"/>
      <c r="BH75" s="358"/>
      <c r="BI75" s="358"/>
      <c r="BJ75" s="358"/>
      <c r="BK75" s="358"/>
      <c r="BL75" s="358"/>
      <c r="BM75" s="358"/>
      <c r="BN75" s="358"/>
      <c r="BO75" s="358"/>
      <c r="BP75" s="358"/>
      <c r="BQ75" s="358"/>
      <c r="BR75" s="358"/>
      <c r="BS75" s="358"/>
      <c r="BT75" s="358"/>
      <c r="BU75" s="358"/>
      <c r="BV75" s="358"/>
      <c r="BW75" s="358"/>
      <c r="BX75" s="358"/>
      <c r="BY75" s="358"/>
      <c r="BZ75" s="358"/>
      <c r="CA75" s="358"/>
      <c r="CB75" s="358"/>
      <c r="CC75" s="358"/>
      <c r="CD75" s="358"/>
      <c r="CE75" s="358"/>
      <c r="CF75" s="358"/>
      <c r="CG75" s="358"/>
      <c r="CH75" s="358"/>
      <c r="CI75" s="358"/>
      <c r="CJ75" s="358"/>
      <c r="CK75" s="358"/>
      <c r="CL75" s="358"/>
      <c r="CM75" s="358"/>
      <c r="CN75" s="358"/>
      <c r="CO75" s="358"/>
      <c r="CP75" s="358"/>
      <c r="CQ75" s="358"/>
      <c r="CR75" s="358"/>
      <c r="CS75" s="358"/>
      <c r="CT75" s="358"/>
    </row>
    <row r="76" spans="1:104" ht="12.6" customHeight="1">
      <c r="A76" s="1309" t="s">
        <v>2914</v>
      </c>
      <c r="B76" s="262">
        <f>SUM(B40:B63)</f>
        <v>5</v>
      </c>
      <c r="C76" s="262">
        <f t="shared" ref="C76:AH76" si="118">SUM(C40:C63)</f>
        <v>5</v>
      </c>
      <c r="D76" s="262">
        <f t="shared" si="118"/>
        <v>10</v>
      </c>
      <c r="E76" s="262">
        <f t="shared" si="118"/>
        <v>14</v>
      </c>
      <c r="F76" s="262">
        <f t="shared" si="118"/>
        <v>4</v>
      </c>
      <c r="G76" s="262">
        <f t="shared" si="118"/>
        <v>15</v>
      </c>
      <c r="H76" s="262">
        <f t="shared" si="118"/>
        <v>1</v>
      </c>
      <c r="I76" s="262">
        <f t="shared" si="118"/>
        <v>6</v>
      </c>
      <c r="J76" s="262">
        <f t="shared" si="118"/>
        <v>3</v>
      </c>
      <c r="K76" s="3083">
        <f t="shared" si="118"/>
        <v>12</v>
      </c>
      <c r="L76" s="3083">
        <f t="shared" si="118"/>
        <v>2</v>
      </c>
      <c r="M76" s="3087">
        <f t="shared" si="118"/>
        <v>6</v>
      </c>
      <c r="N76" s="262">
        <f t="shared" si="118"/>
        <v>1</v>
      </c>
      <c r="O76" s="262">
        <f t="shared" si="118"/>
        <v>4</v>
      </c>
      <c r="P76" s="262">
        <f t="shared" si="118"/>
        <v>1</v>
      </c>
      <c r="Q76" s="3080">
        <f t="shared" si="118"/>
        <v>4</v>
      </c>
      <c r="R76" s="262"/>
      <c r="S76" s="262">
        <f t="shared" si="118"/>
        <v>2</v>
      </c>
      <c r="T76" s="262">
        <f t="shared" si="118"/>
        <v>7</v>
      </c>
      <c r="U76" s="262">
        <f t="shared" si="118"/>
        <v>8</v>
      </c>
      <c r="V76" s="262">
        <f t="shared" si="118"/>
        <v>6</v>
      </c>
      <c r="W76" s="262">
        <f t="shared" si="118"/>
        <v>4</v>
      </c>
      <c r="X76" s="262">
        <f t="shared" si="118"/>
        <v>110</v>
      </c>
      <c r="Y76" s="262">
        <f t="shared" si="118"/>
        <v>9</v>
      </c>
      <c r="Z76" s="262">
        <f t="shared" si="118"/>
        <v>2</v>
      </c>
      <c r="AA76" s="262">
        <f t="shared" si="118"/>
        <v>4</v>
      </c>
      <c r="AB76" s="262">
        <f t="shared" si="118"/>
        <v>1</v>
      </c>
      <c r="AC76" s="262">
        <f t="shared" si="118"/>
        <v>1</v>
      </c>
      <c r="AD76" s="262">
        <f t="shared" si="118"/>
        <v>6</v>
      </c>
      <c r="AE76" s="262">
        <f t="shared" si="118"/>
        <v>3</v>
      </c>
      <c r="AF76" s="262">
        <f t="shared" si="118"/>
        <v>6</v>
      </c>
      <c r="AG76" s="262">
        <f t="shared" si="118"/>
        <v>7</v>
      </c>
      <c r="AH76" s="262">
        <f t="shared" si="118"/>
        <v>1</v>
      </c>
      <c r="AI76" s="262"/>
      <c r="AJ76" s="358"/>
      <c r="AK76" s="358"/>
      <c r="AL76" s="1688"/>
      <c r="AM76" s="1688"/>
      <c r="AN76" s="1688"/>
      <c r="AO76" s="1688"/>
      <c r="AP76" s="1688"/>
      <c r="AQ76" s="1688"/>
      <c r="AR76" s="1569"/>
      <c r="AS76" s="358"/>
      <c r="AT76" s="358"/>
      <c r="AU76" s="358"/>
      <c r="AV76" s="358"/>
      <c r="AW76" s="358"/>
      <c r="AX76" s="358"/>
      <c r="AY76" s="358"/>
      <c r="AZ76" s="358"/>
      <c r="BA76" s="358"/>
      <c r="BB76" s="358"/>
      <c r="BC76" s="358"/>
      <c r="BD76" s="358"/>
      <c r="BE76" s="358"/>
      <c r="BF76" s="358"/>
      <c r="BG76" s="358"/>
      <c r="BH76" s="358"/>
      <c r="BI76" s="358"/>
      <c r="BJ76" s="358"/>
      <c r="BK76" s="358"/>
      <c r="BL76" s="358"/>
      <c r="BM76" s="358"/>
      <c r="BN76" s="358"/>
      <c r="BO76" s="358"/>
      <c r="BP76" s="358"/>
      <c r="BQ76" s="358"/>
      <c r="BR76" s="358"/>
      <c r="BS76" s="358"/>
      <c r="BT76" s="358"/>
      <c r="BU76" s="358"/>
      <c r="BV76" s="358"/>
      <c r="BW76" s="358"/>
      <c r="BX76" s="358"/>
      <c r="BY76" s="358"/>
      <c r="BZ76" s="358"/>
      <c r="CA76" s="358"/>
      <c r="CB76" s="358"/>
      <c r="CC76" s="358"/>
      <c r="CD76" s="358"/>
      <c r="CE76" s="358"/>
      <c r="CF76" s="358"/>
      <c r="CG76" s="358"/>
      <c r="CH76" s="358"/>
      <c r="CI76" s="358"/>
      <c r="CJ76" s="358"/>
      <c r="CK76" s="358"/>
      <c r="CL76" s="358"/>
      <c r="CM76" s="358"/>
      <c r="CN76" s="358"/>
      <c r="CO76" s="358"/>
      <c r="CP76" s="358"/>
      <c r="CQ76" s="358"/>
      <c r="CR76" s="358"/>
      <c r="CS76" s="358"/>
      <c r="CT76" s="358"/>
    </row>
    <row r="77" spans="1:104">
      <c r="A77" s="1309"/>
      <c r="AL77" s="1688"/>
      <c r="AM77" s="1688"/>
      <c r="AN77" s="1688"/>
      <c r="AO77" s="1688"/>
      <c r="AP77" s="1688"/>
      <c r="AQ77" s="1688"/>
      <c r="AR77" s="1569"/>
    </row>
    <row r="78" spans="1:104">
      <c r="A78" s="1309"/>
      <c r="AL78" s="1688"/>
      <c r="AM78" s="1688"/>
      <c r="AN78" s="1688"/>
      <c r="AO78" s="1688"/>
      <c r="AP78" s="1688"/>
      <c r="AQ78" s="1688"/>
      <c r="AR78" s="1569"/>
    </row>
    <row r="79" spans="1:104">
      <c r="A79" s="1309"/>
      <c r="AL79" s="1688"/>
      <c r="AM79" s="1688"/>
      <c r="AN79" s="1688"/>
      <c r="AO79" s="1688"/>
      <c r="AP79" s="1688"/>
      <c r="AQ79" s="1688"/>
      <c r="AR79" s="1569"/>
    </row>
    <row r="80" spans="1:104">
      <c r="A80" s="1309"/>
      <c r="AL80" s="1688"/>
      <c r="AM80" s="1688"/>
      <c r="AN80" s="1688"/>
      <c r="AO80" s="1688"/>
      <c r="AP80" s="1688"/>
      <c r="AQ80" s="1688"/>
      <c r="AR80" s="1569"/>
    </row>
    <row r="81" spans="1:44">
      <c r="A81" s="1309"/>
      <c r="AL81" s="1569"/>
      <c r="AM81" s="1569"/>
      <c r="AN81" s="1569"/>
      <c r="AO81" s="1569"/>
      <c r="AP81" s="1569"/>
      <c r="AQ81" s="1569"/>
      <c r="AR81" s="1569"/>
    </row>
    <row r="82" spans="1:44">
      <c r="A82" s="1309"/>
      <c r="AL82" s="1569"/>
      <c r="AM82" s="1569"/>
      <c r="AN82" s="1569"/>
      <c r="AO82" s="1569"/>
      <c r="AP82" s="1569"/>
      <c r="AQ82" s="1569"/>
      <c r="AR82" s="1569"/>
    </row>
    <row r="83" spans="1:44">
      <c r="A83" s="1309"/>
    </row>
    <row r="84" spans="1:44">
      <c r="A84" s="1309"/>
    </row>
    <row r="85" spans="1:44">
      <c r="A85" s="1309"/>
    </row>
    <row r="86" spans="1:44">
      <c r="A86" s="1309"/>
    </row>
    <row r="87" spans="1:44">
      <c r="A87" s="1309"/>
    </row>
    <row r="88" spans="1:44">
      <c r="A88" s="1309"/>
    </row>
    <row r="89" spans="1:44">
      <c r="A89" s="1309"/>
    </row>
    <row r="90" spans="1:44">
      <c r="A90" s="1309"/>
    </row>
    <row r="91" spans="1:44">
      <c r="A91" s="1309"/>
    </row>
    <row r="92" spans="1:44">
      <c r="A92" s="1309"/>
    </row>
    <row r="93" spans="1:44">
      <c r="A93" s="1309"/>
    </row>
    <row r="94" spans="1:44">
      <c r="A94" s="1309"/>
    </row>
    <row r="95" spans="1:44">
      <c r="A95" s="1309"/>
    </row>
    <row r="96" spans="1:44">
      <c r="A96" s="1309"/>
    </row>
    <row r="97" spans="1:1">
      <c r="A97" s="1309"/>
    </row>
    <row r="98" spans="1:1">
      <c r="A98" s="1309"/>
    </row>
    <row r="99" spans="1:1">
      <c r="A99" s="1309"/>
    </row>
    <row r="100" spans="1:1">
      <c r="A100" s="1309"/>
    </row>
    <row r="101" spans="1:1">
      <c r="A101" s="1309"/>
    </row>
    <row r="102" spans="1:1">
      <c r="A102" s="1309"/>
    </row>
    <row r="103" spans="1:1">
      <c r="A103" s="1309"/>
    </row>
    <row r="104" spans="1:1">
      <c r="A104" s="1309"/>
    </row>
    <row r="105" spans="1:1">
      <c r="A105" s="1309"/>
    </row>
    <row r="106" spans="1:1">
      <c r="A106" s="1309"/>
    </row>
    <row r="107" spans="1:1">
      <c r="A107" s="1309"/>
    </row>
    <row r="108" spans="1:1">
      <c r="A108" s="1309"/>
    </row>
    <row r="109" spans="1:1">
      <c r="A109" s="1309"/>
    </row>
    <row r="110" spans="1:1">
      <c r="A110" s="1309"/>
    </row>
    <row r="111" spans="1:1">
      <c r="A111" s="1309"/>
    </row>
    <row r="112" spans="1:1">
      <c r="A112" s="1309"/>
    </row>
    <row r="113" spans="1:1">
      <c r="A113" s="1309"/>
    </row>
    <row r="114" spans="1:1">
      <c r="A114" s="1309"/>
    </row>
    <row r="115" spans="1:1">
      <c r="A115" s="1309"/>
    </row>
    <row r="116" spans="1:1">
      <c r="A116" s="1309"/>
    </row>
    <row r="117" spans="1:1">
      <c r="A117" s="1309"/>
    </row>
    <row r="118" spans="1:1">
      <c r="A118" s="1309"/>
    </row>
    <row r="119" spans="1:1">
      <c r="A119" s="1309"/>
    </row>
    <row r="120" spans="1:1">
      <c r="A120" s="1309"/>
    </row>
    <row r="121" spans="1:1">
      <c r="A121" s="1309"/>
    </row>
    <row r="122" spans="1:1">
      <c r="A122" s="1309"/>
    </row>
    <row r="123" spans="1:1">
      <c r="A123" s="1309"/>
    </row>
    <row r="124" spans="1:1">
      <c r="A124" s="1309"/>
    </row>
    <row r="125" spans="1:1">
      <c r="A125" s="1309"/>
    </row>
    <row r="126" spans="1:1">
      <c r="A126" s="1309"/>
    </row>
    <row r="127" spans="1:1">
      <c r="A127" s="1309"/>
    </row>
    <row r="128" spans="1:1">
      <c r="A128" s="1309"/>
    </row>
    <row r="129" spans="1:1">
      <c r="A129" s="1309"/>
    </row>
    <row r="130" spans="1:1">
      <c r="A130" s="1309"/>
    </row>
    <row r="131" spans="1:1">
      <c r="A131" s="1309"/>
    </row>
    <row r="132" spans="1:1">
      <c r="A132" s="1309"/>
    </row>
    <row r="133" spans="1:1">
      <c r="A133" s="1309"/>
    </row>
    <row r="134" spans="1:1">
      <c r="A134" s="1309"/>
    </row>
    <row r="135" spans="1:1">
      <c r="A135" s="1309"/>
    </row>
    <row r="136" spans="1:1">
      <c r="A136" s="1309"/>
    </row>
    <row r="137" spans="1:1">
      <c r="A137" s="1309"/>
    </row>
    <row r="138" spans="1:1">
      <c r="A138" s="1309"/>
    </row>
    <row r="139" spans="1:1">
      <c r="A139" s="1309"/>
    </row>
    <row r="140" spans="1:1">
      <c r="A140" s="1309"/>
    </row>
    <row r="141" spans="1:1">
      <c r="A141" s="1309"/>
    </row>
    <row r="142" spans="1:1">
      <c r="A142" s="1309"/>
    </row>
    <row r="143" spans="1:1">
      <c r="A143" s="1309"/>
    </row>
    <row r="144" spans="1:1">
      <c r="A144" s="1309"/>
    </row>
    <row r="145" spans="1:1">
      <c r="A145" s="1309"/>
    </row>
    <row r="146" spans="1:1">
      <c r="A146" s="1309"/>
    </row>
    <row r="147" spans="1:1">
      <c r="A147" s="1309"/>
    </row>
    <row r="148" spans="1:1">
      <c r="A148" s="1309"/>
    </row>
    <row r="149" spans="1:1">
      <c r="A149" s="1309"/>
    </row>
    <row r="150" spans="1:1">
      <c r="A150" s="1309"/>
    </row>
    <row r="151" spans="1:1">
      <c r="A151" s="1309"/>
    </row>
    <row r="152" spans="1:1">
      <c r="A152" s="1309"/>
    </row>
    <row r="153" spans="1:1">
      <c r="A153" s="1309"/>
    </row>
    <row r="154" spans="1:1">
      <c r="A154" s="1309"/>
    </row>
    <row r="155" spans="1:1">
      <c r="A155" s="1309"/>
    </row>
  </sheetData>
  <mergeCells count="3">
    <mergeCell ref="B1:AH1"/>
    <mergeCell ref="AI1:BN1"/>
    <mergeCell ref="BO1:CT1"/>
  </mergeCells>
  <pageMargins left="0.7" right="0.7" top="0.75" bottom="0.75" header="0.3" footer="0.3"/>
  <pageSetup orientation="portrait" r:id="rId1"/>
  <customProperties>
    <customPr name="_pios_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499984740745262"/>
  </sheetPr>
  <dimension ref="A1:CV167"/>
  <sheetViews>
    <sheetView showGridLines="0" zoomScale="68" zoomScaleNormal="68" workbookViewId="0">
      <selection activeCell="AW92" sqref="AW92"/>
    </sheetView>
  </sheetViews>
  <sheetFormatPr baseColWidth="10" defaultRowHeight="13.2"/>
  <cols>
    <col min="1" max="1" width="7.44140625" style="11" customWidth="1"/>
    <col min="2" max="33" width="6" style="8" hidden="1" customWidth="1"/>
    <col min="34" max="65" width="6" style="8" customWidth="1"/>
    <col min="66" max="96" width="6" customWidth="1"/>
  </cols>
  <sheetData>
    <row r="1" spans="1:100" ht="13.8" thickBot="1">
      <c r="B1" s="3219" t="s">
        <v>2909</v>
      </c>
      <c r="C1" s="3219"/>
      <c r="D1" s="3219"/>
      <c r="E1" s="3219"/>
      <c r="F1" s="3219"/>
      <c r="G1" s="3219"/>
      <c r="H1" s="3219"/>
      <c r="I1" s="3219"/>
      <c r="J1" s="3219"/>
      <c r="K1" s="3219"/>
      <c r="L1" s="3219"/>
      <c r="M1" s="3219"/>
      <c r="N1" s="3219"/>
      <c r="O1" s="3219"/>
      <c r="P1" s="3219"/>
      <c r="Q1" s="3219"/>
      <c r="R1" s="3219"/>
      <c r="S1" s="3219"/>
      <c r="T1" s="3219"/>
      <c r="U1" s="3219"/>
      <c r="V1" s="3219"/>
      <c r="W1" s="3219"/>
      <c r="X1" s="3219"/>
      <c r="Y1" s="3219"/>
      <c r="Z1" s="3219"/>
      <c r="AA1" s="3219"/>
      <c r="AB1" s="3219"/>
      <c r="AC1" s="3219"/>
      <c r="AD1" s="3219"/>
      <c r="AE1" s="3219"/>
      <c r="AF1" s="3219"/>
      <c r="AG1" s="3219"/>
      <c r="AH1" s="3222" t="s">
        <v>2908</v>
      </c>
      <c r="AI1" s="3222"/>
      <c r="AJ1" s="3222"/>
      <c r="AK1" s="3222"/>
      <c r="AL1" s="3222"/>
      <c r="AM1" s="3222"/>
      <c r="AN1" s="3222"/>
      <c r="AO1" s="3222"/>
      <c r="AP1" s="3222"/>
      <c r="AQ1" s="3222"/>
      <c r="AR1" s="3222"/>
      <c r="AS1" s="3222"/>
      <c r="AT1" s="3222"/>
      <c r="AU1" s="3222"/>
      <c r="AV1" s="3222"/>
      <c r="AW1" s="3222"/>
      <c r="AX1" s="3222"/>
      <c r="AY1" s="3222"/>
      <c r="AZ1" s="3222"/>
      <c r="BA1" s="3222"/>
      <c r="BB1" s="3222"/>
      <c r="BC1" s="3222"/>
      <c r="BD1" s="3222"/>
      <c r="BE1" s="3222"/>
      <c r="BF1" s="3222"/>
      <c r="BG1" s="3222"/>
      <c r="BH1" s="3222"/>
      <c r="BI1" s="3222"/>
      <c r="BJ1" s="3222"/>
      <c r="BK1" s="3222"/>
      <c r="BL1" s="3222"/>
      <c r="BM1" s="3222"/>
      <c r="BN1" s="3223" t="s">
        <v>2455</v>
      </c>
      <c r="BO1" s="3223"/>
      <c r="BP1" s="3223"/>
      <c r="BQ1" s="3223"/>
      <c r="BR1" s="3223"/>
      <c r="BS1" s="3223"/>
      <c r="BT1" s="3223"/>
      <c r="BU1" s="3223"/>
      <c r="BV1" s="3223"/>
      <c r="BW1" s="3223"/>
      <c r="BX1" s="3223"/>
      <c r="BY1" s="3223"/>
      <c r="BZ1" s="3223"/>
      <c r="CA1" s="3223"/>
      <c r="CB1" s="3223"/>
      <c r="CC1" s="3223"/>
      <c r="CD1" s="3223"/>
      <c r="CE1" s="3223"/>
      <c r="CF1" s="3223"/>
      <c r="CG1" s="3223"/>
      <c r="CH1" s="3223"/>
      <c r="CI1" s="3223"/>
      <c r="CJ1" s="3223"/>
      <c r="CK1" s="3223"/>
      <c r="CL1" s="3223"/>
      <c r="CM1" s="3223"/>
      <c r="CN1" s="3223"/>
      <c r="CO1" s="3223"/>
      <c r="CP1" s="3223"/>
      <c r="CQ1" s="3223"/>
      <c r="CR1" s="3223"/>
    </row>
    <row r="2" spans="1:100" s="1308" customFormat="1" ht="95.4" thickBot="1">
      <c r="A2" s="535" t="s">
        <v>2903</v>
      </c>
      <c r="B2" s="1313" t="s">
        <v>592</v>
      </c>
      <c r="C2" s="1313" t="s">
        <v>586</v>
      </c>
      <c r="D2" s="1313" t="s">
        <v>593</v>
      </c>
      <c r="E2" s="1313" t="s">
        <v>2907</v>
      </c>
      <c r="F2" s="1313" t="s">
        <v>588</v>
      </c>
      <c r="G2" s="1313" t="s">
        <v>91</v>
      </c>
      <c r="H2" s="1313" t="s">
        <v>893</v>
      </c>
      <c r="I2" s="1313" t="s">
        <v>77</v>
      </c>
      <c r="J2" s="1313" t="s">
        <v>595</v>
      </c>
      <c r="K2" s="1313" t="s">
        <v>602</v>
      </c>
      <c r="L2" s="1313" t="s">
        <v>1931</v>
      </c>
      <c r="M2" s="1313" t="s">
        <v>598</v>
      </c>
      <c r="N2" s="1313" t="s">
        <v>596</v>
      </c>
      <c r="O2" s="1313" t="s">
        <v>1057</v>
      </c>
      <c r="P2" s="1313" t="s">
        <v>4712</v>
      </c>
      <c r="Q2" s="1313" t="s">
        <v>918</v>
      </c>
      <c r="R2" s="1313" t="s">
        <v>384</v>
      </c>
      <c r="S2" s="1313" t="s">
        <v>591</v>
      </c>
      <c r="T2" s="1313" t="s">
        <v>1053</v>
      </c>
      <c r="U2" s="1313" t="s">
        <v>1958</v>
      </c>
      <c r="V2" s="1313" t="s">
        <v>938</v>
      </c>
      <c r="W2" s="1313" t="s">
        <v>3202</v>
      </c>
      <c r="X2" s="1313" t="s">
        <v>789</v>
      </c>
      <c r="Y2" s="1313" t="s">
        <v>952</v>
      </c>
      <c r="Z2" s="1313" t="s">
        <v>1955</v>
      </c>
      <c r="AA2" s="1313" t="s">
        <v>1956</v>
      </c>
      <c r="AB2" s="1313" t="s">
        <v>1957</v>
      </c>
      <c r="AC2" s="1313" t="s">
        <v>790</v>
      </c>
      <c r="AD2" s="1313" t="s">
        <v>2912</v>
      </c>
      <c r="AE2" s="1313" t="s">
        <v>2905</v>
      </c>
      <c r="AF2" s="1313" t="s">
        <v>2754</v>
      </c>
      <c r="AG2" s="1693" t="s">
        <v>2906</v>
      </c>
      <c r="AH2" s="1698" t="s">
        <v>592</v>
      </c>
      <c r="AI2" s="1699" t="s">
        <v>586</v>
      </c>
      <c r="AJ2" s="1699" t="s">
        <v>593</v>
      </c>
      <c r="AK2" s="1699" t="s">
        <v>2907</v>
      </c>
      <c r="AL2" s="1699" t="s">
        <v>588</v>
      </c>
      <c r="AM2" s="1699" t="s">
        <v>91</v>
      </c>
      <c r="AN2" s="1699" t="s">
        <v>893</v>
      </c>
      <c r="AO2" s="1699" t="s">
        <v>77</v>
      </c>
      <c r="AP2" s="1699" t="s">
        <v>595</v>
      </c>
      <c r="AQ2" s="1699" t="s">
        <v>602</v>
      </c>
      <c r="AR2" s="1699" t="s">
        <v>1931</v>
      </c>
      <c r="AS2" s="1699" t="s">
        <v>598</v>
      </c>
      <c r="AT2" s="1699" t="s">
        <v>596</v>
      </c>
      <c r="AU2" s="1699" t="s">
        <v>1057</v>
      </c>
      <c r="AV2" s="2070" t="s">
        <v>4712</v>
      </c>
      <c r="AW2" s="1700" t="s">
        <v>918</v>
      </c>
      <c r="AX2" s="1690" t="s">
        <v>2913</v>
      </c>
      <c r="AY2" s="1691" t="s">
        <v>591</v>
      </c>
      <c r="AZ2" s="1691" t="s">
        <v>1053</v>
      </c>
      <c r="BA2" s="1691" t="s">
        <v>1958</v>
      </c>
      <c r="BB2" s="1691" t="s">
        <v>938</v>
      </c>
      <c r="BC2" s="1692" t="s">
        <v>3202</v>
      </c>
      <c r="BD2" s="1695" t="s">
        <v>789</v>
      </c>
      <c r="BE2" s="1696" t="s">
        <v>952</v>
      </c>
      <c r="BF2" s="1696" t="s">
        <v>1955</v>
      </c>
      <c r="BG2" s="1696" t="s">
        <v>1956</v>
      </c>
      <c r="BH2" s="1696" t="s">
        <v>1957</v>
      </c>
      <c r="BI2" s="1696" t="s">
        <v>790</v>
      </c>
      <c r="BJ2" s="1696" t="s">
        <v>2912</v>
      </c>
      <c r="BK2" s="1696" t="s">
        <v>2905</v>
      </c>
      <c r="BL2" s="1696" t="s">
        <v>2754</v>
      </c>
      <c r="BM2" s="1697" t="s">
        <v>2906</v>
      </c>
      <c r="BN2" s="1831" t="s">
        <v>592</v>
      </c>
      <c r="BO2" s="1832" t="s">
        <v>586</v>
      </c>
      <c r="BP2" s="1832" t="s">
        <v>593</v>
      </c>
      <c r="BQ2" s="1832" t="s">
        <v>2907</v>
      </c>
      <c r="BR2" s="1832" t="s">
        <v>588</v>
      </c>
      <c r="BS2" s="1832" t="s">
        <v>91</v>
      </c>
      <c r="BT2" s="1832" t="s">
        <v>893</v>
      </c>
      <c r="BU2" s="1832" t="s">
        <v>77</v>
      </c>
      <c r="BV2" s="1832" t="s">
        <v>595</v>
      </c>
      <c r="BW2" s="1832" t="s">
        <v>602</v>
      </c>
      <c r="BX2" s="1832" t="s">
        <v>1931</v>
      </c>
      <c r="BY2" s="1832" t="s">
        <v>598</v>
      </c>
      <c r="BZ2" s="1832" t="s">
        <v>596</v>
      </c>
      <c r="CA2" s="1832" t="s">
        <v>1057</v>
      </c>
      <c r="CB2" s="1833" t="s">
        <v>918</v>
      </c>
      <c r="CC2" s="1843" t="s">
        <v>2913</v>
      </c>
      <c r="CD2" s="1844" t="s">
        <v>591</v>
      </c>
      <c r="CE2" s="1844" t="s">
        <v>1053</v>
      </c>
      <c r="CF2" s="1844" t="s">
        <v>1958</v>
      </c>
      <c r="CG2" s="1844" t="s">
        <v>938</v>
      </c>
      <c r="CH2" s="1845" t="s">
        <v>3202</v>
      </c>
      <c r="CI2" s="1839" t="s">
        <v>789</v>
      </c>
      <c r="CJ2" s="1840" t="s">
        <v>952</v>
      </c>
      <c r="CK2" s="1840" t="s">
        <v>1955</v>
      </c>
      <c r="CL2" s="1840" t="s">
        <v>1956</v>
      </c>
      <c r="CM2" s="1840" t="s">
        <v>1957</v>
      </c>
      <c r="CN2" s="1840" t="s">
        <v>790</v>
      </c>
      <c r="CO2" s="1840" t="s">
        <v>2904</v>
      </c>
      <c r="CP2" s="1840" t="s">
        <v>2905</v>
      </c>
      <c r="CQ2" s="1840" t="s">
        <v>2754</v>
      </c>
      <c r="CR2" s="1842" t="s">
        <v>2906</v>
      </c>
      <c r="CS2" s="11" t="s">
        <v>4336</v>
      </c>
      <c r="CT2" s="11" t="s">
        <v>951</v>
      </c>
      <c r="CU2" s="1308" t="s">
        <v>5371</v>
      </c>
      <c r="CV2" s="11" t="s">
        <v>55</v>
      </c>
    </row>
    <row r="3" spans="1:100" hidden="1">
      <c r="A3" s="1309">
        <v>43101</v>
      </c>
      <c r="B3" s="1310">
        <f t="shared" ref="B3:O3" si="0">+AH3+BN3</f>
        <v>0</v>
      </c>
      <c r="C3" s="1310">
        <f t="shared" si="0"/>
        <v>0</v>
      </c>
      <c r="D3" s="1310">
        <f t="shared" si="0"/>
        <v>0</v>
      </c>
      <c r="E3" s="1310">
        <f t="shared" si="0"/>
        <v>0</v>
      </c>
      <c r="F3" s="1310">
        <f t="shared" si="0"/>
        <v>0</v>
      </c>
      <c r="G3" s="1310">
        <f t="shared" si="0"/>
        <v>0</v>
      </c>
      <c r="H3" s="1310">
        <f t="shared" si="0"/>
        <v>0</v>
      </c>
      <c r="I3" s="1310">
        <f t="shared" si="0"/>
        <v>0</v>
      </c>
      <c r="J3" s="1310">
        <f t="shared" si="0"/>
        <v>0</v>
      </c>
      <c r="K3" s="1310">
        <f t="shared" si="0"/>
        <v>0</v>
      </c>
      <c r="L3" s="1310">
        <f t="shared" si="0"/>
        <v>0</v>
      </c>
      <c r="M3" s="1310">
        <f t="shared" si="0"/>
        <v>0</v>
      </c>
      <c r="N3" s="1310">
        <f t="shared" si="0"/>
        <v>0</v>
      </c>
      <c r="O3" s="1310">
        <f t="shared" si="0"/>
        <v>0</v>
      </c>
      <c r="P3" s="1310"/>
      <c r="Q3" s="1310">
        <f t="shared" ref="Q3:AG3" si="1">+AW3+CB3</f>
        <v>0</v>
      </c>
      <c r="R3" s="1310">
        <f t="shared" si="1"/>
        <v>0</v>
      </c>
      <c r="S3" s="1310">
        <f t="shared" si="1"/>
        <v>0</v>
      </c>
      <c r="T3" s="1310">
        <f t="shared" si="1"/>
        <v>0</v>
      </c>
      <c r="U3" s="1310">
        <f t="shared" si="1"/>
        <v>0</v>
      </c>
      <c r="V3" s="1310">
        <f t="shared" si="1"/>
        <v>0</v>
      </c>
      <c r="W3" s="1310">
        <f t="shared" si="1"/>
        <v>0</v>
      </c>
      <c r="X3" s="1310">
        <f t="shared" si="1"/>
        <v>0</v>
      </c>
      <c r="Y3" s="1310">
        <f t="shared" si="1"/>
        <v>0</v>
      </c>
      <c r="Z3" s="1310">
        <f t="shared" si="1"/>
        <v>0</v>
      </c>
      <c r="AA3" s="1310">
        <f t="shared" si="1"/>
        <v>0</v>
      </c>
      <c r="AB3" s="1310">
        <f t="shared" si="1"/>
        <v>0</v>
      </c>
      <c r="AC3" s="1310">
        <f t="shared" si="1"/>
        <v>0</v>
      </c>
      <c r="AD3" s="1310">
        <f t="shared" si="1"/>
        <v>0</v>
      </c>
      <c r="AE3" s="1310">
        <f t="shared" si="1"/>
        <v>0</v>
      </c>
      <c r="AF3" s="1310">
        <f t="shared" si="1"/>
        <v>0</v>
      </c>
      <c r="AG3" s="1701">
        <f t="shared" si="1"/>
        <v>0</v>
      </c>
      <c r="AH3" s="1712"/>
      <c r="AI3" s="1712"/>
      <c r="AJ3" s="1712"/>
      <c r="AK3" s="1712"/>
      <c r="AL3" s="1712"/>
      <c r="AM3" s="1712"/>
      <c r="AN3" s="1712"/>
      <c r="AO3" s="1712"/>
      <c r="AP3" s="1712"/>
      <c r="AQ3" s="1712"/>
      <c r="AR3" s="1712"/>
      <c r="AS3" s="1712"/>
      <c r="AT3" s="1712"/>
      <c r="AU3" s="1712"/>
      <c r="AV3" s="1712"/>
      <c r="AW3" s="1712"/>
      <c r="AX3" s="1712"/>
      <c r="AY3" s="1712"/>
      <c r="AZ3" s="1712"/>
      <c r="BA3" s="1712"/>
      <c r="BB3" s="1712"/>
      <c r="BC3" s="1712"/>
      <c r="BD3" s="1712"/>
      <c r="BE3" s="1712"/>
      <c r="BF3" s="1712"/>
      <c r="BG3" s="1712"/>
      <c r="BH3" s="1712"/>
      <c r="BI3" s="1712"/>
      <c r="BJ3" s="1712"/>
      <c r="BK3" s="1712"/>
      <c r="BL3" s="1712"/>
      <c r="BM3" s="1712"/>
      <c r="BN3" s="1703"/>
      <c r="BO3" s="1318"/>
      <c r="BP3" s="1318"/>
      <c r="BQ3" s="1318"/>
      <c r="BR3" s="1318"/>
      <c r="BS3" s="1318"/>
      <c r="BT3" s="1318"/>
      <c r="BU3" s="1318"/>
      <c r="BV3" s="1318"/>
      <c r="BW3" s="1318"/>
      <c r="BX3" s="1318"/>
      <c r="BY3" s="1318"/>
      <c r="BZ3" s="1318"/>
      <c r="CA3" s="1318"/>
      <c r="CB3" s="1704"/>
      <c r="CC3" s="1705"/>
      <c r="CD3" s="1706"/>
      <c r="CE3" s="1706"/>
      <c r="CF3" s="1706"/>
      <c r="CG3" s="1706"/>
      <c r="CH3" s="1709"/>
      <c r="CI3" s="1703"/>
      <c r="CJ3" s="1318"/>
      <c r="CK3" s="1318"/>
      <c r="CL3" s="1318"/>
      <c r="CM3" s="1318"/>
      <c r="CN3" s="1318"/>
      <c r="CO3" s="1318"/>
      <c r="CP3" s="1318"/>
      <c r="CQ3" s="1318"/>
      <c r="CR3" s="1704"/>
    </row>
    <row r="4" spans="1:100" hidden="1">
      <c r="A4" s="1309">
        <v>43132</v>
      </c>
      <c r="B4" s="1310">
        <f t="shared" ref="B4:B50" si="2">+AH4+BN4</f>
        <v>0</v>
      </c>
      <c r="C4" s="1310">
        <f t="shared" ref="C4:C50" si="3">+AI4+BO4</f>
        <v>0</v>
      </c>
      <c r="D4" s="1310">
        <f t="shared" ref="D4:D50" si="4">+AJ4+BP4</f>
        <v>0</v>
      </c>
      <c r="E4" s="1310">
        <f t="shared" ref="E4:E50" si="5">+AK4+BQ4</f>
        <v>0</v>
      </c>
      <c r="F4" s="1310">
        <f t="shared" ref="F4:F50" si="6">+AL4+BR4</f>
        <v>0</v>
      </c>
      <c r="G4" s="1310">
        <f t="shared" ref="G4:G50" si="7">+AM4+BS4</f>
        <v>0</v>
      </c>
      <c r="H4" s="1310">
        <f t="shared" ref="H4:H50" si="8">+AN4+BT4</f>
        <v>0</v>
      </c>
      <c r="I4" s="1310">
        <f t="shared" ref="I4:I50" si="9">+AO4+BU4</f>
        <v>0</v>
      </c>
      <c r="J4" s="1310">
        <f t="shared" ref="J4:J50" si="10">+AP4+BV4</f>
        <v>0</v>
      </c>
      <c r="K4" s="1310">
        <f t="shared" ref="K4:K50" si="11">+AQ4+BW4</f>
        <v>0</v>
      </c>
      <c r="L4" s="1310">
        <f t="shared" ref="L4:L50" si="12">+AR4+BX4</f>
        <v>0</v>
      </c>
      <c r="M4" s="1310">
        <f t="shared" ref="M4:M50" si="13">+AS4+BY4</f>
        <v>0</v>
      </c>
      <c r="N4" s="1310">
        <f t="shared" ref="N4:N50" si="14">+AT4+BZ4</f>
        <v>0</v>
      </c>
      <c r="O4" s="1310">
        <f t="shared" ref="O4:O50" si="15">+AU4+CA4</f>
        <v>0</v>
      </c>
      <c r="P4" s="1310"/>
      <c r="Q4" s="1310">
        <f t="shared" ref="Q4:Q50" si="16">+AW4+CB4</f>
        <v>0</v>
      </c>
      <c r="R4" s="1310">
        <f t="shared" ref="R4:R50" si="17">+AX4+CC4</f>
        <v>0</v>
      </c>
      <c r="S4" s="1310">
        <f t="shared" ref="S4:S50" si="18">+AY4+CD4</f>
        <v>0</v>
      </c>
      <c r="T4" s="1310">
        <f t="shared" ref="T4:T50" si="19">+AZ4+CE4</f>
        <v>0</v>
      </c>
      <c r="U4" s="1310">
        <f t="shared" ref="U4:U50" si="20">+BA4+CF4</f>
        <v>0</v>
      </c>
      <c r="V4" s="1310">
        <f t="shared" ref="V4:V50" si="21">+BB4+CG4</f>
        <v>0</v>
      </c>
      <c r="W4" s="1310">
        <f t="shared" ref="W4:W50" si="22">+BC4+CH4</f>
        <v>0</v>
      </c>
      <c r="X4" s="1310">
        <f t="shared" ref="X4:X50" si="23">+BD4+CI4</f>
        <v>0</v>
      </c>
      <c r="Y4" s="1310">
        <f t="shared" ref="Y4:Y50" si="24">+BE4+CJ4</f>
        <v>0</v>
      </c>
      <c r="Z4" s="1310">
        <f t="shared" ref="Z4:Z50" si="25">+BF4+CK4</f>
        <v>0</v>
      </c>
      <c r="AA4" s="1310">
        <f t="shared" ref="AA4:AA50" si="26">+BG4+CL4</f>
        <v>0</v>
      </c>
      <c r="AB4" s="1310">
        <f t="shared" ref="AB4:AB50" si="27">+BH4+CM4</f>
        <v>0</v>
      </c>
      <c r="AC4" s="1310">
        <f t="shared" ref="AC4:AC50" si="28">+BI4+CN4</f>
        <v>0</v>
      </c>
      <c r="AD4" s="1310">
        <f t="shared" ref="AD4:AD50" si="29">+BJ4+CO4</f>
        <v>0</v>
      </c>
      <c r="AE4" s="1310">
        <f t="shared" ref="AE4:AE50" si="30">+BK4+CP4</f>
        <v>0</v>
      </c>
      <c r="AF4" s="1310">
        <f t="shared" ref="AF4:AF50" si="31">+BL4+CQ4</f>
        <v>0</v>
      </c>
      <c r="AG4" s="1701">
        <f t="shared" ref="AG4:AG50" si="32">+BM4+CR4</f>
        <v>0</v>
      </c>
      <c r="AH4" s="1712"/>
      <c r="AI4" s="1712"/>
      <c r="AJ4" s="1712"/>
      <c r="AK4" s="1712"/>
      <c r="AL4" s="1712"/>
      <c r="AM4" s="1712"/>
      <c r="AN4" s="1712"/>
      <c r="AO4" s="1712"/>
      <c r="AP4" s="1712"/>
      <c r="AQ4" s="1712"/>
      <c r="AR4" s="1712"/>
      <c r="AS4" s="1712"/>
      <c r="AT4" s="1712"/>
      <c r="AU4" s="1712"/>
      <c r="AV4" s="1712"/>
      <c r="AW4" s="1712"/>
      <c r="AX4" s="1712"/>
      <c r="AY4" s="1712"/>
      <c r="AZ4" s="1712"/>
      <c r="BA4" s="1712"/>
      <c r="BB4" s="1712"/>
      <c r="BC4" s="1712"/>
      <c r="BD4" s="1712"/>
      <c r="BE4" s="1712"/>
      <c r="BF4" s="1712"/>
      <c r="BG4" s="1712"/>
      <c r="BH4" s="1712"/>
      <c r="BI4" s="1712"/>
      <c r="BJ4" s="1712"/>
      <c r="BK4" s="1712"/>
      <c r="BL4" s="1712"/>
      <c r="BM4" s="1712"/>
      <c r="BN4" s="1703"/>
      <c r="BO4" s="1318"/>
      <c r="BP4" s="1318"/>
      <c r="BQ4" s="1318"/>
      <c r="BR4" s="1318"/>
      <c r="BS4" s="1318"/>
      <c r="BT4" s="1318"/>
      <c r="BU4" s="1318"/>
      <c r="BV4" s="1318"/>
      <c r="BW4" s="1318"/>
      <c r="BX4" s="1318"/>
      <c r="BY4" s="1318"/>
      <c r="BZ4" s="1318"/>
      <c r="CA4" s="1318"/>
      <c r="CB4" s="1704"/>
      <c r="CC4" s="1702"/>
      <c r="CD4" s="1318"/>
      <c r="CE4" s="1318"/>
      <c r="CF4" s="1318"/>
      <c r="CG4" s="1318"/>
      <c r="CH4" s="1710"/>
      <c r="CI4" s="1703"/>
      <c r="CJ4" s="1318"/>
      <c r="CK4" s="1318"/>
      <c r="CL4" s="1318"/>
      <c r="CM4" s="1318"/>
      <c r="CN4" s="1318"/>
      <c r="CO4" s="1318"/>
      <c r="CP4" s="1318"/>
      <c r="CQ4" s="1318"/>
      <c r="CR4" s="1704"/>
    </row>
    <row r="5" spans="1:100" hidden="1">
      <c r="A5" s="1309">
        <v>43160</v>
      </c>
      <c r="B5" s="1310">
        <f t="shared" si="2"/>
        <v>0</v>
      </c>
      <c r="C5" s="1310">
        <f t="shared" si="3"/>
        <v>0</v>
      </c>
      <c r="D5" s="1310">
        <f t="shared" si="4"/>
        <v>0</v>
      </c>
      <c r="E5" s="1310">
        <f t="shared" si="5"/>
        <v>0</v>
      </c>
      <c r="F5" s="1310">
        <f t="shared" si="6"/>
        <v>0</v>
      </c>
      <c r="G5" s="1310">
        <f t="shared" si="7"/>
        <v>0</v>
      </c>
      <c r="H5" s="1310">
        <f t="shared" si="8"/>
        <v>0</v>
      </c>
      <c r="I5" s="1310">
        <f t="shared" si="9"/>
        <v>0</v>
      </c>
      <c r="J5" s="1310">
        <f t="shared" si="10"/>
        <v>0</v>
      </c>
      <c r="K5" s="1310">
        <f t="shared" si="11"/>
        <v>0</v>
      </c>
      <c r="L5" s="1310">
        <f t="shared" si="12"/>
        <v>0</v>
      </c>
      <c r="M5" s="1310">
        <f t="shared" si="13"/>
        <v>0</v>
      </c>
      <c r="N5" s="1310">
        <f t="shared" si="14"/>
        <v>0</v>
      </c>
      <c r="O5" s="1310">
        <f t="shared" si="15"/>
        <v>0</v>
      </c>
      <c r="P5" s="1310"/>
      <c r="Q5" s="1310">
        <f t="shared" si="16"/>
        <v>0</v>
      </c>
      <c r="R5" s="1310">
        <f t="shared" si="17"/>
        <v>0</v>
      </c>
      <c r="S5" s="1310">
        <f t="shared" si="18"/>
        <v>0</v>
      </c>
      <c r="T5" s="1310">
        <f t="shared" si="19"/>
        <v>0</v>
      </c>
      <c r="U5" s="1310">
        <f t="shared" si="20"/>
        <v>0</v>
      </c>
      <c r="V5" s="1310">
        <f t="shared" si="21"/>
        <v>0</v>
      </c>
      <c r="W5" s="1310">
        <f t="shared" si="22"/>
        <v>0</v>
      </c>
      <c r="X5" s="1310">
        <f t="shared" si="23"/>
        <v>0</v>
      </c>
      <c r="Y5" s="1310">
        <f t="shared" si="24"/>
        <v>0</v>
      </c>
      <c r="Z5" s="1310">
        <f t="shared" si="25"/>
        <v>0</v>
      </c>
      <c r="AA5" s="1310">
        <f t="shared" si="26"/>
        <v>0</v>
      </c>
      <c r="AB5" s="1310">
        <f t="shared" si="27"/>
        <v>0</v>
      </c>
      <c r="AC5" s="1310">
        <f t="shared" si="28"/>
        <v>0</v>
      </c>
      <c r="AD5" s="1310">
        <f t="shared" si="29"/>
        <v>0</v>
      </c>
      <c r="AE5" s="1310">
        <f t="shared" si="30"/>
        <v>0</v>
      </c>
      <c r="AF5" s="1310">
        <f t="shared" si="31"/>
        <v>0</v>
      </c>
      <c r="AG5" s="1701">
        <f t="shared" si="32"/>
        <v>0</v>
      </c>
      <c r="AH5" s="1712"/>
      <c r="AI5" s="1712"/>
      <c r="AJ5" s="1712"/>
      <c r="AK5" s="1712"/>
      <c r="AL5" s="1712"/>
      <c r="AM5" s="1712"/>
      <c r="AN5" s="1712"/>
      <c r="AO5" s="1712"/>
      <c r="AP5" s="1712"/>
      <c r="AQ5" s="1712"/>
      <c r="AR5" s="1712"/>
      <c r="AS5" s="1712"/>
      <c r="AT5" s="1712"/>
      <c r="AU5" s="1712"/>
      <c r="AV5" s="1712"/>
      <c r="AW5" s="1712"/>
      <c r="AX5" s="1712"/>
      <c r="AY5" s="1712"/>
      <c r="AZ5" s="1712"/>
      <c r="BA5" s="1712"/>
      <c r="BB5" s="1712"/>
      <c r="BC5" s="1712"/>
      <c r="BD5" s="1712"/>
      <c r="BE5" s="1712"/>
      <c r="BF5" s="1712"/>
      <c r="BG5" s="1712"/>
      <c r="BH5" s="1712"/>
      <c r="BI5" s="1712"/>
      <c r="BJ5" s="1712"/>
      <c r="BK5" s="1712"/>
      <c r="BL5" s="1712"/>
      <c r="BM5" s="1712"/>
      <c r="BN5" s="1703"/>
      <c r="BO5" s="1318"/>
      <c r="BP5" s="1318"/>
      <c r="BQ5" s="1318"/>
      <c r="BR5" s="1318"/>
      <c r="BS5" s="1318"/>
      <c r="BT5" s="1318"/>
      <c r="BU5" s="1318"/>
      <c r="BV5" s="1318"/>
      <c r="BW5" s="1318"/>
      <c r="BX5" s="1318"/>
      <c r="BY5" s="1318"/>
      <c r="BZ5" s="1318"/>
      <c r="CA5" s="1318"/>
      <c r="CB5" s="1704"/>
      <c r="CC5" s="1702"/>
      <c r="CD5" s="1318"/>
      <c r="CE5" s="1318"/>
      <c r="CF5" s="1318"/>
      <c r="CG5" s="1318"/>
      <c r="CH5" s="1710"/>
      <c r="CI5" s="1703"/>
      <c r="CJ5" s="1318"/>
      <c r="CK5" s="1318"/>
      <c r="CL5" s="1318"/>
      <c r="CM5" s="1318"/>
      <c r="CN5" s="1318"/>
      <c r="CO5" s="1318"/>
      <c r="CP5" s="1318"/>
      <c r="CQ5" s="1318"/>
      <c r="CR5" s="1704"/>
    </row>
    <row r="6" spans="1:100" hidden="1">
      <c r="A6" s="1309">
        <v>43191</v>
      </c>
      <c r="B6" s="1310">
        <f t="shared" si="2"/>
        <v>0</v>
      </c>
      <c r="C6" s="1310">
        <f t="shared" si="3"/>
        <v>0</v>
      </c>
      <c r="D6" s="1310">
        <f t="shared" si="4"/>
        <v>0</v>
      </c>
      <c r="E6" s="1310">
        <f t="shared" si="5"/>
        <v>0</v>
      </c>
      <c r="F6" s="1310">
        <f t="shared" si="6"/>
        <v>0</v>
      </c>
      <c r="G6" s="1310">
        <f t="shared" si="7"/>
        <v>0</v>
      </c>
      <c r="H6" s="1310">
        <f t="shared" si="8"/>
        <v>0</v>
      </c>
      <c r="I6" s="1310">
        <f t="shared" si="9"/>
        <v>0</v>
      </c>
      <c r="J6" s="1310">
        <f t="shared" si="10"/>
        <v>0</v>
      </c>
      <c r="K6" s="1310">
        <f t="shared" si="11"/>
        <v>0</v>
      </c>
      <c r="L6" s="1310">
        <f t="shared" si="12"/>
        <v>0</v>
      </c>
      <c r="M6" s="1310">
        <f t="shared" si="13"/>
        <v>0</v>
      </c>
      <c r="N6" s="1310">
        <f t="shared" si="14"/>
        <v>0</v>
      </c>
      <c r="O6" s="1310">
        <f t="shared" si="15"/>
        <v>0</v>
      </c>
      <c r="P6" s="1310"/>
      <c r="Q6" s="1310">
        <f t="shared" si="16"/>
        <v>0</v>
      </c>
      <c r="R6" s="1310">
        <f t="shared" si="17"/>
        <v>0</v>
      </c>
      <c r="S6" s="1310">
        <f t="shared" si="18"/>
        <v>0</v>
      </c>
      <c r="T6" s="1310">
        <f t="shared" si="19"/>
        <v>0</v>
      </c>
      <c r="U6" s="1310">
        <f t="shared" si="20"/>
        <v>0</v>
      </c>
      <c r="V6" s="1310">
        <f t="shared" si="21"/>
        <v>0</v>
      </c>
      <c r="W6" s="1310">
        <f t="shared" si="22"/>
        <v>0</v>
      </c>
      <c r="X6" s="1310">
        <f t="shared" si="23"/>
        <v>0</v>
      </c>
      <c r="Y6" s="1310">
        <f t="shared" si="24"/>
        <v>0</v>
      </c>
      <c r="Z6" s="1310">
        <f t="shared" si="25"/>
        <v>0</v>
      </c>
      <c r="AA6" s="1310">
        <f t="shared" si="26"/>
        <v>0</v>
      </c>
      <c r="AB6" s="1310">
        <f t="shared" si="27"/>
        <v>0</v>
      </c>
      <c r="AC6" s="1310">
        <f t="shared" si="28"/>
        <v>0</v>
      </c>
      <c r="AD6" s="1310">
        <f t="shared" si="29"/>
        <v>0</v>
      </c>
      <c r="AE6" s="1310">
        <f t="shared" si="30"/>
        <v>0</v>
      </c>
      <c r="AF6" s="1310">
        <f t="shared" si="31"/>
        <v>0</v>
      </c>
      <c r="AG6" s="1701">
        <f t="shared" si="32"/>
        <v>0</v>
      </c>
      <c r="AH6" s="1712"/>
      <c r="AI6" s="1712"/>
      <c r="AJ6" s="1712"/>
      <c r="AK6" s="1712"/>
      <c r="AL6" s="1712"/>
      <c r="AM6" s="1712"/>
      <c r="AN6" s="1712"/>
      <c r="AO6" s="1712"/>
      <c r="AP6" s="1712"/>
      <c r="AQ6" s="1712"/>
      <c r="AR6" s="1712"/>
      <c r="AS6" s="1712"/>
      <c r="AT6" s="1712"/>
      <c r="AU6" s="1712"/>
      <c r="AV6" s="1712"/>
      <c r="AW6" s="1712"/>
      <c r="AX6" s="1712"/>
      <c r="AY6" s="1712"/>
      <c r="AZ6" s="1712"/>
      <c r="BA6" s="1712"/>
      <c r="BB6" s="1712"/>
      <c r="BC6" s="1712"/>
      <c r="BD6" s="1712"/>
      <c r="BE6" s="1712"/>
      <c r="BF6" s="1712"/>
      <c r="BG6" s="1712"/>
      <c r="BH6" s="1712"/>
      <c r="BI6" s="1712"/>
      <c r="BJ6" s="1712"/>
      <c r="BK6" s="1712"/>
      <c r="BL6" s="1712"/>
      <c r="BM6" s="1712"/>
      <c r="BN6" s="1703"/>
      <c r="BO6" s="1318"/>
      <c r="BP6" s="1318"/>
      <c r="BQ6" s="1318"/>
      <c r="BR6" s="1318"/>
      <c r="BS6" s="1318"/>
      <c r="BT6" s="1318"/>
      <c r="BU6" s="1318"/>
      <c r="BV6" s="1318"/>
      <c r="BW6" s="1318"/>
      <c r="BX6" s="1318"/>
      <c r="BY6" s="1318"/>
      <c r="BZ6" s="1318"/>
      <c r="CA6" s="1318"/>
      <c r="CB6" s="1704"/>
      <c r="CC6" s="1702"/>
      <c r="CD6" s="1318"/>
      <c r="CE6" s="1318"/>
      <c r="CF6" s="1318"/>
      <c r="CG6" s="1318"/>
      <c r="CH6" s="1710"/>
      <c r="CI6" s="1703"/>
      <c r="CJ6" s="1318"/>
      <c r="CK6" s="1318"/>
      <c r="CL6" s="1318"/>
      <c r="CM6" s="1318"/>
      <c r="CN6" s="1318"/>
      <c r="CO6" s="1318"/>
      <c r="CP6" s="1318"/>
      <c r="CQ6" s="1318"/>
      <c r="CR6" s="1704"/>
    </row>
    <row r="7" spans="1:100" hidden="1">
      <c r="A7" s="1309">
        <v>43221</v>
      </c>
      <c r="B7" s="1310">
        <f t="shared" si="2"/>
        <v>0</v>
      </c>
      <c r="C7" s="1310">
        <f t="shared" si="3"/>
        <v>0</v>
      </c>
      <c r="D7" s="1310">
        <f t="shared" si="4"/>
        <v>0</v>
      </c>
      <c r="E7" s="1310">
        <f t="shared" si="5"/>
        <v>0</v>
      </c>
      <c r="F7" s="1310">
        <f t="shared" si="6"/>
        <v>0</v>
      </c>
      <c r="G7" s="1310">
        <f t="shared" si="7"/>
        <v>0</v>
      </c>
      <c r="H7" s="1310">
        <f t="shared" si="8"/>
        <v>0</v>
      </c>
      <c r="I7" s="1310">
        <f t="shared" si="9"/>
        <v>0</v>
      </c>
      <c r="J7" s="1310">
        <f t="shared" si="10"/>
        <v>0</v>
      </c>
      <c r="K7" s="1310">
        <f t="shared" si="11"/>
        <v>0</v>
      </c>
      <c r="L7" s="1310">
        <f t="shared" si="12"/>
        <v>0</v>
      </c>
      <c r="M7" s="1310">
        <f t="shared" si="13"/>
        <v>0</v>
      </c>
      <c r="N7" s="1310">
        <f t="shared" si="14"/>
        <v>0</v>
      </c>
      <c r="O7" s="1310">
        <f t="shared" si="15"/>
        <v>0</v>
      </c>
      <c r="P7" s="1310"/>
      <c r="Q7" s="1310">
        <f t="shared" si="16"/>
        <v>0</v>
      </c>
      <c r="R7" s="1310">
        <f t="shared" si="17"/>
        <v>0</v>
      </c>
      <c r="S7" s="1310">
        <f t="shared" si="18"/>
        <v>0</v>
      </c>
      <c r="T7" s="1310">
        <f t="shared" si="19"/>
        <v>0</v>
      </c>
      <c r="U7" s="1310">
        <f t="shared" si="20"/>
        <v>0</v>
      </c>
      <c r="V7" s="1310">
        <f t="shared" si="21"/>
        <v>0</v>
      </c>
      <c r="W7" s="1310">
        <f t="shared" si="22"/>
        <v>0</v>
      </c>
      <c r="X7" s="1310">
        <f t="shared" si="23"/>
        <v>0</v>
      </c>
      <c r="Y7" s="1310">
        <f t="shared" si="24"/>
        <v>0</v>
      </c>
      <c r="Z7" s="1310">
        <f t="shared" si="25"/>
        <v>0</v>
      </c>
      <c r="AA7" s="1310">
        <f t="shared" si="26"/>
        <v>0</v>
      </c>
      <c r="AB7" s="1310">
        <f t="shared" si="27"/>
        <v>0</v>
      </c>
      <c r="AC7" s="1310">
        <f t="shared" si="28"/>
        <v>0</v>
      </c>
      <c r="AD7" s="1310">
        <f t="shared" si="29"/>
        <v>0</v>
      </c>
      <c r="AE7" s="1310">
        <f t="shared" si="30"/>
        <v>0</v>
      </c>
      <c r="AF7" s="1310">
        <f t="shared" si="31"/>
        <v>0</v>
      </c>
      <c r="AG7" s="1701">
        <f t="shared" si="32"/>
        <v>0</v>
      </c>
      <c r="AH7" s="1712"/>
      <c r="AI7" s="1712"/>
      <c r="AJ7" s="1712"/>
      <c r="AK7" s="1712"/>
      <c r="AL7" s="1712"/>
      <c r="AM7" s="1712"/>
      <c r="AN7" s="1712"/>
      <c r="AO7" s="1712"/>
      <c r="AP7" s="1712"/>
      <c r="AQ7" s="1712"/>
      <c r="AR7" s="1712"/>
      <c r="AS7" s="1712"/>
      <c r="AT7" s="1712"/>
      <c r="AU7" s="1712"/>
      <c r="AV7" s="1712"/>
      <c r="AW7" s="1712"/>
      <c r="AX7" s="1712"/>
      <c r="AY7" s="1712"/>
      <c r="AZ7" s="1712"/>
      <c r="BA7" s="1712"/>
      <c r="BB7" s="1712"/>
      <c r="BC7" s="1712"/>
      <c r="BD7" s="1712"/>
      <c r="BE7" s="1712"/>
      <c r="BF7" s="1712"/>
      <c r="BG7" s="1712"/>
      <c r="BH7" s="1712"/>
      <c r="BI7" s="1712"/>
      <c r="BJ7" s="1712"/>
      <c r="BK7" s="1712"/>
      <c r="BL7" s="1712"/>
      <c r="BM7" s="1712"/>
      <c r="BN7" s="1703"/>
      <c r="BO7" s="1318"/>
      <c r="BP7" s="1318"/>
      <c r="BQ7" s="1318"/>
      <c r="BR7" s="1318"/>
      <c r="BS7" s="1318"/>
      <c r="BT7" s="1318"/>
      <c r="BU7" s="1318"/>
      <c r="BV7" s="1318"/>
      <c r="BW7" s="1318"/>
      <c r="BX7" s="1318"/>
      <c r="BY7" s="1318"/>
      <c r="BZ7" s="1318"/>
      <c r="CA7" s="1318"/>
      <c r="CB7" s="1704"/>
      <c r="CC7" s="1702"/>
      <c r="CD7" s="1318"/>
      <c r="CE7" s="1318"/>
      <c r="CF7" s="1318"/>
      <c r="CG7" s="1318"/>
      <c r="CH7" s="1710"/>
      <c r="CI7" s="1703"/>
      <c r="CJ7" s="1318"/>
      <c r="CK7" s="1318"/>
      <c r="CL7" s="1318"/>
      <c r="CM7" s="1318"/>
      <c r="CN7" s="1318"/>
      <c r="CO7" s="1318"/>
      <c r="CP7" s="1318"/>
      <c r="CQ7" s="1318"/>
      <c r="CR7" s="1704"/>
    </row>
    <row r="8" spans="1:100" hidden="1">
      <c r="A8" s="1309">
        <v>43252</v>
      </c>
      <c r="B8" s="1310">
        <f t="shared" si="2"/>
        <v>0</v>
      </c>
      <c r="C8" s="1310">
        <f t="shared" si="3"/>
        <v>0</v>
      </c>
      <c r="D8" s="1310">
        <f t="shared" si="4"/>
        <v>0</v>
      </c>
      <c r="E8" s="1310">
        <f t="shared" si="5"/>
        <v>0</v>
      </c>
      <c r="F8" s="1310">
        <f t="shared" si="6"/>
        <v>0</v>
      </c>
      <c r="G8" s="1310">
        <f t="shared" si="7"/>
        <v>0</v>
      </c>
      <c r="H8" s="1310">
        <f t="shared" si="8"/>
        <v>0</v>
      </c>
      <c r="I8" s="1310">
        <f t="shared" si="9"/>
        <v>0</v>
      </c>
      <c r="J8" s="1310">
        <f t="shared" si="10"/>
        <v>0</v>
      </c>
      <c r="K8" s="1310">
        <f t="shared" si="11"/>
        <v>0</v>
      </c>
      <c r="L8" s="1310">
        <f t="shared" si="12"/>
        <v>0</v>
      </c>
      <c r="M8" s="1310">
        <f t="shared" si="13"/>
        <v>0</v>
      </c>
      <c r="N8" s="1310">
        <f t="shared" si="14"/>
        <v>0</v>
      </c>
      <c r="O8" s="1310">
        <f t="shared" si="15"/>
        <v>0</v>
      </c>
      <c r="P8" s="1310"/>
      <c r="Q8" s="1310">
        <f t="shared" si="16"/>
        <v>0</v>
      </c>
      <c r="R8" s="1310">
        <f t="shared" si="17"/>
        <v>0</v>
      </c>
      <c r="S8" s="1310">
        <f t="shared" si="18"/>
        <v>0</v>
      </c>
      <c r="T8" s="1310">
        <f t="shared" si="19"/>
        <v>0</v>
      </c>
      <c r="U8" s="1310">
        <f t="shared" si="20"/>
        <v>0</v>
      </c>
      <c r="V8" s="1310">
        <f t="shared" si="21"/>
        <v>0</v>
      </c>
      <c r="W8" s="1310">
        <f t="shared" si="22"/>
        <v>0</v>
      </c>
      <c r="X8" s="1310">
        <f t="shared" si="23"/>
        <v>0</v>
      </c>
      <c r="Y8" s="1310">
        <f t="shared" si="24"/>
        <v>0</v>
      </c>
      <c r="Z8" s="1310">
        <f t="shared" si="25"/>
        <v>0</v>
      </c>
      <c r="AA8" s="1310">
        <f t="shared" si="26"/>
        <v>0</v>
      </c>
      <c r="AB8" s="1310">
        <f t="shared" si="27"/>
        <v>0</v>
      </c>
      <c r="AC8" s="1310">
        <f t="shared" si="28"/>
        <v>0</v>
      </c>
      <c r="AD8" s="1310">
        <f t="shared" si="29"/>
        <v>0</v>
      </c>
      <c r="AE8" s="1310">
        <f t="shared" si="30"/>
        <v>0</v>
      </c>
      <c r="AF8" s="1310">
        <f t="shared" si="31"/>
        <v>0</v>
      </c>
      <c r="AG8" s="1701">
        <f t="shared" si="32"/>
        <v>0</v>
      </c>
      <c r="AH8" s="1712"/>
      <c r="AI8" s="1712"/>
      <c r="AJ8" s="1712"/>
      <c r="AK8" s="1712"/>
      <c r="AL8" s="1712"/>
      <c r="AM8" s="1712"/>
      <c r="AN8" s="1712"/>
      <c r="AO8" s="1712"/>
      <c r="AP8" s="1712"/>
      <c r="AQ8" s="1712"/>
      <c r="AR8" s="1712"/>
      <c r="AS8" s="1712"/>
      <c r="AT8" s="1712"/>
      <c r="AU8" s="1712"/>
      <c r="AV8" s="1712"/>
      <c r="AW8" s="1712"/>
      <c r="AX8" s="1712"/>
      <c r="AY8" s="1712"/>
      <c r="AZ8" s="1712"/>
      <c r="BA8" s="1712"/>
      <c r="BB8" s="1712"/>
      <c r="BC8" s="1712"/>
      <c r="BD8" s="1712"/>
      <c r="BE8" s="1712"/>
      <c r="BF8" s="1712"/>
      <c r="BG8" s="1712"/>
      <c r="BH8" s="1712"/>
      <c r="BI8" s="1712"/>
      <c r="BJ8" s="1712"/>
      <c r="BK8" s="1712"/>
      <c r="BL8" s="1712"/>
      <c r="BM8" s="1712"/>
      <c r="BN8" s="1703"/>
      <c r="BO8" s="1318"/>
      <c r="BP8" s="1318"/>
      <c r="BQ8" s="1318"/>
      <c r="BR8" s="1318"/>
      <c r="BS8" s="1318"/>
      <c r="BT8" s="1318"/>
      <c r="BU8" s="1318"/>
      <c r="BV8" s="1318"/>
      <c r="BW8" s="1318"/>
      <c r="BX8" s="1318"/>
      <c r="BY8" s="1318"/>
      <c r="BZ8" s="1318"/>
      <c r="CA8" s="1318"/>
      <c r="CB8" s="1704"/>
      <c r="CC8" s="1702"/>
      <c r="CD8" s="1318"/>
      <c r="CE8" s="1318"/>
      <c r="CF8" s="1318"/>
      <c r="CG8" s="1318"/>
      <c r="CH8" s="1710"/>
      <c r="CI8" s="1703"/>
      <c r="CJ8" s="1318"/>
      <c r="CK8" s="1318"/>
      <c r="CL8" s="1318"/>
      <c r="CM8" s="1318"/>
      <c r="CN8" s="1318"/>
      <c r="CO8" s="1318"/>
      <c r="CP8" s="1318"/>
      <c r="CQ8" s="1318"/>
      <c r="CR8" s="1704"/>
    </row>
    <row r="9" spans="1:100" hidden="1">
      <c r="A9" s="1309">
        <v>43282</v>
      </c>
      <c r="B9" s="1310">
        <f t="shared" si="2"/>
        <v>0</v>
      </c>
      <c r="C9" s="1310">
        <f t="shared" si="3"/>
        <v>0</v>
      </c>
      <c r="D9" s="1310">
        <f t="shared" si="4"/>
        <v>0</v>
      </c>
      <c r="E9" s="1310">
        <f t="shared" si="5"/>
        <v>0</v>
      </c>
      <c r="F9" s="1310">
        <f t="shared" si="6"/>
        <v>0</v>
      </c>
      <c r="G9" s="1310">
        <f t="shared" si="7"/>
        <v>0</v>
      </c>
      <c r="H9" s="1310">
        <f t="shared" si="8"/>
        <v>0</v>
      </c>
      <c r="I9" s="1310">
        <f t="shared" si="9"/>
        <v>0</v>
      </c>
      <c r="J9" s="1310">
        <f t="shared" si="10"/>
        <v>0</v>
      </c>
      <c r="K9" s="1310">
        <f t="shared" si="11"/>
        <v>0</v>
      </c>
      <c r="L9" s="1310">
        <f t="shared" si="12"/>
        <v>0</v>
      </c>
      <c r="M9" s="1310">
        <f t="shared" si="13"/>
        <v>0</v>
      </c>
      <c r="N9" s="1310">
        <f t="shared" si="14"/>
        <v>0</v>
      </c>
      <c r="O9" s="1310">
        <f t="shared" si="15"/>
        <v>0</v>
      </c>
      <c r="P9" s="1310"/>
      <c r="Q9" s="1310">
        <f t="shared" si="16"/>
        <v>0</v>
      </c>
      <c r="R9" s="1310">
        <f t="shared" si="17"/>
        <v>0</v>
      </c>
      <c r="S9" s="1310">
        <f t="shared" si="18"/>
        <v>0</v>
      </c>
      <c r="T9" s="1310">
        <f t="shared" si="19"/>
        <v>0</v>
      </c>
      <c r="U9" s="1310">
        <f t="shared" si="20"/>
        <v>0</v>
      </c>
      <c r="V9" s="1310">
        <f t="shared" si="21"/>
        <v>0</v>
      </c>
      <c r="W9" s="1310">
        <f t="shared" si="22"/>
        <v>0</v>
      </c>
      <c r="X9" s="1310">
        <f t="shared" si="23"/>
        <v>0</v>
      </c>
      <c r="Y9" s="1310">
        <f t="shared" si="24"/>
        <v>0</v>
      </c>
      <c r="Z9" s="1310">
        <f t="shared" si="25"/>
        <v>0</v>
      </c>
      <c r="AA9" s="1310">
        <f t="shared" si="26"/>
        <v>0</v>
      </c>
      <c r="AB9" s="1310">
        <f t="shared" si="27"/>
        <v>0</v>
      </c>
      <c r="AC9" s="1310">
        <f t="shared" si="28"/>
        <v>0</v>
      </c>
      <c r="AD9" s="1310">
        <f t="shared" si="29"/>
        <v>0</v>
      </c>
      <c r="AE9" s="1310">
        <f t="shared" si="30"/>
        <v>0</v>
      </c>
      <c r="AF9" s="1310">
        <f t="shared" si="31"/>
        <v>0</v>
      </c>
      <c r="AG9" s="1701">
        <f t="shared" si="32"/>
        <v>0</v>
      </c>
      <c r="AH9" s="1712"/>
      <c r="AI9" s="1712"/>
      <c r="AJ9" s="1712"/>
      <c r="AK9" s="1712"/>
      <c r="AL9" s="1712"/>
      <c r="AM9" s="1712"/>
      <c r="AN9" s="1712"/>
      <c r="AO9" s="1712"/>
      <c r="AP9" s="1712"/>
      <c r="AQ9" s="1712"/>
      <c r="AR9" s="1712"/>
      <c r="AS9" s="1712"/>
      <c r="AT9" s="1712"/>
      <c r="AU9" s="1712"/>
      <c r="AV9" s="1712"/>
      <c r="AW9" s="1712"/>
      <c r="AX9" s="1712"/>
      <c r="AY9" s="1712"/>
      <c r="AZ9" s="1712"/>
      <c r="BA9" s="1712"/>
      <c r="BB9" s="1712"/>
      <c r="BC9" s="1712"/>
      <c r="BD9" s="1712"/>
      <c r="BE9" s="1712"/>
      <c r="BF9" s="1712"/>
      <c r="BG9" s="1712"/>
      <c r="BH9" s="1712"/>
      <c r="BI9" s="1712"/>
      <c r="BJ9" s="1712"/>
      <c r="BK9" s="1712"/>
      <c r="BL9" s="1712"/>
      <c r="BM9" s="1712"/>
      <c r="BN9" s="1703"/>
      <c r="BO9" s="1318"/>
      <c r="BP9" s="1318"/>
      <c r="BQ9" s="1318"/>
      <c r="BR9" s="1318"/>
      <c r="BS9" s="1318"/>
      <c r="BT9" s="1318"/>
      <c r="BU9" s="1318"/>
      <c r="BV9" s="1318"/>
      <c r="BW9" s="1318"/>
      <c r="BX9" s="1318"/>
      <c r="BY9" s="1318"/>
      <c r="BZ9" s="1318"/>
      <c r="CA9" s="1318"/>
      <c r="CB9" s="1704"/>
      <c r="CC9" s="1702"/>
      <c r="CD9" s="1318"/>
      <c r="CE9" s="1318"/>
      <c r="CF9" s="1318"/>
      <c r="CG9" s="1318"/>
      <c r="CH9" s="1710"/>
      <c r="CI9" s="1703"/>
      <c r="CJ9" s="1318"/>
      <c r="CK9" s="1318"/>
      <c r="CL9" s="1318"/>
      <c r="CM9" s="1318"/>
      <c r="CN9" s="1318"/>
      <c r="CO9" s="1318"/>
      <c r="CP9" s="1318"/>
      <c r="CQ9" s="1318"/>
      <c r="CR9" s="1704"/>
    </row>
    <row r="10" spans="1:100" hidden="1">
      <c r="A10" s="1309">
        <v>43313</v>
      </c>
      <c r="B10" s="1310">
        <f t="shared" si="2"/>
        <v>0</v>
      </c>
      <c r="C10" s="1310">
        <f t="shared" si="3"/>
        <v>0</v>
      </c>
      <c r="D10" s="1310">
        <f t="shared" si="4"/>
        <v>0</v>
      </c>
      <c r="E10" s="1310">
        <f t="shared" si="5"/>
        <v>0</v>
      </c>
      <c r="F10" s="1310">
        <f t="shared" si="6"/>
        <v>0</v>
      </c>
      <c r="G10" s="1310">
        <f t="shared" si="7"/>
        <v>0</v>
      </c>
      <c r="H10" s="1310">
        <f t="shared" si="8"/>
        <v>0</v>
      </c>
      <c r="I10" s="1310">
        <f t="shared" si="9"/>
        <v>0</v>
      </c>
      <c r="J10" s="1310">
        <f t="shared" si="10"/>
        <v>0</v>
      </c>
      <c r="K10" s="1310">
        <f t="shared" si="11"/>
        <v>0</v>
      </c>
      <c r="L10" s="1310">
        <f t="shared" si="12"/>
        <v>0</v>
      </c>
      <c r="M10" s="1310">
        <f t="shared" si="13"/>
        <v>0</v>
      </c>
      <c r="N10" s="1310">
        <f t="shared" si="14"/>
        <v>0</v>
      </c>
      <c r="O10" s="1310">
        <f t="shared" si="15"/>
        <v>0</v>
      </c>
      <c r="P10" s="1310"/>
      <c r="Q10" s="1310">
        <f t="shared" si="16"/>
        <v>0</v>
      </c>
      <c r="R10" s="1310">
        <f t="shared" si="17"/>
        <v>0</v>
      </c>
      <c r="S10" s="1310">
        <f t="shared" si="18"/>
        <v>0</v>
      </c>
      <c r="T10" s="1310">
        <f t="shared" si="19"/>
        <v>0</v>
      </c>
      <c r="U10" s="1310">
        <f t="shared" si="20"/>
        <v>0</v>
      </c>
      <c r="V10" s="1310">
        <f t="shared" si="21"/>
        <v>0</v>
      </c>
      <c r="W10" s="1310">
        <f t="shared" si="22"/>
        <v>0</v>
      </c>
      <c r="X10" s="1310">
        <f t="shared" si="23"/>
        <v>0</v>
      </c>
      <c r="Y10" s="1310">
        <f t="shared" si="24"/>
        <v>0</v>
      </c>
      <c r="Z10" s="1310">
        <f t="shared" si="25"/>
        <v>0</v>
      </c>
      <c r="AA10" s="1310">
        <f t="shared" si="26"/>
        <v>0</v>
      </c>
      <c r="AB10" s="1310">
        <f t="shared" si="27"/>
        <v>0</v>
      </c>
      <c r="AC10" s="1310">
        <f t="shared" si="28"/>
        <v>0</v>
      </c>
      <c r="AD10" s="1310">
        <f t="shared" si="29"/>
        <v>0</v>
      </c>
      <c r="AE10" s="1310">
        <f t="shared" si="30"/>
        <v>0</v>
      </c>
      <c r="AF10" s="1310">
        <f t="shared" si="31"/>
        <v>0</v>
      </c>
      <c r="AG10" s="1701">
        <f t="shared" si="32"/>
        <v>0</v>
      </c>
      <c r="AH10" s="1712"/>
      <c r="AI10" s="1712"/>
      <c r="AJ10" s="1712"/>
      <c r="AK10" s="1712"/>
      <c r="AL10" s="1712"/>
      <c r="AM10" s="1712"/>
      <c r="AN10" s="1712"/>
      <c r="AO10" s="1712"/>
      <c r="AP10" s="1712"/>
      <c r="AQ10" s="1712"/>
      <c r="AR10" s="1712"/>
      <c r="AS10" s="1712"/>
      <c r="AT10" s="1712"/>
      <c r="AU10" s="1712"/>
      <c r="AV10" s="1712"/>
      <c r="AW10" s="1712"/>
      <c r="AX10" s="1712"/>
      <c r="AY10" s="1712"/>
      <c r="AZ10" s="1712"/>
      <c r="BA10" s="1712"/>
      <c r="BB10" s="1712"/>
      <c r="BC10" s="1712"/>
      <c r="BD10" s="1712"/>
      <c r="BE10" s="1712"/>
      <c r="BF10" s="1712"/>
      <c r="BG10" s="1712"/>
      <c r="BH10" s="1712"/>
      <c r="BI10" s="1712"/>
      <c r="BJ10" s="1712"/>
      <c r="BK10" s="1712"/>
      <c r="BL10" s="1712"/>
      <c r="BM10" s="1712"/>
      <c r="BN10" s="1703"/>
      <c r="BO10" s="1318"/>
      <c r="BP10" s="1318"/>
      <c r="BQ10" s="1318"/>
      <c r="BR10" s="1318"/>
      <c r="BS10" s="1318"/>
      <c r="BT10" s="1318"/>
      <c r="BU10" s="1318"/>
      <c r="BV10" s="1318"/>
      <c r="BW10" s="1318"/>
      <c r="BX10" s="1318"/>
      <c r="BY10" s="1318"/>
      <c r="BZ10" s="1318"/>
      <c r="CA10" s="1318"/>
      <c r="CB10" s="1704"/>
      <c r="CC10" s="1702"/>
      <c r="CD10" s="1318"/>
      <c r="CE10" s="1318"/>
      <c r="CF10" s="1318"/>
      <c r="CG10" s="1318"/>
      <c r="CH10" s="1710"/>
      <c r="CI10" s="1703"/>
      <c r="CJ10" s="1318"/>
      <c r="CK10" s="1318"/>
      <c r="CL10" s="1318"/>
      <c r="CM10" s="1318"/>
      <c r="CN10" s="1318"/>
      <c r="CO10" s="1318"/>
      <c r="CP10" s="1318"/>
      <c r="CQ10" s="1318"/>
      <c r="CR10" s="1704"/>
    </row>
    <row r="11" spans="1:100" hidden="1">
      <c r="A11" s="1309">
        <v>43344</v>
      </c>
      <c r="B11" s="1310">
        <f t="shared" si="2"/>
        <v>0</v>
      </c>
      <c r="C11" s="1310">
        <f t="shared" si="3"/>
        <v>0</v>
      </c>
      <c r="D11" s="1310">
        <f t="shared" si="4"/>
        <v>0</v>
      </c>
      <c r="E11" s="1310">
        <f t="shared" si="5"/>
        <v>0</v>
      </c>
      <c r="F11" s="1310">
        <f t="shared" si="6"/>
        <v>0</v>
      </c>
      <c r="G11" s="1310">
        <f t="shared" si="7"/>
        <v>0</v>
      </c>
      <c r="H11" s="1310">
        <f t="shared" si="8"/>
        <v>0</v>
      </c>
      <c r="I11" s="1310">
        <f t="shared" si="9"/>
        <v>0</v>
      </c>
      <c r="J11" s="1310">
        <f t="shared" si="10"/>
        <v>0</v>
      </c>
      <c r="K11" s="1310">
        <f t="shared" si="11"/>
        <v>0</v>
      </c>
      <c r="L11" s="1310">
        <f t="shared" si="12"/>
        <v>0</v>
      </c>
      <c r="M11" s="1310">
        <f t="shared" si="13"/>
        <v>0</v>
      </c>
      <c r="N11" s="1310">
        <f t="shared" si="14"/>
        <v>0</v>
      </c>
      <c r="O11" s="1310">
        <f t="shared" si="15"/>
        <v>0</v>
      </c>
      <c r="P11" s="1310"/>
      <c r="Q11" s="1310">
        <f t="shared" si="16"/>
        <v>0</v>
      </c>
      <c r="R11" s="1310">
        <f t="shared" si="17"/>
        <v>0</v>
      </c>
      <c r="S11" s="1310">
        <f t="shared" si="18"/>
        <v>0</v>
      </c>
      <c r="T11" s="1310">
        <f t="shared" si="19"/>
        <v>0</v>
      </c>
      <c r="U11" s="1310">
        <f t="shared" si="20"/>
        <v>0</v>
      </c>
      <c r="V11" s="1310">
        <f t="shared" si="21"/>
        <v>0</v>
      </c>
      <c r="W11" s="1310">
        <f t="shared" si="22"/>
        <v>0</v>
      </c>
      <c r="X11" s="1310">
        <f t="shared" si="23"/>
        <v>0</v>
      </c>
      <c r="Y11" s="1310">
        <f t="shared" si="24"/>
        <v>0</v>
      </c>
      <c r="Z11" s="1310">
        <f t="shared" si="25"/>
        <v>0</v>
      </c>
      <c r="AA11" s="1310">
        <f t="shared" si="26"/>
        <v>0</v>
      </c>
      <c r="AB11" s="1310">
        <f t="shared" si="27"/>
        <v>0</v>
      </c>
      <c r="AC11" s="1310">
        <f t="shared" si="28"/>
        <v>0</v>
      </c>
      <c r="AD11" s="1310">
        <f t="shared" si="29"/>
        <v>0</v>
      </c>
      <c r="AE11" s="1310">
        <f t="shared" si="30"/>
        <v>0</v>
      </c>
      <c r="AF11" s="1310">
        <f t="shared" si="31"/>
        <v>0</v>
      </c>
      <c r="AG11" s="1701">
        <f t="shared" si="32"/>
        <v>0</v>
      </c>
      <c r="AH11" s="1712"/>
      <c r="AI11" s="1712"/>
      <c r="AJ11" s="1712"/>
      <c r="AK11" s="1712"/>
      <c r="AL11" s="1712"/>
      <c r="AM11" s="1712"/>
      <c r="AN11" s="1712"/>
      <c r="AO11" s="1712"/>
      <c r="AP11" s="1712"/>
      <c r="AQ11" s="1712"/>
      <c r="AR11" s="1712"/>
      <c r="AS11" s="1712"/>
      <c r="AT11" s="1712"/>
      <c r="AU11" s="1712"/>
      <c r="AV11" s="1712"/>
      <c r="AW11" s="1712"/>
      <c r="AX11" s="1712"/>
      <c r="AY11" s="1712"/>
      <c r="AZ11" s="1712"/>
      <c r="BA11" s="1712"/>
      <c r="BB11" s="1712"/>
      <c r="BC11" s="1712"/>
      <c r="BD11" s="1712"/>
      <c r="BE11" s="1712"/>
      <c r="BF11" s="1712"/>
      <c r="BG11" s="1712"/>
      <c r="BH11" s="1712"/>
      <c r="BI11" s="1712"/>
      <c r="BJ11" s="1712"/>
      <c r="BK11" s="1712"/>
      <c r="BL11" s="1712"/>
      <c r="BM11" s="1712"/>
      <c r="BN11" s="1703"/>
      <c r="BO11" s="1318"/>
      <c r="BP11" s="1318"/>
      <c r="BQ11" s="1318"/>
      <c r="BR11" s="1318"/>
      <c r="BS11" s="1318"/>
      <c r="BT11" s="1318"/>
      <c r="BU11" s="1318"/>
      <c r="BV11" s="1318"/>
      <c r="BW11" s="1318"/>
      <c r="BX11" s="1318"/>
      <c r="BY11" s="1318"/>
      <c r="BZ11" s="1318"/>
      <c r="CA11" s="1318"/>
      <c r="CB11" s="1704"/>
      <c r="CC11" s="1702"/>
      <c r="CD11" s="1318"/>
      <c r="CE11" s="1318"/>
      <c r="CF11" s="1318"/>
      <c r="CG11" s="1318"/>
      <c r="CH11" s="1710"/>
      <c r="CI11" s="1703"/>
      <c r="CJ11" s="1318"/>
      <c r="CK11" s="1318"/>
      <c r="CL11" s="1318"/>
      <c r="CM11" s="1318"/>
      <c r="CN11" s="1318"/>
      <c r="CO11" s="1318"/>
      <c r="CP11" s="1318"/>
      <c r="CQ11" s="1318"/>
      <c r="CR11" s="1704"/>
    </row>
    <row r="12" spans="1:100" hidden="1">
      <c r="A12" s="1309">
        <v>43374</v>
      </c>
      <c r="B12" s="1310">
        <f t="shared" si="2"/>
        <v>0</v>
      </c>
      <c r="C12" s="1310">
        <f t="shared" si="3"/>
        <v>0</v>
      </c>
      <c r="D12" s="1310">
        <f t="shared" si="4"/>
        <v>0</v>
      </c>
      <c r="E12" s="1310">
        <f t="shared" si="5"/>
        <v>0</v>
      </c>
      <c r="F12" s="1310">
        <f t="shared" si="6"/>
        <v>0</v>
      </c>
      <c r="G12" s="1310">
        <f t="shared" si="7"/>
        <v>0</v>
      </c>
      <c r="H12" s="1310">
        <f t="shared" si="8"/>
        <v>0</v>
      </c>
      <c r="I12" s="1310">
        <f t="shared" si="9"/>
        <v>0</v>
      </c>
      <c r="J12" s="1310">
        <f t="shared" si="10"/>
        <v>0</v>
      </c>
      <c r="K12" s="1310">
        <f t="shared" si="11"/>
        <v>0</v>
      </c>
      <c r="L12" s="1310">
        <f t="shared" si="12"/>
        <v>0</v>
      </c>
      <c r="M12" s="1310">
        <f t="shared" si="13"/>
        <v>0</v>
      </c>
      <c r="N12" s="1310">
        <f t="shared" si="14"/>
        <v>0</v>
      </c>
      <c r="O12" s="1310">
        <f t="shared" si="15"/>
        <v>0</v>
      </c>
      <c r="P12" s="1310"/>
      <c r="Q12" s="1310">
        <f t="shared" si="16"/>
        <v>0</v>
      </c>
      <c r="R12" s="1310">
        <f t="shared" si="17"/>
        <v>0</v>
      </c>
      <c r="S12" s="1310">
        <f t="shared" si="18"/>
        <v>0</v>
      </c>
      <c r="T12" s="1310">
        <f t="shared" si="19"/>
        <v>0</v>
      </c>
      <c r="U12" s="1310">
        <f t="shared" si="20"/>
        <v>0</v>
      </c>
      <c r="V12" s="1310">
        <f t="shared" si="21"/>
        <v>0</v>
      </c>
      <c r="W12" s="1310">
        <f t="shared" si="22"/>
        <v>0</v>
      </c>
      <c r="X12" s="1310">
        <f t="shared" si="23"/>
        <v>0</v>
      </c>
      <c r="Y12" s="1310">
        <f t="shared" si="24"/>
        <v>0</v>
      </c>
      <c r="Z12" s="1310">
        <f t="shared" si="25"/>
        <v>0</v>
      </c>
      <c r="AA12" s="1310">
        <f t="shared" si="26"/>
        <v>0</v>
      </c>
      <c r="AB12" s="1310">
        <f t="shared" si="27"/>
        <v>0</v>
      </c>
      <c r="AC12" s="1310">
        <f t="shared" si="28"/>
        <v>0</v>
      </c>
      <c r="AD12" s="1310">
        <f t="shared" si="29"/>
        <v>0</v>
      </c>
      <c r="AE12" s="1310">
        <f t="shared" si="30"/>
        <v>0</v>
      </c>
      <c r="AF12" s="1310">
        <f t="shared" si="31"/>
        <v>0</v>
      </c>
      <c r="AG12" s="1701">
        <f t="shared" si="32"/>
        <v>0</v>
      </c>
      <c r="AH12" s="1712"/>
      <c r="AI12" s="1712"/>
      <c r="AJ12" s="1712"/>
      <c r="AK12" s="1712"/>
      <c r="AL12" s="1712"/>
      <c r="AM12" s="1712"/>
      <c r="AN12" s="1712"/>
      <c r="AO12" s="1712"/>
      <c r="AP12" s="1712"/>
      <c r="AQ12" s="1712"/>
      <c r="AR12" s="1712"/>
      <c r="AS12" s="1712"/>
      <c r="AT12" s="1712"/>
      <c r="AU12" s="1712"/>
      <c r="AV12" s="1712"/>
      <c r="AW12" s="1712"/>
      <c r="AX12" s="1712"/>
      <c r="AY12" s="1712"/>
      <c r="AZ12" s="1712"/>
      <c r="BA12" s="1712"/>
      <c r="BB12" s="1712"/>
      <c r="BC12" s="1712"/>
      <c r="BD12" s="1712"/>
      <c r="BE12" s="1712"/>
      <c r="BF12" s="1712"/>
      <c r="BG12" s="1712"/>
      <c r="BH12" s="1712"/>
      <c r="BI12" s="1712"/>
      <c r="BJ12" s="1712"/>
      <c r="BK12" s="1712"/>
      <c r="BL12" s="1712"/>
      <c r="BM12" s="1712"/>
      <c r="BN12" s="1703"/>
      <c r="BO12" s="1318"/>
      <c r="BP12" s="1318"/>
      <c r="BQ12" s="1318"/>
      <c r="BR12" s="1318"/>
      <c r="BS12" s="1318"/>
      <c r="BT12" s="1318"/>
      <c r="BU12" s="1318"/>
      <c r="BV12" s="1318"/>
      <c r="BW12" s="1318"/>
      <c r="BX12" s="1318"/>
      <c r="BY12" s="1318"/>
      <c r="BZ12" s="1318"/>
      <c r="CA12" s="1318"/>
      <c r="CB12" s="1704"/>
      <c r="CC12" s="1702"/>
      <c r="CD12" s="1318"/>
      <c r="CE12" s="1318"/>
      <c r="CF12" s="1318"/>
      <c r="CG12" s="1318"/>
      <c r="CH12" s="1710"/>
      <c r="CI12" s="1703"/>
      <c r="CJ12" s="1318"/>
      <c r="CK12" s="1318"/>
      <c r="CL12" s="1318"/>
      <c r="CM12" s="1318"/>
      <c r="CN12" s="1318"/>
      <c r="CO12" s="1318"/>
      <c r="CP12" s="1318"/>
      <c r="CQ12" s="1318"/>
      <c r="CR12" s="1704"/>
    </row>
    <row r="13" spans="1:100" hidden="1">
      <c r="A13" s="1309">
        <v>43405</v>
      </c>
      <c r="B13" s="1310">
        <f t="shared" si="2"/>
        <v>0</v>
      </c>
      <c r="C13" s="1310">
        <f t="shared" si="3"/>
        <v>0</v>
      </c>
      <c r="D13" s="1310">
        <f t="shared" si="4"/>
        <v>0</v>
      </c>
      <c r="E13" s="1310">
        <f t="shared" si="5"/>
        <v>0</v>
      </c>
      <c r="F13" s="1310">
        <f t="shared" si="6"/>
        <v>0</v>
      </c>
      <c r="G13" s="1310">
        <f t="shared" si="7"/>
        <v>0</v>
      </c>
      <c r="H13" s="1310">
        <f t="shared" si="8"/>
        <v>0</v>
      </c>
      <c r="I13" s="1310">
        <f t="shared" si="9"/>
        <v>0</v>
      </c>
      <c r="J13" s="1310">
        <f t="shared" si="10"/>
        <v>0</v>
      </c>
      <c r="K13" s="1310">
        <f t="shared" si="11"/>
        <v>0</v>
      </c>
      <c r="L13" s="1310">
        <f t="shared" si="12"/>
        <v>0</v>
      </c>
      <c r="M13" s="1310">
        <f t="shared" si="13"/>
        <v>0</v>
      </c>
      <c r="N13" s="1310">
        <f t="shared" si="14"/>
        <v>0</v>
      </c>
      <c r="O13" s="1310">
        <f t="shared" si="15"/>
        <v>0</v>
      </c>
      <c r="P13" s="1310"/>
      <c r="Q13" s="1310">
        <f t="shared" si="16"/>
        <v>0</v>
      </c>
      <c r="R13" s="1310">
        <f t="shared" si="17"/>
        <v>0</v>
      </c>
      <c r="S13" s="1310">
        <f t="shared" si="18"/>
        <v>0</v>
      </c>
      <c r="T13" s="1310">
        <f t="shared" si="19"/>
        <v>0</v>
      </c>
      <c r="U13" s="1310">
        <f t="shared" si="20"/>
        <v>0</v>
      </c>
      <c r="V13" s="1310">
        <f t="shared" si="21"/>
        <v>0</v>
      </c>
      <c r="W13" s="1310">
        <f t="shared" si="22"/>
        <v>0</v>
      </c>
      <c r="X13" s="1310">
        <f t="shared" si="23"/>
        <v>0</v>
      </c>
      <c r="Y13" s="1310">
        <f t="shared" si="24"/>
        <v>0</v>
      </c>
      <c r="Z13" s="1310">
        <f t="shared" si="25"/>
        <v>0</v>
      </c>
      <c r="AA13" s="1310">
        <f t="shared" si="26"/>
        <v>0</v>
      </c>
      <c r="AB13" s="1310">
        <f t="shared" si="27"/>
        <v>0</v>
      </c>
      <c r="AC13" s="1310">
        <f t="shared" si="28"/>
        <v>0</v>
      </c>
      <c r="AD13" s="1310">
        <f t="shared" si="29"/>
        <v>0</v>
      </c>
      <c r="AE13" s="1310">
        <f t="shared" si="30"/>
        <v>0</v>
      </c>
      <c r="AF13" s="1310">
        <f t="shared" si="31"/>
        <v>0</v>
      </c>
      <c r="AG13" s="1701">
        <f t="shared" si="32"/>
        <v>0</v>
      </c>
      <c r="AH13" s="1712"/>
      <c r="AI13" s="1712"/>
      <c r="AJ13" s="1712"/>
      <c r="AK13" s="1712"/>
      <c r="AL13" s="1712"/>
      <c r="AM13" s="1712"/>
      <c r="AN13" s="1712"/>
      <c r="AO13" s="1712"/>
      <c r="AP13" s="1712"/>
      <c r="AQ13" s="1712"/>
      <c r="AR13" s="1712"/>
      <c r="AS13" s="1712"/>
      <c r="AT13" s="1712"/>
      <c r="AU13" s="1712"/>
      <c r="AV13" s="1712"/>
      <c r="AW13" s="1712"/>
      <c r="AX13" s="1712"/>
      <c r="AY13" s="1712"/>
      <c r="AZ13" s="1712"/>
      <c r="BA13" s="1712"/>
      <c r="BB13" s="1712"/>
      <c r="BC13" s="1712"/>
      <c r="BD13" s="1712"/>
      <c r="BE13" s="1712"/>
      <c r="BF13" s="1712"/>
      <c r="BG13" s="1712"/>
      <c r="BH13" s="1712"/>
      <c r="BI13" s="1712"/>
      <c r="BJ13" s="1712"/>
      <c r="BK13" s="1712"/>
      <c r="BL13" s="1712"/>
      <c r="BM13" s="1712"/>
      <c r="BN13" s="1703"/>
      <c r="BO13" s="1318"/>
      <c r="BP13" s="1318"/>
      <c r="BQ13" s="1318"/>
      <c r="BR13" s="1318"/>
      <c r="BS13" s="1318"/>
      <c r="BT13" s="1318"/>
      <c r="BU13" s="1318"/>
      <c r="BV13" s="1318"/>
      <c r="BW13" s="1318"/>
      <c r="BX13" s="1318"/>
      <c r="BY13" s="1318"/>
      <c r="BZ13" s="1318"/>
      <c r="CA13" s="1318"/>
      <c r="CB13" s="1704"/>
      <c r="CC13" s="1702"/>
      <c r="CD13" s="1318"/>
      <c r="CE13" s="1318"/>
      <c r="CF13" s="1318"/>
      <c r="CG13" s="1318"/>
      <c r="CH13" s="1710"/>
      <c r="CI13" s="1703"/>
      <c r="CJ13" s="1318"/>
      <c r="CK13" s="1318"/>
      <c r="CL13" s="1318"/>
      <c r="CM13" s="1318"/>
      <c r="CN13" s="1318"/>
      <c r="CO13" s="1318"/>
      <c r="CP13" s="1318"/>
      <c r="CQ13" s="1318"/>
      <c r="CR13" s="1704"/>
    </row>
    <row r="14" spans="1:100" hidden="1">
      <c r="A14" s="1309">
        <v>43435</v>
      </c>
      <c r="B14" s="1310">
        <f t="shared" si="2"/>
        <v>0</v>
      </c>
      <c r="C14" s="1310">
        <f t="shared" si="3"/>
        <v>0</v>
      </c>
      <c r="D14" s="1310">
        <f t="shared" si="4"/>
        <v>0</v>
      </c>
      <c r="E14" s="1310">
        <f t="shared" si="5"/>
        <v>0</v>
      </c>
      <c r="F14" s="1310">
        <f t="shared" si="6"/>
        <v>0</v>
      </c>
      <c r="G14" s="1310">
        <f t="shared" si="7"/>
        <v>0</v>
      </c>
      <c r="H14" s="1310">
        <f t="shared" si="8"/>
        <v>0</v>
      </c>
      <c r="I14" s="1310">
        <f t="shared" si="9"/>
        <v>0</v>
      </c>
      <c r="J14" s="1310">
        <f t="shared" si="10"/>
        <v>0</v>
      </c>
      <c r="K14" s="1310">
        <f t="shared" si="11"/>
        <v>0</v>
      </c>
      <c r="L14" s="1310">
        <f t="shared" si="12"/>
        <v>0</v>
      </c>
      <c r="M14" s="1310">
        <f t="shared" si="13"/>
        <v>0</v>
      </c>
      <c r="N14" s="1310">
        <f t="shared" si="14"/>
        <v>0</v>
      </c>
      <c r="O14" s="1310">
        <f t="shared" si="15"/>
        <v>0</v>
      </c>
      <c r="P14" s="1310"/>
      <c r="Q14" s="1310">
        <f t="shared" si="16"/>
        <v>0</v>
      </c>
      <c r="R14" s="1310">
        <f t="shared" si="17"/>
        <v>0</v>
      </c>
      <c r="S14" s="1310">
        <f t="shared" si="18"/>
        <v>0</v>
      </c>
      <c r="T14" s="1310">
        <f t="shared" si="19"/>
        <v>0</v>
      </c>
      <c r="U14" s="1310">
        <f t="shared" si="20"/>
        <v>0</v>
      </c>
      <c r="V14" s="1310">
        <f t="shared" si="21"/>
        <v>0</v>
      </c>
      <c r="W14" s="1310">
        <f t="shared" si="22"/>
        <v>0</v>
      </c>
      <c r="X14" s="1310">
        <f t="shared" si="23"/>
        <v>0</v>
      </c>
      <c r="Y14" s="1310">
        <f t="shared" si="24"/>
        <v>0</v>
      </c>
      <c r="Z14" s="1310">
        <f t="shared" si="25"/>
        <v>0</v>
      </c>
      <c r="AA14" s="1310">
        <f t="shared" si="26"/>
        <v>0</v>
      </c>
      <c r="AB14" s="1310">
        <f t="shared" si="27"/>
        <v>0</v>
      </c>
      <c r="AC14" s="1310">
        <f t="shared" si="28"/>
        <v>0</v>
      </c>
      <c r="AD14" s="1310">
        <f t="shared" si="29"/>
        <v>0</v>
      </c>
      <c r="AE14" s="1310">
        <f t="shared" si="30"/>
        <v>0</v>
      </c>
      <c r="AF14" s="1310">
        <f t="shared" si="31"/>
        <v>0</v>
      </c>
      <c r="AG14" s="1701">
        <f t="shared" si="32"/>
        <v>0</v>
      </c>
      <c r="AH14" s="1712"/>
      <c r="AI14" s="1712"/>
      <c r="AJ14" s="1712"/>
      <c r="AK14" s="1712"/>
      <c r="AL14" s="1712"/>
      <c r="AM14" s="1712"/>
      <c r="AN14" s="1712"/>
      <c r="AO14" s="1712"/>
      <c r="AP14" s="1712"/>
      <c r="AQ14" s="1712"/>
      <c r="AR14" s="1712"/>
      <c r="AS14" s="1712"/>
      <c r="AT14" s="1712"/>
      <c r="AU14" s="1712"/>
      <c r="AV14" s="1712"/>
      <c r="AW14" s="1712"/>
      <c r="AX14" s="1712"/>
      <c r="AY14" s="1712"/>
      <c r="AZ14" s="1712"/>
      <c r="BA14" s="1712"/>
      <c r="BB14" s="1712"/>
      <c r="BC14" s="1712"/>
      <c r="BD14" s="1712"/>
      <c r="BE14" s="1712"/>
      <c r="BF14" s="1712"/>
      <c r="BG14" s="1712"/>
      <c r="BH14" s="1712"/>
      <c r="BI14" s="1712"/>
      <c r="BJ14" s="1712"/>
      <c r="BK14" s="1712"/>
      <c r="BL14" s="1712"/>
      <c r="BM14" s="1712"/>
      <c r="BN14" s="1703"/>
      <c r="BO14" s="1318"/>
      <c r="BP14" s="1318"/>
      <c r="BQ14" s="1318"/>
      <c r="BR14" s="1318"/>
      <c r="BS14" s="1318"/>
      <c r="BT14" s="1318"/>
      <c r="BU14" s="1318"/>
      <c r="BV14" s="1318"/>
      <c r="BW14" s="1318"/>
      <c r="BX14" s="1318"/>
      <c r="BY14" s="1318"/>
      <c r="BZ14" s="1318"/>
      <c r="CA14" s="1318"/>
      <c r="CB14" s="1704"/>
      <c r="CC14" s="1702"/>
      <c r="CD14" s="1318"/>
      <c r="CE14" s="1318"/>
      <c r="CF14" s="1318"/>
      <c r="CG14" s="1318"/>
      <c r="CH14" s="1710"/>
      <c r="CI14" s="1703"/>
      <c r="CJ14" s="1318"/>
      <c r="CK14" s="1318"/>
      <c r="CL14" s="1318"/>
      <c r="CM14" s="1318"/>
      <c r="CN14" s="1318"/>
      <c r="CO14" s="1318"/>
      <c r="CP14" s="1318"/>
      <c r="CQ14" s="1318"/>
      <c r="CR14" s="1704"/>
    </row>
    <row r="15" spans="1:100" hidden="1">
      <c r="A15" s="1309">
        <v>43466</v>
      </c>
      <c r="B15" s="1310">
        <v>0</v>
      </c>
      <c r="C15" s="1310">
        <v>0</v>
      </c>
      <c r="D15" s="1310">
        <v>0</v>
      </c>
      <c r="E15" s="1310">
        <v>0</v>
      </c>
      <c r="F15" s="1310">
        <v>0</v>
      </c>
      <c r="G15" s="1310">
        <v>0</v>
      </c>
      <c r="H15" s="1310">
        <v>0</v>
      </c>
      <c r="I15" s="1310">
        <v>0</v>
      </c>
      <c r="J15" s="1310">
        <v>0</v>
      </c>
      <c r="K15" s="1310">
        <v>0</v>
      </c>
      <c r="L15" s="1310">
        <v>0</v>
      </c>
      <c r="M15" s="1310">
        <v>0</v>
      </c>
      <c r="N15" s="1310">
        <v>0</v>
      </c>
      <c r="O15" s="1310">
        <v>0</v>
      </c>
      <c r="P15" s="1310"/>
      <c r="Q15" s="1310">
        <v>0</v>
      </c>
      <c r="R15" s="1310">
        <v>0</v>
      </c>
      <c r="S15" s="1310">
        <v>0</v>
      </c>
      <c r="T15" s="1310">
        <v>0</v>
      </c>
      <c r="U15" s="1310">
        <v>0</v>
      </c>
      <c r="V15" s="1310">
        <v>0</v>
      </c>
      <c r="W15" s="1310">
        <v>0</v>
      </c>
      <c r="X15" s="1310">
        <v>0</v>
      </c>
      <c r="Y15" s="1310">
        <v>0</v>
      </c>
      <c r="Z15" s="1310">
        <v>0</v>
      </c>
      <c r="AA15" s="1310">
        <v>0</v>
      </c>
      <c r="AB15" s="1310">
        <v>0</v>
      </c>
      <c r="AC15" s="1310">
        <v>0</v>
      </c>
      <c r="AD15" s="1310">
        <v>0</v>
      </c>
      <c r="AE15" s="1310">
        <v>0</v>
      </c>
      <c r="AF15" s="1310">
        <v>0</v>
      </c>
      <c r="AG15" s="1701">
        <v>0</v>
      </c>
      <c r="AH15" s="1712"/>
      <c r="AI15" s="1712"/>
      <c r="AJ15" s="1712"/>
      <c r="AK15" s="1712"/>
      <c r="AL15" s="1712"/>
      <c r="AM15" s="1712"/>
      <c r="AN15" s="1712"/>
      <c r="AO15" s="1712"/>
      <c r="AP15" s="1712"/>
      <c r="AQ15" s="1712"/>
      <c r="AR15" s="1712"/>
      <c r="AS15" s="1712"/>
      <c r="AT15" s="1712"/>
      <c r="AU15" s="1712"/>
      <c r="AV15" s="1712"/>
      <c r="AW15" s="1712"/>
      <c r="AX15" s="1712"/>
      <c r="AY15" s="1712"/>
      <c r="AZ15" s="1712"/>
      <c r="BA15" s="1712"/>
      <c r="BB15" s="1712"/>
      <c r="BC15" s="1712"/>
      <c r="BD15" s="1712"/>
      <c r="BE15" s="1712"/>
      <c r="BF15" s="1712"/>
      <c r="BG15" s="1712"/>
      <c r="BH15" s="1712"/>
      <c r="BI15" s="1712"/>
      <c r="BJ15" s="1712"/>
      <c r="BK15" s="1712"/>
      <c r="BL15" s="1712"/>
      <c r="BM15" s="1712"/>
      <c r="BN15" s="1703"/>
      <c r="BO15" s="1318"/>
      <c r="BP15" s="1318"/>
      <c r="BQ15" s="1318"/>
      <c r="BR15" s="1318"/>
      <c r="BS15" s="1318"/>
      <c r="BT15" s="1318"/>
      <c r="BU15" s="1318"/>
      <c r="BV15" s="1318"/>
      <c r="BW15" s="1318"/>
      <c r="BX15" s="1318"/>
      <c r="BY15" s="1318"/>
      <c r="BZ15" s="1318"/>
      <c r="CA15" s="1318"/>
      <c r="CB15" s="1704"/>
      <c r="CC15" s="1702"/>
      <c r="CD15" s="1318"/>
      <c r="CE15" s="1318"/>
      <c r="CF15" s="1318"/>
      <c r="CG15" s="1318"/>
      <c r="CH15" s="1710"/>
      <c r="CI15" s="1703"/>
      <c r="CJ15" s="1318"/>
      <c r="CK15" s="1318"/>
      <c r="CL15" s="1318"/>
      <c r="CM15" s="1318"/>
      <c r="CN15" s="1318"/>
      <c r="CO15" s="1318"/>
      <c r="CP15" s="1318"/>
      <c r="CQ15" s="1318"/>
      <c r="CR15" s="1704"/>
    </row>
    <row r="16" spans="1:100" hidden="1">
      <c r="A16" s="1309">
        <v>43497</v>
      </c>
      <c r="B16" s="1310">
        <v>0</v>
      </c>
      <c r="C16" s="1310">
        <v>0</v>
      </c>
      <c r="D16" s="1310">
        <v>0</v>
      </c>
      <c r="E16" s="1310">
        <v>0</v>
      </c>
      <c r="F16" s="1310">
        <v>0</v>
      </c>
      <c r="G16" s="1310">
        <v>0</v>
      </c>
      <c r="H16" s="1310">
        <v>0</v>
      </c>
      <c r="I16" s="1310">
        <v>0</v>
      </c>
      <c r="J16" s="1310">
        <v>0</v>
      </c>
      <c r="K16" s="1310">
        <v>0</v>
      </c>
      <c r="L16" s="1310">
        <v>0</v>
      </c>
      <c r="M16" s="1310">
        <v>0</v>
      </c>
      <c r="N16" s="1310">
        <v>0</v>
      </c>
      <c r="O16" s="1310">
        <v>0</v>
      </c>
      <c r="P16" s="1310"/>
      <c r="Q16" s="1310">
        <v>0</v>
      </c>
      <c r="R16" s="1310">
        <v>0</v>
      </c>
      <c r="S16" s="1310">
        <v>0</v>
      </c>
      <c r="T16" s="1310">
        <v>0</v>
      </c>
      <c r="U16" s="1310">
        <v>0</v>
      </c>
      <c r="V16" s="1310">
        <v>0</v>
      </c>
      <c r="W16" s="1310">
        <v>0</v>
      </c>
      <c r="X16" s="1310">
        <v>0</v>
      </c>
      <c r="Y16" s="1310">
        <v>0</v>
      </c>
      <c r="Z16" s="1310">
        <v>0</v>
      </c>
      <c r="AA16" s="1310">
        <v>0</v>
      </c>
      <c r="AB16" s="1310">
        <v>0</v>
      </c>
      <c r="AC16" s="1310">
        <v>0</v>
      </c>
      <c r="AD16" s="1310">
        <v>0</v>
      </c>
      <c r="AE16" s="1310">
        <v>0</v>
      </c>
      <c r="AF16" s="1310">
        <v>0</v>
      </c>
      <c r="AG16" s="1701">
        <v>0</v>
      </c>
      <c r="AH16" s="1712"/>
      <c r="AI16" s="1712"/>
      <c r="AJ16" s="1712"/>
      <c r="AK16" s="1712"/>
      <c r="AL16" s="1712"/>
      <c r="AM16" s="1712"/>
      <c r="AN16" s="1712"/>
      <c r="AO16" s="1712"/>
      <c r="AP16" s="1712"/>
      <c r="AQ16" s="1712"/>
      <c r="AR16" s="1712"/>
      <c r="AS16" s="1712"/>
      <c r="AT16" s="1712"/>
      <c r="AU16" s="1712"/>
      <c r="AV16" s="1712"/>
      <c r="AW16" s="1712"/>
      <c r="AX16" s="1712"/>
      <c r="AY16" s="1712"/>
      <c r="AZ16" s="1712"/>
      <c r="BA16" s="1712"/>
      <c r="BB16" s="1712"/>
      <c r="BC16" s="1712"/>
      <c r="BD16" s="1712"/>
      <c r="BE16" s="1712"/>
      <c r="BF16" s="1712"/>
      <c r="BG16" s="1712"/>
      <c r="BH16" s="1712"/>
      <c r="BI16" s="1712"/>
      <c r="BJ16" s="1712"/>
      <c r="BK16" s="1712"/>
      <c r="BL16" s="1712"/>
      <c r="BM16" s="1712"/>
      <c r="BN16" s="1703"/>
      <c r="BO16" s="1318"/>
      <c r="BP16" s="1318"/>
      <c r="BQ16" s="1318"/>
      <c r="BR16" s="1318"/>
      <c r="BS16" s="1318"/>
      <c r="BT16" s="1318"/>
      <c r="BU16" s="1318"/>
      <c r="BV16" s="1318"/>
      <c r="BW16" s="1318"/>
      <c r="BX16" s="1318"/>
      <c r="BY16" s="1318"/>
      <c r="BZ16" s="1318"/>
      <c r="CA16" s="1318"/>
      <c r="CB16" s="1704"/>
      <c r="CC16" s="1702"/>
      <c r="CD16" s="1318"/>
      <c r="CE16" s="1318"/>
      <c r="CF16" s="1318"/>
      <c r="CG16" s="1318"/>
      <c r="CH16" s="1710"/>
      <c r="CI16" s="1703"/>
      <c r="CJ16" s="1318"/>
      <c r="CK16" s="1318"/>
      <c r="CL16" s="1318"/>
      <c r="CM16" s="1318"/>
      <c r="CN16" s="1318"/>
      <c r="CO16" s="1318"/>
      <c r="CP16" s="1318"/>
      <c r="CQ16" s="1318"/>
      <c r="CR16" s="1704"/>
    </row>
    <row r="17" spans="1:97" hidden="1">
      <c r="A17" s="1309">
        <v>43525</v>
      </c>
      <c r="B17" s="1310">
        <v>0</v>
      </c>
      <c r="C17" s="1310">
        <v>0</v>
      </c>
      <c r="D17" s="1310">
        <v>0</v>
      </c>
      <c r="E17" s="1310">
        <v>0</v>
      </c>
      <c r="F17" s="1310">
        <v>0</v>
      </c>
      <c r="G17" s="1310">
        <v>0</v>
      </c>
      <c r="H17" s="1310">
        <v>0</v>
      </c>
      <c r="I17" s="1310">
        <v>0</v>
      </c>
      <c r="J17" s="1310">
        <v>0</v>
      </c>
      <c r="K17" s="1310">
        <v>0</v>
      </c>
      <c r="L17" s="1310">
        <v>0</v>
      </c>
      <c r="M17" s="1310">
        <v>0</v>
      </c>
      <c r="N17" s="1310">
        <v>0</v>
      </c>
      <c r="O17" s="1310">
        <v>0</v>
      </c>
      <c r="P17" s="1310"/>
      <c r="Q17" s="1310">
        <v>0</v>
      </c>
      <c r="R17" s="1310">
        <v>0</v>
      </c>
      <c r="S17" s="1310">
        <v>0</v>
      </c>
      <c r="T17" s="1310">
        <v>0</v>
      </c>
      <c r="U17" s="1310">
        <v>0</v>
      </c>
      <c r="V17" s="1310">
        <v>0</v>
      </c>
      <c r="W17" s="1310">
        <v>0</v>
      </c>
      <c r="X17" s="1310">
        <v>0</v>
      </c>
      <c r="Y17" s="1310">
        <v>0</v>
      </c>
      <c r="Z17" s="1310">
        <v>0</v>
      </c>
      <c r="AA17" s="1310">
        <v>0</v>
      </c>
      <c r="AB17" s="1310">
        <v>0</v>
      </c>
      <c r="AC17" s="1310">
        <v>0</v>
      </c>
      <c r="AD17" s="1310">
        <v>0</v>
      </c>
      <c r="AE17" s="1310">
        <v>0</v>
      </c>
      <c r="AF17" s="1310">
        <v>0</v>
      </c>
      <c r="AG17" s="1701">
        <v>0</v>
      </c>
      <c r="AH17" s="1712"/>
      <c r="AI17" s="1712"/>
      <c r="AJ17" s="1712"/>
      <c r="AK17" s="1712"/>
      <c r="AL17" s="1712"/>
      <c r="AM17" s="1712"/>
      <c r="AN17" s="1712"/>
      <c r="AO17" s="1712"/>
      <c r="AP17" s="1712"/>
      <c r="AQ17" s="1712"/>
      <c r="AR17" s="1712"/>
      <c r="AS17" s="1712"/>
      <c r="AT17" s="1712"/>
      <c r="AU17" s="1712"/>
      <c r="AV17" s="1712"/>
      <c r="AW17" s="1712"/>
      <c r="AX17" s="1712"/>
      <c r="AY17" s="1712"/>
      <c r="AZ17" s="1712"/>
      <c r="BA17" s="1712"/>
      <c r="BB17" s="1712"/>
      <c r="BC17" s="1712"/>
      <c r="BD17" s="1712"/>
      <c r="BE17" s="1712"/>
      <c r="BF17" s="1712"/>
      <c r="BG17" s="1712"/>
      <c r="BH17" s="1712"/>
      <c r="BI17" s="1712"/>
      <c r="BJ17" s="1712"/>
      <c r="BK17" s="1712"/>
      <c r="BL17" s="1712"/>
      <c r="BM17" s="1712"/>
      <c r="BN17" s="1703"/>
      <c r="BO17" s="1318"/>
      <c r="BP17" s="1318"/>
      <c r="BQ17" s="1318"/>
      <c r="BR17" s="1318"/>
      <c r="BS17" s="1318"/>
      <c r="BT17" s="1318"/>
      <c r="BU17" s="1318"/>
      <c r="BV17" s="1318"/>
      <c r="BW17" s="1318"/>
      <c r="BX17" s="1318"/>
      <c r="BY17" s="1318"/>
      <c r="BZ17" s="1318"/>
      <c r="CA17" s="1318"/>
      <c r="CB17" s="1704"/>
      <c r="CC17" s="1702"/>
      <c r="CD17" s="1318"/>
      <c r="CE17" s="1318"/>
      <c r="CF17" s="1318"/>
      <c r="CG17" s="1318"/>
      <c r="CH17" s="1710"/>
      <c r="CI17" s="1703"/>
      <c r="CJ17" s="1318"/>
      <c r="CK17" s="1318"/>
      <c r="CL17" s="1318"/>
      <c r="CM17" s="1318"/>
      <c r="CN17" s="1318"/>
      <c r="CO17" s="1318"/>
      <c r="CP17" s="1318"/>
      <c r="CQ17" s="1318"/>
      <c r="CR17" s="1704"/>
    </row>
    <row r="18" spans="1:97" hidden="1">
      <c r="A18" s="1309">
        <v>43556</v>
      </c>
      <c r="B18" s="1310">
        <v>0</v>
      </c>
      <c r="C18" s="1310">
        <v>0</v>
      </c>
      <c r="D18" s="1310">
        <v>0</v>
      </c>
      <c r="E18" s="1310">
        <v>0</v>
      </c>
      <c r="F18" s="1310">
        <v>0</v>
      </c>
      <c r="G18" s="1310">
        <v>0</v>
      </c>
      <c r="H18" s="1310">
        <v>0</v>
      </c>
      <c r="I18" s="1310">
        <v>0</v>
      </c>
      <c r="J18" s="1310">
        <v>0</v>
      </c>
      <c r="K18" s="1310">
        <v>0</v>
      </c>
      <c r="L18" s="1310">
        <v>0</v>
      </c>
      <c r="M18" s="1310">
        <v>0</v>
      </c>
      <c r="N18" s="1310">
        <v>0</v>
      </c>
      <c r="O18" s="1310">
        <v>0</v>
      </c>
      <c r="P18" s="1310"/>
      <c r="Q18" s="1310">
        <v>0</v>
      </c>
      <c r="R18" s="1310">
        <v>0</v>
      </c>
      <c r="S18" s="1310">
        <v>0</v>
      </c>
      <c r="T18" s="1310">
        <v>0</v>
      </c>
      <c r="U18" s="1310">
        <v>0</v>
      </c>
      <c r="V18" s="1310">
        <v>0</v>
      </c>
      <c r="W18" s="1310">
        <v>0</v>
      </c>
      <c r="X18" s="1310">
        <v>0</v>
      </c>
      <c r="Y18" s="1310">
        <v>0</v>
      </c>
      <c r="Z18" s="1310">
        <v>0</v>
      </c>
      <c r="AA18" s="1310">
        <v>0</v>
      </c>
      <c r="AB18" s="1310">
        <v>0</v>
      </c>
      <c r="AC18" s="1310">
        <v>0</v>
      </c>
      <c r="AD18" s="1310">
        <v>0</v>
      </c>
      <c r="AE18" s="1310">
        <v>0</v>
      </c>
      <c r="AF18" s="1310">
        <v>0</v>
      </c>
      <c r="AG18" s="1701">
        <v>0</v>
      </c>
      <c r="AH18" s="1712"/>
      <c r="AI18" s="1712"/>
      <c r="AJ18" s="1712"/>
      <c r="AK18" s="1712"/>
      <c r="AL18" s="1712"/>
      <c r="AM18" s="1712"/>
      <c r="AN18" s="1712"/>
      <c r="AO18" s="1712"/>
      <c r="AP18" s="1712"/>
      <c r="AQ18" s="1712"/>
      <c r="AR18" s="1712"/>
      <c r="AS18" s="1712"/>
      <c r="AT18" s="1712"/>
      <c r="AU18" s="1712"/>
      <c r="AV18" s="1712"/>
      <c r="AW18" s="1712"/>
      <c r="AX18" s="1712"/>
      <c r="AY18" s="1712"/>
      <c r="AZ18" s="1712"/>
      <c r="BA18" s="1712"/>
      <c r="BB18" s="1712"/>
      <c r="BC18" s="1712"/>
      <c r="BD18" s="1712"/>
      <c r="BE18" s="1712"/>
      <c r="BF18" s="1712"/>
      <c r="BG18" s="1712"/>
      <c r="BH18" s="1712"/>
      <c r="BI18" s="1712"/>
      <c r="BJ18" s="1712"/>
      <c r="BK18" s="1712"/>
      <c r="BL18" s="1712"/>
      <c r="BM18" s="1712"/>
      <c r="BN18" s="1703"/>
      <c r="BO18" s="1318"/>
      <c r="BP18" s="1318"/>
      <c r="BQ18" s="1318"/>
      <c r="BR18" s="1318"/>
      <c r="BS18" s="1318"/>
      <c r="BT18" s="1318"/>
      <c r="BU18" s="1318"/>
      <c r="BV18" s="1318"/>
      <c r="BW18" s="1318"/>
      <c r="BX18" s="1318"/>
      <c r="BY18" s="1318"/>
      <c r="BZ18" s="1318"/>
      <c r="CA18" s="1318"/>
      <c r="CB18" s="1704"/>
      <c r="CC18" s="1702"/>
      <c r="CD18" s="1318"/>
      <c r="CE18" s="1318"/>
      <c r="CF18" s="1318"/>
      <c r="CG18" s="1318"/>
      <c r="CH18" s="1710"/>
      <c r="CI18" s="1703"/>
      <c r="CJ18" s="1318"/>
      <c r="CK18" s="1318"/>
      <c r="CL18" s="1318"/>
      <c r="CM18" s="1318"/>
      <c r="CN18" s="1318"/>
      <c r="CO18" s="1318"/>
      <c r="CP18" s="1318"/>
      <c r="CQ18" s="1318"/>
      <c r="CR18" s="1704"/>
    </row>
    <row r="19" spans="1:97" hidden="1">
      <c r="A19" s="1309">
        <v>43586</v>
      </c>
      <c r="B19" s="1310">
        <v>0</v>
      </c>
      <c r="C19" s="1310">
        <v>0</v>
      </c>
      <c r="D19" s="1310">
        <v>0</v>
      </c>
      <c r="E19" s="1310">
        <v>0</v>
      </c>
      <c r="F19" s="1310">
        <v>0</v>
      </c>
      <c r="G19" s="1310">
        <v>0</v>
      </c>
      <c r="H19" s="1310">
        <v>0</v>
      </c>
      <c r="I19" s="1310">
        <v>0</v>
      </c>
      <c r="J19" s="1310">
        <v>0</v>
      </c>
      <c r="K19" s="1310">
        <v>0</v>
      </c>
      <c r="L19" s="1310">
        <v>0</v>
      </c>
      <c r="M19" s="1310">
        <v>0</v>
      </c>
      <c r="N19" s="1310">
        <v>0</v>
      </c>
      <c r="O19" s="1310">
        <v>0</v>
      </c>
      <c r="P19" s="1310"/>
      <c r="Q19" s="1310">
        <v>0</v>
      </c>
      <c r="R19" s="1310">
        <v>0</v>
      </c>
      <c r="S19" s="1310">
        <v>0</v>
      </c>
      <c r="T19" s="1310">
        <v>0</v>
      </c>
      <c r="U19" s="1310">
        <v>0</v>
      </c>
      <c r="V19" s="1310">
        <v>0</v>
      </c>
      <c r="W19" s="1310">
        <v>0</v>
      </c>
      <c r="X19" s="1310">
        <v>0</v>
      </c>
      <c r="Y19" s="1310">
        <v>0</v>
      </c>
      <c r="Z19" s="1310">
        <v>0</v>
      </c>
      <c r="AA19" s="1310">
        <v>0</v>
      </c>
      <c r="AB19" s="1310">
        <v>0</v>
      </c>
      <c r="AC19" s="1310">
        <v>0</v>
      </c>
      <c r="AD19" s="1310">
        <v>0</v>
      </c>
      <c r="AE19" s="1310">
        <v>0</v>
      </c>
      <c r="AF19" s="1310">
        <v>0</v>
      </c>
      <c r="AG19" s="1701">
        <v>0</v>
      </c>
      <c r="AH19" s="1712"/>
      <c r="AI19" s="1712"/>
      <c r="AJ19" s="1712"/>
      <c r="AK19" s="1712"/>
      <c r="AL19" s="1712"/>
      <c r="AM19" s="1712"/>
      <c r="AN19" s="1712"/>
      <c r="AO19" s="1712"/>
      <c r="AP19" s="1712"/>
      <c r="AQ19" s="1712"/>
      <c r="AR19" s="1712"/>
      <c r="AS19" s="1712"/>
      <c r="AT19" s="1712"/>
      <c r="AU19" s="1712"/>
      <c r="AV19" s="1712"/>
      <c r="AW19" s="1712"/>
      <c r="AX19" s="1712"/>
      <c r="AY19" s="1712"/>
      <c r="AZ19" s="1712"/>
      <c r="BA19" s="1712"/>
      <c r="BB19" s="1712"/>
      <c r="BC19" s="1712"/>
      <c r="BD19" s="1712"/>
      <c r="BE19" s="1712"/>
      <c r="BF19" s="1712"/>
      <c r="BG19" s="1712"/>
      <c r="BH19" s="1712"/>
      <c r="BI19" s="1712"/>
      <c r="BJ19" s="1712"/>
      <c r="BK19" s="1712"/>
      <c r="BL19" s="1712"/>
      <c r="BM19" s="1712"/>
      <c r="BN19" s="1703"/>
      <c r="BO19" s="1318"/>
      <c r="BP19" s="1318"/>
      <c r="BQ19" s="1318"/>
      <c r="BR19" s="1318"/>
      <c r="BS19" s="1318"/>
      <c r="BT19" s="1318"/>
      <c r="BU19" s="1318"/>
      <c r="BV19" s="1318"/>
      <c r="BW19" s="1318"/>
      <c r="BX19" s="1318"/>
      <c r="BY19" s="1318"/>
      <c r="BZ19" s="1318"/>
      <c r="CA19" s="1318"/>
      <c r="CB19" s="1704"/>
      <c r="CC19" s="1702"/>
      <c r="CD19" s="1318"/>
      <c r="CE19" s="1318"/>
      <c r="CF19" s="1318"/>
      <c r="CG19" s="1318"/>
      <c r="CH19" s="1710"/>
      <c r="CI19" s="1703"/>
      <c r="CJ19" s="1318"/>
      <c r="CK19" s="1318"/>
      <c r="CL19" s="1318"/>
      <c r="CM19" s="1318"/>
      <c r="CN19" s="1318"/>
      <c r="CO19" s="1318"/>
      <c r="CP19" s="1318"/>
      <c r="CQ19" s="1318"/>
      <c r="CR19" s="1704"/>
    </row>
    <row r="20" spans="1:97" hidden="1">
      <c r="A20" s="1309">
        <v>43617</v>
      </c>
      <c r="B20" s="1310">
        <v>0</v>
      </c>
      <c r="C20" s="1310">
        <v>0</v>
      </c>
      <c r="D20" s="1310">
        <v>0</v>
      </c>
      <c r="E20" s="1310">
        <v>0</v>
      </c>
      <c r="F20" s="1310">
        <v>0</v>
      </c>
      <c r="G20" s="1310">
        <v>0</v>
      </c>
      <c r="H20" s="1310">
        <v>0</v>
      </c>
      <c r="I20" s="1310">
        <v>0</v>
      </c>
      <c r="J20" s="1310">
        <v>0</v>
      </c>
      <c r="K20" s="1310">
        <v>0</v>
      </c>
      <c r="L20" s="1310">
        <v>0</v>
      </c>
      <c r="M20" s="1310">
        <v>0</v>
      </c>
      <c r="N20" s="1310">
        <v>0</v>
      </c>
      <c r="O20" s="1310">
        <v>0</v>
      </c>
      <c r="P20" s="1310"/>
      <c r="Q20" s="1310">
        <v>0</v>
      </c>
      <c r="R20" s="1310">
        <v>0</v>
      </c>
      <c r="S20" s="1310">
        <v>0</v>
      </c>
      <c r="T20" s="1310">
        <v>0</v>
      </c>
      <c r="U20" s="1310">
        <v>0</v>
      </c>
      <c r="V20" s="1310">
        <v>0</v>
      </c>
      <c r="W20" s="1310">
        <v>0</v>
      </c>
      <c r="X20" s="1310">
        <v>0</v>
      </c>
      <c r="Y20" s="1310">
        <v>0</v>
      </c>
      <c r="Z20" s="1310">
        <v>0</v>
      </c>
      <c r="AA20" s="1310">
        <v>0</v>
      </c>
      <c r="AB20" s="1310">
        <v>0</v>
      </c>
      <c r="AC20" s="1310">
        <v>0</v>
      </c>
      <c r="AD20" s="1310">
        <v>0</v>
      </c>
      <c r="AE20" s="1310">
        <v>0</v>
      </c>
      <c r="AF20" s="1310">
        <v>0</v>
      </c>
      <c r="AG20" s="1701">
        <v>0</v>
      </c>
      <c r="AH20" s="1712"/>
      <c r="AI20" s="1712"/>
      <c r="AJ20" s="1712"/>
      <c r="AK20" s="1712"/>
      <c r="AL20" s="1712"/>
      <c r="AM20" s="1712"/>
      <c r="AN20" s="1712"/>
      <c r="AO20" s="1712"/>
      <c r="AP20" s="1712"/>
      <c r="AQ20" s="1712"/>
      <c r="AR20" s="1712"/>
      <c r="AS20" s="1712"/>
      <c r="AT20" s="1712"/>
      <c r="AU20" s="1712"/>
      <c r="AV20" s="1712"/>
      <c r="AW20" s="1712"/>
      <c r="AX20" s="1712"/>
      <c r="AY20" s="1712"/>
      <c r="AZ20" s="1712"/>
      <c r="BA20" s="1712"/>
      <c r="BB20" s="1712"/>
      <c r="BC20" s="1712"/>
      <c r="BD20" s="1712"/>
      <c r="BE20" s="1712"/>
      <c r="BF20" s="1712"/>
      <c r="BG20" s="1712"/>
      <c r="BH20" s="1712"/>
      <c r="BI20" s="1712"/>
      <c r="BJ20" s="1712"/>
      <c r="BK20" s="1712"/>
      <c r="BL20" s="1712"/>
      <c r="BM20" s="1712"/>
      <c r="BN20" s="1703"/>
      <c r="BO20" s="1318"/>
      <c r="BP20" s="1318"/>
      <c r="BQ20" s="1318"/>
      <c r="BR20" s="1318"/>
      <c r="BS20" s="1318"/>
      <c r="BT20" s="1318"/>
      <c r="BU20" s="1318"/>
      <c r="BV20" s="1318"/>
      <c r="BW20" s="1318"/>
      <c r="BX20" s="1318"/>
      <c r="BY20" s="1318"/>
      <c r="BZ20" s="1318"/>
      <c r="CA20" s="1318"/>
      <c r="CB20" s="1704"/>
      <c r="CC20" s="1702"/>
      <c r="CD20" s="1318"/>
      <c r="CE20" s="1318"/>
      <c r="CF20" s="1318"/>
      <c r="CG20" s="1318"/>
      <c r="CH20" s="1710"/>
      <c r="CI20" s="1703"/>
      <c r="CJ20" s="1318"/>
      <c r="CK20" s="1318"/>
      <c r="CL20" s="1318"/>
      <c r="CM20" s="1318"/>
      <c r="CN20" s="1318"/>
      <c r="CO20" s="1318"/>
      <c r="CP20" s="1318"/>
      <c r="CQ20" s="1318"/>
      <c r="CR20" s="1704"/>
    </row>
    <row r="21" spans="1:97" hidden="1">
      <c r="A21" s="1309">
        <v>43647</v>
      </c>
      <c r="B21" s="1310">
        <v>0</v>
      </c>
      <c r="C21" s="1310">
        <v>0</v>
      </c>
      <c r="D21" s="1310">
        <v>0</v>
      </c>
      <c r="E21" s="1310">
        <v>0</v>
      </c>
      <c r="F21" s="1310">
        <v>0</v>
      </c>
      <c r="G21" s="1310">
        <v>0</v>
      </c>
      <c r="H21" s="1310">
        <v>0</v>
      </c>
      <c r="I21" s="1310">
        <v>0</v>
      </c>
      <c r="J21" s="1310">
        <v>0</v>
      </c>
      <c r="K21" s="1310">
        <v>0</v>
      </c>
      <c r="L21" s="1310">
        <v>0</v>
      </c>
      <c r="M21" s="1310">
        <v>0</v>
      </c>
      <c r="N21" s="1310">
        <v>0</v>
      </c>
      <c r="O21" s="1310">
        <v>0</v>
      </c>
      <c r="P21" s="1310"/>
      <c r="Q21" s="1310">
        <v>0</v>
      </c>
      <c r="R21" s="1310">
        <v>0</v>
      </c>
      <c r="S21" s="1310">
        <v>0</v>
      </c>
      <c r="T21" s="1310">
        <v>0</v>
      </c>
      <c r="U21" s="1310">
        <v>0</v>
      </c>
      <c r="V21" s="1310">
        <v>0</v>
      </c>
      <c r="W21" s="1310">
        <v>0</v>
      </c>
      <c r="X21" s="1310">
        <v>0</v>
      </c>
      <c r="Y21" s="1310">
        <v>0</v>
      </c>
      <c r="Z21" s="1310">
        <v>0</v>
      </c>
      <c r="AA21" s="1310">
        <v>0</v>
      </c>
      <c r="AB21" s="1310">
        <v>0</v>
      </c>
      <c r="AC21" s="1310">
        <v>0</v>
      </c>
      <c r="AD21" s="1310">
        <v>0</v>
      </c>
      <c r="AE21" s="1310">
        <v>0</v>
      </c>
      <c r="AF21" s="1310">
        <v>0</v>
      </c>
      <c r="AG21" s="1701">
        <v>0</v>
      </c>
      <c r="AH21" s="1712"/>
      <c r="AI21" s="1712"/>
      <c r="AJ21" s="1712"/>
      <c r="AK21" s="1712"/>
      <c r="AL21" s="1712"/>
      <c r="AM21" s="1712"/>
      <c r="AN21" s="1712"/>
      <c r="AO21" s="1712"/>
      <c r="AP21" s="1712"/>
      <c r="AQ21" s="1712"/>
      <c r="AR21" s="1712"/>
      <c r="AS21" s="1712"/>
      <c r="AT21" s="1712"/>
      <c r="AU21" s="1712"/>
      <c r="AV21" s="1712"/>
      <c r="AW21" s="1712"/>
      <c r="AX21" s="1712"/>
      <c r="AY21" s="1712"/>
      <c r="AZ21" s="1712"/>
      <c r="BA21" s="1712"/>
      <c r="BB21" s="1712"/>
      <c r="BC21" s="1712"/>
      <c r="BD21" s="1712"/>
      <c r="BE21" s="1712"/>
      <c r="BF21" s="1712"/>
      <c r="BG21" s="1712"/>
      <c r="BH21" s="1712"/>
      <c r="BI21" s="1712"/>
      <c r="BJ21" s="1712"/>
      <c r="BK21" s="1712"/>
      <c r="BL21" s="1712"/>
      <c r="BM21" s="1712"/>
      <c r="BN21" s="1703"/>
      <c r="BO21" s="1318"/>
      <c r="BP21" s="1318"/>
      <c r="BQ21" s="1318"/>
      <c r="BR21" s="1318"/>
      <c r="BS21" s="1318"/>
      <c r="BT21" s="1318"/>
      <c r="BU21" s="1318"/>
      <c r="BV21" s="1318"/>
      <c r="BW21" s="1318"/>
      <c r="BX21" s="1318"/>
      <c r="BY21" s="1318"/>
      <c r="BZ21" s="1318"/>
      <c r="CA21" s="1318"/>
      <c r="CB21" s="1704"/>
      <c r="CC21" s="1702"/>
      <c r="CD21" s="1318"/>
      <c r="CE21" s="1318"/>
      <c r="CF21" s="1318"/>
      <c r="CG21" s="1318"/>
      <c r="CH21" s="1710"/>
      <c r="CI21" s="1703"/>
      <c r="CJ21" s="1318"/>
      <c r="CK21" s="1318"/>
      <c r="CL21" s="1318"/>
      <c r="CM21" s="1318"/>
      <c r="CN21" s="1318"/>
      <c r="CO21" s="1318"/>
      <c r="CP21" s="1318"/>
      <c r="CQ21" s="1318"/>
      <c r="CR21" s="1704"/>
    </row>
    <row r="22" spans="1:97" hidden="1">
      <c r="A22" s="1309">
        <v>43678</v>
      </c>
      <c r="B22" s="1310">
        <v>0</v>
      </c>
      <c r="C22" s="1310">
        <v>0</v>
      </c>
      <c r="D22" s="1310">
        <v>0</v>
      </c>
      <c r="E22" s="1310">
        <v>0</v>
      </c>
      <c r="F22" s="1310">
        <v>0</v>
      </c>
      <c r="G22" s="1310">
        <v>0</v>
      </c>
      <c r="H22" s="1310">
        <v>0</v>
      </c>
      <c r="I22" s="1310">
        <v>0</v>
      </c>
      <c r="J22" s="1310">
        <v>0</v>
      </c>
      <c r="K22" s="1310">
        <v>0</v>
      </c>
      <c r="L22" s="1310">
        <v>0</v>
      </c>
      <c r="M22" s="1310">
        <v>0</v>
      </c>
      <c r="N22" s="1310">
        <v>0</v>
      </c>
      <c r="O22" s="1310">
        <v>0</v>
      </c>
      <c r="P22" s="1310"/>
      <c r="Q22" s="1310">
        <v>0</v>
      </c>
      <c r="R22" s="1310">
        <v>0</v>
      </c>
      <c r="S22" s="1310">
        <v>0</v>
      </c>
      <c r="T22" s="1310">
        <v>0</v>
      </c>
      <c r="U22" s="1310">
        <v>0</v>
      </c>
      <c r="V22" s="1310">
        <v>0</v>
      </c>
      <c r="W22" s="1310">
        <v>0</v>
      </c>
      <c r="X22" s="1310">
        <v>0</v>
      </c>
      <c r="Y22" s="1310">
        <v>0</v>
      </c>
      <c r="Z22" s="1310">
        <v>0</v>
      </c>
      <c r="AA22" s="1310">
        <v>0</v>
      </c>
      <c r="AB22" s="1310">
        <v>0</v>
      </c>
      <c r="AC22" s="1310">
        <v>0</v>
      </c>
      <c r="AD22" s="1310">
        <v>0</v>
      </c>
      <c r="AE22" s="1310">
        <v>0</v>
      </c>
      <c r="AF22" s="1310">
        <v>0</v>
      </c>
      <c r="AG22" s="1701">
        <v>0</v>
      </c>
      <c r="AH22" s="1712"/>
      <c r="AI22" s="1712"/>
      <c r="AJ22" s="1712"/>
      <c r="AK22" s="1712"/>
      <c r="AL22" s="1712"/>
      <c r="AM22" s="1712"/>
      <c r="AN22" s="1712"/>
      <c r="AO22" s="1712"/>
      <c r="AP22" s="1712"/>
      <c r="AQ22" s="1712"/>
      <c r="AR22" s="1712"/>
      <c r="AS22" s="1712"/>
      <c r="AT22" s="1712"/>
      <c r="AU22" s="1712"/>
      <c r="AV22" s="1712"/>
      <c r="AW22" s="1712"/>
      <c r="AX22" s="1712"/>
      <c r="AY22" s="1712"/>
      <c r="AZ22" s="1712"/>
      <c r="BA22" s="1712"/>
      <c r="BB22" s="1712"/>
      <c r="BC22" s="1712"/>
      <c r="BD22" s="1712"/>
      <c r="BE22" s="1712"/>
      <c r="BF22" s="1712"/>
      <c r="BG22" s="1712"/>
      <c r="BH22" s="1712"/>
      <c r="BI22" s="1712"/>
      <c r="BJ22" s="1712"/>
      <c r="BK22" s="1712"/>
      <c r="BL22" s="1712"/>
      <c r="BM22" s="1712"/>
      <c r="BN22" s="1703"/>
      <c r="BO22" s="1318"/>
      <c r="BP22" s="1318"/>
      <c r="BQ22" s="1318"/>
      <c r="BR22" s="1318"/>
      <c r="BS22" s="1318"/>
      <c r="BT22" s="1318"/>
      <c r="BU22" s="1318"/>
      <c r="BV22" s="1318"/>
      <c r="BW22" s="1318"/>
      <c r="BX22" s="1318"/>
      <c r="BY22" s="1318"/>
      <c r="BZ22" s="1318"/>
      <c r="CA22" s="1318"/>
      <c r="CB22" s="1704"/>
      <c r="CC22" s="1702"/>
      <c r="CD22" s="1318"/>
      <c r="CE22" s="1318"/>
      <c r="CF22" s="1318"/>
      <c r="CG22" s="1318"/>
      <c r="CH22" s="1710"/>
      <c r="CI22" s="1703"/>
      <c r="CJ22" s="1318"/>
      <c r="CK22" s="1318"/>
      <c r="CL22" s="1318"/>
      <c r="CM22" s="1318"/>
      <c r="CN22" s="1318"/>
      <c r="CO22" s="1318"/>
      <c r="CP22" s="1318"/>
      <c r="CQ22" s="1318"/>
      <c r="CR22" s="1704"/>
    </row>
    <row r="23" spans="1:97" hidden="1">
      <c r="A23" s="1309">
        <v>43709</v>
      </c>
      <c r="B23" s="1310">
        <v>0</v>
      </c>
      <c r="C23" s="1310">
        <v>0</v>
      </c>
      <c r="D23" s="1310">
        <v>0</v>
      </c>
      <c r="E23" s="1310">
        <v>0</v>
      </c>
      <c r="F23" s="1310">
        <v>0</v>
      </c>
      <c r="G23" s="1310">
        <v>0</v>
      </c>
      <c r="H23" s="1310">
        <v>0</v>
      </c>
      <c r="I23" s="1310">
        <v>0</v>
      </c>
      <c r="J23" s="1310">
        <v>0</v>
      </c>
      <c r="K23" s="1310">
        <v>0</v>
      </c>
      <c r="L23" s="1310">
        <v>0</v>
      </c>
      <c r="M23" s="1310">
        <v>0</v>
      </c>
      <c r="N23" s="1310">
        <v>0</v>
      </c>
      <c r="O23" s="1310">
        <v>0</v>
      </c>
      <c r="P23" s="1310"/>
      <c r="Q23" s="1310">
        <v>0</v>
      </c>
      <c r="R23" s="1310">
        <v>0</v>
      </c>
      <c r="S23" s="1310">
        <v>0</v>
      </c>
      <c r="T23" s="1310">
        <v>0</v>
      </c>
      <c r="U23" s="1310">
        <v>0</v>
      </c>
      <c r="V23" s="1310">
        <v>0</v>
      </c>
      <c r="W23" s="1310">
        <v>0</v>
      </c>
      <c r="X23" s="1310">
        <v>0</v>
      </c>
      <c r="Y23" s="1310">
        <v>0</v>
      </c>
      <c r="Z23" s="1310">
        <v>0</v>
      </c>
      <c r="AA23" s="1310">
        <v>0</v>
      </c>
      <c r="AB23" s="1310">
        <v>0</v>
      </c>
      <c r="AC23" s="1310">
        <v>0</v>
      </c>
      <c r="AD23" s="1310">
        <v>0</v>
      </c>
      <c r="AE23" s="1310">
        <v>0</v>
      </c>
      <c r="AF23" s="1310">
        <v>0</v>
      </c>
      <c r="AG23" s="1701">
        <v>0</v>
      </c>
      <c r="AH23" s="1712"/>
      <c r="AI23" s="1712"/>
      <c r="AJ23" s="1712"/>
      <c r="AK23" s="1712"/>
      <c r="AL23" s="1712"/>
      <c r="AM23" s="1712"/>
      <c r="AN23" s="1712"/>
      <c r="AO23" s="1712"/>
      <c r="AP23" s="1712"/>
      <c r="AQ23" s="1712"/>
      <c r="AR23" s="1712"/>
      <c r="AS23" s="1712"/>
      <c r="AT23" s="1712"/>
      <c r="AU23" s="1712"/>
      <c r="AV23" s="1712"/>
      <c r="AW23" s="1712"/>
      <c r="AX23" s="1712"/>
      <c r="AY23" s="1712"/>
      <c r="AZ23" s="1712"/>
      <c r="BA23" s="1712"/>
      <c r="BB23" s="1712"/>
      <c r="BC23" s="1712"/>
      <c r="BD23" s="1712"/>
      <c r="BE23" s="1712"/>
      <c r="BF23" s="1712"/>
      <c r="BG23" s="1712"/>
      <c r="BH23" s="1712"/>
      <c r="BI23" s="1712"/>
      <c r="BJ23" s="1712"/>
      <c r="BK23" s="1712"/>
      <c r="BL23" s="1712"/>
      <c r="BM23" s="1712"/>
      <c r="BN23" s="1703"/>
      <c r="BO23" s="1318"/>
      <c r="BP23" s="1318"/>
      <c r="BQ23" s="1318"/>
      <c r="BR23" s="1318"/>
      <c r="BS23" s="1318"/>
      <c r="BT23" s="1318"/>
      <c r="BU23" s="1318"/>
      <c r="BV23" s="1318"/>
      <c r="BW23" s="1318"/>
      <c r="BX23" s="1318"/>
      <c r="BY23" s="1318"/>
      <c r="BZ23" s="1318"/>
      <c r="CA23" s="1318"/>
      <c r="CB23" s="1704"/>
      <c r="CC23" s="1702"/>
      <c r="CD23" s="1318"/>
      <c r="CE23" s="1318"/>
      <c r="CF23" s="1318"/>
      <c r="CG23" s="1318"/>
      <c r="CH23" s="1710"/>
      <c r="CI23" s="1703"/>
      <c r="CJ23" s="1318"/>
      <c r="CK23" s="1318"/>
      <c r="CL23" s="1318"/>
      <c r="CM23" s="1318"/>
      <c r="CN23" s="1318"/>
      <c r="CO23" s="1318"/>
      <c r="CP23" s="1318"/>
      <c r="CQ23" s="1318"/>
      <c r="CR23" s="1704"/>
    </row>
    <row r="24" spans="1:97" hidden="1">
      <c r="A24" s="1309">
        <v>43739</v>
      </c>
      <c r="B24" s="1310">
        <v>0</v>
      </c>
      <c r="C24" s="1310">
        <v>0</v>
      </c>
      <c r="D24" s="1310">
        <v>0</v>
      </c>
      <c r="E24" s="1310">
        <v>0</v>
      </c>
      <c r="F24" s="1310">
        <v>0</v>
      </c>
      <c r="G24" s="1310">
        <v>0</v>
      </c>
      <c r="H24" s="1310">
        <v>0</v>
      </c>
      <c r="I24" s="1310">
        <v>0</v>
      </c>
      <c r="J24" s="1310">
        <v>0</v>
      </c>
      <c r="K24" s="1310">
        <v>0</v>
      </c>
      <c r="L24" s="1310">
        <v>0</v>
      </c>
      <c r="M24" s="1310">
        <v>0</v>
      </c>
      <c r="N24" s="1310">
        <v>0</v>
      </c>
      <c r="O24" s="1310">
        <v>0</v>
      </c>
      <c r="P24" s="1310"/>
      <c r="Q24" s="1310">
        <v>0</v>
      </c>
      <c r="R24" s="1310">
        <v>0</v>
      </c>
      <c r="S24" s="1310">
        <v>0</v>
      </c>
      <c r="T24" s="1310">
        <v>0</v>
      </c>
      <c r="U24" s="1310">
        <v>0</v>
      </c>
      <c r="V24" s="1310">
        <v>0</v>
      </c>
      <c r="W24" s="1310">
        <v>0</v>
      </c>
      <c r="X24" s="1310">
        <v>0</v>
      </c>
      <c r="Y24" s="1310">
        <v>0</v>
      </c>
      <c r="Z24" s="1310">
        <v>0</v>
      </c>
      <c r="AA24" s="1310">
        <v>0</v>
      </c>
      <c r="AB24" s="1310">
        <v>0</v>
      </c>
      <c r="AC24" s="1310">
        <v>0</v>
      </c>
      <c r="AD24" s="1310">
        <v>0</v>
      </c>
      <c r="AE24" s="1310">
        <v>0</v>
      </c>
      <c r="AF24" s="1310">
        <v>0</v>
      </c>
      <c r="AG24" s="1701">
        <v>0</v>
      </c>
      <c r="AH24" s="1712"/>
      <c r="AI24" s="1712"/>
      <c r="AJ24" s="1712"/>
      <c r="AK24" s="1712"/>
      <c r="AL24" s="1712"/>
      <c r="AM24" s="1712"/>
      <c r="AN24" s="1712"/>
      <c r="AO24" s="1712"/>
      <c r="AP24" s="1712"/>
      <c r="AQ24" s="1712"/>
      <c r="AR24" s="1712"/>
      <c r="AS24" s="1712"/>
      <c r="AT24" s="1712"/>
      <c r="AU24" s="1712"/>
      <c r="AV24" s="1712"/>
      <c r="AW24" s="1712"/>
      <c r="AX24" s="1712"/>
      <c r="AY24" s="1712"/>
      <c r="AZ24" s="1712"/>
      <c r="BA24" s="1712"/>
      <c r="BB24" s="1712"/>
      <c r="BC24" s="1712"/>
      <c r="BD24" s="1712"/>
      <c r="BE24" s="1712"/>
      <c r="BF24" s="1712"/>
      <c r="BG24" s="1712"/>
      <c r="BH24" s="1712"/>
      <c r="BI24" s="1712"/>
      <c r="BJ24" s="1712"/>
      <c r="BK24" s="1712"/>
      <c r="BL24" s="1712"/>
      <c r="BM24" s="1712"/>
      <c r="BN24" s="1703"/>
      <c r="BO24" s="1318"/>
      <c r="BP24" s="1318"/>
      <c r="BQ24" s="1318"/>
      <c r="BR24" s="1318"/>
      <c r="BS24" s="1318"/>
      <c r="BT24" s="1318"/>
      <c r="BU24" s="1318"/>
      <c r="BV24" s="1318"/>
      <c r="BW24" s="1318"/>
      <c r="BX24" s="1318"/>
      <c r="BY24" s="1318"/>
      <c r="BZ24" s="1318"/>
      <c r="CA24" s="1318"/>
      <c r="CB24" s="1704"/>
      <c r="CC24" s="1702"/>
      <c r="CD24" s="1318"/>
      <c r="CE24" s="1318"/>
      <c r="CF24" s="1318"/>
      <c r="CG24" s="1318"/>
      <c r="CH24" s="1710"/>
      <c r="CI24" s="1703"/>
      <c r="CJ24" s="1318"/>
      <c r="CK24" s="1318"/>
      <c r="CL24" s="1318"/>
      <c r="CM24" s="1318"/>
      <c r="CN24" s="1318"/>
      <c r="CO24" s="1318"/>
      <c r="CP24" s="1318"/>
      <c r="CQ24" s="1318"/>
      <c r="CR24" s="1704"/>
    </row>
    <row r="25" spans="1:97" hidden="1">
      <c r="A25" s="1309">
        <v>43770</v>
      </c>
      <c r="B25" s="1310">
        <v>0</v>
      </c>
      <c r="C25" s="1310">
        <v>0</v>
      </c>
      <c r="D25" s="1310">
        <v>0</v>
      </c>
      <c r="E25" s="1310">
        <v>0</v>
      </c>
      <c r="F25" s="1310">
        <v>0</v>
      </c>
      <c r="G25" s="1310">
        <v>0</v>
      </c>
      <c r="H25" s="1310">
        <v>0</v>
      </c>
      <c r="I25" s="1310">
        <v>0</v>
      </c>
      <c r="J25" s="1310">
        <v>0</v>
      </c>
      <c r="K25" s="1310">
        <v>0</v>
      </c>
      <c r="L25" s="1310">
        <v>0</v>
      </c>
      <c r="M25" s="1310">
        <v>0</v>
      </c>
      <c r="N25" s="1310">
        <v>0</v>
      </c>
      <c r="O25" s="1310">
        <v>0</v>
      </c>
      <c r="P25" s="1310"/>
      <c r="Q25" s="1310">
        <v>0</v>
      </c>
      <c r="R25" s="1310">
        <v>0</v>
      </c>
      <c r="S25" s="1310">
        <v>0</v>
      </c>
      <c r="T25" s="1310">
        <v>0</v>
      </c>
      <c r="U25" s="1310">
        <v>0</v>
      </c>
      <c r="V25" s="1310">
        <v>0</v>
      </c>
      <c r="W25" s="1310">
        <v>0</v>
      </c>
      <c r="X25" s="1310">
        <v>0</v>
      </c>
      <c r="Y25" s="1310">
        <v>0</v>
      </c>
      <c r="Z25" s="1310">
        <v>0</v>
      </c>
      <c r="AA25" s="1310">
        <v>0</v>
      </c>
      <c r="AB25" s="1310">
        <v>0</v>
      </c>
      <c r="AC25" s="1310">
        <v>0</v>
      </c>
      <c r="AD25" s="1310">
        <v>0</v>
      </c>
      <c r="AE25" s="1310">
        <v>0</v>
      </c>
      <c r="AF25" s="1310">
        <v>0</v>
      </c>
      <c r="AG25" s="1701">
        <v>0</v>
      </c>
      <c r="AH25" s="1712"/>
      <c r="AI25" s="1712"/>
      <c r="AJ25" s="1712"/>
      <c r="AK25" s="1712"/>
      <c r="AL25" s="1712"/>
      <c r="AM25" s="1712"/>
      <c r="AN25" s="1712"/>
      <c r="AO25" s="1712"/>
      <c r="AP25" s="1712"/>
      <c r="AQ25" s="1712"/>
      <c r="AR25" s="1712"/>
      <c r="AS25" s="1712"/>
      <c r="AT25" s="1712"/>
      <c r="AU25" s="1712"/>
      <c r="AV25" s="1712"/>
      <c r="AW25" s="1712"/>
      <c r="AX25" s="1712"/>
      <c r="AY25" s="1712"/>
      <c r="AZ25" s="1712"/>
      <c r="BA25" s="1712"/>
      <c r="BB25" s="1712"/>
      <c r="BC25" s="1712"/>
      <c r="BD25" s="1712"/>
      <c r="BE25" s="1712"/>
      <c r="BF25" s="1712"/>
      <c r="BG25" s="1712"/>
      <c r="BH25" s="1712"/>
      <c r="BI25" s="1712"/>
      <c r="BJ25" s="1712"/>
      <c r="BK25" s="1712"/>
      <c r="BL25" s="1712"/>
      <c r="BM25" s="1712"/>
      <c r="BN25" s="1703"/>
      <c r="BO25" s="1318"/>
      <c r="BP25" s="1318"/>
      <c r="BQ25" s="1318"/>
      <c r="BR25" s="1318"/>
      <c r="BS25" s="1318"/>
      <c r="BT25" s="1318"/>
      <c r="BU25" s="1318"/>
      <c r="BV25" s="1318"/>
      <c r="BW25" s="1318"/>
      <c r="BX25" s="1318"/>
      <c r="BY25" s="1318"/>
      <c r="BZ25" s="1318"/>
      <c r="CA25" s="1318"/>
      <c r="CB25" s="1704"/>
      <c r="CC25" s="1702"/>
      <c r="CD25" s="1318"/>
      <c r="CE25" s="1318"/>
      <c r="CF25" s="1318"/>
      <c r="CG25" s="1318"/>
      <c r="CH25" s="1710"/>
      <c r="CI25" s="1703"/>
      <c r="CJ25" s="1318"/>
      <c r="CK25" s="1318"/>
      <c r="CL25" s="1318"/>
      <c r="CM25" s="1318"/>
      <c r="CN25" s="1318"/>
      <c r="CO25" s="1318"/>
      <c r="CP25" s="1318"/>
      <c r="CQ25" s="1318"/>
      <c r="CR25" s="1704"/>
    </row>
    <row r="26" spans="1:97" ht="13.8" hidden="1" thickBot="1">
      <c r="A26" s="1309">
        <v>43800</v>
      </c>
      <c r="B26" s="1310">
        <v>0</v>
      </c>
      <c r="C26" s="1310">
        <v>0</v>
      </c>
      <c r="D26" s="1310">
        <v>0</v>
      </c>
      <c r="E26" s="1310">
        <v>0</v>
      </c>
      <c r="F26" s="1310">
        <v>0</v>
      </c>
      <c r="G26" s="1310">
        <v>0</v>
      </c>
      <c r="H26" s="1310">
        <v>0</v>
      </c>
      <c r="I26" s="1310">
        <v>0</v>
      </c>
      <c r="J26" s="1310">
        <v>0</v>
      </c>
      <c r="K26" s="1310">
        <v>0</v>
      </c>
      <c r="L26" s="1310">
        <v>0</v>
      </c>
      <c r="M26" s="1310">
        <v>0</v>
      </c>
      <c r="N26" s="1310">
        <v>0</v>
      </c>
      <c r="O26" s="1310">
        <v>0</v>
      </c>
      <c r="P26" s="1310"/>
      <c r="Q26" s="1310">
        <v>0</v>
      </c>
      <c r="R26" s="1310">
        <v>0</v>
      </c>
      <c r="S26" s="1310">
        <v>0</v>
      </c>
      <c r="T26" s="1310">
        <v>0</v>
      </c>
      <c r="U26" s="1310">
        <v>0</v>
      </c>
      <c r="V26" s="1310">
        <v>0</v>
      </c>
      <c r="W26" s="1310">
        <v>0</v>
      </c>
      <c r="X26" s="1310">
        <v>0</v>
      </c>
      <c r="Y26" s="1310">
        <v>0</v>
      </c>
      <c r="Z26" s="1310">
        <v>0</v>
      </c>
      <c r="AA26" s="1310">
        <v>0</v>
      </c>
      <c r="AB26" s="1310">
        <v>0</v>
      </c>
      <c r="AC26" s="1310">
        <v>0</v>
      </c>
      <c r="AD26" s="1310">
        <v>0</v>
      </c>
      <c r="AE26" s="1310">
        <v>0</v>
      </c>
      <c r="AF26" s="1310">
        <v>0</v>
      </c>
      <c r="AG26" s="1701">
        <v>0</v>
      </c>
      <c r="AH26" s="1712"/>
      <c r="AI26" s="1712"/>
      <c r="AJ26" s="1712"/>
      <c r="AK26" s="1712"/>
      <c r="AL26" s="1712"/>
      <c r="AM26" s="1712"/>
      <c r="AN26" s="1712"/>
      <c r="AO26" s="1712"/>
      <c r="AP26" s="1712"/>
      <c r="AQ26" s="1712"/>
      <c r="AR26" s="1712"/>
      <c r="AS26" s="1712"/>
      <c r="AT26" s="1712"/>
      <c r="AU26" s="1712"/>
      <c r="AV26" s="1712"/>
      <c r="AW26" s="1712"/>
      <c r="AX26" s="1712"/>
      <c r="AY26" s="1712"/>
      <c r="AZ26" s="1712"/>
      <c r="BA26" s="1712"/>
      <c r="BB26" s="1712"/>
      <c r="BC26" s="1712"/>
      <c r="BD26" s="1712"/>
      <c r="BE26" s="1712"/>
      <c r="BF26" s="1712"/>
      <c r="BG26" s="1712"/>
      <c r="BH26" s="1712"/>
      <c r="BI26" s="1712"/>
      <c r="BJ26" s="1712"/>
      <c r="BK26" s="1712"/>
      <c r="BL26" s="1712"/>
      <c r="BM26" s="1712"/>
      <c r="BN26" s="1703"/>
      <c r="BO26" s="1318"/>
      <c r="BP26" s="1318"/>
      <c r="BQ26" s="1318"/>
      <c r="BR26" s="1318"/>
      <c r="BS26" s="1318"/>
      <c r="BT26" s="1318"/>
      <c r="BU26" s="1318"/>
      <c r="BV26" s="1318"/>
      <c r="BW26" s="1318"/>
      <c r="BX26" s="1318"/>
      <c r="BY26" s="1318"/>
      <c r="BZ26" s="1318"/>
      <c r="CA26" s="1318"/>
      <c r="CB26" s="1704"/>
      <c r="CC26" s="1707"/>
      <c r="CD26" s="1708"/>
      <c r="CE26" s="1708"/>
      <c r="CF26" s="1708"/>
      <c r="CG26" s="1708"/>
      <c r="CH26" s="1711"/>
      <c r="CI26" s="1703"/>
      <c r="CJ26" s="1318"/>
      <c r="CK26" s="1318"/>
      <c r="CL26" s="1318"/>
      <c r="CM26" s="1318"/>
      <c r="CN26" s="1318"/>
      <c r="CO26" s="1318"/>
      <c r="CP26" s="1318"/>
      <c r="CQ26" s="1318"/>
      <c r="CR26" s="1704"/>
    </row>
    <row r="27" spans="1:97" hidden="1">
      <c r="A27" s="1309">
        <v>43831</v>
      </c>
      <c r="B27" s="1310">
        <f t="shared" si="2"/>
        <v>0</v>
      </c>
      <c r="C27" s="1310">
        <f t="shared" si="3"/>
        <v>0</v>
      </c>
      <c r="D27" s="1310">
        <f t="shared" si="4"/>
        <v>0</v>
      </c>
      <c r="E27" s="1310">
        <f t="shared" si="5"/>
        <v>0</v>
      </c>
      <c r="F27" s="1310">
        <f t="shared" si="6"/>
        <v>0</v>
      </c>
      <c r="G27" s="1310">
        <f t="shared" si="7"/>
        <v>0</v>
      </c>
      <c r="H27" s="1310">
        <f t="shared" si="8"/>
        <v>0</v>
      </c>
      <c r="I27" s="1310">
        <f t="shared" si="9"/>
        <v>0</v>
      </c>
      <c r="J27" s="1310">
        <f t="shared" si="10"/>
        <v>0</v>
      </c>
      <c r="K27" s="1310">
        <f t="shared" si="11"/>
        <v>0</v>
      </c>
      <c r="L27" s="1310">
        <f t="shared" si="12"/>
        <v>0</v>
      </c>
      <c r="M27" s="1310">
        <f t="shared" si="13"/>
        <v>0</v>
      </c>
      <c r="N27" s="1310">
        <f t="shared" si="14"/>
        <v>0</v>
      </c>
      <c r="O27" s="1310">
        <f t="shared" si="15"/>
        <v>0</v>
      </c>
      <c r="P27" s="1310"/>
      <c r="Q27" s="1310">
        <f t="shared" si="16"/>
        <v>0</v>
      </c>
      <c r="R27" s="1310">
        <f t="shared" si="17"/>
        <v>0</v>
      </c>
      <c r="S27" s="1310">
        <f t="shared" si="18"/>
        <v>0</v>
      </c>
      <c r="T27" s="1310">
        <f t="shared" si="19"/>
        <v>0</v>
      </c>
      <c r="U27" s="1310">
        <f t="shared" si="20"/>
        <v>0</v>
      </c>
      <c r="V27" s="1310">
        <f t="shared" si="21"/>
        <v>0</v>
      </c>
      <c r="W27" s="1310">
        <f t="shared" si="22"/>
        <v>0</v>
      </c>
      <c r="X27" s="1310">
        <f t="shared" si="23"/>
        <v>0</v>
      </c>
      <c r="Y27" s="1310">
        <f t="shared" si="24"/>
        <v>0</v>
      </c>
      <c r="Z27" s="1310">
        <f t="shared" si="25"/>
        <v>0</v>
      </c>
      <c r="AA27" s="1310">
        <f t="shared" si="26"/>
        <v>0</v>
      </c>
      <c r="AB27" s="1310">
        <f t="shared" si="27"/>
        <v>0</v>
      </c>
      <c r="AC27" s="1310">
        <f t="shared" si="28"/>
        <v>0</v>
      </c>
      <c r="AD27" s="1310">
        <f t="shared" si="29"/>
        <v>0</v>
      </c>
      <c r="AE27" s="1310">
        <f t="shared" si="30"/>
        <v>0</v>
      </c>
      <c r="AF27" s="1310">
        <f t="shared" si="31"/>
        <v>0</v>
      </c>
      <c r="AG27" s="1701">
        <f t="shared" si="32"/>
        <v>0</v>
      </c>
      <c r="AH27" s="1712"/>
      <c r="AI27" s="1712"/>
      <c r="AJ27" s="1712"/>
      <c r="AK27" s="1712"/>
      <c r="AL27" s="1712"/>
      <c r="AM27" s="1712"/>
      <c r="AN27" s="1712"/>
      <c r="AO27" s="1712"/>
      <c r="AP27" s="1712"/>
      <c r="AQ27" s="1712"/>
      <c r="AR27" s="1712"/>
      <c r="AS27" s="1712"/>
      <c r="AT27" s="1712"/>
      <c r="AU27" s="1712"/>
      <c r="AV27" s="1712"/>
      <c r="AW27" s="1712"/>
      <c r="AX27" s="1712"/>
      <c r="AY27" s="1712"/>
      <c r="AZ27" s="1712"/>
      <c r="BA27" s="1712"/>
      <c r="BB27" s="1712"/>
      <c r="BC27" s="1712"/>
      <c r="BD27" s="1712"/>
      <c r="BE27" s="1712"/>
      <c r="BF27" s="1712"/>
      <c r="BG27" s="1712"/>
      <c r="BH27" s="1712"/>
      <c r="BI27" s="1712"/>
      <c r="BJ27" s="1712"/>
      <c r="BK27" s="1712"/>
      <c r="BL27" s="1712"/>
      <c r="BM27" s="1712"/>
      <c r="BN27" s="1703"/>
      <c r="BO27" s="1318"/>
      <c r="BP27" s="1318"/>
      <c r="BQ27" s="1318"/>
      <c r="BR27" s="1318"/>
      <c r="BS27" s="1318"/>
      <c r="BT27" s="1318"/>
      <c r="BU27" s="1318"/>
      <c r="BV27" s="1318"/>
      <c r="BW27" s="1318"/>
      <c r="BX27" s="1318"/>
      <c r="BY27" s="1318"/>
      <c r="BZ27" s="1318"/>
      <c r="CA27" s="1318"/>
      <c r="CB27" s="1704"/>
      <c r="CC27" s="1846"/>
      <c r="CD27" s="1847"/>
      <c r="CE27" s="1847"/>
      <c r="CF27" s="1847"/>
      <c r="CG27" s="1847"/>
      <c r="CH27" s="1848"/>
      <c r="CI27" s="1703"/>
      <c r="CJ27" s="1318"/>
      <c r="CK27" s="1318"/>
      <c r="CL27" s="1318"/>
      <c r="CM27" s="1318"/>
      <c r="CN27" s="1318"/>
      <c r="CO27" s="1318"/>
      <c r="CP27" s="1318"/>
      <c r="CQ27" s="1318"/>
      <c r="CR27" s="1704"/>
      <c r="CS27" s="358">
        <f>SUM(AH27:BB27)+SUM(BN27:CG27)</f>
        <v>0</v>
      </c>
    </row>
    <row r="28" spans="1:97" hidden="1">
      <c r="A28" s="1309">
        <v>43862</v>
      </c>
      <c r="B28" s="1310">
        <f t="shared" si="2"/>
        <v>0</v>
      </c>
      <c r="C28" s="1310">
        <f t="shared" si="3"/>
        <v>0</v>
      </c>
      <c r="D28" s="1310">
        <f t="shared" si="4"/>
        <v>0</v>
      </c>
      <c r="E28" s="1310">
        <f t="shared" si="5"/>
        <v>0</v>
      </c>
      <c r="F28" s="1310">
        <f t="shared" si="6"/>
        <v>0</v>
      </c>
      <c r="G28" s="1310">
        <f t="shared" si="7"/>
        <v>0</v>
      </c>
      <c r="H28" s="1310">
        <f t="shared" si="8"/>
        <v>0</v>
      </c>
      <c r="I28" s="1310">
        <f t="shared" si="9"/>
        <v>0</v>
      </c>
      <c r="J28" s="1310">
        <f t="shared" si="10"/>
        <v>0</v>
      </c>
      <c r="K28" s="1310">
        <f t="shared" si="11"/>
        <v>0</v>
      </c>
      <c r="L28" s="1310">
        <f t="shared" si="12"/>
        <v>0</v>
      </c>
      <c r="M28" s="1310">
        <f t="shared" si="13"/>
        <v>0</v>
      </c>
      <c r="N28" s="1310">
        <f t="shared" si="14"/>
        <v>0</v>
      </c>
      <c r="O28" s="1310">
        <f t="shared" si="15"/>
        <v>0</v>
      </c>
      <c r="P28" s="1310"/>
      <c r="Q28" s="1310">
        <f t="shared" si="16"/>
        <v>0</v>
      </c>
      <c r="R28" s="1310">
        <f t="shared" si="17"/>
        <v>0</v>
      </c>
      <c r="S28" s="1310">
        <f t="shared" si="18"/>
        <v>0</v>
      </c>
      <c r="T28" s="1310">
        <f t="shared" si="19"/>
        <v>0</v>
      </c>
      <c r="U28" s="1310">
        <f t="shared" si="20"/>
        <v>0</v>
      </c>
      <c r="V28" s="1310">
        <f t="shared" si="21"/>
        <v>0</v>
      </c>
      <c r="W28" s="1310">
        <f t="shared" si="22"/>
        <v>0</v>
      </c>
      <c r="X28" s="1310">
        <f t="shared" si="23"/>
        <v>0</v>
      </c>
      <c r="Y28" s="1310">
        <f t="shared" si="24"/>
        <v>0</v>
      </c>
      <c r="Z28" s="1310">
        <f t="shared" si="25"/>
        <v>0</v>
      </c>
      <c r="AA28" s="1310">
        <f t="shared" si="26"/>
        <v>0</v>
      </c>
      <c r="AB28" s="1310">
        <f t="shared" si="27"/>
        <v>0</v>
      </c>
      <c r="AC28" s="1310">
        <f t="shared" si="28"/>
        <v>0</v>
      </c>
      <c r="AD28" s="1310">
        <f t="shared" si="29"/>
        <v>0</v>
      </c>
      <c r="AE28" s="1310">
        <f t="shared" si="30"/>
        <v>0</v>
      </c>
      <c r="AF28" s="1310">
        <f t="shared" si="31"/>
        <v>0</v>
      </c>
      <c r="AG28" s="1701">
        <f t="shared" si="32"/>
        <v>0</v>
      </c>
      <c r="AH28" s="1712"/>
      <c r="AI28" s="1712"/>
      <c r="AJ28" s="1712"/>
      <c r="AK28" s="1712"/>
      <c r="AL28" s="1712"/>
      <c r="AM28" s="1712"/>
      <c r="AN28" s="1712"/>
      <c r="AO28" s="1712"/>
      <c r="AP28" s="1712"/>
      <c r="AQ28" s="1712"/>
      <c r="AR28" s="1712"/>
      <c r="AS28" s="1712"/>
      <c r="AT28" s="1712"/>
      <c r="AU28" s="1712"/>
      <c r="AV28" s="1712"/>
      <c r="AW28" s="1712"/>
      <c r="AX28" s="1712"/>
      <c r="AY28" s="1712"/>
      <c r="AZ28" s="1712"/>
      <c r="BA28" s="1712"/>
      <c r="BB28" s="1712"/>
      <c r="BC28" s="1712"/>
      <c r="BD28" s="1712"/>
      <c r="BE28" s="1712"/>
      <c r="BF28" s="1712"/>
      <c r="BG28" s="1712"/>
      <c r="BH28" s="1712"/>
      <c r="BI28" s="1712"/>
      <c r="BJ28" s="1712"/>
      <c r="BK28" s="1712"/>
      <c r="BL28" s="1712"/>
      <c r="BM28" s="1712"/>
      <c r="BN28" s="1703"/>
      <c r="BO28" s="1318"/>
      <c r="BP28" s="1318"/>
      <c r="BQ28" s="1318"/>
      <c r="BR28" s="1318"/>
      <c r="BS28" s="1318"/>
      <c r="BT28" s="1318"/>
      <c r="BU28" s="1318"/>
      <c r="BV28" s="1318"/>
      <c r="BW28" s="1318"/>
      <c r="BX28" s="1318"/>
      <c r="BY28" s="1318"/>
      <c r="BZ28" s="1318"/>
      <c r="CA28" s="1318"/>
      <c r="CB28" s="1704"/>
      <c r="CC28" s="1703"/>
      <c r="CD28" s="1318"/>
      <c r="CE28" s="1318"/>
      <c r="CF28" s="1318"/>
      <c r="CG28" s="1318"/>
      <c r="CH28" s="1710"/>
      <c r="CI28" s="1703"/>
      <c r="CJ28" s="1318"/>
      <c r="CK28" s="1318"/>
      <c r="CL28" s="1318"/>
      <c r="CM28" s="1318"/>
      <c r="CN28" s="1318"/>
      <c r="CO28" s="1318"/>
      <c r="CP28" s="1318"/>
      <c r="CQ28" s="1318"/>
      <c r="CR28" s="1704"/>
      <c r="CS28" s="358">
        <f t="shared" ref="CS28:CS38" si="33">SUM(AH28:BB28)+SUM(BN28:CG28)</f>
        <v>0</v>
      </c>
    </row>
    <row r="29" spans="1:97" hidden="1">
      <c r="A29" s="1309">
        <v>43891</v>
      </c>
      <c r="B29" s="1310">
        <f t="shared" si="2"/>
        <v>0</v>
      </c>
      <c r="C29" s="1310">
        <f t="shared" si="3"/>
        <v>0</v>
      </c>
      <c r="D29" s="1310">
        <f t="shared" si="4"/>
        <v>0</v>
      </c>
      <c r="E29" s="1310">
        <f t="shared" si="5"/>
        <v>0</v>
      </c>
      <c r="F29" s="1310">
        <f t="shared" si="6"/>
        <v>0</v>
      </c>
      <c r="G29" s="1310">
        <f t="shared" si="7"/>
        <v>0</v>
      </c>
      <c r="H29" s="1310">
        <f t="shared" si="8"/>
        <v>0</v>
      </c>
      <c r="I29" s="1310">
        <f t="shared" si="9"/>
        <v>0</v>
      </c>
      <c r="J29" s="1310">
        <f t="shared" si="10"/>
        <v>0</v>
      </c>
      <c r="K29" s="1310">
        <f t="shared" si="11"/>
        <v>0</v>
      </c>
      <c r="L29" s="1310">
        <f t="shared" si="12"/>
        <v>0</v>
      </c>
      <c r="M29" s="1310">
        <f t="shared" si="13"/>
        <v>0</v>
      </c>
      <c r="N29" s="1310">
        <f t="shared" si="14"/>
        <v>0</v>
      </c>
      <c r="O29" s="1310">
        <f t="shared" si="15"/>
        <v>0</v>
      </c>
      <c r="P29" s="1310"/>
      <c r="Q29" s="1310">
        <f t="shared" si="16"/>
        <v>0</v>
      </c>
      <c r="R29" s="1310">
        <f t="shared" si="17"/>
        <v>0</v>
      </c>
      <c r="S29" s="1310">
        <f t="shared" si="18"/>
        <v>0</v>
      </c>
      <c r="T29" s="1310">
        <f t="shared" si="19"/>
        <v>0</v>
      </c>
      <c r="U29" s="1310">
        <f t="shared" si="20"/>
        <v>0</v>
      </c>
      <c r="V29" s="1310">
        <f t="shared" si="21"/>
        <v>0</v>
      </c>
      <c r="W29" s="1310">
        <f t="shared" si="22"/>
        <v>0</v>
      </c>
      <c r="X29" s="1310">
        <f t="shared" si="23"/>
        <v>0</v>
      </c>
      <c r="Y29" s="1310">
        <f t="shared" si="24"/>
        <v>0</v>
      </c>
      <c r="Z29" s="1310">
        <f t="shared" si="25"/>
        <v>0</v>
      </c>
      <c r="AA29" s="1310">
        <f t="shared" si="26"/>
        <v>0</v>
      </c>
      <c r="AB29" s="1310">
        <f t="shared" si="27"/>
        <v>0</v>
      </c>
      <c r="AC29" s="1310">
        <f t="shared" si="28"/>
        <v>0</v>
      </c>
      <c r="AD29" s="1310">
        <f t="shared" si="29"/>
        <v>0</v>
      </c>
      <c r="AE29" s="1310">
        <f t="shared" si="30"/>
        <v>0</v>
      </c>
      <c r="AF29" s="1310">
        <f t="shared" si="31"/>
        <v>0</v>
      </c>
      <c r="AG29" s="1701">
        <f t="shared" si="32"/>
        <v>0</v>
      </c>
      <c r="AH29" s="1712"/>
      <c r="AI29" s="1712"/>
      <c r="AJ29" s="1712"/>
      <c r="AK29" s="1712"/>
      <c r="AL29" s="1712"/>
      <c r="AM29" s="1712"/>
      <c r="AN29" s="1712"/>
      <c r="AO29" s="1712"/>
      <c r="AP29" s="1712"/>
      <c r="AQ29" s="1712"/>
      <c r="AR29" s="1712"/>
      <c r="AS29" s="1712"/>
      <c r="AT29" s="1712"/>
      <c r="AU29" s="1712"/>
      <c r="AV29" s="1712"/>
      <c r="AW29" s="1712"/>
      <c r="AX29" s="1712"/>
      <c r="AY29" s="1712"/>
      <c r="AZ29" s="1712"/>
      <c r="BA29" s="1712"/>
      <c r="BB29" s="1712"/>
      <c r="BC29" s="1712"/>
      <c r="BD29" s="1712"/>
      <c r="BE29" s="1712"/>
      <c r="BF29" s="1712"/>
      <c r="BG29" s="1712"/>
      <c r="BH29" s="1712"/>
      <c r="BI29" s="1712"/>
      <c r="BJ29" s="1712"/>
      <c r="BK29" s="1712"/>
      <c r="BL29" s="1712"/>
      <c r="BM29" s="1712"/>
      <c r="BN29" s="1703"/>
      <c r="BO29" s="1318"/>
      <c r="BP29" s="1318"/>
      <c r="BQ29" s="1318"/>
      <c r="BR29" s="1318"/>
      <c r="BS29" s="1318"/>
      <c r="BT29" s="1318"/>
      <c r="BU29" s="1318"/>
      <c r="BV29" s="1318"/>
      <c r="BW29" s="1318"/>
      <c r="BX29" s="1318"/>
      <c r="BY29" s="1318"/>
      <c r="BZ29" s="1318"/>
      <c r="CA29" s="1318"/>
      <c r="CB29" s="1704"/>
      <c r="CC29" s="1703"/>
      <c r="CD29" s="1318"/>
      <c r="CE29" s="1318"/>
      <c r="CF29" s="1318"/>
      <c r="CG29" s="1318"/>
      <c r="CH29" s="1710"/>
      <c r="CI29" s="1703"/>
      <c r="CJ29" s="1318"/>
      <c r="CK29" s="1318"/>
      <c r="CL29" s="1318"/>
      <c r="CM29" s="1318"/>
      <c r="CN29" s="1318"/>
      <c r="CO29" s="1318"/>
      <c r="CP29" s="1318"/>
      <c r="CQ29" s="1318"/>
      <c r="CR29" s="1704"/>
      <c r="CS29" s="358">
        <f t="shared" si="33"/>
        <v>0</v>
      </c>
    </row>
    <row r="30" spans="1:97" hidden="1">
      <c r="A30" s="1309">
        <v>43922</v>
      </c>
      <c r="B30" s="1310">
        <f t="shared" si="2"/>
        <v>0</v>
      </c>
      <c r="C30" s="1310">
        <f t="shared" si="3"/>
        <v>0</v>
      </c>
      <c r="D30" s="1310">
        <f t="shared" si="4"/>
        <v>0</v>
      </c>
      <c r="E30" s="1310">
        <f t="shared" si="5"/>
        <v>0</v>
      </c>
      <c r="F30" s="1310">
        <f t="shared" si="6"/>
        <v>0</v>
      </c>
      <c r="G30" s="1310">
        <f t="shared" si="7"/>
        <v>0</v>
      </c>
      <c r="H30" s="1310">
        <f t="shared" si="8"/>
        <v>0</v>
      </c>
      <c r="I30" s="1310">
        <f t="shared" si="9"/>
        <v>0</v>
      </c>
      <c r="J30" s="1310">
        <f t="shared" si="10"/>
        <v>0</v>
      </c>
      <c r="K30" s="1310">
        <f t="shared" si="11"/>
        <v>0</v>
      </c>
      <c r="L30" s="1310">
        <f t="shared" si="12"/>
        <v>0</v>
      </c>
      <c r="M30" s="1310">
        <f t="shared" si="13"/>
        <v>0</v>
      </c>
      <c r="N30" s="1310">
        <f t="shared" si="14"/>
        <v>0</v>
      </c>
      <c r="O30" s="1310">
        <f t="shared" si="15"/>
        <v>0</v>
      </c>
      <c r="P30" s="1310"/>
      <c r="Q30" s="1310">
        <f t="shared" si="16"/>
        <v>0</v>
      </c>
      <c r="R30" s="1310">
        <f t="shared" si="17"/>
        <v>0</v>
      </c>
      <c r="S30" s="1310">
        <f t="shared" si="18"/>
        <v>0</v>
      </c>
      <c r="T30" s="1310">
        <f t="shared" si="19"/>
        <v>0</v>
      </c>
      <c r="U30" s="1310">
        <f t="shared" si="20"/>
        <v>0</v>
      </c>
      <c r="V30" s="1310">
        <f t="shared" si="21"/>
        <v>0</v>
      </c>
      <c r="W30" s="1310">
        <f t="shared" si="22"/>
        <v>0</v>
      </c>
      <c r="X30" s="1310">
        <f t="shared" si="23"/>
        <v>0</v>
      </c>
      <c r="Y30" s="1310">
        <f t="shared" si="24"/>
        <v>0</v>
      </c>
      <c r="Z30" s="1310">
        <f t="shared" si="25"/>
        <v>0</v>
      </c>
      <c r="AA30" s="1310">
        <f t="shared" si="26"/>
        <v>0</v>
      </c>
      <c r="AB30" s="1310">
        <f t="shared" si="27"/>
        <v>0</v>
      </c>
      <c r="AC30" s="1310">
        <f t="shared" si="28"/>
        <v>0</v>
      </c>
      <c r="AD30" s="1310">
        <f t="shared" si="29"/>
        <v>0</v>
      </c>
      <c r="AE30" s="1310">
        <f t="shared" si="30"/>
        <v>0</v>
      </c>
      <c r="AF30" s="1310">
        <f t="shared" si="31"/>
        <v>0</v>
      </c>
      <c r="AG30" s="1701">
        <f t="shared" si="32"/>
        <v>0</v>
      </c>
      <c r="AH30" s="1712"/>
      <c r="AI30" s="1712"/>
      <c r="AJ30" s="1712"/>
      <c r="AK30" s="1712"/>
      <c r="AL30" s="1712"/>
      <c r="AM30" s="1712"/>
      <c r="AN30" s="1712"/>
      <c r="AO30" s="1712"/>
      <c r="AP30" s="1712"/>
      <c r="AQ30" s="1712"/>
      <c r="AR30" s="1712"/>
      <c r="AS30" s="1712"/>
      <c r="AT30" s="1712"/>
      <c r="AU30" s="1712"/>
      <c r="AV30" s="1712"/>
      <c r="AW30" s="1712"/>
      <c r="AX30" s="1712"/>
      <c r="AY30" s="1712"/>
      <c r="AZ30" s="1712"/>
      <c r="BA30" s="1712"/>
      <c r="BB30" s="1712"/>
      <c r="BC30" s="1712"/>
      <c r="BD30" s="1712"/>
      <c r="BE30" s="1712"/>
      <c r="BF30" s="1712"/>
      <c r="BG30" s="1712"/>
      <c r="BH30" s="1712"/>
      <c r="BI30" s="1712"/>
      <c r="BJ30" s="1712"/>
      <c r="BK30" s="1712"/>
      <c r="BL30" s="1712"/>
      <c r="BM30" s="1712"/>
      <c r="BN30" s="1703"/>
      <c r="BO30" s="1318"/>
      <c r="BP30" s="1318"/>
      <c r="BQ30" s="1318"/>
      <c r="BR30" s="1318"/>
      <c r="BS30" s="1318"/>
      <c r="BT30" s="1318"/>
      <c r="BU30" s="1318"/>
      <c r="BV30" s="1318"/>
      <c r="BW30" s="1318"/>
      <c r="BX30" s="1318"/>
      <c r="BY30" s="1318"/>
      <c r="BZ30" s="1318"/>
      <c r="CA30" s="1318"/>
      <c r="CB30" s="1704"/>
      <c r="CC30" s="1703"/>
      <c r="CD30" s="1318"/>
      <c r="CE30" s="1318"/>
      <c r="CF30" s="1318"/>
      <c r="CG30" s="1318"/>
      <c r="CH30" s="1710"/>
      <c r="CI30" s="1703"/>
      <c r="CJ30" s="1318"/>
      <c r="CK30" s="1318"/>
      <c r="CL30" s="1318"/>
      <c r="CM30" s="1318"/>
      <c r="CN30" s="1318"/>
      <c r="CO30" s="1318"/>
      <c r="CP30" s="1318"/>
      <c r="CQ30" s="1318"/>
      <c r="CR30" s="1704"/>
      <c r="CS30" s="358">
        <f t="shared" si="33"/>
        <v>0</v>
      </c>
    </row>
    <row r="31" spans="1:97" hidden="1">
      <c r="A31" s="1309">
        <v>43952</v>
      </c>
      <c r="B31" s="1310">
        <f t="shared" si="2"/>
        <v>0</v>
      </c>
      <c r="C31" s="1310">
        <f t="shared" si="3"/>
        <v>0</v>
      </c>
      <c r="D31" s="1310">
        <f t="shared" si="4"/>
        <v>0</v>
      </c>
      <c r="E31" s="1310">
        <f t="shared" si="5"/>
        <v>0</v>
      </c>
      <c r="F31" s="1310">
        <f t="shared" si="6"/>
        <v>0</v>
      </c>
      <c r="G31" s="1310">
        <f t="shared" si="7"/>
        <v>0</v>
      </c>
      <c r="H31" s="1310">
        <f t="shared" si="8"/>
        <v>0</v>
      </c>
      <c r="I31" s="1310">
        <f t="shared" si="9"/>
        <v>0</v>
      </c>
      <c r="J31" s="1310">
        <f t="shared" si="10"/>
        <v>0</v>
      </c>
      <c r="K31" s="1310">
        <f t="shared" si="11"/>
        <v>0</v>
      </c>
      <c r="L31" s="1310">
        <f t="shared" si="12"/>
        <v>0</v>
      </c>
      <c r="M31" s="1310">
        <f t="shared" si="13"/>
        <v>0</v>
      </c>
      <c r="N31" s="1310">
        <f t="shared" si="14"/>
        <v>0</v>
      </c>
      <c r="O31" s="1310">
        <f t="shared" si="15"/>
        <v>0</v>
      </c>
      <c r="P31" s="1310"/>
      <c r="Q31" s="1310">
        <f t="shared" si="16"/>
        <v>0</v>
      </c>
      <c r="R31" s="1310">
        <f t="shared" si="17"/>
        <v>0</v>
      </c>
      <c r="S31" s="1310">
        <f t="shared" si="18"/>
        <v>0</v>
      </c>
      <c r="T31" s="1310">
        <f t="shared" si="19"/>
        <v>0</v>
      </c>
      <c r="U31" s="1310">
        <f t="shared" si="20"/>
        <v>0</v>
      </c>
      <c r="V31" s="1310">
        <f t="shared" si="21"/>
        <v>0</v>
      </c>
      <c r="W31" s="1310">
        <f t="shared" si="22"/>
        <v>0</v>
      </c>
      <c r="X31" s="1310">
        <f t="shared" si="23"/>
        <v>0</v>
      </c>
      <c r="Y31" s="1310">
        <f t="shared" si="24"/>
        <v>0</v>
      </c>
      <c r="Z31" s="1310">
        <f t="shared" si="25"/>
        <v>0</v>
      </c>
      <c r="AA31" s="1310">
        <f t="shared" si="26"/>
        <v>0</v>
      </c>
      <c r="AB31" s="1310">
        <f t="shared" si="27"/>
        <v>0</v>
      </c>
      <c r="AC31" s="1310">
        <f t="shared" si="28"/>
        <v>0</v>
      </c>
      <c r="AD31" s="1310">
        <f t="shared" si="29"/>
        <v>0</v>
      </c>
      <c r="AE31" s="1310">
        <f t="shared" si="30"/>
        <v>0</v>
      </c>
      <c r="AF31" s="1310">
        <f t="shared" si="31"/>
        <v>0</v>
      </c>
      <c r="AG31" s="1701">
        <f t="shared" si="32"/>
        <v>0</v>
      </c>
      <c r="AH31" s="1712"/>
      <c r="AI31" s="1712"/>
      <c r="AJ31" s="1712"/>
      <c r="AK31" s="1712"/>
      <c r="AL31" s="1712"/>
      <c r="AM31" s="1712"/>
      <c r="AN31" s="1712"/>
      <c r="AO31" s="1712"/>
      <c r="AP31" s="1712"/>
      <c r="AQ31" s="1712"/>
      <c r="AR31" s="1712"/>
      <c r="AS31" s="1712"/>
      <c r="AT31" s="1712"/>
      <c r="AU31" s="1712"/>
      <c r="AV31" s="1712"/>
      <c r="AW31" s="1712"/>
      <c r="AX31" s="1712"/>
      <c r="AY31" s="1712"/>
      <c r="AZ31" s="1712"/>
      <c r="BA31" s="1712"/>
      <c r="BB31" s="1712"/>
      <c r="BC31" s="1712"/>
      <c r="BD31" s="1712"/>
      <c r="BE31" s="1712"/>
      <c r="BF31" s="1712"/>
      <c r="BG31" s="1712"/>
      <c r="BH31" s="1712"/>
      <c r="BI31" s="1712"/>
      <c r="BJ31" s="1712"/>
      <c r="BK31" s="1712"/>
      <c r="BL31" s="1712"/>
      <c r="BM31" s="1712"/>
      <c r="BN31" s="1703"/>
      <c r="BO31" s="1318"/>
      <c r="BP31" s="1318"/>
      <c r="BQ31" s="1318"/>
      <c r="BR31" s="1318"/>
      <c r="BS31" s="1318"/>
      <c r="BT31" s="1318"/>
      <c r="BU31" s="1318"/>
      <c r="BV31" s="1318"/>
      <c r="BW31" s="1318"/>
      <c r="BX31" s="1318"/>
      <c r="BY31" s="1318"/>
      <c r="BZ31" s="1318"/>
      <c r="CA31" s="1318"/>
      <c r="CB31" s="1704"/>
      <c r="CC31" s="1703"/>
      <c r="CD31" s="1318"/>
      <c r="CE31" s="1318"/>
      <c r="CF31" s="1318"/>
      <c r="CG31" s="1318"/>
      <c r="CH31" s="1710"/>
      <c r="CI31" s="1703"/>
      <c r="CJ31" s="1318"/>
      <c r="CK31" s="1318"/>
      <c r="CL31" s="1318"/>
      <c r="CM31" s="1318"/>
      <c r="CN31" s="1318"/>
      <c r="CO31" s="1318"/>
      <c r="CP31" s="1318"/>
      <c r="CQ31" s="1318"/>
      <c r="CR31" s="1704"/>
      <c r="CS31" s="358">
        <f t="shared" si="33"/>
        <v>0</v>
      </c>
    </row>
    <row r="32" spans="1:97" hidden="1">
      <c r="A32" s="1309">
        <v>43983</v>
      </c>
      <c r="B32" s="1310">
        <f t="shared" si="2"/>
        <v>0</v>
      </c>
      <c r="C32" s="1310">
        <f t="shared" si="3"/>
        <v>0</v>
      </c>
      <c r="D32" s="1310">
        <f t="shared" si="4"/>
        <v>0</v>
      </c>
      <c r="E32" s="1310">
        <f t="shared" si="5"/>
        <v>0</v>
      </c>
      <c r="F32" s="1310">
        <f t="shared" si="6"/>
        <v>0</v>
      </c>
      <c r="G32" s="1310">
        <f t="shared" si="7"/>
        <v>0</v>
      </c>
      <c r="H32" s="1310">
        <f t="shared" si="8"/>
        <v>0</v>
      </c>
      <c r="I32" s="1310">
        <f t="shared" si="9"/>
        <v>0</v>
      </c>
      <c r="J32" s="1310">
        <f t="shared" si="10"/>
        <v>0</v>
      </c>
      <c r="K32" s="1310">
        <f t="shared" si="11"/>
        <v>0</v>
      </c>
      <c r="L32" s="1310">
        <f t="shared" si="12"/>
        <v>0</v>
      </c>
      <c r="M32" s="1310">
        <f t="shared" si="13"/>
        <v>0</v>
      </c>
      <c r="N32" s="1310">
        <f t="shared" si="14"/>
        <v>0</v>
      </c>
      <c r="O32" s="1310">
        <f t="shared" si="15"/>
        <v>0</v>
      </c>
      <c r="P32" s="1310"/>
      <c r="Q32" s="1310">
        <f t="shared" si="16"/>
        <v>0</v>
      </c>
      <c r="R32" s="1310">
        <f t="shared" si="17"/>
        <v>0</v>
      </c>
      <c r="S32" s="1310">
        <f t="shared" si="18"/>
        <v>0</v>
      </c>
      <c r="T32" s="1310">
        <f t="shared" si="19"/>
        <v>0</v>
      </c>
      <c r="U32" s="1310">
        <f t="shared" si="20"/>
        <v>0</v>
      </c>
      <c r="V32" s="1310">
        <f t="shared" si="21"/>
        <v>0</v>
      </c>
      <c r="W32" s="1310">
        <f t="shared" si="22"/>
        <v>0</v>
      </c>
      <c r="X32" s="1310">
        <f t="shared" si="23"/>
        <v>0</v>
      </c>
      <c r="Y32" s="1310">
        <f t="shared" si="24"/>
        <v>0</v>
      </c>
      <c r="Z32" s="1310">
        <f t="shared" si="25"/>
        <v>0</v>
      </c>
      <c r="AA32" s="1310">
        <f t="shared" si="26"/>
        <v>0</v>
      </c>
      <c r="AB32" s="1310">
        <f t="shared" si="27"/>
        <v>0</v>
      </c>
      <c r="AC32" s="1310">
        <f t="shared" si="28"/>
        <v>0</v>
      </c>
      <c r="AD32" s="1310">
        <f t="shared" si="29"/>
        <v>0</v>
      </c>
      <c r="AE32" s="1310">
        <f t="shared" si="30"/>
        <v>0</v>
      </c>
      <c r="AF32" s="1310">
        <f t="shared" si="31"/>
        <v>0</v>
      </c>
      <c r="AG32" s="1701">
        <f t="shared" si="32"/>
        <v>0</v>
      </c>
      <c r="AH32" s="1712"/>
      <c r="AI32" s="1712"/>
      <c r="AJ32" s="1712"/>
      <c r="AK32" s="1712"/>
      <c r="AL32" s="1712"/>
      <c r="AM32" s="1712"/>
      <c r="AN32" s="1712"/>
      <c r="AO32" s="1712"/>
      <c r="AP32" s="1712"/>
      <c r="AQ32" s="1712"/>
      <c r="AR32" s="1712"/>
      <c r="AS32" s="1712"/>
      <c r="AT32" s="1712"/>
      <c r="AU32" s="1712"/>
      <c r="AV32" s="1712"/>
      <c r="AW32" s="1712"/>
      <c r="AX32" s="1712"/>
      <c r="AY32" s="1712"/>
      <c r="AZ32" s="1712"/>
      <c r="BA32" s="1712"/>
      <c r="BB32" s="1712"/>
      <c r="BC32" s="1712"/>
      <c r="BD32" s="1712"/>
      <c r="BE32" s="1712"/>
      <c r="BF32" s="1712"/>
      <c r="BG32" s="1712"/>
      <c r="BH32" s="1712"/>
      <c r="BI32" s="1712"/>
      <c r="BJ32" s="1712"/>
      <c r="BK32" s="1712"/>
      <c r="BL32" s="1712"/>
      <c r="BM32" s="1712"/>
      <c r="BN32" s="1703"/>
      <c r="BO32" s="1318"/>
      <c r="BP32" s="1318"/>
      <c r="BQ32" s="1318"/>
      <c r="BR32" s="1318"/>
      <c r="BS32" s="1318"/>
      <c r="BT32" s="1318"/>
      <c r="BU32" s="1318"/>
      <c r="BV32" s="1318"/>
      <c r="BW32" s="1318"/>
      <c r="BX32" s="1318"/>
      <c r="BY32" s="1318"/>
      <c r="BZ32" s="1318"/>
      <c r="CA32" s="1318"/>
      <c r="CB32" s="1704"/>
      <c r="CC32" s="1703"/>
      <c r="CD32" s="1318"/>
      <c r="CE32" s="1318"/>
      <c r="CF32" s="1318"/>
      <c r="CG32" s="1318"/>
      <c r="CH32" s="1710"/>
      <c r="CI32" s="1703"/>
      <c r="CJ32" s="1318"/>
      <c r="CK32" s="1318"/>
      <c r="CL32" s="1318"/>
      <c r="CM32" s="1318"/>
      <c r="CN32" s="1318"/>
      <c r="CO32" s="1318"/>
      <c r="CP32" s="1318"/>
      <c r="CQ32" s="1318"/>
      <c r="CR32" s="1704"/>
      <c r="CS32" s="358">
        <f t="shared" si="33"/>
        <v>0</v>
      </c>
    </row>
    <row r="33" spans="1:97" hidden="1">
      <c r="A33" s="1309">
        <v>44013</v>
      </c>
      <c r="B33" s="1310">
        <f t="shared" si="2"/>
        <v>0</v>
      </c>
      <c r="C33" s="1310">
        <f t="shared" si="3"/>
        <v>0</v>
      </c>
      <c r="D33" s="1310">
        <f t="shared" si="4"/>
        <v>0</v>
      </c>
      <c r="E33" s="1310">
        <f t="shared" si="5"/>
        <v>0</v>
      </c>
      <c r="F33" s="1310">
        <f t="shared" si="6"/>
        <v>0</v>
      </c>
      <c r="G33" s="1310">
        <f t="shared" si="7"/>
        <v>0</v>
      </c>
      <c r="H33" s="1310">
        <f t="shared" si="8"/>
        <v>0</v>
      </c>
      <c r="I33" s="1310">
        <f t="shared" si="9"/>
        <v>0</v>
      </c>
      <c r="J33" s="1310">
        <f t="shared" si="10"/>
        <v>0</v>
      </c>
      <c r="K33" s="1310">
        <f t="shared" si="11"/>
        <v>0</v>
      </c>
      <c r="L33" s="1310">
        <f t="shared" si="12"/>
        <v>0</v>
      </c>
      <c r="M33" s="1310">
        <f t="shared" si="13"/>
        <v>0</v>
      </c>
      <c r="N33" s="1310">
        <f t="shared" si="14"/>
        <v>0</v>
      </c>
      <c r="O33" s="1310">
        <f t="shared" si="15"/>
        <v>0</v>
      </c>
      <c r="P33" s="1310"/>
      <c r="Q33" s="1310">
        <f t="shared" si="16"/>
        <v>0</v>
      </c>
      <c r="R33" s="1310">
        <f t="shared" si="17"/>
        <v>0</v>
      </c>
      <c r="S33" s="1310">
        <f t="shared" si="18"/>
        <v>0</v>
      </c>
      <c r="T33" s="1310">
        <f t="shared" si="19"/>
        <v>0</v>
      </c>
      <c r="U33" s="1310">
        <f t="shared" si="20"/>
        <v>0</v>
      </c>
      <c r="V33" s="1310">
        <f t="shared" si="21"/>
        <v>0</v>
      </c>
      <c r="W33" s="1310">
        <f t="shared" si="22"/>
        <v>0</v>
      </c>
      <c r="X33" s="1310">
        <f t="shared" si="23"/>
        <v>0</v>
      </c>
      <c r="Y33" s="1310">
        <f t="shared" si="24"/>
        <v>0</v>
      </c>
      <c r="Z33" s="1310">
        <f t="shared" si="25"/>
        <v>0</v>
      </c>
      <c r="AA33" s="1310">
        <f t="shared" si="26"/>
        <v>0</v>
      </c>
      <c r="AB33" s="1310">
        <f t="shared" si="27"/>
        <v>0</v>
      </c>
      <c r="AC33" s="1310">
        <f t="shared" si="28"/>
        <v>0</v>
      </c>
      <c r="AD33" s="1310">
        <f t="shared" si="29"/>
        <v>0</v>
      </c>
      <c r="AE33" s="1310">
        <f t="shared" si="30"/>
        <v>0</v>
      </c>
      <c r="AF33" s="1310">
        <f t="shared" si="31"/>
        <v>0</v>
      </c>
      <c r="AG33" s="1701">
        <f t="shared" si="32"/>
        <v>0</v>
      </c>
      <c r="AH33" s="1712"/>
      <c r="AI33" s="1712"/>
      <c r="AJ33" s="1712"/>
      <c r="AK33" s="1712"/>
      <c r="AL33" s="1712"/>
      <c r="AM33" s="1712"/>
      <c r="AN33" s="1712"/>
      <c r="AO33" s="1712"/>
      <c r="AP33" s="1712"/>
      <c r="AQ33" s="1712"/>
      <c r="AR33" s="1712"/>
      <c r="AS33" s="1712"/>
      <c r="AT33" s="1712"/>
      <c r="AU33" s="1712"/>
      <c r="AV33" s="1712"/>
      <c r="AW33" s="1712"/>
      <c r="AX33" s="1712"/>
      <c r="AY33" s="1712"/>
      <c r="AZ33" s="1712"/>
      <c r="BA33" s="1712"/>
      <c r="BB33" s="1712"/>
      <c r="BC33" s="1712"/>
      <c r="BD33" s="1712"/>
      <c r="BE33" s="1712"/>
      <c r="BF33" s="1712"/>
      <c r="BG33" s="1712"/>
      <c r="BH33" s="1712"/>
      <c r="BI33" s="1712"/>
      <c r="BJ33" s="1712"/>
      <c r="BK33" s="1712"/>
      <c r="BL33" s="1712"/>
      <c r="BM33" s="1712"/>
      <c r="BN33" s="1703"/>
      <c r="BO33" s="1318"/>
      <c r="BP33" s="1318"/>
      <c r="BQ33" s="1318"/>
      <c r="BR33" s="1318"/>
      <c r="BS33" s="1318"/>
      <c r="BT33" s="1318"/>
      <c r="BU33" s="1318"/>
      <c r="BV33" s="1318"/>
      <c r="BW33" s="1318"/>
      <c r="BX33" s="1318"/>
      <c r="BY33" s="1318"/>
      <c r="BZ33" s="1318"/>
      <c r="CA33" s="1318"/>
      <c r="CB33" s="1704"/>
      <c r="CC33" s="1703"/>
      <c r="CD33" s="1318"/>
      <c r="CE33" s="1318"/>
      <c r="CF33" s="1318"/>
      <c r="CG33" s="1318"/>
      <c r="CH33" s="1710"/>
      <c r="CI33" s="1703"/>
      <c r="CJ33" s="1318"/>
      <c r="CK33" s="1318"/>
      <c r="CL33" s="1318"/>
      <c r="CM33" s="1318"/>
      <c r="CN33" s="1318"/>
      <c r="CO33" s="1318"/>
      <c r="CP33" s="1318"/>
      <c r="CQ33" s="1318"/>
      <c r="CR33" s="1704"/>
      <c r="CS33" s="358">
        <f t="shared" si="33"/>
        <v>0</v>
      </c>
    </row>
    <row r="34" spans="1:97" hidden="1">
      <c r="A34" s="1309">
        <v>44044</v>
      </c>
      <c r="B34" s="1310">
        <f t="shared" si="2"/>
        <v>0</v>
      </c>
      <c r="C34" s="1310">
        <f t="shared" si="3"/>
        <v>0</v>
      </c>
      <c r="D34" s="1310">
        <f t="shared" si="4"/>
        <v>0</v>
      </c>
      <c r="E34" s="1310">
        <f t="shared" si="5"/>
        <v>0</v>
      </c>
      <c r="F34" s="1310">
        <f t="shared" si="6"/>
        <v>0</v>
      </c>
      <c r="G34" s="1310">
        <f t="shared" si="7"/>
        <v>0</v>
      </c>
      <c r="H34" s="1310">
        <f t="shared" si="8"/>
        <v>0</v>
      </c>
      <c r="I34" s="1310">
        <f t="shared" si="9"/>
        <v>0</v>
      </c>
      <c r="J34" s="1310">
        <f t="shared" si="10"/>
        <v>0</v>
      </c>
      <c r="K34" s="1310">
        <f t="shared" si="11"/>
        <v>0</v>
      </c>
      <c r="L34" s="1310">
        <f t="shared" si="12"/>
        <v>0</v>
      </c>
      <c r="M34" s="1310">
        <f t="shared" si="13"/>
        <v>0</v>
      </c>
      <c r="N34" s="1310">
        <f t="shared" si="14"/>
        <v>0</v>
      </c>
      <c r="O34" s="1310">
        <f t="shared" si="15"/>
        <v>0</v>
      </c>
      <c r="P34" s="1310"/>
      <c r="Q34" s="1310">
        <f t="shared" si="16"/>
        <v>0</v>
      </c>
      <c r="R34" s="1310">
        <f t="shared" si="17"/>
        <v>0</v>
      </c>
      <c r="S34" s="1310">
        <f t="shared" si="18"/>
        <v>0</v>
      </c>
      <c r="T34" s="1310">
        <f t="shared" si="19"/>
        <v>0</v>
      </c>
      <c r="U34" s="1310">
        <f t="shared" si="20"/>
        <v>0</v>
      </c>
      <c r="V34" s="1310">
        <f t="shared" si="21"/>
        <v>0</v>
      </c>
      <c r="W34" s="1310">
        <f t="shared" si="22"/>
        <v>0</v>
      </c>
      <c r="X34" s="1310">
        <f t="shared" si="23"/>
        <v>0</v>
      </c>
      <c r="Y34" s="1310">
        <f t="shared" si="24"/>
        <v>0</v>
      </c>
      <c r="Z34" s="1310">
        <f t="shared" si="25"/>
        <v>0</v>
      </c>
      <c r="AA34" s="1310">
        <f t="shared" si="26"/>
        <v>0</v>
      </c>
      <c r="AB34" s="1310">
        <f t="shared" si="27"/>
        <v>0</v>
      </c>
      <c r="AC34" s="1310">
        <f t="shared" si="28"/>
        <v>0</v>
      </c>
      <c r="AD34" s="1310">
        <f t="shared" si="29"/>
        <v>0</v>
      </c>
      <c r="AE34" s="1310">
        <f t="shared" si="30"/>
        <v>0</v>
      </c>
      <c r="AF34" s="1310">
        <f t="shared" si="31"/>
        <v>0</v>
      </c>
      <c r="AG34" s="1701">
        <f t="shared" si="32"/>
        <v>0</v>
      </c>
      <c r="AH34" s="1712"/>
      <c r="AI34" s="1712"/>
      <c r="AJ34" s="1712"/>
      <c r="AK34" s="1712"/>
      <c r="AL34" s="1712"/>
      <c r="AM34" s="1712"/>
      <c r="AN34" s="1712"/>
      <c r="AO34" s="1712"/>
      <c r="AP34" s="1712"/>
      <c r="AQ34" s="1712"/>
      <c r="AR34" s="1712"/>
      <c r="AS34" s="1712"/>
      <c r="AT34" s="1712"/>
      <c r="AU34" s="1712"/>
      <c r="AV34" s="1712"/>
      <c r="AW34" s="1712"/>
      <c r="AX34" s="1712"/>
      <c r="AY34" s="1712"/>
      <c r="AZ34" s="1712"/>
      <c r="BA34" s="1712"/>
      <c r="BB34" s="1712"/>
      <c r="BC34" s="1712"/>
      <c r="BD34" s="1712"/>
      <c r="BE34" s="1712"/>
      <c r="BF34" s="1712"/>
      <c r="BG34" s="1712"/>
      <c r="BH34" s="1712"/>
      <c r="BI34" s="1712"/>
      <c r="BJ34" s="1712"/>
      <c r="BK34" s="1712"/>
      <c r="BL34" s="1712"/>
      <c r="BM34" s="1712"/>
      <c r="BN34" s="1703"/>
      <c r="BO34" s="1318"/>
      <c r="BP34" s="1318"/>
      <c r="BQ34" s="1318"/>
      <c r="BR34" s="1318"/>
      <c r="BS34" s="1318"/>
      <c r="BT34" s="1318"/>
      <c r="BU34" s="1318"/>
      <c r="BV34" s="1318"/>
      <c r="BW34" s="1318"/>
      <c r="BX34" s="1318"/>
      <c r="BY34" s="1318"/>
      <c r="BZ34" s="1318"/>
      <c r="CA34" s="1318"/>
      <c r="CB34" s="1704"/>
      <c r="CC34" s="1703"/>
      <c r="CD34" s="1318"/>
      <c r="CE34" s="1318"/>
      <c r="CF34" s="1318"/>
      <c r="CG34" s="1318"/>
      <c r="CH34" s="1710"/>
      <c r="CI34" s="1703"/>
      <c r="CJ34" s="1318"/>
      <c r="CK34" s="1318"/>
      <c r="CL34" s="1318"/>
      <c r="CM34" s="1318"/>
      <c r="CN34" s="1318"/>
      <c r="CO34" s="1318"/>
      <c r="CP34" s="1318"/>
      <c r="CQ34" s="1318"/>
      <c r="CR34" s="1704"/>
      <c r="CS34" s="358">
        <f t="shared" si="33"/>
        <v>0</v>
      </c>
    </row>
    <row r="35" spans="1:97" hidden="1">
      <c r="A35" s="1309">
        <v>44075</v>
      </c>
      <c r="B35" s="1310">
        <f t="shared" si="2"/>
        <v>0</v>
      </c>
      <c r="C35" s="1310">
        <f t="shared" si="3"/>
        <v>0</v>
      </c>
      <c r="D35" s="1310">
        <f t="shared" si="4"/>
        <v>0</v>
      </c>
      <c r="E35" s="1310">
        <f t="shared" si="5"/>
        <v>0</v>
      </c>
      <c r="F35" s="1310">
        <f t="shared" si="6"/>
        <v>0</v>
      </c>
      <c r="G35" s="1310">
        <f t="shared" si="7"/>
        <v>0</v>
      </c>
      <c r="H35" s="1310">
        <f t="shared" si="8"/>
        <v>0</v>
      </c>
      <c r="I35" s="1310">
        <f t="shared" si="9"/>
        <v>0</v>
      </c>
      <c r="J35" s="1310">
        <f t="shared" si="10"/>
        <v>0</v>
      </c>
      <c r="K35" s="1310">
        <f t="shared" si="11"/>
        <v>0</v>
      </c>
      <c r="L35" s="1310">
        <f t="shared" si="12"/>
        <v>0</v>
      </c>
      <c r="M35" s="1310">
        <f t="shared" si="13"/>
        <v>0</v>
      </c>
      <c r="N35" s="1310">
        <f t="shared" si="14"/>
        <v>0</v>
      </c>
      <c r="O35" s="1310">
        <f t="shared" si="15"/>
        <v>0</v>
      </c>
      <c r="P35" s="1310"/>
      <c r="Q35" s="1310">
        <f t="shared" si="16"/>
        <v>0</v>
      </c>
      <c r="R35" s="1310">
        <f t="shared" si="17"/>
        <v>0</v>
      </c>
      <c r="S35" s="1310">
        <f t="shared" si="18"/>
        <v>0</v>
      </c>
      <c r="T35" s="1310">
        <f t="shared" si="19"/>
        <v>0</v>
      </c>
      <c r="U35" s="1310">
        <f t="shared" si="20"/>
        <v>0</v>
      </c>
      <c r="V35" s="1310">
        <f t="shared" si="21"/>
        <v>0</v>
      </c>
      <c r="W35" s="1310">
        <f t="shared" si="22"/>
        <v>0</v>
      </c>
      <c r="X35" s="1310">
        <f t="shared" si="23"/>
        <v>0</v>
      </c>
      <c r="Y35" s="1310">
        <f t="shared" si="24"/>
        <v>0</v>
      </c>
      <c r="Z35" s="1310">
        <f t="shared" si="25"/>
        <v>0</v>
      </c>
      <c r="AA35" s="1310">
        <f t="shared" si="26"/>
        <v>0</v>
      </c>
      <c r="AB35" s="1310">
        <f t="shared" si="27"/>
        <v>0</v>
      </c>
      <c r="AC35" s="1310">
        <f t="shared" si="28"/>
        <v>0</v>
      </c>
      <c r="AD35" s="1310">
        <f t="shared" si="29"/>
        <v>0</v>
      </c>
      <c r="AE35" s="1310">
        <f t="shared" si="30"/>
        <v>0</v>
      </c>
      <c r="AF35" s="1310">
        <f t="shared" si="31"/>
        <v>0</v>
      </c>
      <c r="AG35" s="1701">
        <f t="shared" si="32"/>
        <v>0</v>
      </c>
      <c r="AH35" s="1712"/>
      <c r="AI35" s="1712"/>
      <c r="AJ35" s="1712"/>
      <c r="AK35" s="1712"/>
      <c r="AL35" s="1712"/>
      <c r="AM35" s="1712"/>
      <c r="AN35" s="1712"/>
      <c r="AO35" s="1712"/>
      <c r="AP35" s="1712"/>
      <c r="AQ35" s="1712"/>
      <c r="AR35" s="1712"/>
      <c r="AS35" s="1712"/>
      <c r="AT35" s="1712"/>
      <c r="AU35" s="1712"/>
      <c r="AV35" s="1712"/>
      <c r="AW35" s="1712"/>
      <c r="AX35" s="1712"/>
      <c r="AY35" s="1712"/>
      <c r="AZ35" s="1712"/>
      <c r="BA35" s="1712"/>
      <c r="BB35" s="1712"/>
      <c r="BC35" s="1712"/>
      <c r="BD35" s="1712"/>
      <c r="BE35" s="1712"/>
      <c r="BF35" s="1712"/>
      <c r="BG35" s="1712"/>
      <c r="BH35" s="1712"/>
      <c r="BI35" s="1712"/>
      <c r="BJ35" s="1712"/>
      <c r="BK35" s="1712"/>
      <c r="BL35" s="1712"/>
      <c r="BM35" s="1712"/>
      <c r="BN35" s="1703"/>
      <c r="BO35" s="1318"/>
      <c r="BP35" s="1318"/>
      <c r="BQ35" s="1318"/>
      <c r="BR35" s="1318"/>
      <c r="BS35" s="1318"/>
      <c r="BT35" s="1318"/>
      <c r="BU35" s="1318"/>
      <c r="BV35" s="1318"/>
      <c r="BW35" s="1318"/>
      <c r="BX35" s="1318"/>
      <c r="BY35" s="1318"/>
      <c r="BZ35" s="1318"/>
      <c r="CA35" s="1318"/>
      <c r="CB35" s="1704"/>
      <c r="CC35" s="1703"/>
      <c r="CD35" s="1318"/>
      <c r="CE35" s="1318"/>
      <c r="CF35" s="1318"/>
      <c r="CG35" s="1318"/>
      <c r="CH35" s="1710"/>
      <c r="CI35" s="1703"/>
      <c r="CJ35" s="1318"/>
      <c r="CK35" s="1318"/>
      <c r="CL35" s="1318"/>
      <c r="CM35" s="1318"/>
      <c r="CN35" s="1318"/>
      <c r="CO35" s="1318"/>
      <c r="CP35" s="1318"/>
      <c r="CQ35" s="1318"/>
      <c r="CR35" s="1704"/>
      <c r="CS35" s="358">
        <f t="shared" si="33"/>
        <v>0</v>
      </c>
    </row>
    <row r="36" spans="1:97" hidden="1">
      <c r="A36" s="1309">
        <v>44105</v>
      </c>
      <c r="B36" s="1310">
        <f t="shared" si="2"/>
        <v>0</v>
      </c>
      <c r="C36" s="1310">
        <f t="shared" si="3"/>
        <v>0</v>
      </c>
      <c r="D36" s="1310">
        <f t="shared" si="4"/>
        <v>0</v>
      </c>
      <c r="E36" s="1310">
        <f t="shared" si="5"/>
        <v>0</v>
      </c>
      <c r="F36" s="1310">
        <f t="shared" si="6"/>
        <v>0</v>
      </c>
      <c r="G36" s="1310">
        <f t="shared" si="7"/>
        <v>0</v>
      </c>
      <c r="H36" s="1310">
        <f t="shared" si="8"/>
        <v>0</v>
      </c>
      <c r="I36" s="1310">
        <f t="shared" si="9"/>
        <v>0</v>
      </c>
      <c r="J36" s="1310">
        <f t="shared" si="10"/>
        <v>0</v>
      </c>
      <c r="K36" s="1310">
        <f t="shared" si="11"/>
        <v>0</v>
      </c>
      <c r="L36" s="1310">
        <f t="shared" si="12"/>
        <v>0</v>
      </c>
      <c r="M36" s="1310">
        <f t="shared" si="13"/>
        <v>0</v>
      </c>
      <c r="N36" s="1310">
        <f t="shared" si="14"/>
        <v>0</v>
      </c>
      <c r="O36" s="1310">
        <f t="shared" si="15"/>
        <v>0</v>
      </c>
      <c r="P36" s="1310"/>
      <c r="Q36" s="1310">
        <f t="shared" si="16"/>
        <v>0</v>
      </c>
      <c r="R36" s="1310">
        <f t="shared" si="17"/>
        <v>0</v>
      </c>
      <c r="S36" s="1310">
        <f t="shared" si="18"/>
        <v>0</v>
      </c>
      <c r="T36" s="1310">
        <f t="shared" si="19"/>
        <v>0</v>
      </c>
      <c r="U36" s="1310">
        <f t="shared" si="20"/>
        <v>0</v>
      </c>
      <c r="V36" s="1310">
        <f t="shared" si="21"/>
        <v>0</v>
      </c>
      <c r="W36" s="1310">
        <f t="shared" si="22"/>
        <v>0</v>
      </c>
      <c r="X36" s="1310">
        <f t="shared" si="23"/>
        <v>0</v>
      </c>
      <c r="Y36" s="1310">
        <f t="shared" si="24"/>
        <v>0</v>
      </c>
      <c r="Z36" s="1310">
        <f t="shared" si="25"/>
        <v>0</v>
      </c>
      <c r="AA36" s="1310">
        <f t="shared" si="26"/>
        <v>0</v>
      </c>
      <c r="AB36" s="1310">
        <f t="shared" si="27"/>
        <v>0</v>
      </c>
      <c r="AC36" s="1310">
        <f t="shared" si="28"/>
        <v>0</v>
      </c>
      <c r="AD36" s="1310">
        <f t="shared" si="29"/>
        <v>0</v>
      </c>
      <c r="AE36" s="1310">
        <f t="shared" si="30"/>
        <v>0</v>
      </c>
      <c r="AF36" s="1310">
        <f t="shared" si="31"/>
        <v>0</v>
      </c>
      <c r="AG36" s="1701">
        <f t="shared" si="32"/>
        <v>0</v>
      </c>
      <c r="AH36" s="1712"/>
      <c r="AI36" s="1712"/>
      <c r="AJ36" s="1712"/>
      <c r="AK36" s="1712"/>
      <c r="AL36" s="1712"/>
      <c r="AM36" s="1712"/>
      <c r="AN36" s="1712"/>
      <c r="AO36" s="1712"/>
      <c r="AP36" s="1712"/>
      <c r="AQ36" s="1712"/>
      <c r="AR36" s="1712"/>
      <c r="AS36" s="1712"/>
      <c r="AT36" s="1712"/>
      <c r="AU36" s="1712"/>
      <c r="AV36" s="1712"/>
      <c r="AW36" s="1712"/>
      <c r="AX36" s="1712"/>
      <c r="AY36" s="1712"/>
      <c r="AZ36" s="1712"/>
      <c r="BA36" s="1712"/>
      <c r="BB36" s="1712"/>
      <c r="BC36" s="1712"/>
      <c r="BD36" s="1712"/>
      <c r="BE36" s="1712"/>
      <c r="BF36" s="1712"/>
      <c r="BG36" s="1712"/>
      <c r="BH36" s="1712"/>
      <c r="BI36" s="1712"/>
      <c r="BJ36" s="1712"/>
      <c r="BK36" s="1712"/>
      <c r="BL36" s="1712"/>
      <c r="BM36" s="1712"/>
      <c r="BN36" s="1703"/>
      <c r="BO36" s="1318"/>
      <c r="BP36" s="1318"/>
      <c r="BQ36" s="1318"/>
      <c r="BR36" s="1318"/>
      <c r="BS36" s="1318"/>
      <c r="BT36" s="1318"/>
      <c r="BU36" s="1318"/>
      <c r="BV36" s="1318"/>
      <c r="BW36" s="1318"/>
      <c r="BX36" s="1318"/>
      <c r="BY36" s="1318"/>
      <c r="BZ36" s="1318"/>
      <c r="CA36" s="1318"/>
      <c r="CB36" s="1704"/>
      <c r="CC36" s="1703"/>
      <c r="CD36" s="1318"/>
      <c r="CE36" s="1318"/>
      <c r="CF36" s="1318"/>
      <c r="CG36" s="1318"/>
      <c r="CH36" s="1710"/>
      <c r="CI36" s="1703"/>
      <c r="CJ36" s="1318"/>
      <c r="CK36" s="1318"/>
      <c r="CL36" s="1318"/>
      <c r="CM36" s="1318"/>
      <c r="CN36" s="1318"/>
      <c r="CO36" s="1318"/>
      <c r="CP36" s="1318"/>
      <c r="CQ36" s="1318"/>
      <c r="CR36" s="1704"/>
      <c r="CS36" s="358">
        <f t="shared" si="33"/>
        <v>0</v>
      </c>
    </row>
    <row r="37" spans="1:97" hidden="1">
      <c r="A37" s="1309">
        <v>44136</v>
      </c>
      <c r="B37" s="1310">
        <f t="shared" si="2"/>
        <v>0</v>
      </c>
      <c r="C37" s="1310">
        <f t="shared" si="3"/>
        <v>0</v>
      </c>
      <c r="D37" s="1310">
        <f t="shared" si="4"/>
        <v>0</v>
      </c>
      <c r="E37" s="1310">
        <f t="shared" si="5"/>
        <v>0</v>
      </c>
      <c r="F37" s="1310">
        <f t="shared" si="6"/>
        <v>0</v>
      </c>
      <c r="G37" s="1310">
        <f t="shared" si="7"/>
        <v>0</v>
      </c>
      <c r="H37" s="1310">
        <f t="shared" si="8"/>
        <v>0</v>
      </c>
      <c r="I37" s="1310">
        <f t="shared" si="9"/>
        <v>0</v>
      </c>
      <c r="J37" s="1310">
        <f t="shared" si="10"/>
        <v>0</v>
      </c>
      <c r="K37" s="1310">
        <f t="shared" si="11"/>
        <v>0</v>
      </c>
      <c r="L37" s="1310">
        <f t="shared" si="12"/>
        <v>0</v>
      </c>
      <c r="M37" s="1310">
        <f t="shared" si="13"/>
        <v>0</v>
      </c>
      <c r="N37" s="1310">
        <f t="shared" si="14"/>
        <v>0</v>
      </c>
      <c r="O37" s="1310">
        <f t="shared" si="15"/>
        <v>0</v>
      </c>
      <c r="P37" s="1310"/>
      <c r="Q37" s="1310">
        <f t="shared" si="16"/>
        <v>0</v>
      </c>
      <c r="R37" s="1310">
        <f t="shared" si="17"/>
        <v>0</v>
      </c>
      <c r="S37" s="1310">
        <f t="shared" si="18"/>
        <v>0</v>
      </c>
      <c r="T37" s="1310">
        <f t="shared" si="19"/>
        <v>0</v>
      </c>
      <c r="U37" s="1310">
        <f t="shared" si="20"/>
        <v>0</v>
      </c>
      <c r="V37" s="1310">
        <f t="shared" si="21"/>
        <v>0</v>
      </c>
      <c r="W37" s="1310">
        <f t="shared" si="22"/>
        <v>0</v>
      </c>
      <c r="X37" s="1310">
        <f t="shared" si="23"/>
        <v>0</v>
      </c>
      <c r="Y37" s="1310">
        <f t="shared" si="24"/>
        <v>0</v>
      </c>
      <c r="Z37" s="1310">
        <f t="shared" si="25"/>
        <v>0</v>
      </c>
      <c r="AA37" s="1310">
        <f t="shared" si="26"/>
        <v>0</v>
      </c>
      <c r="AB37" s="1310">
        <f t="shared" si="27"/>
        <v>0</v>
      </c>
      <c r="AC37" s="1310">
        <f t="shared" si="28"/>
        <v>0</v>
      </c>
      <c r="AD37" s="1310">
        <f t="shared" si="29"/>
        <v>0</v>
      </c>
      <c r="AE37" s="1310">
        <f t="shared" si="30"/>
        <v>0</v>
      </c>
      <c r="AF37" s="1310">
        <f t="shared" si="31"/>
        <v>0</v>
      </c>
      <c r="AG37" s="1701">
        <f t="shared" si="32"/>
        <v>0</v>
      </c>
      <c r="AH37" s="1712"/>
      <c r="AI37" s="1712"/>
      <c r="AJ37" s="1712"/>
      <c r="AK37" s="1712"/>
      <c r="AL37" s="1712"/>
      <c r="AM37" s="1712"/>
      <c r="AN37" s="1712"/>
      <c r="AO37" s="1712"/>
      <c r="AP37" s="1712"/>
      <c r="AQ37" s="1712"/>
      <c r="AR37" s="1712"/>
      <c r="AS37" s="1712"/>
      <c r="AT37" s="1712"/>
      <c r="AU37" s="1712"/>
      <c r="AV37" s="1712"/>
      <c r="AW37" s="1712"/>
      <c r="AX37" s="1712"/>
      <c r="AY37" s="1712"/>
      <c r="AZ37" s="1712"/>
      <c r="BA37" s="1712"/>
      <c r="BB37" s="1712"/>
      <c r="BC37" s="1712"/>
      <c r="BD37" s="1712"/>
      <c r="BE37" s="1712"/>
      <c r="BF37" s="1712"/>
      <c r="BG37" s="1712"/>
      <c r="BH37" s="1712"/>
      <c r="BI37" s="1712"/>
      <c r="BJ37" s="1712"/>
      <c r="BK37" s="1712"/>
      <c r="BL37" s="1712"/>
      <c r="BM37" s="1712"/>
      <c r="BN37" s="1703"/>
      <c r="BO37" s="1318"/>
      <c r="BP37" s="1318"/>
      <c r="BQ37" s="1318"/>
      <c r="BR37" s="1318"/>
      <c r="BS37" s="1318"/>
      <c r="BT37" s="1318"/>
      <c r="BU37" s="1318"/>
      <c r="BV37" s="1318"/>
      <c r="BW37" s="1318"/>
      <c r="BX37" s="1318"/>
      <c r="BY37" s="1318"/>
      <c r="BZ37" s="1318"/>
      <c r="CA37" s="1318"/>
      <c r="CB37" s="1704"/>
      <c r="CC37" s="1703"/>
      <c r="CD37" s="1318"/>
      <c r="CE37" s="1318"/>
      <c r="CF37" s="1318"/>
      <c r="CG37" s="1318"/>
      <c r="CH37" s="1710"/>
      <c r="CI37" s="1703"/>
      <c r="CJ37" s="1318"/>
      <c r="CK37" s="1318"/>
      <c r="CL37" s="1318"/>
      <c r="CM37" s="1318"/>
      <c r="CN37" s="1318"/>
      <c r="CO37" s="1318"/>
      <c r="CP37" s="1318"/>
      <c r="CQ37" s="1318"/>
      <c r="CR37" s="1704"/>
      <c r="CS37" s="358">
        <f t="shared" si="33"/>
        <v>0</v>
      </c>
    </row>
    <row r="38" spans="1:97" ht="13.8" hidden="1" thickBot="1">
      <c r="A38" s="1309">
        <v>44166</v>
      </c>
      <c r="B38" s="1310">
        <f t="shared" si="2"/>
        <v>0</v>
      </c>
      <c r="C38" s="1310">
        <f t="shared" si="3"/>
        <v>0</v>
      </c>
      <c r="D38" s="1310">
        <f t="shared" si="4"/>
        <v>0</v>
      </c>
      <c r="E38" s="1310">
        <f t="shared" si="5"/>
        <v>0</v>
      </c>
      <c r="F38" s="1310">
        <f t="shared" si="6"/>
        <v>0</v>
      </c>
      <c r="G38" s="1310">
        <f t="shared" si="7"/>
        <v>0</v>
      </c>
      <c r="H38" s="1310">
        <f t="shared" si="8"/>
        <v>0</v>
      </c>
      <c r="I38" s="1310">
        <f t="shared" si="9"/>
        <v>0</v>
      </c>
      <c r="J38" s="1310">
        <f t="shared" si="10"/>
        <v>0</v>
      </c>
      <c r="K38" s="1310">
        <f t="shared" si="11"/>
        <v>0</v>
      </c>
      <c r="L38" s="1310">
        <f t="shared" si="12"/>
        <v>0</v>
      </c>
      <c r="M38" s="1310">
        <f t="shared" si="13"/>
        <v>0</v>
      </c>
      <c r="N38" s="1310">
        <f t="shared" si="14"/>
        <v>0</v>
      </c>
      <c r="O38" s="1310">
        <f t="shared" si="15"/>
        <v>0</v>
      </c>
      <c r="P38" s="1310"/>
      <c r="Q38" s="1310">
        <f t="shared" si="16"/>
        <v>0</v>
      </c>
      <c r="R38" s="1310">
        <f t="shared" si="17"/>
        <v>0</v>
      </c>
      <c r="S38" s="1310">
        <f t="shared" si="18"/>
        <v>0</v>
      </c>
      <c r="T38" s="1310">
        <f t="shared" si="19"/>
        <v>0</v>
      </c>
      <c r="U38" s="1310">
        <f t="shared" si="20"/>
        <v>0</v>
      </c>
      <c r="V38" s="1310">
        <f t="shared" si="21"/>
        <v>0</v>
      </c>
      <c r="W38" s="1310">
        <f t="shared" si="22"/>
        <v>0</v>
      </c>
      <c r="X38" s="1310">
        <f t="shared" si="23"/>
        <v>0</v>
      </c>
      <c r="Y38" s="1310">
        <f t="shared" si="24"/>
        <v>0</v>
      </c>
      <c r="Z38" s="1310">
        <f t="shared" si="25"/>
        <v>0</v>
      </c>
      <c r="AA38" s="1310">
        <f t="shared" si="26"/>
        <v>0</v>
      </c>
      <c r="AB38" s="1310">
        <f t="shared" si="27"/>
        <v>0</v>
      </c>
      <c r="AC38" s="1310">
        <f t="shared" si="28"/>
        <v>0</v>
      </c>
      <c r="AD38" s="1310">
        <f t="shared" si="29"/>
        <v>0</v>
      </c>
      <c r="AE38" s="1310">
        <f t="shared" si="30"/>
        <v>0</v>
      </c>
      <c r="AF38" s="1310">
        <f t="shared" si="31"/>
        <v>0</v>
      </c>
      <c r="AG38" s="1701">
        <f t="shared" si="32"/>
        <v>0</v>
      </c>
      <c r="AH38" s="1712"/>
      <c r="AI38" s="1712"/>
      <c r="AJ38" s="1712"/>
      <c r="AK38" s="1712"/>
      <c r="AL38" s="1712"/>
      <c r="AM38" s="1712"/>
      <c r="AN38" s="1712"/>
      <c r="AO38" s="1712"/>
      <c r="AP38" s="1712"/>
      <c r="AQ38" s="1712"/>
      <c r="AR38" s="1712"/>
      <c r="AS38" s="1712"/>
      <c r="AT38" s="1712"/>
      <c r="AU38" s="1712"/>
      <c r="AV38" s="1712"/>
      <c r="AW38" s="1712"/>
      <c r="AX38" s="1712"/>
      <c r="AY38" s="1712"/>
      <c r="AZ38" s="1712"/>
      <c r="BA38" s="1712"/>
      <c r="BB38" s="1712"/>
      <c r="BC38" s="1712"/>
      <c r="BD38" s="1712"/>
      <c r="BE38" s="1712"/>
      <c r="BF38" s="1712"/>
      <c r="BG38" s="1712"/>
      <c r="BH38" s="1712"/>
      <c r="BI38" s="1712"/>
      <c r="BJ38" s="1712"/>
      <c r="BK38" s="1712"/>
      <c r="BL38" s="1712"/>
      <c r="BM38" s="1712"/>
      <c r="BN38" s="1849"/>
      <c r="BO38" s="1850"/>
      <c r="BP38" s="1850"/>
      <c r="BQ38" s="1850"/>
      <c r="BR38" s="1850"/>
      <c r="BS38" s="1850"/>
      <c r="BT38" s="1850"/>
      <c r="BU38" s="1850"/>
      <c r="BV38" s="1850"/>
      <c r="BW38" s="1850"/>
      <c r="BX38" s="1850"/>
      <c r="BY38" s="1850"/>
      <c r="BZ38" s="1850"/>
      <c r="CA38" s="1850"/>
      <c r="CB38" s="1851"/>
      <c r="CC38" s="1849"/>
      <c r="CD38" s="1850"/>
      <c r="CE38" s="1850"/>
      <c r="CF38" s="1850"/>
      <c r="CG38" s="1850"/>
      <c r="CH38" s="1852"/>
      <c r="CI38" s="1849"/>
      <c r="CJ38" s="1850"/>
      <c r="CK38" s="1850"/>
      <c r="CL38" s="1850"/>
      <c r="CM38" s="1850"/>
      <c r="CN38" s="1850"/>
      <c r="CO38" s="1850"/>
      <c r="CP38" s="1850"/>
      <c r="CQ38" s="1850"/>
      <c r="CR38" s="1851"/>
      <c r="CS38" s="358">
        <f t="shared" si="33"/>
        <v>0</v>
      </c>
    </row>
    <row r="39" spans="1:97" hidden="1">
      <c r="A39" s="1309">
        <v>44197</v>
      </c>
      <c r="B39" s="1310">
        <f t="shared" si="2"/>
        <v>0</v>
      </c>
      <c r="C39" s="1310">
        <f t="shared" si="3"/>
        <v>0</v>
      </c>
      <c r="D39" s="1310">
        <f t="shared" si="4"/>
        <v>0</v>
      </c>
      <c r="E39" s="1310">
        <f t="shared" si="5"/>
        <v>0</v>
      </c>
      <c r="F39" s="1310">
        <f t="shared" si="6"/>
        <v>0</v>
      </c>
      <c r="G39" s="1310">
        <f t="shared" si="7"/>
        <v>0</v>
      </c>
      <c r="H39" s="1310">
        <f t="shared" si="8"/>
        <v>0</v>
      </c>
      <c r="I39" s="1310">
        <f t="shared" si="9"/>
        <v>0</v>
      </c>
      <c r="J39" s="1310">
        <f t="shared" si="10"/>
        <v>0</v>
      </c>
      <c r="K39" s="1310">
        <f t="shared" si="11"/>
        <v>0</v>
      </c>
      <c r="L39" s="1310">
        <f t="shared" si="12"/>
        <v>0</v>
      </c>
      <c r="M39" s="1310">
        <f t="shared" si="13"/>
        <v>0</v>
      </c>
      <c r="N39" s="1310">
        <f t="shared" si="14"/>
        <v>0</v>
      </c>
      <c r="O39" s="1310">
        <f t="shared" si="15"/>
        <v>0</v>
      </c>
      <c r="P39" s="1310"/>
      <c r="Q39" s="1310">
        <f t="shared" si="16"/>
        <v>0</v>
      </c>
      <c r="R39" s="1310">
        <f t="shared" si="17"/>
        <v>0</v>
      </c>
      <c r="S39" s="1310">
        <f t="shared" si="18"/>
        <v>0</v>
      </c>
      <c r="T39" s="1310">
        <f t="shared" si="19"/>
        <v>0</v>
      </c>
      <c r="U39" s="1310">
        <f t="shared" si="20"/>
        <v>0</v>
      </c>
      <c r="V39" s="1310">
        <f t="shared" si="21"/>
        <v>0</v>
      </c>
      <c r="W39" s="1310">
        <f t="shared" si="22"/>
        <v>0</v>
      </c>
      <c r="X39" s="1310">
        <f t="shared" si="23"/>
        <v>0</v>
      </c>
      <c r="Y39" s="1310">
        <f t="shared" si="24"/>
        <v>0</v>
      </c>
      <c r="Z39" s="1310">
        <f t="shared" si="25"/>
        <v>0</v>
      </c>
      <c r="AA39" s="1310">
        <f t="shared" si="26"/>
        <v>0</v>
      </c>
      <c r="AB39" s="1310">
        <f t="shared" si="27"/>
        <v>0</v>
      </c>
      <c r="AC39" s="1310">
        <f t="shared" si="28"/>
        <v>0</v>
      </c>
      <c r="AD39" s="1310">
        <f t="shared" si="29"/>
        <v>0</v>
      </c>
      <c r="AE39" s="1310">
        <f t="shared" si="30"/>
        <v>0</v>
      </c>
      <c r="AF39" s="1310">
        <f t="shared" si="31"/>
        <v>0</v>
      </c>
      <c r="AG39" s="1701">
        <f t="shared" si="32"/>
        <v>0</v>
      </c>
      <c r="AH39" s="1712"/>
      <c r="AI39" s="1712"/>
      <c r="AJ39" s="1712"/>
      <c r="AK39" s="1712"/>
      <c r="AL39" s="1712"/>
      <c r="AM39" s="1712"/>
      <c r="AN39" s="1712"/>
      <c r="AO39" s="1712"/>
      <c r="AP39" s="1712"/>
      <c r="AQ39" s="1712"/>
      <c r="AR39" s="1712"/>
      <c r="AS39" s="1712"/>
      <c r="AT39" s="1712"/>
      <c r="AU39" s="1712"/>
      <c r="AV39" s="1712"/>
      <c r="AW39" s="1712"/>
      <c r="AX39" s="1712"/>
      <c r="AY39" s="1712"/>
      <c r="AZ39" s="1712"/>
      <c r="BA39" s="1712"/>
      <c r="BB39" s="1712"/>
      <c r="BC39" s="1712"/>
      <c r="BD39" s="1712"/>
      <c r="BE39" s="1712"/>
      <c r="BF39" s="1712"/>
      <c r="BG39" s="1712"/>
      <c r="BH39" s="1712"/>
      <c r="BI39" s="1712"/>
      <c r="BJ39" s="1712"/>
      <c r="BK39" s="1712"/>
      <c r="BL39" s="1712"/>
      <c r="BM39" s="1712"/>
      <c r="BN39" s="1853"/>
      <c r="BO39" s="1708"/>
      <c r="BP39" s="1708"/>
      <c r="BQ39" s="1708"/>
      <c r="BR39" s="1708"/>
      <c r="BS39" s="1708"/>
      <c r="BT39" s="1708"/>
      <c r="BU39" s="1708"/>
      <c r="BV39" s="1708"/>
      <c r="BW39" s="1708"/>
      <c r="BX39" s="1708"/>
      <c r="BY39" s="1708"/>
      <c r="BZ39" s="1708"/>
      <c r="CA39" s="1708"/>
      <c r="CB39" s="1854"/>
      <c r="CC39" s="1855"/>
      <c r="CD39" s="1856"/>
      <c r="CE39" s="1856"/>
      <c r="CF39" s="1856"/>
      <c r="CG39" s="1856"/>
      <c r="CH39" s="1857"/>
      <c r="CI39" s="1853"/>
      <c r="CJ39" s="1708"/>
      <c r="CK39" s="1708"/>
      <c r="CL39" s="1708"/>
      <c r="CM39" s="1708"/>
      <c r="CN39" s="1708"/>
      <c r="CO39" s="1708"/>
      <c r="CP39" s="1708"/>
      <c r="CQ39" s="1708"/>
      <c r="CR39" s="1854"/>
      <c r="CS39" s="358"/>
    </row>
    <row r="40" spans="1:97" hidden="1">
      <c r="A40" s="1309">
        <v>44228</v>
      </c>
      <c r="B40" s="1310">
        <f t="shared" si="2"/>
        <v>0</v>
      </c>
      <c r="C40" s="1310">
        <f t="shared" si="3"/>
        <v>0</v>
      </c>
      <c r="D40" s="1310">
        <f t="shared" si="4"/>
        <v>0</v>
      </c>
      <c r="E40" s="1310">
        <f t="shared" si="5"/>
        <v>0</v>
      </c>
      <c r="F40" s="1310">
        <f t="shared" si="6"/>
        <v>0</v>
      </c>
      <c r="G40" s="1310">
        <f t="shared" si="7"/>
        <v>0</v>
      </c>
      <c r="H40" s="1310">
        <f t="shared" si="8"/>
        <v>0</v>
      </c>
      <c r="I40" s="1310">
        <f t="shared" si="9"/>
        <v>0</v>
      </c>
      <c r="J40" s="1310">
        <f t="shared" si="10"/>
        <v>0</v>
      </c>
      <c r="K40" s="1310">
        <f t="shared" si="11"/>
        <v>0</v>
      </c>
      <c r="L40" s="1310">
        <f t="shared" si="12"/>
        <v>0</v>
      </c>
      <c r="M40" s="1310">
        <f t="shared" si="13"/>
        <v>0</v>
      </c>
      <c r="N40" s="1310">
        <f t="shared" si="14"/>
        <v>0</v>
      </c>
      <c r="O40" s="1310">
        <f t="shared" si="15"/>
        <v>0</v>
      </c>
      <c r="P40" s="1310"/>
      <c r="Q40" s="1310">
        <f t="shared" si="16"/>
        <v>0</v>
      </c>
      <c r="R40" s="1310">
        <f t="shared" si="17"/>
        <v>0</v>
      </c>
      <c r="S40" s="1310">
        <f t="shared" si="18"/>
        <v>0</v>
      </c>
      <c r="T40" s="1310">
        <f t="shared" si="19"/>
        <v>0</v>
      </c>
      <c r="U40" s="1310">
        <f t="shared" si="20"/>
        <v>0</v>
      </c>
      <c r="V40" s="1310">
        <f t="shared" si="21"/>
        <v>0</v>
      </c>
      <c r="W40" s="1310">
        <f t="shared" si="22"/>
        <v>0</v>
      </c>
      <c r="X40" s="1310">
        <f t="shared" si="23"/>
        <v>0</v>
      </c>
      <c r="Y40" s="1310">
        <f t="shared" si="24"/>
        <v>0</v>
      </c>
      <c r="Z40" s="1310">
        <f t="shared" si="25"/>
        <v>0</v>
      </c>
      <c r="AA40" s="1310">
        <f t="shared" si="26"/>
        <v>0</v>
      </c>
      <c r="AB40" s="1310">
        <f t="shared" si="27"/>
        <v>0</v>
      </c>
      <c r="AC40" s="1310">
        <f t="shared" si="28"/>
        <v>0</v>
      </c>
      <c r="AD40" s="1310">
        <f t="shared" si="29"/>
        <v>0</v>
      </c>
      <c r="AE40" s="1310">
        <f t="shared" si="30"/>
        <v>0</v>
      </c>
      <c r="AF40" s="1310">
        <f t="shared" si="31"/>
        <v>0</v>
      </c>
      <c r="AG40" s="1701">
        <f t="shared" si="32"/>
        <v>0</v>
      </c>
      <c r="AH40" s="1712"/>
      <c r="AI40" s="1712"/>
      <c r="AJ40" s="1712"/>
      <c r="AK40" s="1712"/>
      <c r="AL40" s="1712"/>
      <c r="AM40" s="1712"/>
      <c r="AN40" s="1712"/>
      <c r="AO40" s="1712"/>
      <c r="AP40" s="1712"/>
      <c r="AQ40" s="1712"/>
      <c r="AR40" s="1712"/>
      <c r="AS40" s="1712"/>
      <c r="AT40" s="1712"/>
      <c r="AU40" s="1712"/>
      <c r="AV40" s="1712"/>
      <c r="AW40" s="1712"/>
      <c r="AX40" s="1712"/>
      <c r="AY40" s="1712"/>
      <c r="AZ40" s="1712"/>
      <c r="BA40" s="1712"/>
      <c r="BB40" s="1712"/>
      <c r="BC40" s="1712"/>
      <c r="BD40" s="1712"/>
      <c r="BE40" s="1712"/>
      <c r="BF40" s="1712"/>
      <c r="BG40" s="1712"/>
      <c r="BH40" s="1712"/>
      <c r="BI40" s="1712"/>
      <c r="BJ40" s="1712"/>
      <c r="BK40" s="1712"/>
      <c r="BL40" s="1712"/>
      <c r="BM40" s="1712"/>
      <c r="BN40" s="1853"/>
      <c r="BO40" s="1708"/>
      <c r="BP40" s="1708"/>
      <c r="BQ40" s="1708"/>
      <c r="BR40" s="1708"/>
      <c r="BS40" s="1708"/>
      <c r="BT40" s="1708"/>
      <c r="BU40" s="1708"/>
      <c r="BV40" s="1708"/>
      <c r="BW40" s="1708"/>
      <c r="BX40" s="1708"/>
      <c r="BY40" s="1708"/>
      <c r="BZ40" s="1708"/>
      <c r="CA40" s="1708"/>
      <c r="CB40" s="1854"/>
      <c r="CC40" s="1855"/>
      <c r="CD40" s="1856"/>
      <c r="CE40" s="1856"/>
      <c r="CF40" s="1856"/>
      <c r="CG40" s="1856"/>
      <c r="CH40" s="1857"/>
      <c r="CI40" s="1853"/>
      <c r="CJ40" s="1708"/>
      <c r="CK40" s="1708"/>
      <c r="CL40" s="1708"/>
      <c r="CM40" s="1708"/>
      <c r="CN40" s="1708"/>
      <c r="CO40" s="1708"/>
      <c r="CP40" s="1708"/>
      <c r="CQ40" s="1708"/>
      <c r="CR40" s="1854"/>
      <c r="CS40" s="358"/>
    </row>
    <row r="41" spans="1:97" hidden="1">
      <c r="A41" s="1309">
        <v>44256</v>
      </c>
      <c r="B41" s="1310">
        <f t="shared" si="2"/>
        <v>0</v>
      </c>
      <c r="C41" s="1310">
        <f t="shared" si="3"/>
        <v>0</v>
      </c>
      <c r="D41" s="1310">
        <f t="shared" si="4"/>
        <v>0</v>
      </c>
      <c r="E41" s="1310">
        <f t="shared" si="5"/>
        <v>0</v>
      </c>
      <c r="F41" s="1310">
        <f t="shared" si="6"/>
        <v>0</v>
      </c>
      <c r="G41" s="1310">
        <f t="shared" si="7"/>
        <v>0</v>
      </c>
      <c r="H41" s="1310">
        <f t="shared" si="8"/>
        <v>0</v>
      </c>
      <c r="I41" s="1310">
        <f t="shared" si="9"/>
        <v>0</v>
      </c>
      <c r="J41" s="1310">
        <f t="shared" si="10"/>
        <v>0</v>
      </c>
      <c r="K41" s="1310">
        <f t="shared" si="11"/>
        <v>0</v>
      </c>
      <c r="L41" s="1310">
        <f t="shared" si="12"/>
        <v>0</v>
      </c>
      <c r="M41" s="1310">
        <f t="shared" si="13"/>
        <v>0</v>
      </c>
      <c r="N41" s="1310">
        <f t="shared" si="14"/>
        <v>0</v>
      </c>
      <c r="O41" s="1310">
        <f t="shared" si="15"/>
        <v>0</v>
      </c>
      <c r="P41" s="1310"/>
      <c r="Q41" s="1310">
        <f t="shared" si="16"/>
        <v>0</v>
      </c>
      <c r="R41" s="1310">
        <f t="shared" si="17"/>
        <v>0</v>
      </c>
      <c r="S41" s="1310">
        <f t="shared" si="18"/>
        <v>0</v>
      </c>
      <c r="T41" s="1310">
        <f t="shared" si="19"/>
        <v>0</v>
      </c>
      <c r="U41" s="1310">
        <f t="shared" si="20"/>
        <v>0</v>
      </c>
      <c r="V41" s="1310">
        <f t="shared" si="21"/>
        <v>0</v>
      </c>
      <c r="W41" s="1310">
        <f t="shared" si="22"/>
        <v>0</v>
      </c>
      <c r="X41" s="1310">
        <f t="shared" si="23"/>
        <v>0</v>
      </c>
      <c r="Y41" s="1310">
        <f t="shared" si="24"/>
        <v>0</v>
      </c>
      <c r="Z41" s="1310">
        <f t="shared" si="25"/>
        <v>0</v>
      </c>
      <c r="AA41" s="1310">
        <f t="shared" si="26"/>
        <v>0</v>
      </c>
      <c r="AB41" s="1310">
        <f t="shared" si="27"/>
        <v>0</v>
      </c>
      <c r="AC41" s="1310">
        <f t="shared" si="28"/>
        <v>0</v>
      </c>
      <c r="AD41" s="1310">
        <f t="shared" si="29"/>
        <v>0</v>
      </c>
      <c r="AE41" s="1310">
        <f t="shared" si="30"/>
        <v>0</v>
      </c>
      <c r="AF41" s="1310">
        <f t="shared" si="31"/>
        <v>0</v>
      </c>
      <c r="AG41" s="1701">
        <f t="shared" si="32"/>
        <v>0</v>
      </c>
      <c r="AH41" s="1712"/>
      <c r="AI41" s="1712"/>
      <c r="AJ41" s="1712"/>
      <c r="AK41" s="1712"/>
      <c r="AL41" s="1712"/>
      <c r="AM41" s="1712"/>
      <c r="AN41" s="1712"/>
      <c r="AO41" s="1712"/>
      <c r="AP41" s="1712"/>
      <c r="AQ41" s="1712"/>
      <c r="AR41" s="1712"/>
      <c r="AS41" s="1712"/>
      <c r="AT41" s="1712"/>
      <c r="AU41" s="1712"/>
      <c r="AV41" s="1712"/>
      <c r="AW41" s="1712"/>
      <c r="AX41" s="1712"/>
      <c r="AY41" s="1712"/>
      <c r="AZ41" s="1712"/>
      <c r="BA41" s="1712"/>
      <c r="BB41" s="1712"/>
      <c r="BC41" s="1712"/>
      <c r="BD41" s="1712"/>
      <c r="BE41" s="1712"/>
      <c r="BF41" s="1712"/>
      <c r="BG41" s="1712"/>
      <c r="BH41" s="1712"/>
      <c r="BI41" s="1712"/>
      <c r="BJ41" s="1712"/>
      <c r="BK41" s="1712"/>
      <c r="BL41" s="1712"/>
      <c r="BM41" s="1712"/>
      <c r="BN41" s="1853"/>
      <c r="BO41" s="1708"/>
      <c r="BP41" s="1708"/>
      <c r="BQ41" s="1708"/>
      <c r="BR41" s="1708"/>
      <c r="BS41" s="1708"/>
      <c r="BT41" s="1708"/>
      <c r="BU41" s="1708"/>
      <c r="BV41" s="1708"/>
      <c r="BW41" s="1708"/>
      <c r="BX41" s="1708"/>
      <c r="BY41" s="1708"/>
      <c r="BZ41" s="1708"/>
      <c r="CA41" s="1708"/>
      <c r="CB41" s="1854"/>
      <c r="CC41" s="1855"/>
      <c r="CD41" s="1856"/>
      <c r="CE41" s="1856"/>
      <c r="CF41" s="1856"/>
      <c r="CG41" s="1856"/>
      <c r="CH41" s="1857"/>
      <c r="CI41" s="1853"/>
      <c r="CJ41" s="1708"/>
      <c r="CK41" s="1708"/>
      <c r="CL41" s="1708"/>
      <c r="CM41" s="1708"/>
      <c r="CN41" s="1708"/>
      <c r="CO41" s="1708"/>
      <c r="CP41" s="1708"/>
      <c r="CQ41" s="1708"/>
      <c r="CR41" s="1854"/>
      <c r="CS41" s="358"/>
    </row>
    <row r="42" spans="1:97" hidden="1">
      <c r="A42" s="1309">
        <v>44287</v>
      </c>
      <c r="B42" s="1310">
        <f t="shared" si="2"/>
        <v>0</v>
      </c>
      <c r="C42" s="1310">
        <f t="shared" si="3"/>
        <v>0</v>
      </c>
      <c r="D42" s="1310">
        <f t="shared" si="4"/>
        <v>0</v>
      </c>
      <c r="E42" s="1310">
        <f t="shared" si="5"/>
        <v>0</v>
      </c>
      <c r="F42" s="1310">
        <f t="shared" si="6"/>
        <v>0</v>
      </c>
      <c r="G42" s="1310">
        <f t="shared" si="7"/>
        <v>0</v>
      </c>
      <c r="H42" s="1310">
        <f t="shared" si="8"/>
        <v>0</v>
      </c>
      <c r="I42" s="1310">
        <f t="shared" si="9"/>
        <v>0</v>
      </c>
      <c r="J42" s="1310">
        <f t="shared" si="10"/>
        <v>0</v>
      </c>
      <c r="K42" s="1310">
        <f t="shared" si="11"/>
        <v>0</v>
      </c>
      <c r="L42" s="1310">
        <f t="shared" si="12"/>
        <v>0</v>
      </c>
      <c r="M42" s="1310">
        <f t="shared" si="13"/>
        <v>0</v>
      </c>
      <c r="N42" s="1310">
        <f t="shared" si="14"/>
        <v>0</v>
      </c>
      <c r="O42" s="1310">
        <f t="shared" si="15"/>
        <v>0</v>
      </c>
      <c r="P42" s="1310"/>
      <c r="Q42" s="1310">
        <f t="shared" si="16"/>
        <v>0</v>
      </c>
      <c r="R42" s="1310">
        <f t="shared" si="17"/>
        <v>0</v>
      </c>
      <c r="S42" s="1310">
        <f t="shared" si="18"/>
        <v>0</v>
      </c>
      <c r="T42" s="1310">
        <f t="shared" si="19"/>
        <v>0</v>
      </c>
      <c r="U42" s="1310">
        <f t="shared" si="20"/>
        <v>0</v>
      </c>
      <c r="V42" s="1310">
        <f t="shared" si="21"/>
        <v>0</v>
      </c>
      <c r="W42" s="1310">
        <f t="shared" si="22"/>
        <v>0</v>
      </c>
      <c r="X42" s="1310">
        <f t="shared" si="23"/>
        <v>0</v>
      </c>
      <c r="Y42" s="1310">
        <f t="shared" si="24"/>
        <v>0</v>
      </c>
      <c r="Z42" s="1310">
        <f t="shared" si="25"/>
        <v>0</v>
      </c>
      <c r="AA42" s="1310">
        <f t="shared" si="26"/>
        <v>0</v>
      </c>
      <c r="AB42" s="1310">
        <f t="shared" si="27"/>
        <v>0</v>
      </c>
      <c r="AC42" s="1310">
        <f t="shared" si="28"/>
        <v>0</v>
      </c>
      <c r="AD42" s="1310">
        <f t="shared" si="29"/>
        <v>0</v>
      </c>
      <c r="AE42" s="1310">
        <f t="shared" si="30"/>
        <v>0</v>
      </c>
      <c r="AF42" s="1310">
        <f t="shared" si="31"/>
        <v>0</v>
      </c>
      <c r="AG42" s="1701">
        <f t="shared" si="32"/>
        <v>0</v>
      </c>
      <c r="AH42" s="1712"/>
      <c r="AI42" s="1712"/>
      <c r="AJ42" s="1712"/>
      <c r="AK42" s="1712"/>
      <c r="AL42" s="1712"/>
      <c r="AM42" s="1712"/>
      <c r="AN42" s="1712"/>
      <c r="AO42" s="1712"/>
      <c r="AP42" s="1712"/>
      <c r="AQ42" s="1712"/>
      <c r="AR42" s="1712"/>
      <c r="AS42" s="1712"/>
      <c r="AT42" s="1712"/>
      <c r="AU42" s="1712"/>
      <c r="AV42" s="1712"/>
      <c r="AW42" s="1712"/>
      <c r="AX42" s="1712"/>
      <c r="AY42" s="1712"/>
      <c r="AZ42" s="1712"/>
      <c r="BA42" s="1712"/>
      <c r="BB42" s="1712"/>
      <c r="BC42" s="1712"/>
      <c r="BD42" s="1712"/>
      <c r="BE42" s="1712"/>
      <c r="BF42" s="1712"/>
      <c r="BG42" s="1712"/>
      <c r="BH42" s="1712"/>
      <c r="BI42" s="1712"/>
      <c r="BJ42" s="1712"/>
      <c r="BK42" s="1712"/>
      <c r="BL42" s="1712"/>
      <c r="BM42" s="1712"/>
      <c r="BN42" s="1853"/>
      <c r="BO42" s="1708"/>
      <c r="BP42" s="1708"/>
      <c r="BQ42" s="1708"/>
      <c r="BR42" s="1708"/>
      <c r="BS42" s="1708"/>
      <c r="BT42" s="1708"/>
      <c r="BU42" s="1708"/>
      <c r="BV42" s="1708"/>
      <c r="BW42" s="1708"/>
      <c r="BX42" s="1708"/>
      <c r="BY42" s="1708"/>
      <c r="BZ42" s="1708"/>
      <c r="CA42" s="1708"/>
      <c r="CB42" s="1854"/>
      <c r="CC42" s="1855"/>
      <c r="CD42" s="1856"/>
      <c r="CE42" s="1856"/>
      <c r="CF42" s="1856"/>
      <c r="CG42" s="1856"/>
      <c r="CH42" s="1857"/>
      <c r="CI42" s="1853"/>
      <c r="CJ42" s="1708"/>
      <c r="CK42" s="1708"/>
      <c r="CL42" s="1708"/>
      <c r="CM42" s="1708"/>
      <c r="CN42" s="1708"/>
      <c r="CO42" s="1708"/>
      <c r="CP42" s="1708"/>
      <c r="CQ42" s="1708"/>
      <c r="CR42" s="1854"/>
      <c r="CS42" s="358"/>
    </row>
    <row r="43" spans="1:97" hidden="1">
      <c r="A43" s="1309">
        <v>44317</v>
      </c>
      <c r="B43" s="1310">
        <f t="shared" si="2"/>
        <v>0</v>
      </c>
      <c r="C43" s="1310">
        <f t="shared" si="3"/>
        <v>0</v>
      </c>
      <c r="D43" s="1310">
        <f t="shared" si="4"/>
        <v>0</v>
      </c>
      <c r="E43" s="1310">
        <f t="shared" si="5"/>
        <v>0</v>
      </c>
      <c r="F43" s="1310">
        <f t="shared" si="6"/>
        <v>0</v>
      </c>
      <c r="G43" s="1310">
        <f t="shared" si="7"/>
        <v>0</v>
      </c>
      <c r="H43" s="1310">
        <f t="shared" si="8"/>
        <v>0</v>
      </c>
      <c r="I43" s="1310">
        <f t="shared" si="9"/>
        <v>0</v>
      </c>
      <c r="J43" s="1310">
        <f t="shared" si="10"/>
        <v>0</v>
      </c>
      <c r="K43" s="1310">
        <f t="shared" si="11"/>
        <v>0</v>
      </c>
      <c r="L43" s="1310">
        <f t="shared" si="12"/>
        <v>0</v>
      </c>
      <c r="M43" s="1310">
        <f t="shared" si="13"/>
        <v>0</v>
      </c>
      <c r="N43" s="1310">
        <f t="shared" si="14"/>
        <v>0</v>
      </c>
      <c r="O43" s="1310">
        <f t="shared" si="15"/>
        <v>0</v>
      </c>
      <c r="P43" s="1310"/>
      <c r="Q43" s="1310">
        <f t="shared" si="16"/>
        <v>0</v>
      </c>
      <c r="R43" s="1310">
        <f t="shared" si="17"/>
        <v>0</v>
      </c>
      <c r="S43" s="1310">
        <f t="shared" si="18"/>
        <v>0</v>
      </c>
      <c r="T43" s="1310">
        <f t="shared" si="19"/>
        <v>0</v>
      </c>
      <c r="U43" s="1310">
        <f t="shared" si="20"/>
        <v>0</v>
      </c>
      <c r="V43" s="1310">
        <f t="shared" si="21"/>
        <v>0</v>
      </c>
      <c r="W43" s="1310">
        <f t="shared" si="22"/>
        <v>0</v>
      </c>
      <c r="X43" s="1310">
        <f t="shared" si="23"/>
        <v>0</v>
      </c>
      <c r="Y43" s="1310">
        <f t="shared" si="24"/>
        <v>0</v>
      </c>
      <c r="Z43" s="1310">
        <f t="shared" si="25"/>
        <v>0</v>
      </c>
      <c r="AA43" s="1310">
        <f t="shared" si="26"/>
        <v>0</v>
      </c>
      <c r="AB43" s="1310">
        <f t="shared" si="27"/>
        <v>0</v>
      </c>
      <c r="AC43" s="1310">
        <f t="shared" si="28"/>
        <v>0</v>
      </c>
      <c r="AD43" s="1310">
        <f t="shared" si="29"/>
        <v>0</v>
      </c>
      <c r="AE43" s="1310">
        <f t="shared" si="30"/>
        <v>0</v>
      </c>
      <c r="AF43" s="1310">
        <f t="shared" si="31"/>
        <v>0</v>
      </c>
      <c r="AG43" s="1701">
        <f t="shared" si="32"/>
        <v>0</v>
      </c>
      <c r="AH43" s="1712"/>
      <c r="AI43" s="1712"/>
      <c r="AJ43" s="1712"/>
      <c r="AK43" s="1712"/>
      <c r="AL43" s="1712"/>
      <c r="AM43" s="1712"/>
      <c r="AN43" s="1712"/>
      <c r="AO43" s="1712"/>
      <c r="AP43" s="1712"/>
      <c r="AQ43" s="1712"/>
      <c r="AR43" s="1712"/>
      <c r="AS43" s="1712"/>
      <c r="AT43" s="1712"/>
      <c r="AU43" s="1712"/>
      <c r="AV43" s="1712"/>
      <c r="AW43" s="1712"/>
      <c r="AX43" s="1712"/>
      <c r="AY43" s="1712"/>
      <c r="AZ43" s="1712"/>
      <c r="BA43" s="1712"/>
      <c r="BB43" s="1712"/>
      <c r="BC43" s="1712"/>
      <c r="BD43" s="1712"/>
      <c r="BE43" s="1712"/>
      <c r="BF43" s="1712"/>
      <c r="BG43" s="1712"/>
      <c r="BH43" s="1712"/>
      <c r="BI43" s="1712"/>
      <c r="BJ43" s="1712"/>
      <c r="BK43" s="1712"/>
      <c r="BL43" s="1712"/>
      <c r="BM43" s="1712"/>
      <c r="BN43" s="1853"/>
      <c r="BO43" s="1708"/>
      <c r="BP43" s="1708"/>
      <c r="BQ43" s="1708"/>
      <c r="BR43" s="1708"/>
      <c r="BS43" s="1708"/>
      <c r="BT43" s="1708"/>
      <c r="BU43" s="1708"/>
      <c r="BV43" s="1708"/>
      <c r="BW43" s="1708"/>
      <c r="BX43" s="1708"/>
      <c r="BY43" s="1708"/>
      <c r="BZ43" s="1708"/>
      <c r="CA43" s="1708"/>
      <c r="CB43" s="1854"/>
      <c r="CC43" s="1855"/>
      <c r="CD43" s="1856"/>
      <c r="CE43" s="1856"/>
      <c r="CF43" s="1856"/>
      <c r="CG43" s="1856"/>
      <c r="CH43" s="1857"/>
      <c r="CI43" s="1853"/>
      <c r="CJ43" s="1708"/>
      <c r="CK43" s="1708"/>
      <c r="CL43" s="1708"/>
      <c r="CM43" s="1708"/>
      <c r="CN43" s="1708"/>
      <c r="CO43" s="1708"/>
      <c r="CP43" s="1708"/>
      <c r="CQ43" s="1708"/>
      <c r="CR43" s="1854"/>
      <c r="CS43" s="358"/>
    </row>
    <row r="44" spans="1:97" hidden="1">
      <c r="A44" s="1309">
        <v>44348</v>
      </c>
      <c r="B44" s="1310">
        <f t="shared" si="2"/>
        <v>0</v>
      </c>
      <c r="C44" s="1310">
        <f t="shared" si="3"/>
        <v>0</v>
      </c>
      <c r="D44" s="1310">
        <f t="shared" si="4"/>
        <v>0</v>
      </c>
      <c r="E44" s="1310">
        <f t="shared" si="5"/>
        <v>0</v>
      </c>
      <c r="F44" s="1310">
        <f t="shared" si="6"/>
        <v>0</v>
      </c>
      <c r="G44" s="1310">
        <f t="shared" si="7"/>
        <v>0</v>
      </c>
      <c r="H44" s="1310">
        <f t="shared" si="8"/>
        <v>0</v>
      </c>
      <c r="I44" s="1310">
        <f t="shared" si="9"/>
        <v>0</v>
      </c>
      <c r="J44" s="1310">
        <f t="shared" si="10"/>
        <v>0</v>
      </c>
      <c r="K44" s="1310">
        <f t="shared" si="11"/>
        <v>0</v>
      </c>
      <c r="L44" s="1310">
        <f t="shared" si="12"/>
        <v>0</v>
      </c>
      <c r="M44" s="1310">
        <f t="shared" si="13"/>
        <v>0</v>
      </c>
      <c r="N44" s="1310">
        <f t="shared" si="14"/>
        <v>0</v>
      </c>
      <c r="O44" s="1310">
        <f t="shared" si="15"/>
        <v>0</v>
      </c>
      <c r="P44" s="1310"/>
      <c r="Q44" s="1310">
        <f t="shared" si="16"/>
        <v>0</v>
      </c>
      <c r="R44" s="1310">
        <f t="shared" si="17"/>
        <v>0</v>
      </c>
      <c r="S44" s="1310">
        <f t="shared" si="18"/>
        <v>0</v>
      </c>
      <c r="T44" s="1310">
        <f t="shared" si="19"/>
        <v>0</v>
      </c>
      <c r="U44" s="1310">
        <f t="shared" si="20"/>
        <v>0</v>
      </c>
      <c r="V44" s="1310">
        <f t="shared" si="21"/>
        <v>0</v>
      </c>
      <c r="W44" s="1310">
        <f t="shared" si="22"/>
        <v>0</v>
      </c>
      <c r="X44" s="1310">
        <f t="shared" si="23"/>
        <v>0</v>
      </c>
      <c r="Y44" s="1310">
        <f t="shared" si="24"/>
        <v>0</v>
      </c>
      <c r="Z44" s="1310">
        <f t="shared" si="25"/>
        <v>0</v>
      </c>
      <c r="AA44" s="1310">
        <f t="shared" si="26"/>
        <v>0</v>
      </c>
      <c r="AB44" s="1310">
        <f t="shared" si="27"/>
        <v>0</v>
      </c>
      <c r="AC44" s="1310">
        <f t="shared" si="28"/>
        <v>0</v>
      </c>
      <c r="AD44" s="1310">
        <f t="shared" si="29"/>
        <v>0</v>
      </c>
      <c r="AE44" s="1310">
        <f t="shared" si="30"/>
        <v>0</v>
      </c>
      <c r="AF44" s="1310">
        <f t="shared" si="31"/>
        <v>0</v>
      </c>
      <c r="AG44" s="1701">
        <f t="shared" si="32"/>
        <v>0</v>
      </c>
      <c r="AH44" s="1712"/>
      <c r="AI44" s="1712"/>
      <c r="AJ44" s="1712"/>
      <c r="AK44" s="1712"/>
      <c r="AL44" s="1712"/>
      <c r="AM44" s="1712"/>
      <c r="AN44" s="1712"/>
      <c r="AO44" s="1712"/>
      <c r="AP44" s="1712"/>
      <c r="AQ44" s="1712"/>
      <c r="AR44" s="1712"/>
      <c r="AS44" s="1712"/>
      <c r="AT44" s="1712"/>
      <c r="AU44" s="1712"/>
      <c r="AV44" s="1712"/>
      <c r="AW44" s="1712"/>
      <c r="AX44" s="1712"/>
      <c r="AY44" s="1712"/>
      <c r="AZ44" s="1712"/>
      <c r="BA44" s="1712"/>
      <c r="BB44" s="1712"/>
      <c r="BC44" s="1712"/>
      <c r="BD44" s="1712"/>
      <c r="BE44" s="1712"/>
      <c r="BF44" s="1712"/>
      <c r="BG44" s="1712"/>
      <c r="BH44" s="1712"/>
      <c r="BI44" s="1712"/>
      <c r="BJ44" s="1712"/>
      <c r="BK44" s="1712"/>
      <c r="BL44" s="1712"/>
      <c r="BM44" s="1712"/>
      <c r="BN44" s="1853"/>
      <c r="BO44" s="1708"/>
      <c r="BP44" s="1708"/>
      <c r="BQ44" s="1708"/>
      <c r="BR44" s="1708"/>
      <c r="BS44" s="1708"/>
      <c r="BT44" s="1708"/>
      <c r="BU44" s="1708"/>
      <c r="BV44" s="1708"/>
      <c r="BW44" s="1708"/>
      <c r="BX44" s="1708"/>
      <c r="BY44" s="1708"/>
      <c r="BZ44" s="1708"/>
      <c r="CA44" s="1708"/>
      <c r="CB44" s="1854"/>
      <c r="CC44" s="1855"/>
      <c r="CD44" s="1856"/>
      <c r="CE44" s="1856"/>
      <c r="CF44" s="1856"/>
      <c r="CG44" s="1856"/>
      <c r="CH44" s="1857"/>
      <c r="CI44" s="1853"/>
      <c r="CJ44" s="1708"/>
      <c r="CK44" s="1708"/>
      <c r="CL44" s="1708"/>
      <c r="CM44" s="1708"/>
      <c r="CN44" s="1708"/>
      <c r="CO44" s="1708"/>
      <c r="CP44" s="1708"/>
      <c r="CQ44" s="1708"/>
      <c r="CR44" s="1854"/>
      <c r="CS44" s="358"/>
    </row>
    <row r="45" spans="1:97" hidden="1">
      <c r="A45" s="1309">
        <v>44378</v>
      </c>
      <c r="B45" s="1310">
        <f t="shared" si="2"/>
        <v>0</v>
      </c>
      <c r="C45" s="1310">
        <f t="shared" si="3"/>
        <v>0</v>
      </c>
      <c r="D45" s="1310">
        <f t="shared" si="4"/>
        <v>0</v>
      </c>
      <c r="E45" s="1310">
        <f t="shared" si="5"/>
        <v>0</v>
      </c>
      <c r="F45" s="1310">
        <f t="shared" si="6"/>
        <v>0</v>
      </c>
      <c r="G45" s="1310">
        <f t="shared" si="7"/>
        <v>0</v>
      </c>
      <c r="H45" s="1310">
        <f t="shared" si="8"/>
        <v>0</v>
      </c>
      <c r="I45" s="1310">
        <f t="shared" si="9"/>
        <v>0</v>
      </c>
      <c r="J45" s="1310">
        <f t="shared" si="10"/>
        <v>0</v>
      </c>
      <c r="K45" s="1310">
        <f t="shared" si="11"/>
        <v>0</v>
      </c>
      <c r="L45" s="1310">
        <f t="shared" si="12"/>
        <v>0</v>
      </c>
      <c r="M45" s="1310">
        <f t="shared" si="13"/>
        <v>0</v>
      </c>
      <c r="N45" s="1310">
        <f t="shared" si="14"/>
        <v>0</v>
      </c>
      <c r="O45" s="1310">
        <f t="shared" si="15"/>
        <v>0</v>
      </c>
      <c r="P45" s="1310"/>
      <c r="Q45" s="1310">
        <f t="shared" si="16"/>
        <v>0</v>
      </c>
      <c r="R45" s="1310">
        <f t="shared" si="17"/>
        <v>0</v>
      </c>
      <c r="S45" s="1310">
        <f t="shared" si="18"/>
        <v>0</v>
      </c>
      <c r="T45" s="1310">
        <f t="shared" si="19"/>
        <v>0</v>
      </c>
      <c r="U45" s="1310">
        <f t="shared" si="20"/>
        <v>0</v>
      </c>
      <c r="V45" s="1310">
        <f t="shared" si="21"/>
        <v>0</v>
      </c>
      <c r="W45" s="1310">
        <f t="shared" si="22"/>
        <v>0</v>
      </c>
      <c r="X45" s="1310">
        <f t="shared" si="23"/>
        <v>0</v>
      </c>
      <c r="Y45" s="1310">
        <f t="shared" si="24"/>
        <v>0</v>
      </c>
      <c r="Z45" s="1310">
        <f t="shared" si="25"/>
        <v>0</v>
      </c>
      <c r="AA45" s="1310">
        <f t="shared" si="26"/>
        <v>0</v>
      </c>
      <c r="AB45" s="1310">
        <f t="shared" si="27"/>
        <v>0</v>
      </c>
      <c r="AC45" s="1310">
        <f t="shared" si="28"/>
        <v>0</v>
      </c>
      <c r="AD45" s="1310">
        <f t="shared" si="29"/>
        <v>0</v>
      </c>
      <c r="AE45" s="1310">
        <f t="shared" si="30"/>
        <v>0</v>
      </c>
      <c r="AF45" s="1310">
        <f t="shared" si="31"/>
        <v>0</v>
      </c>
      <c r="AG45" s="1701">
        <f t="shared" si="32"/>
        <v>0</v>
      </c>
      <c r="AH45" s="1712"/>
      <c r="AI45" s="1712"/>
      <c r="AJ45" s="1712"/>
      <c r="AK45" s="1712"/>
      <c r="AL45" s="1712"/>
      <c r="AM45" s="1712"/>
      <c r="AN45" s="1712"/>
      <c r="AO45" s="1712"/>
      <c r="AP45" s="1712"/>
      <c r="AQ45" s="1712"/>
      <c r="AR45" s="1712"/>
      <c r="AS45" s="1712"/>
      <c r="AT45" s="1712"/>
      <c r="AU45" s="1712"/>
      <c r="AV45" s="1712"/>
      <c r="AW45" s="1712"/>
      <c r="AX45" s="1712"/>
      <c r="AY45" s="1712"/>
      <c r="AZ45" s="1712"/>
      <c r="BA45" s="1712"/>
      <c r="BB45" s="1712"/>
      <c r="BC45" s="1712"/>
      <c r="BD45" s="1712"/>
      <c r="BE45" s="1712"/>
      <c r="BF45" s="1712"/>
      <c r="BG45" s="1712"/>
      <c r="BH45" s="1712"/>
      <c r="BI45" s="1712"/>
      <c r="BJ45" s="1712"/>
      <c r="BK45" s="1712"/>
      <c r="BL45" s="1712"/>
      <c r="BM45" s="1712"/>
      <c r="BN45" s="1853"/>
      <c r="BO45" s="1708"/>
      <c r="BP45" s="1708"/>
      <c r="BQ45" s="1708"/>
      <c r="BR45" s="1708"/>
      <c r="BS45" s="1708"/>
      <c r="BT45" s="1708"/>
      <c r="BU45" s="1708"/>
      <c r="BV45" s="1708"/>
      <c r="BW45" s="1708"/>
      <c r="BX45" s="1708"/>
      <c r="BY45" s="1708"/>
      <c r="BZ45" s="1708"/>
      <c r="CA45" s="1708"/>
      <c r="CB45" s="1854"/>
      <c r="CC45" s="1855"/>
      <c r="CD45" s="1856"/>
      <c r="CE45" s="1856"/>
      <c r="CF45" s="1856"/>
      <c r="CG45" s="1856"/>
      <c r="CH45" s="1857"/>
      <c r="CI45" s="1853"/>
      <c r="CJ45" s="1708"/>
      <c r="CK45" s="1708"/>
      <c r="CL45" s="1708"/>
      <c r="CM45" s="1708"/>
      <c r="CN45" s="1708"/>
      <c r="CO45" s="1708"/>
      <c r="CP45" s="1708"/>
      <c r="CQ45" s="1708"/>
      <c r="CR45" s="1854"/>
      <c r="CS45" s="358"/>
    </row>
    <row r="46" spans="1:97" hidden="1">
      <c r="A46" s="1309">
        <v>44409</v>
      </c>
      <c r="B46" s="1310">
        <f t="shared" si="2"/>
        <v>0</v>
      </c>
      <c r="C46" s="1310">
        <f t="shared" si="3"/>
        <v>0</v>
      </c>
      <c r="D46" s="1310">
        <f t="shared" si="4"/>
        <v>0</v>
      </c>
      <c r="E46" s="1310">
        <f t="shared" si="5"/>
        <v>0</v>
      </c>
      <c r="F46" s="1310">
        <f t="shared" si="6"/>
        <v>0</v>
      </c>
      <c r="G46" s="1310">
        <f t="shared" si="7"/>
        <v>0</v>
      </c>
      <c r="H46" s="1310">
        <f t="shared" si="8"/>
        <v>0</v>
      </c>
      <c r="I46" s="1310">
        <f t="shared" si="9"/>
        <v>0</v>
      </c>
      <c r="J46" s="1310">
        <f t="shared" si="10"/>
        <v>0</v>
      </c>
      <c r="K46" s="1310">
        <f t="shared" si="11"/>
        <v>0</v>
      </c>
      <c r="L46" s="1310">
        <f t="shared" si="12"/>
        <v>0</v>
      </c>
      <c r="M46" s="1310">
        <f t="shared" si="13"/>
        <v>0</v>
      </c>
      <c r="N46" s="1310">
        <f t="shared" si="14"/>
        <v>0</v>
      </c>
      <c r="O46" s="1310">
        <f t="shared" si="15"/>
        <v>0</v>
      </c>
      <c r="P46" s="1310"/>
      <c r="Q46" s="1310">
        <f t="shared" si="16"/>
        <v>0</v>
      </c>
      <c r="R46" s="1310">
        <f t="shared" si="17"/>
        <v>0</v>
      </c>
      <c r="S46" s="1310">
        <f t="shared" si="18"/>
        <v>0</v>
      </c>
      <c r="T46" s="1310">
        <f t="shared" si="19"/>
        <v>0</v>
      </c>
      <c r="U46" s="1310">
        <f t="shared" si="20"/>
        <v>0</v>
      </c>
      <c r="V46" s="1310">
        <f t="shared" si="21"/>
        <v>0</v>
      </c>
      <c r="W46" s="1310">
        <f t="shared" si="22"/>
        <v>0</v>
      </c>
      <c r="X46" s="1310">
        <f t="shared" si="23"/>
        <v>0</v>
      </c>
      <c r="Y46" s="1310">
        <f t="shared" si="24"/>
        <v>0</v>
      </c>
      <c r="Z46" s="1310">
        <f t="shared" si="25"/>
        <v>0</v>
      </c>
      <c r="AA46" s="1310">
        <f t="shared" si="26"/>
        <v>0</v>
      </c>
      <c r="AB46" s="1310">
        <f t="shared" si="27"/>
        <v>0</v>
      </c>
      <c r="AC46" s="1310">
        <f t="shared" si="28"/>
        <v>0</v>
      </c>
      <c r="AD46" s="1310">
        <f t="shared" si="29"/>
        <v>0</v>
      </c>
      <c r="AE46" s="1310">
        <f t="shared" si="30"/>
        <v>0</v>
      </c>
      <c r="AF46" s="1310">
        <f t="shared" si="31"/>
        <v>0</v>
      </c>
      <c r="AG46" s="1701">
        <f t="shared" si="32"/>
        <v>0</v>
      </c>
      <c r="AH46" s="1712"/>
      <c r="AI46" s="1712"/>
      <c r="AJ46" s="1712"/>
      <c r="AK46" s="1712"/>
      <c r="AL46" s="1712"/>
      <c r="AM46" s="1712"/>
      <c r="AN46" s="1712"/>
      <c r="AO46" s="1712"/>
      <c r="AP46" s="1712"/>
      <c r="AQ46" s="1712"/>
      <c r="AR46" s="1712"/>
      <c r="AS46" s="1712"/>
      <c r="AT46" s="1712"/>
      <c r="AU46" s="1712"/>
      <c r="AV46" s="1712"/>
      <c r="AW46" s="1712"/>
      <c r="AX46" s="1712"/>
      <c r="AY46" s="1712"/>
      <c r="AZ46" s="1712"/>
      <c r="BA46" s="1712"/>
      <c r="BB46" s="1712"/>
      <c r="BC46" s="1712"/>
      <c r="BD46" s="1712"/>
      <c r="BE46" s="1712"/>
      <c r="BF46" s="1712"/>
      <c r="BG46" s="1712"/>
      <c r="BH46" s="1712"/>
      <c r="BI46" s="1712"/>
      <c r="BJ46" s="1712"/>
      <c r="BK46" s="1712"/>
      <c r="BL46" s="1712"/>
      <c r="BM46" s="1712"/>
      <c r="BN46" s="1853"/>
      <c r="BO46" s="1708"/>
      <c r="BP46" s="1708"/>
      <c r="BQ46" s="1708"/>
      <c r="BR46" s="1708"/>
      <c r="BS46" s="1708"/>
      <c r="BT46" s="1708"/>
      <c r="BU46" s="1708"/>
      <c r="BV46" s="1708"/>
      <c r="BW46" s="1708"/>
      <c r="BX46" s="1708"/>
      <c r="BY46" s="1708"/>
      <c r="BZ46" s="1708"/>
      <c r="CA46" s="1708"/>
      <c r="CB46" s="1854"/>
      <c r="CC46" s="1855"/>
      <c r="CD46" s="1856"/>
      <c r="CE46" s="1856"/>
      <c r="CF46" s="1856"/>
      <c r="CG46" s="1856"/>
      <c r="CH46" s="1857"/>
      <c r="CI46" s="1853"/>
      <c r="CJ46" s="1708"/>
      <c r="CK46" s="1708"/>
      <c r="CL46" s="1708"/>
      <c r="CM46" s="1708"/>
      <c r="CN46" s="1708"/>
      <c r="CO46" s="1708"/>
      <c r="CP46" s="1708"/>
      <c r="CQ46" s="1708"/>
      <c r="CR46" s="1854"/>
      <c r="CS46" s="358"/>
    </row>
    <row r="47" spans="1:97" hidden="1">
      <c r="A47" s="1309">
        <v>44440</v>
      </c>
      <c r="B47" s="1310">
        <f t="shared" si="2"/>
        <v>0</v>
      </c>
      <c r="C47" s="1310">
        <f t="shared" si="3"/>
        <v>0</v>
      </c>
      <c r="D47" s="1310">
        <f t="shared" si="4"/>
        <v>0</v>
      </c>
      <c r="E47" s="1310">
        <f t="shared" si="5"/>
        <v>0</v>
      </c>
      <c r="F47" s="1310">
        <f t="shared" si="6"/>
        <v>0</v>
      </c>
      <c r="G47" s="1310">
        <f t="shared" si="7"/>
        <v>0</v>
      </c>
      <c r="H47" s="1310">
        <f t="shared" si="8"/>
        <v>0</v>
      </c>
      <c r="I47" s="1310">
        <f t="shared" si="9"/>
        <v>0</v>
      </c>
      <c r="J47" s="1310">
        <f t="shared" si="10"/>
        <v>0</v>
      </c>
      <c r="K47" s="1310">
        <f t="shared" si="11"/>
        <v>0</v>
      </c>
      <c r="L47" s="1310">
        <f t="shared" si="12"/>
        <v>0</v>
      </c>
      <c r="M47" s="1310">
        <f t="shared" si="13"/>
        <v>0</v>
      </c>
      <c r="N47" s="1310">
        <f t="shared" si="14"/>
        <v>0</v>
      </c>
      <c r="O47" s="1310">
        <f t="shared" si="15"/>
        <v>0</v>
      </c>
      <c r="P47" s="1310"/>
      <c r="Q47" s="1310">
        <f t="shared" si="16"/>
        <v>0</v>
      </c>
      <c r="R47" s="1310">
        <f t="shared" si="17"/>
        <v>0</v>
      </c>
      <c r="S47" s="1310">
        <f t="shared" si="18"/>
        <v>0</v>
      </c>
      <c r="T47" s="1310">
        <f t="shared" si="19"/>
        <v>0</v>
      </c>
      <c r="U47" s="1310">
        <f t="shared" si="20"/>
        <v>0</v>
      </c>
      <c r="V47" s="1310">
        <f t="shared" si="21"/>
        <v>0</v>
      </c>
      <c r="W47" s="1310">
        <f t="shared" si="22"/>
        <v>0</v>
      </c>
      <c r="X47" s="1310">
        <f t="shared" si="23"/>
        <v>0</v>
      </c>
      <c r="Y47" s="1310">
        <f t="shared" si="24"/>
        <v>0</v>
      </c>
      <c r="Z47" s="1310">
        <f t="shared" si="25"/>
        <v>0</v>
      </c>
      <c r="AA47" s="1310">
        <f t="shared" si="26"/>
        <v>0</v>
      </c>
      <c r="AB47" s="1310">
        <f t="shared" si="27"/>
        <v>0</v>
      </c>
      <c r="AC47" s="1310">
        <f t="shared" si="28"/>
        <v>0</v>
      </c>
      <c r="AD47" s="1310">
        <f t="shared" si="29"/>
        <v>0</v>
      </c>
      <c r="AE47" s="1310">
        <f t="shared" si="30"/>
        <v>0</v>
      </c>
      <c r="AF47" s="1310">
        <f t="shared" si="31"/>
        <v>0</v>
      </c>
      <c r="AG47" s="1701">
        <f t="shared" si="32"/>
        <v>0</v>
      </c>
      <c r="AH47" s="1712"/>
      <c r="AI47" s="1712"/>
      <c r="AJ47" s="1712"/>
      <c r="AK47" s="1712"/>
      <c r="AL47" s="1712"/>
      <c r="AM47" s="1712"/>
      <c r="AN47" s="1712"/>
      <c r="AO47" s="1712"/>
      <c r="AP47" s="1712"/>
      <c r="AQ47" s="1712"/>
      <c r="AR47" s="1712"/>
      <c r="AS47" s="1712"/>
      <c r="AT47" s="1712"/>
      <c r="AU47" s="1712"/>
      <c r="AV47" s="1712"/>
      <c r="AW47" s="1712"/>
      <c r="AX47" s="1712"/>
      <c r="AY47" s="1712"/>
      <c r="AZ47" s="1712"/>
      <c r="BA47" s="1712"/>
      <c r="BB47" s="1712"/>
      <c r="BC47" s="1712"/>
      <c r="BD47" s="1712"/>
      <c r="BE47" s="1712"/>
      <c r="BF47" s="1712"/>
      <c r="BG47" s="1712"/>
      <c r="BH47" s="1712"/>
      <c r="BI47" s="1712"/>
      <c r="BJ47" s="1712"/>
      <c r="BK47" s="1712"/>
      <c r="BL47" s="1712"/>
      <c r="BM47" s="1712"/>
      <c r="BN47" s="1853"/>
      <c r="BO47" s="1708"/>
      <c r="BP47" s="1708"/>
      <c r="BQ47" s="1708"/>
      <c r="BR47" s="1708"/>
      <c r="BS47" s="1708"/>
      <c r="BT47" s="1708"/>
      <c r="BU47" s="1708"/>
      <c r="BV47" s="1708"/>
      <c r="BW47" s="1708"/>
      <c r="BX47" s="1708"/>
      <c r="BY47" s="1708"/>
      <c r="BZ47" s="1708"/>
      <c r="CA47" s="1708"/>
      <c r="CB47" s="1854"/>
      <c r="CC47" s="1855"/>
      <c r="CD47" s="1856"/>
      <c r="CE47" s="1856"/>
      <c r="CF47" s="1856"/>
      <c r="CG47" s="1856"/>
      <c r="CH47" s="1857"/>
      <c r="CI47" s="1853"/>
      <c r="CJ47" s="1708"/>
      <c r="CK47" s="1708"/>
      <c r="CL47" s="1708"/>
      <c r="CM47" s="1708"/>
      <c r="CN47" s="1708"/>
      <c r="CO47" s="1708"/>
      <c r="CP47" s="1708"/>
      <c r="CQ47" s="1708"/>
      <c r="CR47" s="1854"/>
      <c r="CS47" s="358"/>
    </row>
    <row r="48" spans="1:97" hidden="1">
      <c r="A48" s="1309">
        <v>44470</v>
      </c>
      <c r="B48" s="1310">
        <f t="shared" si="2"/>
        <v>0</v>
      </c>
      <c r="C48" s="1310">
        <f t="shared" si="3"/>
        <v>0</v>
      </c>
      <c r="D48" s="1310">
        <f t="shared" si="4"/>
        <v>0</v>
      </c>
      <c r="E48" s="1310">
        <f t="shared" si="5"/>
        <v>0</v>
      </c>
      <c r="F48" s="1310">
        <f t="shared" si="6"/>
        <v>0</v>
      </c>
      <c r="G48" s="1310">
        <f t="shared" si="7"/>
        <v>0</v>
      </c>
      <c r="H48" s="1310">
        <f t="shared" si="8"/>
        <v>0</v>
      </c>
      <c r="I48" s="1310">
        <f t="shared" si="9"/>
        <v>0</v>
      </c>
      <c r="J48" s="1310">
        <f t="shared" si="10"/>
        <v>0</v>
      </c>
      <c r="K48" s="1310">
        <f t="shared" si="11"/>
        <v>0</v>
      </c>
      <c r="L48" s="1310">
        <f t="shared" si="12"/>
        <v>0</v>
      </c>
      <c r="M48" s="1310">
        <f t="shared" si="13"/>
        <v>0</v>
      </c>
      <c r="N48" s="1310">
        <f t="shared" si="14"/>
        <v>0</v>
      </c>
      <c r="O48" s="1310">
        <f t="shared" si="15"/>
        <v>0</v>
      </c>
      <c r="P48" s="1310"/>
      <c r="Q48" s="1310">
        <f t="shared" si="16"/>
        <v>0</v>
      </c>
      <c r="R48" s="1310">
        <f t="shared" si="17"/>
        <v>0</v>
      </c>
      <c r="S48" s="1310">
        <f t="shared" si="18"/>
        <v>0</v>
      </c>
      <c r="T48" s="1310">
        <f t="shared" si="19"/>
        <v>0</v>
      </c>
      <c r="U48" s="1310">
        <f t="shared" si="20"/>
        <v>0</v>
      </c>
      <c r="V48" s="1310">
        <f t="shared" si="21"/>
        <v>0</v>
      </c>
      <c r="W48" s="1310">
        <f t="shared" si="22"/>
        <v>0</v>
      </c>
      <c r="X48" s="1310">
        <f t="shared" si="23"/>
        <v>0</v>
      </c>
      <c r="Y48" s="1310">
        <f t="shared" si="24"/>
        <v>0</v>
      </c>
      <c r="Z48" s="1310">
        <f t="shared" si="25"/>
        <v>0</v>
      </c>
      <c r="AA48" s="1310">
        <f t="shared" si="26"/>
        <v>0</v>
      </c>
      <c r="AB48" s="1310">
        <f t="shared" si="27"/>
        <v>0</v>
      </c>
      <c r="AC48" s="1310">
        <f t="shared" si="28"/>
        <v>0</v>
      </c>
      <c r="AD48" s="1310">
        <f t="shared" si="29"/>
        <v>0</v>
      </c>
      <c r="AE48" s="1310">
        <f t="shared" si="30"/>
        <v>0</v>
      </c>
      <c r="AF48" s="1310">
        <f t="shared" si="31"/>
        <v>0</v>
      </c>
      <c r="AG48" s="1701">
        <f t="shared" si="32"/>
        <v>0</v>
      </c>
      <c r="AH48" s="1712"/>
      <c r="AI48" s="1712"/>
      <c r="AJ48" s="1712"/>
      <c r="AK48" s="1712"/>
      <c r="AL48" s="1712"/>
      <c r="AM48" s="1712"/>
      <c r="AN48" s="1712"/>
      <c r="AO48" s="1712"/>
      <c r="AP48" s="1712"/>
      <c r="AQ48" s="1712"/>
      <c r="AR48" s="1712"/>
      <c r="AS48" s="1712"/>
      <c r="AT48" s="1712"/>
      <c r="AU48" s="1712"/>
      <c r="AV48" s="1712"/>
      <c r="AW48" s="1712"/>
      <c r="AX48" s="1712"/>
      <c r="AY48" s="1712"/>
      <c r="AZ48" s="1712"/>
      <c r="BA48" s="1712"/>
      <c r="BB48" s="1712"/>
      <c r="BC48" s="1712"/>
      <c r="BD48" s="1712"/>
      <c r="BE48" s="1712"/>
      <c r="BF48" s="1712"/>
      <c r="BG48" s="1712"/>
      <c r="BH48" s="1712"/>
      <c r="BI48" s="1712"/>
      <c r="BJ48" s="1712"/>
      <c r="BK48" s="1712"/>
      <c r="BL48" s="1712"/>
      <c r="BM48" s="1712"/>
      <c r="BN48" s="1853"/>
      <c r="BO48" s="1708"/>
      <c r="BP48" s="1708"/>
      <c r="BQ48" s="1708"/>
      <c r="BR48" s="1708"/>
      <c r="BS48" s="1708"/>
      <c r="BT48" s="1708"/>
      <c r="BU48" s="1708"/>
      <c r="BV48" s="1708"/>
      <c r="BW48" s="1708"/>
      <c r="BX48" s="1708"/>
      <c r="BY48" s="1708"/>
      <c r="BZ48" s="1708"/>
      <c r="CA48" s="1708"/>
      <c r="CB48" s="1854"/>
      <c r="CC48" s="1855"/>
      <c r="CD48" s="1856"/>
      <c r="CE48" s="1856"/>
      <c r="CF48" s="1856"/>
      <c r="CG48" s="1856"/>
      <c r="CH48" s="1857"/>
      <c r="CI48" s="1853"/>
      <c r="CJ48" s="1708"/>
      <c r="CK48" s="1708"/>
      <c r="CL48" s="1708"/>
      <c r="CM48" s="1708"/>
      <c r="CN48" s="1708"/>
      <c r="CO48" s="1708"/>
      <c r="CP48" s="1708"/>
      <c r="CQ48" s="1708"/>
      <c r="CR48" s="1854"/>
      <c r="CS48" s="358"/>
    </row>
    <row r="49" spans="1:100" hidden="1">
      <c r="A49" s="1309">
        <v>44501</v>
      </c>
      <c r="B49" s="1310">
        <f t="shared" si="2"/>
        <v>0</v>
      </c>
      <c r="C49" s="1310">
        <f t="shared" si="3"/>
        <v>0</v>
      </c>
      <c r="D49" s="1310">
        <f t="shared" si="4"/>
        <v>0</v>
      </c>
      <c r="E49" s="1310">
        <f t="shared" si="5"/>
        <v>0</v>
      </c>
      <c r="F49" s="1310">
        <f t="shared" si="6"/>
        <v>0</v>
      </c>
      <c r="G49" s="1310">
        <f t="shared" si="7"/>
        <v>0</v>
      </c>
      <c r="H49" s="1310">
        <f t="shared" si="8"/>
        <v>0</v>
      </c>
      <c r="I49" s="1310">
        <f t="shared" si="9"/>
        <v>0</v>
      </c>
      <c r="J49" s="1310">
        <f t="shared" si="10"/>
        <v>0</v>
      </c>
      <c r="K49" s="1310">
        <f t="shared" si="11"/>
        <v>0</v>
      </c>
      <c r="L49" s="1310">
        <f t="shared" si="12"/>
        <v>0</v>
      </c>
      <c r="M49" s="1310">
        <f t="shared" si="13"/>
        <v>0</v>
      </c>
      <c r="N49" s="1310">
        <f t="shared" si="14"/>
        <v>0</v>
      </c>
      <c r="O49" s="1310">
        <f t="shared" si="15"/>
        <v>0</v>
      </c>
      <c r="P49" s="1310"/>
      <c r="Q49" s="1310">
        <f t="shared" si="16"/>
        <v>0</v>
      </c>
      <c r="R49" s="1310">
        <f t="shared" si="17"/>
        <v>0</v>
      </c>
      <c r="S49" s="1310">
        <f t="shared" si="18"/>
        <v>0</v>
      </c>
      <c r="T49" s="1310">
        <f t="shared" si="19"/>
        <v>0</v>
      </c>
      <c r="U49" s="1310">
        <f t="shared" si="20"/>
        <v>0</v>
      </c>
      <c r="V49" s="1310">
        <f t="shared" si="21"/>
        <v>0</v>
      </c>
      <c r="W49" s="1310">
        <f t="shared" si="22"/>
        <v>0</v>
      </c>
      <c r="X49" s="1310">
        <f t="shared" si="23"/>
        <v>0</v>
      </c>
      <c r="Y49" s="1310">
        <f t="shared" si="24"/>
        <v>0</v>
      </c>
      <c r="Z49" s="1310">
        <f t="shared" si="25"/>
        <v>0</v>
      </c>
      <c r="AA49" s="1310">
        <f t="shared" si="26"/>
        <v>0</v>
      </c>
      <c r="AB49" s="1310">
        <f t="shared" si="27"/>
        <v>0</v>
      </c>
      <c r="AC49" s="1310">
        <f t="shared" si="28"/>
        <v>0</v>
      </c>
      <c r="AD49" s="1310">
        <f t="shared" si="29"/>
        <v>0</v>
      </c>
      <c r="AE49" s="1310">
        <f t="shared" si="30"/>
        <v>0</v>
      </c>
      <c r="AF49" s="1310">
        <f t="shared" si="31"/>
        <v>0</v>
      </c>
      <c r="AG49" s="1701">
        <f t="shared" si="32"/>
        <v>0</v>
      </c>
      <c r="AH49" s="1712"/>
      <c r="AI49" s="1712"/>
      <c r="AJ49" s="1712"/>
      <c r="AK49" s="1712"/>
      <c r="AL49" s="1712"/>
      <c r="AM49" s="1712"/>
      <c r="AN49" s="1712"/>
      <c r="AO49" s="1712"/>
      <c r="AP49" s="1712"/>
      <c r="AQ49" s="1712"/>
      <c r="AR49" s="1712"/>
      <c r="AS49" s="1712"/>
      <c r="AT49" s="1712"/>
      <c r="AU49" s="1712"/>
      <c r="AV49" s="1712"/>
      <c r="AW49" s="1712"/>
      <c r="AX49" s="1712"/>
      <c r="AY49" s="1712"/>
      <c r="AZ49" s="1712"/>
      <c r="BA49" s="1712"/>
      <c r="BB49" s="1712"/>
      <c r="BC49" s="1712"/>
      <c r="BD49" s="1712"/>
      <c r="BE49" s="1712"/>
      <c r="BF49" s="1712"/>
      <c r="BG49" s="1712"/>
      <c r="BH49" s="1712"/>
      <c r="BI49" s="1712"/>
      <c r="BJ49" s="1712"/>
      <c r="BK49" s="1712"/>
      <c r="BL49" s="1712"/>
      <c r="BM49" s="1712"/>
      <c r="BN49" s="1853"/>
      <c r="BO49" s="1708"/>
      <c r="BP49" s="1708"/>
      <c r="BQ49" s="1708"/>
      <c r="BR49" s="1708"/>
      <c r="BS49" s="1708"/>
      <c r="BT49" s="1708"/>
      <c r="BU49" s="1708"/>
      <c r="BV49" s="1708"/>
      <c r="BW49" s="1708"/>
      <c r="BX49" s="1708"/>
      <c r="BY49" s="1708"/>
      <c r="BZ49" s="1708"/>
      <c r="CA49" s="1708"/>
      <c r="CB49" s="1854"/>
      <c r="CC49" s="1855"/>
      <c r="CD49" s="1856"/>
      <c r="CE49" s="1856"/>
      <c r="CF49" s="1856"/>
      <c r="CG49" s="1856"/>
      <c r="CH49" s="1857"/>
      <c r="CI49" s="1853"/>
      <c r="CJ49" s="1708"/>
      <c r="CK49" s="1708"/>
      <c r="CL49" s="1708"/>
      <c r="CM49" s="1708"/>
      <c r="CN49" s="1708"/>
      <c r="CO49" s="1708"/>
      <c r="CP49" s="1708"/>
      <c r="CQ49" s="1708"/>
      <c r="CR49" s="1854"/>
      <c r="CS49" s="358"/>
    </row>
    <row r="50" spans="1:100" hidden="1">
      <c r="A50" s="1309">
        <v>44531</v>
      </c>
      <c r="B50" s="1310">
        <f t="shared" si="2"/>
        <v>1</v>
      </c>
      <c r="C50" s="1310">
        <f t="shared" si="3"/>
        <v>3</v>
      </c>
      <c r="D50" s="1310">
        <f t="shared" si="4"/>
        <v>1</v>
      </c>
      <c r="E50" s="1310">
        <f t="shared" si="5"/>
        <v>2</v>
      </c>
      <c r="F50" s="1310">
        <f t="shared" si="6"/>
        <v>0</v>
      </c>
      <c r="G50" s="1310">
        <f t="shared" si="7"/>
        <v>1</v>
      </c>
      <c r="H50" s="1310">
        <f t="shared" si="8"/>
        <v>0</v>
      </c>
      <c r="I50" s="1310">
        <f t="shared" si="9"/>
        <v>0</v>
      </c>
      <c r="J50" s="1310">
        <f t="shared" si="10"/>
        <v>1</v>
      </c>
      <c r="K50" s="1310">
        <f t="shared" si="11"/>
        <v>7</v>
      </c>
      <c r="L50" s="1310">
        <f t="shared" si="12"/>
        <v>1</v>
      </c>
      <c r="M50" s="1310">
        <f t="shared" si="13"/>
        <v>1</v>
      </c>
      <c r="N50" s="1310">
        <f t="shared" si="14"/>
        <v>1</v>
      </c>
      <c r="O50" s="1310">
        <f t="shared" si="15"/>
        <v>0</v>
      </c>
      <c r="P50" s="1310"/>
      <c r="Q50" s="1310">
        <f t="shared" si="16"/>
        <v>0</v>
      </c>
      <c r="R50" s="1310">
        <f t="shared" si="17"/>
        <v>0</v>
      </c>
      <c r="S50" s="1310">
        <f t="shared" si="18"/>
        <v>0</v>
      </c>
      <c r="T50" s="1310">
        <f t="shared" si="19"/>
        <v>0</v>
      </c>
      <c r="U50" s="1310">
        <f t="shared" si="20"/>
        <v>0</v>
      </c>
      <c r="V50" s="1310">
        <f t="shared" si="21"/>
        <v>1</v>
      </c>
      <c r="W50" s="1310">
        <f t="shared" si="22"/>
        <v>7</v>
      </c>
      <c r="X50" s="1310">
        <f t="shared" si="23"/>
        <v>2</v>
      </c>
      <c r="Y50" s="1310">
        <f t="shared" si="24"/>
        <v>0</v>
      </c>
      <c r="Z50" s="1310">
        <f t="shared" si="25"/>
        <v>1</v>
      </c>
      <c r="AA50" s="1310">
        <f t="shared" si="26"/>
        <v>0</v>
      </c>
      <c r="AB50" s="1310">
        <f t="shared" si="27"/>
        <v>0</v>
      </c>
      <c r="AC50" s="1310">
        <f t="shared" si="28"/>
        <v>0</v>
      </c>
      <c r="AD50" s="1310">
        <f t="shared" si="29"/>
        <v>1</v>
      </c>
      <c r="AE50" s="1310">
        <f t="shared" si="30"/>
        <v>0</v>
      </c>
      <c r="AF50" s="1310">
        <f t="shared" si="31"/>
        <v>0</v>
      </c>
      <c r="AG50" s="1701">
        <f t="shared" si="32"/>
        <v>2</v>
      </c>
      <c r="AH50" s="1712">
        <v>1</v>
      </c>
      <c r="AI50" s="1712">
        <v>3</v>
      </c>
      <c r="AJ50" s="1712">
        <v>1</v>
      </c>
      <c r="AK50" s="1712">
        <v>2</v>
      </c>
      <c r="AL50" s="1712"/>
      <c r="AM50" s="1712">
        <v>1</v>
      </c>
      <c r="AN50" s="1712"/>
      <c r="AO50" s="1712"/>
      <c r="AP50" s="1712">
        <v>1</v>
      </c>
      <c r="AQ50" s="1712">
        <v>7</v>
      </c>
      <c r="AR50" s="1712">
        <v>1</v>
      </c>
      <c r="AS50" s="1712">
        <v>1</v>
      </c>
      <c r="AT50" s="1712">
        <v>1</v>
      </c>
      <c r="AU50" s="1712"/>
      <c r="AV50" s="1712"/>
      <c r="AW50" s="1712"/>
      <c r="AX50" s="1712"/>
      <c r="AY50" s="1712"/>
      <c r="AZ50" s="1712"/>
      <c r="BA50" s="1712"/>
      <c r="BB50" s="1712">
        <v>1</v>
      </c>
      <c r="BC50" s="1712">
        <v>7</v>
      </c>
      <c r="BD50" s="1712">
        <v>2</v>
      </c>
      <c r="BE50" s="1712"/>
      <c r="BF50" s="1712">
        <v>1</v>
      </c>
      <c r="BG50" s="1712"/>
      <c r="BH50" s="1712"/>
      <c r="BI50" s="1712"/>
      <c r="BJ50" s="1712">
        <v>1</v>
      </c>
      <c r="BK50" s="1712"/>
      <c r="BL50" s="1712"/>
      <c r="BM50" s="1712">
        <v>2</v>
      </c>
      <c r="BN50" s="1853"/>
      <c r="BO50" s="1708"/>
      <c r="BP50" s="1708"/>
      <c r="BQ50" s="1708"/>
      <c r="BR50" s="1708"/>
      <c r="BS50" s="1708"/>
      <c r="BT50" s="1708"/>
      <c r="BU50" s="1708"/>
      <c r="BV50" s="1708"/>
      <c r="BW50" s="1708"/>
      <c r="BX50" s="1708"/>
      <c r="BY50" s="1708"/>
      <c r="BZ50" s="1708"/>
      <c r="CA50" s="1708"/>
      <c r="CB50" s="1854"/>
      <c r="CC50" s="1855"/>
      <c r="CD50" s="1856"/>
      <c r="CE50" s="1856"/>
      <c r="CF50" s="1856"/>
      <c r="CG50" s="1856"/>
      <c r="CH50" s="1857"/>
      <c r="CI50" s="1853"/>
      <c r="CJ50" s="1708"/>
      <c r="CK50" s="1708"/>
      <c r="CL50" s="1708"/>
      <c r="CM50" s="1708"/>
      <c r="CN50" s="1708"/>
      <c r="CO50" s="1708"/>
      <c r="CP50" s="1708"/>
      <c r="CQ50" s="1708"/>
      <c r="CR50" s="1854"/>
      <c r="CS50" s="358"/>
    </row>
    <row r="51" spans="1:100" hidden="1">
      <c r="A51" s="1309">
        <v>44562</v>
      </c>
      <c r="B51" s="1310">
        <f t="shared" ref="B51:B62" si="34">+AH51+BN51</f>
        <v>1</v>
      </c>
      <c r="C51" s="1310">
        <f t="shared" ref="C51:C62" si="35">+AI51+BO51</f>
        <v>0</v>
      </c>
      <c r="D51" s="1310">
        <f t="shared" ref="D51:D62" si="36">+AJ51+BP51</f>
        <v>0</v>
      </c>
      <c r="E51" s="1310">
        <f t="shared" ref="E51:E62" si="37">+AK51+BQ51</f>
        <v>0</v>
      </c>
      <c r="F51" s="1310">
        <f t="shared" ref="F51:F62" si="38">+AL51+BR51</f>
        <v>0</v>
      </c>
      <c r="G51" s="1310">
        <f t="shared" ref="G51:G62" si="39">+AM51+BS51</f>
        <v>0</v>
      </c>
      <c r="H51" s="1310">
        <f t="shared" ref="H51:H62" si="40">+AN51+BT51</f>
        <v>0</v>
      </c>
      <c r="I51" s="1310">
        <f t="shared" ref="I51:I62" si="41">+AO51+BU51</f>
        <v>0</v>
      </c>
      <c r="J51" s="1310">
        <f t="shared" ref="J51:J62" si="42">+AP51+BV51</f>
        <v>0</v>
      </c>
      <c r="K51" s="1310">
        <f t="shared" ref="K51:K62" si="43">+AQ51+BW51</f>
        <v>1</v>
      </c>
      <c r="L51" s="1310">
        <f t="shared" ref="L51:L62" si="44">+AR51+BX51</f>
        <v>0</v>
      </c>
      <c r="M51" s="1310">
        <f t="shared" ref="M51:M62" si="45">+AS51+BY51</f>
        <v>0</v>
      </c>
      <c r="N51" s="1310">
        <f t="shared" ref="N51:N62" si="46">+AT51+BZ51</f>
        <v>0</v>
      </c>
      <c r="O51" s="1310">
        <f t="shared" ref="O51:O62" si="47">+AU51+CA51</f>
        <v>0</v>
      </c>
      <c r="P51" s="1310"/>
      <c r="Q51" s="1310">
        <f t="shared" ref="Q51:Q62" si="48">+AW51+CB51</f>
        <v>0</v>
      </c>
      <c r="R51" s="1310">
        <f t="shared" ref="R51:R62" si="49">+AX51+CC51</f>
        <v>0</v>
      </c>
      <c r="S51" s="1310">
        <f t="shared" ref="S51:S62" si="50">+AY51+CD51</f>
        <v>0</v>
      </c>
      <c r="T51" s="1310">
        <f t="shared" ref="T51:T62" si="51">+AZ51+CE51</f>
        <v>0</v>
      </c>
      <c r="U51" s="1310">
        <f t="shared" ref="U51:U62" si="52">+BA51+CF51</f>
        <v>0</v>
      </c>
      <c r="V51" s="1310">
        <f t="shared" ref="V51:V62" si="53">+BB51+CG51</f>
        <v>0</v>
      </c>
      <c r="W51" s="1310">
        <f t="shared" ref="W51:W62" si="54">+BC51+CH51</f>
        <v>2</v>
      </c>
      <c r="X51" s="1310">
        <f t="shared" ref="X51:X62" si="55">+BD51+CI51</f>
        <v>0</v>
      </c>
      <c r="Y51" s="1310">
        <f t="shared" ref="Y51:Y62" si="56">+BE51+CJ51</f>
        <v>0</v>
      </c>
      <c r="Z51" s="1310">
        <f t="shared" ref="Z51:Z62" si="57">+BF51+CK51</f>
        <v>0</v>
      </c>
      <c r="AA51" s="1310">
        <f t="shared" ref="AA51:AA62" si="58">+BG51+CL51</f>
        <v>0</v>
      </c>
      <c r="AB51" s="1310">
        <f t="shared" ref="AB51:AB62" si="59">+BH51+CM51</f>
        <v>0</v>
      </c>
      <c r="AC51" s="1310">
        <f t="shared" ref="AC51:AC62" si="60">+BI51+CN51</f>
        <v>0</v>
      </c>
      <c r="AD51" s="1310">
        <f t="shared" ref="AD51:AD62" si="61">+BJ51+CO51</f>
        <v>0</v>
      </c>
      <c r="AE51" s="1310">
        <f t="shared" ref="AE51:AE62" si="62">+BK51+CP51</f>
        <v>0</v>
      </c>
      <c r="AF51" s="1310">
        <f t="shared" ref="AF51:AF62" si="63">+BL51+CQ51</f>
        <v>0</v>
      </c>
      <c r="AG51" s="1701">
        <f t="shared" ref="AG51:AG62" si="64">+BM51+CR51</f>
        <v>0</v>
      </c>
      <c r="AH51" s="1712">
        <v>1</v>
      </c>
      <c r="AI51" s="1712"/>
      <c r="AJ51" s="1712"/>
      <c r="AK51" s="1712"/>
      <c r="AL51" s="1712"/>
      <c r="AM51" s="1712"/>
      <c r="AN51" s="1712"/>
      <c r="AO51" s="1712"/>
      <c r="AP51" s="1712"/>
      <c r="AQ51" s="1712">
        <v>1</v>
      </c>
      <c r="AR51" s="1712"/>
      <c r="AS51" s="1712"/>
      <c r="AT51" s="1712"/>
      <c r="AU51" s="1712"/>
      <c r="AV51" s="1712"/>
      <c r="AW51" s="1712"/>
      <c r="AX51" s="1712"/>
      <c r="AY51" s="1712"/>
      <c r="AZ51" s="1712"/>
      <c r="BA51" s="1712"/>
      <c r="BB51" s="1712"/>
      <c r="BC51" s="1712">
        <v>2</v>
      </c>
      <c r="BD51" s="1712"/>
      <c r="BE51" s="1712"/>
      <c r="BF51" s="1712"/>
      <c r="BG51" s="1712"/>
      <c r="BH51" s="1712"/>
      <c r="BI51" s="1712"/>
      <c r="BJ51" s="1712"/>
      <c r="BK51" s="1712"/>
      <c r="BL51" s="1712"/>
      <c r="BM51" s="1712"/>
      <c r="BN51" s="1853"/>
      <c r="BO51" s="1708"/>
      <c r="BP51" s="1708"/>
      <c r="BQ51" s="1708"/>
      <c r="BR51" s="1708"/>
      <c r="BS51" s="1708"/>
      <c r="BT51" s="1708"/>
      <c r="BU51" s="1708"/>
      <c r="BV51" s="1708"/>
      <c r="BW51" s="1708"/>
      <c r="BX51" s="1708"/>
      <c r="BY51" s="1708"/>
      <c r="BZ51" s="1708"/>
      <c r="CA51" s="1708"/>
      <c r="CB51" s="1854"/>
      <c r="CC51" s="1855"/>
      <c r="CD51" s="1856"/>
      <c r="CE51" s="1856"/>
      <c r="CF51" s="1856"/>
      <c r="CG51" s="1856"/>
      <c r="CH51" s="1857"/>
      <c r="CI51" s="1853"/>
      <c r="CJ51" s="1708"/>
      <c r="CK51" s="1708"/>
      <c r="CL51" s="1708"/>
      <c r="CM51" s="1708"/>
      <c r="CN51" s="1708"/>
      <c r="CO51" s="1708"/>
      <c r="CP51" s="1708"/>
      <c r="CQ51" s="1708"/>
      <c r="CR51" s="1854"/>
      <c r="CS51" s="358">
        <v>2</v>
      </c>
      <c r="CT51">
        <v>4</v>
      </c>
      <c r="CU51">
        <v>0</v>
      </c>
    </row>
    <row r="52" spans="1:100" hidden="1">
      <c r="A52" s="1309">
        <v>44593</v>
      </c>
      <c r="B52" s="1310">
        <f t="shared" si="34"/>
        <v>0</v>
      </c>
      <c r="C52" s="1310">
        <f t="shared" si="35"/>
        <v>1</v>
      </c>
      <c r="D52" s="1310">
        <f t="shared" si="36"/>
        <v>0</v>
      </c>
      <c r="E52" s="1310">
        <f t="shared" si="37"/>
        <v>0</v>
      </c>
      <c r="F52" s="1310">
        <f t="shared" si="38"/>
        <v>0</v>
      </c>
      <c r="G52" s="1310">
        <f t="shared" si="39"/>
        <v>0</v>
      </c>
      <c r="H52" s="1310">
        <f t="shared" si="40"/>
        <v>0</v>
      </c>
      <c r="I52" s="1310">
        <f t="shared" si="41"/>
        <v>0</v>
      </c>
      <c r="J52" s="1310">
        <f t="shared" si="42"/>
        <v>0</v>
      </c>
      <c r="K52" s="1310">
        <f t="shared" si="43"/>
        <v>0</v>
      </c>
      <c r="L52" s="1310">
        <f t="shared" si="44"/>
        <v>0</v>
      </c>
      <c r="M52" s="1310">
        <f t="shared" si="45"/>
        <v>0</v>
      </c>
      <c r="N52" s="1310">
        <f t="shared" si="46"/>
        <v>0</v>
      </c>
      <c r="O52" s="1310">
        <f t="shared" si="47"/>
        <v>0</v>
      </c>
      <c r="P52" s="1310"/>
      <c r="Q52" s="1310">
        <f t="shared" si="48"/>
        <v>0</v>
      </c>
      <c r="R52" s="1310">
        <f t="shared" si="49"/>
        <v>0</v>
      </c>
      <c r="S52" s="1310">
        <f t="shared" si="50"/>
        <v>0</v>
      </c>
      <c r="T52" s="1310">
        <f t="shared" si="51"/>
        <v>0</v>
      </c>
      <c r="U52" s="1310">
        <f t="shared" si="52"/>
        <v>0</v>
      </c>
      <c r="V52" s="1310">
        <f t="shared" si="53"/>
        <v>0</v>
      </c>
      <c r="W52" s="1310">
        <f t="shared" si="54"/>
        <v>0</v>
      </c>
      <c r="X52" s="1310">
        <f t="shared" si="55"/>
        <v>1</v>
      </c>
      <c r="Y52" s="1310">
        <f t="shared" si="56"/>
        <v>0</v>
      </c>
      <c r="Z52" s="1310">
        <f t="shared" si="57"/>
        <v>0</v>
      </c>
      <c r="AA52" s="1310">
        <f t="shared" si="58"/>
        <v>0</v>
      </c>
      <c r="AB52" s="1310">
        <f t="shared" si="59"/>
        <v>0</v>
      </c>
      <c r="AC52" s="1310">
        <f t="shared" si="60"/>
        <v>1</v>
      </c>
      <c r="AD52" s="1310">
        <f t="shared" si="61"/>
        <v>0</v>
      </c>
      <c r="AE52" s="1310">
        <f t="shared" si="62"/>
        <v>0</v>
      </c>
      <c r="AF52" s="1310">
        <f t="shared" si="63"/>
        <v>0</v>
      </c>
      <c r="AG52" s="1701">
        <f t="shared" si="64"/>
        <v>0</v>
      </c>
      <c r="AH52" s="1712"/>
      <c r="AI52" s="1712">
        <v>1</v>
      </c>
      <c r="AJ52" s="1712"/>
      <c r="AK52" s="1712"/>
      <c r="AL52" s="1712"/>
      <c r="AM52" s="1712"/>
      <c r="AN52" s="1712"/>
      <c r="AO52" s="1712"/>
      <c r="AP52" s="1712"/>
      <c r="AQ52" s="1712"/>
      <c r="AR52" s="1712"/>
      <c r="AS52" s="1712"/>
      <c r="AT52" s="1712"/>
      <c r="AU52" s="1712"/>
      <c r="AV52" s="1712"/>
      <c r="AW52" s="1712"/>
      <c r="AX52" s="1712"/>
      <c r="AY52" s="1712"/>
      <c r="AZ52" s="1712"/>
      <c r="BA52" s="1712"/>
      <c r="BB52" s="1712"/>
      <c r="BC52" s="1712"/>
      <c r="BD52" s="1712">
        <v>1</v>
      </c>
      <c r="BE52" s="1712"/>
      <c r="BF52" s="1712"/>
      <c r="BG52" s="1712"/>
      <c r="BH52" s="1712"/>
      <c r="BI52" s="1712">
        <v>1</v>
      </c>
      <c r="BJ52" s="1712"/>
      <c r="BK52" s="1712"/>
      <c r="BL52" s="1712"/>
      <c r="BM52" s="1712"/>
      <c r="BN52" s="1853"/>
      <c r="BO52" s="1708"/>
      <c r="BP52" s="1708"/>
      <c r="BQ52" s="1708"/>
      <c r="BR52" s="1708"/>
      <c r="BS52" s="1708"/>
      <c r="BT52" s="1708"/>
      <c r="BU52" s="1708"/>
      <c r="BV52" s="1708"/>
      <c r="BW52" s="1708"/>
      <c r="BX52" s="1708"/>
      <c r="BY52" s="1708"/>
      <c r="BZ52" s="1708"/>
      <c r="CA52" s="1708"/>
      <c r="CB52" s="1854"/>
      <c r="CC52" s="1855"/>
      <c r="CD52" s="1856"/>
      <c r="CE52" s="1856"/>
      <c r="CF52" s="1856"/>
      <c r="CG52" s="1856"/>
      <c r="CH52" s="1857"/>
      <c r="CI52" s="1853"/>
      <c r="CJ52" s="1708"/>
      <c r="CK52" s="1708"/>
      <c r="CL52" s="1708"/>
      <c r="CM52" s="1708"/>
      <c r="CN52" s="1708"/>
      <c r="CO52" s="1708"/>
      <c r="CP52" s="1708"/>
      <c r="CQ52" s="1708"/>
      <c r="CR52" s="1854"/>
      <c r="CS52" s="358">
        <v>1</v>
      </c>
      <c r="CT52">
        <v>1</v>
      </c>
      <c r="CU52">
        <v>2</v>
      </c>
    </row>
    <row r="53" spans="1:100" hidden="1">
      <c r="A53" s="1309">
        <v>44621</v>
      </c>
      <c r="B53" s="1310">
        <f t="shared" si="34"/>
        <v>0</v>
      </c>
      <c r="C53" s="1310">
        <f t="shared" si="35"/>
        <v>0</v>
      </c>
      <c r="D53" s="1310">
        <f t="shared" si="36"/>
        <v>0</v>
      </c>
      <c r="E53" s="1310">
        <f t="shared" si="37"/>
        <v>0</v>
      </c>
      <c r="F53" s="1310">
        <f t="shared" si="38"/>
        <v>0</v>
      </c>
      <c r="G53" s="1310">
        <f t="shared" si="39"/>
        <v>0</v>
      </c>
      <c r="H53" s="1310">
        <f t="shared" si="40"/>
        <v>0</v>
      </c>
      <c r="I53" s="1310">
        <f t="shared" si="41"/>
        <v>0</v>
      </c>
      <c r="J53" s="1310">
        <f t="shared" si="42"/>
        <v>0</v>
      </c>
      <c r="K53" s="1310">
        <f t="shared" si="43"/>
        <v>0</v>
      </c>
      <c r="L53" s="1310">
        <f t="shared" si="44"/>
        <v>0</v>
      </c>
      <c r="M53" s="1310">
        <f t="shared" si="45"/>
        <v>0</v>
      </c>
      <c r="N53" s="1310">
        <f t="shared" si="46"/>
        <v>0</v>
      </c>
      <c r="O53" s="1310">
        <f t="shared" si="47"/>
        <v>1</v>
      </c>
      <c r="P53" s="1310"/>
      <c r="Q53" s="1310">
        <f t="shared" si="48"/>
        <v>0</v>
      </c>
      <c r="R53" s="1310">
        <f t="shared" si="49"/>
        <v>0</v>
      </c>
      <c r="S53" s="1310">
        <f t="shared" si="50"/>
        <v>0</v>
      </c>
      <c r="T53" s="1310">
        <f t="shared" si="51"/>
        <v>1</v>
      </c>
      <c r="U53" s="1310">
        <f t="shared" si="52"/>
        <v>0</v>
      </c>
      <c r="V53" s="1310">
        <f t="shared" si="53"/>
        <v>0</v>
      </c>
      <c r="W53" s="1310">
        <f t="shared" si="54"/>
        <v>1</v>
      </c>
      <c r="X53" s="1310">
        <f t="shared" si="55"/>
        <v>0</v>
      </c>
      <c r="Y53" s="1310">
        <f t="shared" si="56"/>
        <v>0</v>
      </c>
      <c r="Z53" s="1310">
        <f t="shared" si="57"/>
        <v>0</v>
      </c>
      <c r="AA53" s="1310">
        <f t="shared" si="58"/>
        <v>0</v>
      </c>
      <c r="AB53" s="1310">
        <f t="shared" si="59"/>
        <v>0</v>
      </c>
      <c r="AC53" s="1310">
        <f t="shared" si="60"/>
        <v>0</v>
      </c>
      <c r="AD53" s="1310">
        <f t="shared" si="61"/>
        <v>0</v>
      </c>
      <c r="AE53" s="1310">
        <f t="shared" si="62"/>
        <v>0</v>
      </c>
      <c r="AF53" s="1310">
        <f t="shared" si="63"/>
        <v>0</v>
      </c>
      <c r="AG53" s="1701">
        <f t="shared" si="64"/>
        <v>0</v>
      </c>
      <c r="AH53" s="1712"/>
      <c r="AI53" s="1712"/>
      <c r="AJ53" s="1712"/>
      <c r="AK53" s="1712"/>
      <c r="AL53" s="1712"/>
      <c r="AM53" s="1712"/>
      <c r="AN53" s="1712"/>
      <c r="AO53" s="1712"/>
      <c r="AP53" s="1712"/>
      <c r="AQ53" s="1712"/>
      <c r="AR53" s="1712"/>
      <c r="AS53" s="1712"/>
      <c r="AT53" s="1712"/>
      <c r="AU53" s="1712">
        <v>1</v>
      </c>
      <c r="AV53" s="1712"/>
      <c r="AW53" s="1712"/>
      <c r="AX53" s="1712"/>
      <c r="AY53" s="1712"/>
      <c r="AZ53" s="1712">
        <v>1</v>
      </c>
      <c r="BA53" s="1712"/>
      <c r="BB53" s="1712"/>
      <c r="BC53" s="1712">
        <v>1</v>
      </c>
      <c r="BD53" s="1712"/>
      <c r="BE53" s="1712"/>
      <c r="BF53" s="1712"/>
      <c r="BG53" s="1712"/>
      <c r="BH53" s="1712"/>
      <c r="BI53" s="1712"/>
      <c r="BJ53" s="1712"/>
      <c r="BK53" s="1712"/>
      <c r="BL53" s="1712"/>
      <c r="BM53" s="1712"/>
      <c r="BN53" s="1853"/>
      <c r="BO53" s="1708"/>
      <c r="BP53" s="1708"/>
      <c r="BQ53" s="1708"/>
      <c r="BR53" s="1708"/>
      <c r="BS53" s="1708"/>
      <c r="BT53" s="1708"/>
      <c r="BU53" s="1708"/>
      <c r="BV53" s="1708"/>
      <c r="BW53" s="1708"/>
      <c r="BX53" s="1708"/>
      <c r="BY53" s="1708"/>
      <c r="BZ53" s="1708"/>
      <c r="CA53" s="1708"/>
      <c r="CB53" s="1854"/>
      <c r="CC53" s="1855"/>
      <c r="CD53" s="1856"/>
      <c r="CE53" s="1856"/>
      <c r="CF53" s="1856"/>
      <c r="CG53" s="1856"/>
      <c r="CH53" s="1857"/>
      <c r="CI53" s="1853"/>
      <c r="CJ53" s="1708"/>
      <c r="CK53" s="1708"/>
      <c r="CL53" s="1708"/>
      <c r="CM53" s="1708"/>
      <c r="CN53" s="1708"/>
      <c r="CO53" s="1708"/>
      <c r="CP53" s="1708"/>
      <c r="CQ53" s="1708"/>
      <c r="CR53" s="1854"/>
      <c r="CS53" s="358">
        <v>2</v>
      </c>
      <c r="CT53">
        <v>3</v>
      </c>
      <c r="CU53">
        <v>0</v>
      </c>
    </row>
    <row r="54" spans="1:100" hidden="1">
      <c r="A54" s="1309">
        <v>44652</v>
      </c>
      <c r="B54" s="1310">
        <f t="shared" si="34"/>
        <v>0</v>
      </c>
      <c r="C54" s="1310">
        <f t="shared" si="35"/>
        <v>0</v>
      </c>
      <c r="D54" s="1310">
        <f t="shared" si="36"/>
        <v>0</v>
      </c>
      <c r="E54" s="1310">
        <f t="shared" si="37"/>
        <v>0</v>
      </c>
      <c r="F54" s="1310">
        <f t="shared" si="38"/>
        <v>0</v>
      </c>
      <c r="G54" s="1310">
        <f t="shared" si="39"/>
        <v>0</v>
      </c>
      <c r="H54" s="1310">
        <f t="shared" si="40"/>
        <v>0</v>
      </c>
      <c r="I54" s="1310">
        <f t="shared" si="41"/>
        <v>0</v>
      </c>
      <c r="J54" s="1310">
        <f t="shared" si="42"/>
        <v>1</v>
      </c>
      <c r="K54" s="1310">
        <f t="shared" si="43"/>
        <v>0</v>
      </c>
      <c r="L54" s="1310">
        <f t="shared" si="44"/>
        <v>0</v>
      </c>
      <c r="M54" s="1310">
        <f t="shared" si="45"/>
        <v>0</v>
      </c>
      <c r="N54" s="1310">
        <f t="shared" si="46"/>
        <v>0</v>
      </c>
      <c r="O54" s="1310">
        <f t="shared" si="47"/>
        <v>0</v>
      </c>
      <c r="P54" s="1310"/>
      <c r="Q54" s="1310">
        <f t="shared" si="48"/>
        <v>0</v>
      </c>
      <c r="R54" s="1310">
        <f t="shared" si="49"/>
        <v>0</v>
      </c>
      <c r="S54" s="1310">
        <f t="shared" si="50"/>
        <v>0</v>
      </c>
      <c r="T54" s="1310">
        <f t="shared" si="51"/>
        <v>0</v>
      </c>
      <c r="U54" s="1310">
        <f t="shared" si="52"/>
        <v>0</v>
      </c>
      <c r="V54" s="1310">
        <f t="shared" si="53"/>
        <v>0</v>
      </c>
      <c r="W54" s="1310">
        <f t="shared" si="54"/>
        <v>2</v>
      </c>
      <c r="X54" s="1310">
        <f t="shared" si="55"/>
        <v>0</v>
      </c>
      <c r="Y54" s="1310">
        <f t="shared" si="56"/>
        <v>0</v>
      </c>
      <c r="Z54" s="1310">
        <f t="shared" si="57"/>
        <v>0</v>
      </c>
      <c r="AA54" s="1310">
        <f t="shared" si="58"/>
        <v>0</v>
      </c>
      <c r="AB54" s="1310">
        <f t="shared" si="59"/>
        <v>0</v>
      </c>
      <c r="AC54" s="1310">
        <f t="shared" si="60"/>
        <v>0</v>
      </c>
      <c r="AD54" s="1310">
        <f t="shared" si="61"/>
        <v>0</v>
      </c>
      <c r="AE54" s="1310">
        <f t="shared" si="62"/>
        <v>0</v>
      </c>
      <c r="AF54" s="1310">
        <f t="shared" si="63"/>
        <v>0</v>
      </c>
      <c r="AG54" s="1701">
        <f t="shared" si="64"/>
        <v>0</v>
      </c>
      <c r="AH54" s="1712"/>
      <c r="AI54" s="1712"/>
      <c r="AJ54" s="1712"/>
      <c r="AK54" s="1712"/>
      <c r="AL54" s="1712"/>
      <c r="AM54" s="1712"/>
      <c r="AN54" s="1712"/>
      <c r="AO54" s="1712"/>
      <c r="AP54" s="1712">
        <v>1</v>
      </c>
      <c r="AQ54" s="1712"/>
      <c r="AR54" s="1712"/>
      <c r="AS54" s="1712"/>
      <c r="AT54" s="1712"/>
      <c r="AU54" s="1712"/>
      <c r="AV54" s="1712"/>
      <c r="AW54" s="1712"/>
      <c r="AX54" s="1712"/>
      <c r="AY54" s="1712"/>
      <c r="AZ54" s="1712"/>
      <c r="BA54" s="1712"/>
      <c r="BB54" s="1712"/>
      <c r="BC54" s="1712">
        <v>2</v>
      </c>
      <c r="BD54" s="1712"/>
      <c r="BE54" s="1712"/>
      <c r="BF54" s="1712"/>
      <c r="BG54" s="1712"/>
      <c r="BH54" s="1712"/>
      <c r="BI54" s="1712"/>
      <c r="BJ54" s="1712"/>
      <c r="BK54" s="1712"/>
      <c r="BL54" s="1712"/>
      <c r="BM54" s="1712"/>
      <c r="BN54" s="1853"/>
      <c r="BO54" s="1708"/>
      <c r="BP54" s="1708"/>
      <c r="BQ54" s="1708"/>
      <c r="BR54" s="1708"/>
      <c r="BS54" s="1708"/>
      <c r="BT54" s="1708"/>
      <c r="BU54" s="1708"/>
      <c r="BV54" s="1708"/>
      <c r="BW54" s="1708"/>
      <c r="BX54" s="1708"/>
      <c r="BY54" s="1708"/>
      <c r="BZ54" s="1708"/>
      <c r="CA54" s="1708"/>
      <c r="CB54" s="1854"/>
      <c r="CC54" s="1855"/>
      <c r="CD54" s="1856"/>
      <c r="CE54" s="1856"/>
      <c r="CF54" s="1856"/>
      <c r="CG54" s="1856"/>
      <c r="CH54" s="1857"/>
      <c r="CI54" s="1853"/>
      <c r="CJ54" s="1708"/>
      <c r="CK54" s="1708"/>
      <c r="CL54" s="1708"/>
      <c r="CM54" s="1708"/>
      <c r="CN54" s="1708"/>
      <c r="CO54" s="1708"/>
      <c r="CP54" s="1708"/>
      <c r="CQ54" s="1708"/>
      <c r="CR54" s="1854"/>
      <c r="CS54" s="358">
        <v>1</v>
      </c>
      <c r="CT54">
        <v>3</v>
      </c>
      <c r="CU54">
        <v>0</v>
      </c>
    </row>
    <row r="55" spans="1:100" hidden="1">
      <c r="A55" s="1309">
        <v>44682</v>
      </c>
      <c r="B55" s="1310">
        <f t="shared" si="34"/>
        <v>0</v>
      </c>
      <c r="C55" s="1310">
        <f t="shared" si="35"/>
        <v>0</v>
      </c>
      <c r="D55" s="1310">
        <f t="shared" si="36"/>
        <v>0</v>
      </c>
      <c r="E55" s="1310">
        <f t="shared" si="37"/>
        <v>0</v>
      </c>
      <c r="F55" s="1310">
        <f t="shared" si="38"/>
        <v>0</v>
      </c>
      <c r="G55" s="1310">
        <f t="shared" si="39"/>
        <v>0</v>
      </c>
      <c r="H55" s="1310">
        <f t="shared" si="40"/>
        <v>0</v>
      </c>
      <c r="I55" s="1310">
        <f t="shared" si="41"/>
        <v>0</v>
      </c>
      <c r="J55" s="1310">
        <f t="shared" si="42"/>
        <v>0</v>
      </c>
      <c r="K55" s="1310">
        <f t="shared" si="43"/>
        <v>0</v>
      </c>
      <c r="L55" s="1310">
        <f t="shared" si="44"/>
        <v>0</v>
      </c>
      <c r="M55" s="1310">
        <f t="shared" si="45"/>
        <v>0</v>
      </c>
      <c r="N55" s="1310">
        <f t="shared" si="46"/>
        <v>0</v>
      </c>
      <c r="O55" s="1310">
        <f t="shared" si="47"/>
        <v>0</v>
      </c>
      <c r="P55" s="1310"/>
      <c r="Q55" s="1310">
        <f t="shared" si="48"/>
        <v>0</v>
      </c>
      <c r="R55" s="1310">
        <f t="shared" si="49"/>
        <v>0</v>
      </c>
      <c r="S55" s="1310">
        <f t="shared" si="50"/>
        <v>0</v>
      </c>
      <c r="T55" s="1310">
        <f t="shared" si="51"/>
        <v>0</v>
      </c>
      <c r="U55" s="1310">
        <f t="shared" si="52"/>
        <v>0</v>
      </c>
      <c r="V55" s="1310">
        <f t="shared" si="53"/>
        <v>0</v>
      </c>
      <c r="W55" s="1310">
        <f t="shared" si="54"/>
        <v>0</v>
      </c>
      <c r="X55" s="1310">
        <f t="shared" si="55"/>
        <v>1</v>
      </c>
      <c r="Y55" s="1310">
        <f t="shared" si="56"/>
        <v>0</v>
      </c>
      <c r="Z55" s="1310">
        <f t="shared" si="57"/>
        <v>0</v>
      </c>
      <c r="AA55" s="1310">
        <f t="shared" si="58"/>
        <v>0</v>
      </c>
      <c r="AB55" s="1310">
        <f t="shared" si="59"/>
        <v>0</v>
      </c>
      <c r="AC55" s="1310">
        <f t="shared" si="60"/>
        <v>0</v>
      </c>
      <c r="AD55" s="1310">
        <f t="shared" si="61"/>
        <v>0</v>
      </c>
      <c r="AE55" s="1310">
        <f t="shared" si="62"/>
        <v>0</v>
      </c>
      <c r="AF55" s="1310">
        <f t="shared" si="63"/>
        <v>0</v>
      </c>
      <c r="AG55" s="1701">
        <f t="shared" si="64"/>
        <v>0</v>
      </c>
      <c r="AH55" s="1712"/>
      <c r="AI55" s="1712"/>
      <c r="AJ55" s="1712"/>
      <c r="AK55" s="1712"/>
      <c r="AL55" s="1712"/>
      <c r="AM55" s="1712"/>
      <c r="AN55" s="1712"/>
      <c r="AO55" s="1712"/>
      <c r="AP55" s="1712"/>
      <c r="AQ55" s="1712"/>
      <c r="AR55" s="1712"/>
      <c r="AS55" s="1712"/>
      <c r="AT55" s="1712"/>
      <c r="AU55" s="1712"/>
      <c r="AV55" s="1712"/>
      <c r="AW55" s="1712"/>
      <c r="AX55" s="1712"/>
      <c r="AY55" s="1712"/>
      <c r="AZ55" s="1712"/>
      <c r="BA55" s="1712"/>
      <c r="BB55" s="1712"/>
      <c r="BC55" s="1712"/>
      <c r="BD55" s="1712">
        <v>1</v>
      </c>
      <c r="BE55" s="1712"/>
      <c r="BF55" s="1712"/>
      <c r="BG55" s="1712"/>
      <c r="BH55" s="1712"/>
      <c r="BI55" s="1712"/>
      <c r="BJ55" s="1712"/>
      <c r="BK55" s="1712"/>
      <c r="BL55" s="1712"/>
      <c r="BM55" s="1712"/>
      <c r="BN55" s="1853"/>
      <c r="BO55" s="1708"/>
      <c r="BP55" s="1708"/>
      <c r="BQ55" s="1708"/>
      <c r="BR55" s="1708"/>
      <c r="BS55" s="1708"/>
      <c r="BT55" s="1708"/>
      <c r="BU55" s="1708"/>
      <c r="BV55" s="1708"/>
      <c r="BW55" s="1708"/>
      <c r="BX55" s="1708"/>
      <c r="BY55" s="1708"/>
      <c r="BZ55" s="1708"/>
      <c r="CA55" s="1708"/>
      <c r="CB55" s="1854"/>
      <c r="CC55" s="1855"/>
      <c r="CD55" s="1856"/>
      <c r="CE55" s="1856"/>
      <c r="CF55" s="1856"/>
      <c r="CG55" s="1856"/>
      <c r="CH55" s="1857"/>
      <c r="CI55" s="1853"/>
      <c r="CJ55" s="1708"/>
      <c r="CK55" s="1708"/>
      <c r="CL55" s="1708"/>
      <c r="CM55" s="1708"/>
      <c r="CN55" s="1708"/>
      <c r="CO55" s="1708"/>
      <c r="CP55" s="1708"/>
      <c r="CQ55" s="1708"/>
      <c r="CR55" s="1854"/>
      <c r="CS55" s="358">
        <v>0</v>
      </c>
      <c r="CT55">
        <v>0</v>
      </c>
      <c r="CU55">
        <v>1</v>
      </c>
    </row>
    <row r="56" spans="1:100" hidden="1">
      <c r="A56" s="1309">
        <v>44713</v>
      </c>
      <c r="B56" s="1310">
        <f t="shared" si="34"/>
        <v>0</v>
      </c>
      <c r="C56" s="1310">
        <f t="shared" si="35"/>
        <v>0</v>
      </c>
      <c r="D56" s="1310">
        <f t="shared" si="36"/>
        <v>0</v>
      </c>
      <c r="E56" s="1310">
        <f t="shared" si="37"/>
        <v>0</v>
      </c>
      <c r="F56" s="1310">
        <f t="shared" si="38"/>
        <v>0</v>
      </c>
      <c r="G56" s="1310">
        <f t="shared" si="39"/>
        <v>0</v>
      </c>
      <c r="H56" s="1310">
        <f t="shared" si="40"/>
        <v>1</v>
      </c>
      <c r="I56" s="1310">
        <f t="shared" si="41"/>
        <v>0</v>
      </c>
      <c r="J56" s="1310">
        <f t="shared" si="42"/>
        <v>0</v>
      </c>
      <c r="K56" s="1310">
        <f t="shared" si="43"/>
        <v>0</v>
      </c>
      <c r="L56" s="1310">
        <f t="shared" si="44"/>
        <v>0</v>
      </c>
      <c r="M56" s="1310">
        <f t="shared" si="45"/>
        <v>1</v>
      </c>
      <c r="N56" s="1310">
        <f t="shared" si="46"/>
        <v>0</v>
      </c>
      <c r="O56" s="1310">
        <f t="shared" si="47"/>
        <v>0</v>
      </c>
      <c r="P56" s="1310"/>
      <c r="Q56" s="1310">
        <f t="shared" si="48"/>
        <v>0</v>
      </c>
      <c r="R56" s="1310">
        <f t="shared" si="49"/>
        <v>0</v>
      </c>
      <c r="S56" s="1310">
        <f t="shared" si="50"/>
        <v>0</v>
      </c>
      <c r="T56" s="1310">
        <f t="shared" si="51"/>
        <v>0</v>
      </c>
      <c r="U56" s="1310">
        <f t="shared" si="52"/>
        <v>0</v>
      </c>
      <c r="V56" s="1310">
        <f t="shared" si="53"/>
        <v>0</v>
      </c>
      <c r="W56" s="1310">
        <f t="shared" si="54"/>
        <v>1</v>
      </c>
      <c r="X56" s="1310">
        <f t="shared" si="55"/>
        <v>0</v>
      </c>
      <c r="Y56" s="1310">
        <f t="shared" si="56"/>
        <v>0</v>
      </c>
      <c r="Z56" s="1310">
        <f t="shared" si="57"/>
        <v>0</v>
      </c>
      <c r="AA56" s="1310">
        <f t="shared" si="58"/>
        <v>0</v>
      </c>
      <c r="AB56" s="1310">
        <f t="shared" si="59"/>
        <v>0</v>
      </c>
      <c r="AC56" s="1310">
        <f t="shared" si="60"/>
        <v>0</v>
      </c>
      <c r="AD56" s="1310">
        <f t="shared" si="61"/>
        <v>0</v>
      </c>
      <c r="AE56" s="1310">
        <f t="shared" si="62"/>
        <v>0</v>
      </c>
      <c r="AF56" s="1310">
        <f t="shared" si="63"/>
        <v>0</v>
      </c>
      <c r="AG56" s="1701">
        <f t="shared" si="64"/>
        <v>0</v>
      </c>
      <c r="AH56" s="1712"/>
      <c r="AI56" s="1712"/>
      <c r="AJ56" s="1712"/>
      <c r="AK56" s="1712"/>
      <c r="AL56" s="1712"/>
      <c r="AM56" s="1712"/>
      <c r="AN56" s="1712">
        <v>1</v>
      </c>
      <c r="AO56" s="1712"/>
      <c r="AP56" s="1712"/>
      <c r="AQ56" s="1712"/>
      <c r="AR56" s="1712"/>
      <c r="AS56" s="1712">
        <v>1</v>
      </c>
      <c r="AT56" s="1712"/>
      <c r="AU56" s="1712"/>
      <c r="AV56" s="1712">
        <v>1</v>
      </c>
      <c r="AW56" s="1712"/>
      <c r="AX56" s="1712"/>
      <c r="AY56" s="1712"/>
      <c r="AZ56" s="1712"/>
      <c r="BA56" s="1712"/>
      <c r="BB56" s="1712"/>
      <c r="BC56" s="1712">
        <v>1</v>
      </c>
      <c r="BD56" s="1712"/>
      <c r="BE56" s="1712"/>
      <c r="BF56" s="1712"/>
      <c r="BG56" s="1712"/>
      <c r="BH56" s="1712"/>
      <c r="BI56" s="1712"/>
      <c r="BJ56" s="1712"/>
      <c r="BK56" s="1712"/>
      <c r="BL56" s="1712"/>
      <c r="BM56" s="1712"/>
      <c r="BN56" s="1853"/>
      <c r="BO56" s="1708"/>
      <c r="BP56" s="1708"/>
      <c r="BQ56" s="1708"/>
      <c r="BR56" s="1708"/>
      <c r="BS56" s="1708"/>
      <c r="BT56" s="1708"/>
      <c r="BU56" s="1708"/>
      <c r="BV56" s="1708"/>
      <c r="BW56" s="1708"/>
      <c r="BX56" s="1708"/>
      <c r="BY56" s="1708"/>
      <c r="BZ56" s="1708"/>
      <c r="CA56" s="1708"/>
      <c r="CB56" s="1854"/>
      <c r="CC56" s="1855"/>
      <c r="CD56" s="1856"/>
      <c r="CE56" s="1856"/>
      <c r="CF56" s="1856"/>
      <c r="CG56" s="1856"/>
      <c r="CH56" s="1857"/>
      <c r="CI56" s="1853"/>
      <c r="CJ56" s="1708"/>
      <c r="CK56" s="1708"/>
      <c r="CL56" s="1708"/>
      <c r="CM56" s="1708"/>
      <c r="CN56" s="1708"/>
      <c r="CO56" s="1708"/>
      <c r="CP56" s="1708"/>
      <c r="CQ56" s="1708"/>
      <c r="CR56" s="1854"/>
      <c r="CS56" s="358">
        <v>3</v>
      </c>
      <c r="CT56">
        <v>4</v>
      </c>
      <c r="CU56">
        <v>0</v>
      </c>
    </row>
    <row r="57" spans="1:100" hidden="1">
      <c r="A57" s="1309">
        <v>44743</v>
      </c>
      <c r="B57" s="2151">
        <f t="shared" si="34"/>
        <v>0</v>
      </c>
      <c r="C57" s="2151">
        <f t="shared" si="35"/>
        <v>0</v>
      </c>
      <c r="D57" s="2151">
        <f t="shared" si="36"/>
        <v>0</v>
      </c>
      <c r="E57" s="2151">
        <f t="shared" si="37"/>
        <v>0</v>
      </c>
      <c r="F57" s="2151">
        <f t="shared" si="38"/>
        <v>0</v>
      </c>
      <c r="G57" s="2151">
        <f t="shared" si="39"/>
        <v>0</v>
      </c>
      <c r="H57" s="2151">
        <f t="shared" si="40"/>
        <v>0</v>
      </c>
      <c r="I57" s="2151">
        <f t="shared" si="41"/>
        <v>0</v>
      </c>
      <c r="J57" s="2151">
        <f t="shared" si="42"/>
        <v>1</v>
      </c>
      <c r="K57" s="2151">
        <f t="shared" si="43"/>
        <v>0</v>
      </c>
      <c r="L57" s="2151">
        <f t="shared" si="44"/>
        <v>0</v>
      </c>
      <c r="M57" s="2151">
        <f t="shared" si="45"/>
        <v>0</v>
      </c>
      <c r="N57" s="2151">
        <f t="shared" si="46"/>
        <v>0</v>
      </c>
      <c r="O57" s="2151">
        <f t="shared" si="47"/>
        <v>1</v>
      </c>
      <c r="P57" s="2151"/>
      <c r="Q57" s="2151">
        <f t="shared" si="48"/>
        <v>0</v>
      </c>
      <c r="R57" s="2151">
        <f t="shared" si="49"/>
        <v>0</v>
      </c>
      <c r="S57" s="2151">
        <f t="shared" si="50"/>
        <v>0</v>
      </c>
      <c r="T57" s="2151">
        <f t="shared" si="51"/>
        <v>0</v>
      </c>
      <c r="U57" s="2151">
        <f t="shared" si="52"/>
        <v>0</v>
      </c>
      <c r="V57" s="2151">
        <f t="shared" si="53"/>
        <v>0</v>
      </c>
      <c r="W57" s="2151">
        <f t="shared" si="54"/>
        <v>0</v>
      </c>
      <c r="X57" s="2151">
        <f t="shared" si="55"/>
        <v>0</v>
      </c>
      <c r="Y57" s="2151">
        <f t="shared" si="56"/>
        <v>0</v>
      </c>
      <c r="Z57" s="2151">
        <f t="shared" si="57"/>
        <v>0</v>
      </c>
      <c r="AA57" s="2151">
        <f t="shared" si="58"/>
        <v>0</v>
      </c>
      <c r="AB57" s="2151">
        <f t="shared" si="59"/>
        <v>0</v>
      </c>
      <c r="AC57" s="2151">
        <f t="shared" si="60"/>
        <v>0</v>
      </c>
      <c r="AD57" s="2151">
        <f t="shared" si="61"/>
        <v>0</v>
      </c>
      <c r="AE57" s="2151">
        <f t="shared" si="62"/>
        <v>0</v>
      </c>
      <c r="AF57" s="2151">
        <f t="shared" si="63"/>
        <v>0</v>
      </c>
      <c r="AG57" s="2152">
        <f t="shared" si="64"/>
        <v>0</v>
      </c>
      <c r="AH57" s="1906"/>
      <c r="AI57" s="1906"/>
      <c r="AJ57" s="1906"/>
      <c r="AK57" s="1906"/>
      <c r="AL57" s="1906"/>
      <c r="AM57" s="1906"/>
      <c r="AN57" s="1906"/>
      <c r="AO57" s="1906"/>
      <c r="AP57" s="1906">
        <v>1</v>
      </c>
      <c r="AQ57" s="1906"/>
      <c r="AR57" s="1906"/>
      <c r="AS57" s="1906"/>
      <c r="AT57" s="1906"/>
      <c r="AU57" s="1906">
        <v>1</v>
      </c>
      <c r="AV57" s="1906"/>
      <c r="AW57" s="1906"/>
      <c r="AX57" s="1906"/>
      <c r="AY57" s="1906"/>
      <c r="AZ57" s="1906"/>
      <c r="BA57" s="1906"/>
      <c r="BB57" s="1906"/>
      <c r="BC57" s="1906"/>
      <c r="BD57" s="1906"/>
      <c r="BE57" s="1906"/>
      <c r="BF57" s="1906"/>
      <c r="BG57" s="1906"/>
      <c r="BH57" s="1906"/>
      <c r="BI57" s="1906"/>
      <c r="BJ57" s="1906"/>
      <c r="BK57" s="1906"/>
      <c r="BL57" s="1906"/>
      <c r="BM57" s="1906"/>
      <c r="BN57" s="1853"/>
      <c r="BO57" s="1708"/>
      <c r="BP57" s="1708"/>
      <c r="BQ57" s="1708"/>
      <c r="BR57" s="1708"/>
      <c r="BS57" s="1708"/>
      <c r="BT57" s="1708"/>
      <c r="BU57" s="1708"/>
      <c r="BV57" s="1708"/>
      <c r="BW57" s="1708"/>
      <c r="BX57" s="1708"/>
      <c r="BY57" s="1708"/>
      <c r="BZ57" s="1708"/>
      <c r="CA57" s="1708"/>
      <c r="CB57" s="1854"/>
      <c r="CC57" s="1855"/>
      <c r="CD57" s="1856"/>
      <c r="CE57" s="1856"/>
      <c r="CF57" s="1856"/>
      <c r="CG57" s="1856"/>
      <c r="CH57" s="1857"/>
      <c r="CI57" s="1853"/>
      <c r="CJ57" s="1708"/>
      <c r="CK57" s="1708"/>
      <c r="CL57" s="1708"/>
      <c r="CM57" s="1708"/>
      <c r="CN57" s="1708"/>
      <c r="CO57" s="1708"/>
      <c r="CP57" s="1708"/>
      <c r="CQ57" s="1708"/>
      <c r="CR57" s="1854"/>
      <c r="CS57" s="358">
        <v>2</v>
      </c>
      <c r="CT57">
        <v>2</v>
      </c>
      <c r="CU57">
        <v>0</v>
      </c>
    </row>
    <row r="58" spans="1:100" hidden="1">
      <c r="A58" s="1309">
        <v>44774</v>
      </c>
      <c r="B58" s="1310">
        <f t="shared" si="34"/>
        <v>0</v>
      </c>
      <c r="C58" s="1310">
        <f t="shared" si="35"/>
        <v>0</v>
      </c>
      <c r="D58" s="1310">
        <f t="shared" si="36"/>
        <v>0</v>
      </c>
      <c r="E58" s="1310">
        <f t="shared" si="37"/>
        <v>0</v>
      </c>
      <c r="F58" s="1310">
        <f t="shared" si="38"/>
        <v>0</v>
      </c>
      <c r="G58" s="1310">
        <f t="shared" si="39"/>
        <v>0</v>
      </c>
      <c r="H58" s="1310">
        <f t="shared" si="40"/>
        <v>0</v>
      </c>
      <c r="I58" s="1310">
        <f t="shared" si="41"/>
        <v>0</v>
      </c>
      <c r="J58" s="1310">
        <f t="shared" si="42"/>
        <v>0</v>
      </c>
      <c r="K58" s="1310">
        <f t="shared" si="43"/>
        <v>0</v>
      </c>
      <c r="L58" s="1310">
        <f t="shared" si="44"/>
        <v>0</v>
      </c>
      <c r="M58" s="1310">
        <f t="shared" si="45"/>
        <v>0</v>
      </c>
      <c r="N58" s="1310">
        <f t="shared" si="46"/>
        <v>0</v>
      </c>
      <c r="O58" s="1310">
        <f t="shared" si="47"/>
        <v>0</v>
      </c>
      <c r="P58" s="1310"/>
      <c r="Q58" s="1310">
        <f t="shared" si="48"/>
        <v>0</v>
      </c>
      <c r="R58" s="1310">
        <f t="shared" si="49"/>
        <v>0</v>
      </c>
      <c r="S58" s="1310">
        <f t="shared" si="50"/>
        <v>0</v>
      </c>
      <c r="T58" s="1310">
        <f t="shared" si="51"/>
        <v>0</v>
      </c>
      <c r="U58" s="1310">
        <f t="shared" si="52"/>
        <v>0</v>
      </c>
      <c r="V58" s="1310">
        <f t="shared" si="53"/>
        <v>0</v>
      </c>
      <c r="W58" s="1310">
        <f t="shared" si="54"/>
        <v>0</v>
      </c>
      <c r="X58" s="1310">
        <f t="shared" si="55"/>
        <v>0</v>
      </c>
      <c r="Y58" s="1310">
        <f t="shared" si="56"/>
        <v>0</v>
      </c>
      <c r="Z58" s="1310">
        <f t="shared" si="57"/>
        <v>0</v>
      </c>
      <c r="AA58" s="1310">
        <f t="shared" si="58"/>
        <v>0</v>
      </c>
      <c r="AB58" s="1310">
        <f t="shared" si="59"/>
        <v>0</v>
      </c>
      <c r="AC58" s="1310">
        <f t="shared" si="60"/>
        <v>1</v>
      </c>
      <c r="AD58" s="1310">
        <f t="shared" si="61"/>
        <v>0</v>
      </c>
      <c r="AE58" s="1310">
        <f t="shared" si="62"/>
        <v>0</v>
      </c>
      <c r="AF58" s="1310">
        <f t="shared" si="63"/>
        <v>0</v>
      </c>
      <c r="AG58" s="1701">
        <f t="shared" si="64"/>
        <v>0</v>
      </c>
      <c r="AH58" s="1712"/>
      <c r="AI58" s="1712"/>
      <c r="AJ58" s="1712"/>
      <c r="AK58" s="1712"/>
      <c r="AL58" s="1712"/>
      <c r="AM58" s="1712"/>
      <c r="AN58" s="1712"/>
      <c r="AO58" s="1712"/>
      <c r="AP58" s="1712"/>
      <c r="AQ58" s="1712"/>
      <c r="AR58" s="1712"/>
      <c r="AS58" s="1712"/>
      <c r="AT58" s="1712"/>
      <c r="AU58" s="1712"/>
      <c r="AV58" s="1712"/>
      <c r="AW58" s="1712"/>
      <c r="AX58" s="1712"/>
      <c r="AY58" s="1712"/>
      <c r="AZ58" s="1712"/>
      <c r="BA58" s="1712"/>
      <c r="BB58" s="1712"/>
      <c r="BC58" s="1712"/>
      <c r="BD58" s="1712"/>
      <c r="BE58" s="1712"/>
      <c r="BF58" s="1712"/>
      <c r="BG58" s="1712"/>
      <c r="BH58" s="1712"/>
      <c r="BI58" s="1712">
        <v>1</v>
      </c>
      <c r="BJ58" s="1712"/>
      <c r="BK58" s="1712"/>
      <c r="BL58" s="1712"/>
      <c r="BM58" s="1712"/>
      <c r="BN58" s="1853"/>
      <c r="BO58" s="1708"/>
      <c r="BP58" s="1708"/>
      <c r="BQ58" s="1708"/>
      <c r="BR58" s="1708"/>
      <c r="BS58" s="1708"/>
      <c r="BT58" s="1708"/>
      <c r="BU58" s="1708"/>
      <c r="BV58" s="1708"/>
      <c r="BW58" s="1708"/>
      <c r="BX58" s="1708"/>
      <c r="BY58" s="1708"/>
      <c r="BZ58" s="1708"/>
      <c r="CA58" s="1708"/>
      <c r="CB58" s="1854"/>
      <c r="CC58" s="1853"/>
      <c r="CD58" s="1708"/>
      <c r="CE58" s="1708"/>
      <c r="CF58" s="1708"/>
      <c r="CG58" s="1708"/>
      <c r="CH58" s="1711"/>
      <c r="CI58" s="1853"/>
      <c r="CJ58" s="1708"/>
      <c r="CK58" s="1708"/>
      <c r="CL58" s="1708"/>
      <c r="CM58" s="1708"/>
      <c r="CN58" s="1708"/>
      <c r="CO58" s="1708"/>
      <c r="CP58" s="1708"/>
      <c r="CQ58" s="1708"/>
      <c r="CR58" s="1854"/>
      <c r="CS58" s="358">
        <v>0</v>
      </c>
      <c r="CT58">
        <v>0</v>
      </c>
      <c r="CU58">
        <v>1</v>
      </c>
    </row>
    <row r="59" spans="1:100" hidden="1">
      <c r="A59" s="1309">
        <v>44805</v>
      </c>
      <c r="B59" s="1310">
        <f t="shared" si="34"/>
        <v>0</v>
      </c>
      <c r="C59" s="1310">
        <f t="shared" si="35"/>
        <v>0</v>
      </c>
      <c r="D59" s="1310">
        <f t="shared" si="36"/>
        <v>0</v>
      </c>
      <c r="E59" s="1310">
        <f t="shared" si="37"/>
        <v>0</v>
      </c>
      <c r="F59" s="1310">
        <f t="shared" si="38"/>
        <v>0</v>
      </c>
      <c r="G59" s="1310">
        <f t="shared" si="39"/>
        <v>0</v>
      </c>
      <c r="H59" s="1310">
        <f t="shared" si="40"/>
        <v>0</v>
      </c>
      <c r="I59" s="1310">
        <f t="shared" si="41"/>
        <v>0</v>
      </c>
      <c r="J59" s="1310">
        <f t="shared" si="42"/>
        <v>0</v>
      </c>
      <c r="K59" s="1310">
        <f t="shared" si="43"/>
        <v>0</v>
      </c>
      <c r="L59" s="1310">
        <f t="shared" si="44"/>
        <v>0</v>
      </c>
      <c r="M59" s="1310">
        <f t="shared" si="45"/>
        <v>0</v>
      </c>
      <c r="N59" s="1310">
        <f t="shared" si="46"/>
        <v>0</v>
      </c>
      <c r="O59" s="1310">
        <f t="shared" si="47"/>
        <v>0</v>
      </c>
      <c r="P59" s="1310"/>
      <c r="Q59" s="1310">
        <f t="shared" si="48"/>
        <v>0</v>
      </c>
      <c r="R59" s="1310">
        <f t="shared" si="49"/>
        <v>0</v>
      </c>
      <c r="S59" s="1310">
        <f t="shared" si="50"/>
        <v>0</v>
      </c>
      <c r="T59" s="1310">
        <f t="shared" si="51"/>
        <v>0</v>
      </c>
      <c r="U59" s="1310">
        <f t="shared" si="52"/>
        <v>0</v>
      </c>
      <c r="V59" s="1310">
        <f t="shared" si="53"/>
        <v>0</v>
      </c>
      <c r="W59" s="1310">
        <f t="shared" si="54"/>
        <v>0</v>
      </c>
      <c r="X59" s="1310">
        <f t="shared" si="55"/>
        <v>0</v>
      </c>
      <c r="Y59" s="1310">
        <f t="shared" si="56"/>
        <v>0</v>
      </c>
      <c r="Z59" s="1310">
        <f t="shared" si="57"/>
        <v>0</v>
      </c>
      <c r="AA59" s="1310">
        <f t="shared" si="58"/>
        <v>0</v>
      </c>
      <c r="AB59" s="1310">
        <f t="shared" si="59"/>
        <v>0</v>
      </c>
      <c r="AC59" s="1310">
        <f t="shared" si="60"/>
        <v>0</v>
      </c>
      <c r="AD59" s="1310">
        <f t="shared" si="61"/>
        <v>0</v>
      </c>
      <c r="AE59" s="1310">
        <f t="shared" si="62"/>
        <v>1</v>
      </c>
      <c r="AF59" s="1310">
        <f t="shared" si="63"/>
        <v>0</v>
      </c>
      <c r="AG59" s="1701">
        <f t="shared" si="64"/>
        <v>0</v>
      </c>
      <c r="AH59" s="1712"/>
      <c r="AI59" s="1712"/>
      <c r="AJ59" s="1712"/>
      <c r="AK59" s="1712"/>
      <c r="AL59" s="1712"/>
      <c r="AM59" s="1712"/>
      <c r="AN59" s="1712"/>
      <c r="AO59" s="1712"/>
      <c r="AP59" s="1712"/>
      <c r="AQ59" s="1712"/>
      <c r="AR59" s="1712"/>
      <c r="AS59" s="1712"/>
      <c r="AT59" s="1712"/>
      <c r="AU59" s="1712"/>
      <c r="AV59" s="1712"/>
      <c r="AW59" s="1712"/>
      <c r="AX59" s="1712"/>
      <c r="AY59" s="1712"/>
      <c r="AZ59" s="1712"/>
      <c r="BA59" s="1712"/>
      <c r="BB59" s="1712"/>
      <c r="BC59" s="1712"/>
      <c r="BD59" s="1712"/>
      <c r="BE59" s="1712"/>
      <c r="BF59" s="1712"/>
      <c r="BG59" s="1712"/>
      <c r="BH59" s="1712"/>
      <c r="BI59" s="1712"/>
      <c r="BJ59" s="1712"/>
      <c r="BK59" s="1712">
        <v>1</v>
      </c>
      <c r="BL59" s="1712"/>
      <c r="BM59" s="1712"/>
      <c r="BN59" s="1853"/>
      <c r="BO59" s="1708"/>
      <c r="BP59" s="1708"/>
      <c r="BQ59" s="1708"/>
      <c r="BR59" s="1708"/>
      <c r="BS59" s="1708"/>
      <c r="BT59" s="1708"/>
      <c r="BU59" s="1708"/>
      <c r="BV59" s="1708"/>
      <c r="BW59" s="1708"/>
      <c r="BX59" s="1708"/>
      <c r="BY59" s="1708"/>
      <c r="BZ59" s="1708"/>
      <c r="CA59" s="1708"/>
      <c r="CB59" s="1854"/>
      <c r="CC59" s="1855"/>
      <c r="CD59" s="1856"/>
      <c r="CE59" s="1856"/>
      <c r="CF59" s="1856"/>
      <c r="CG59" s="1856"/>
      <c r="CH59" s="1857"/>
      <c r="CI59" s="1853"/>
      <c r="CJ59" s="1708"/>
      <c r="CK59" s="1708"/>
      <c r="CL59" s="1708"/>
      <c r="CM59" s="1708"/>
      <c r="CN59" s="1708"/>
      <c r="CO59" s="1708"/>
      <c r="CP59" s="1708"/>
      <c r="CQ59" s="1708"/>
      <c r="CR59" s="1854"/>
      <c r="CS59" s="358">
        <v>0</v>
      </c>
      <c r="CT59">
        <v>0</v>
      </c>
      <c r="CU59">
        <v>1</v>
      </c>
    </row>
    <row r="60" spans="1:100" hidden="1">
      <c r="A60" s="1309">
        <v>44835</v>
      </c>
      <c r="B60" s="1310">
        <f t="shared" si="34"/>
        <v>0</v>
      </c>
      <c r="C60" s="1310">
        <f t="shared" si="35"/>
        <v>0</v>
      </c>
      <c r="D60" s="1310">
        <f t="shared" si="36"/>
        <v>0</v>
      </c>
      <c r="E60" s="1310">
        <f t="shared" si="37"/>
        <v>0</v>
      </c>
      <c r="F60" s="1310">
        <f t="shared" si="38"/>
        <v>0</v>
      </c>
      <c r="G60" s="1310">
        <f t="shared" si="39"/>
        <v>0</v>
      </c>
      <c r="H60" s="1310">
        <f t="shared" si="40"/>
        <v>0</v>
      </c>
      <c r="I60" s="1310">
        <f t="shared" si="41"/>
        <v>0</v>
      </c>
      <c r="J60" s="1310">
        <f t="shared" si="42"/>
        <v>0</v>
      </c>
      <c r="K60" s="1310">
        <f t="shared" si="43"/>
        <v>0</v>
      </c>
      <c r="L60" s="1310">
        <f t="shared" si="44"/>
        <v>0</v>
      </c>
      <c r="M60" s="1310">
        <f t="shared" si="45"/>
        <v>0</v>
      </c>
      <c r="N60" s="1310">
        <f t="shared" si="46"/>
        <v>0</v>
      </c>
      <c r="O60" s="1310">
        <f t="shared" si="47"/>
        <v>0</v>
      </c>
      <c r="P60" s="1310"/>
      <c r="Q60" s="1310">
        <f t="shared" si="48"/>
        <v>0</v>
      </c>
      <c r="R60" s="1310">
        <f t="shared" si="49"/>
        <v>0</v>
      </c>
      <c r="S60" s="1310">
        <f t="shared" si="50"/>
        <v>0</v>
      </c>
      <c r="T60" s="1310">
        <f t="shared" si="51"/>
        <v>0</v>
      </c>
      <c r="U60" s="1310">
        <f t="shared" si="52"/>
        <v>0</v>
      </c>
      <c r="V60" s="1310">
        <f t="shared" si="53"/>
        <v>0</v>
      </c>
      <c r="W60" s="1310">
        <f t="shared" si="54"/>
        <v>0</v>
      </c>
      <c r="X60" s="1310">
        <f t="shared" si="55"/>
        <v>0</v>
      </c>
      <c r="Y60" s="1310">
        <f t="shared" si="56"/>
        <v>0</v>
      </c>
      <c r="Z60" s="1310">
        <f t="shared" si="57"/>
        <v>0</v>
      </c>
      <c r="AA60" s="1310">
        <f t="shared" si="58"/>
        <v>0</v>
      </c>
      <c r="AB60" s="1310">
        <f t="shared" si="59"/>
        <v>0</v>
      </c>
      <c r="AC60" s="1310">
        <f t="shared" si="60"/>
        <v>1</v>
      </c>
      <c r="AD60" s="1310">
        <f t="shared" si="61"/>
        <v>0</v>
      </c>
      <c r="AE60" s="1310">
        <f t="shared" si="62"/>
        <v>0</v>
      </c>
      <c r="AF60" s="1310">
        <f t="shared" si="63"/>
        <v>0</v>
      </c>
      <c r="AG60" s="1701">
        <f t="shared" si="64"/>
        <v>0</v>
      </c>
      <c r="AH60" s="1712"/>
      <c r="AI60" s="1712"/>
      <c r="AJ60" s="1712"/>
      <c r="AK60" s="1712"/>
      <c r="AL60" s="1712"/>
      <c r="AM60" s="1712"/>
      <c r="AN60" s="1712"/>
      <c r="AO60" s="1712"/>
      <c r="AP60" s="1712"/>
      <c r="AQ60" s="1712"/>
      <c r="AR60" s="1712"/>
      <c r="AS60" s="1712"/>
      <c r="AT60" s="1712"/>
      <c r="AU60" s="1712"/>
      <c r="AV60" s="1712"/>
      <c r="AW60" s="1712"/>
      <c r="AX60" s="1712"/>
      <c r="AY60" s="1712"/>
      <c r="AZ60" s="1712"/>
      <c r="BA60" s="1712"/>
      <c r="BB60" s="1712"/>
      <c r="BC60" s="1712"/>
      <c r="BD60" s="1712"/>
      <c r="BE60" s="1712"/>
      <c r="BF60" s="1712"/>
      <c r="BG60" s="1712"/>
      <c r="BH60" s="1712"/>
      <c r="BI60" s="1712">
        <v>1</v>
      </c>
      <c r="BJ60" s="1712"/>
      <c r="BK60" s="1712"/>
      <c r="BL60" s="1712"/>
      <c r="BM60" s="1712"/>
      <c r="BN60" s="1853"/>
      <c r="BO60" s="1708"/>
      <c r="BP60" s="1708"/>
      <c r="BQ60" s="1708"/>
      <c r="BR60" s="1708"/>
      <c r="BS60" s="1708"/>
      <c r="BT60" s="1708"/>
      <c r="BU60" s="1708"/>
      <c r="BV60" s="1708"/>
      <c r="BW60" s="1708"/>
      <c r="BX60" s="1708"/>
      <c r="BY60" s="1708"/>
      <c r="BZ60" s="1708"/>
      <c r="CA60" s="1708"/>
      <c r="CB60" s="1854"/>
      <c r="CC60" s="1855"/>
      <c r="CD60" s="1856"/>
      <c r="CE60" s="1856"/>
      <c r="CF60" s="1856"/>
      <c r="CG60" s="1856"/>
      <c r="CH60" s="1857"/>
      <c r="CI60" s="1853"/>
      <c r="CJ60" s="1708"/>
      <c r="CK60" s="1708"/>
      <c r="CL60" s="1708"/>
      <c r="CM60" s="1708"/>
      <c r="CN60" s="1708"/>
      <c r="CO60" s="1708"/>
      <c r="CP60" s="1708"/>
      <c r="CQ60" s="1708"/>
      <c r="CR60" s="1854"/>
      <c r="CS60" s="358">
        <v>0</v>
      </c>
      <c r="CT60">
        <v>0</v>
      </c>
      <c r="CU60">
        <v>1</v>
      </c>
    </row>
    <row r="61" spans="1:100" hidden="1">
      <c r="A61" s="1309">
        <v>44866</v>
      </c>
      <c r="B61" s="1310">
        <f t="shared" si="34"/>
        <v>0</v>
      </c>
      <c r="C61" s="1310">
        <f t="shared" si="35"/>
        <v>0</v>
      </c>
      <c r="D61" s="1310">
        <f t="shared" si="36"/>
        <v>0</v>
      </c>
      <c r="E61" s="1310">
        <f t="shared" si="37"/>
        <v>0</v>
      </c>
      <c r="F61" s="1310">
        <f t="shared" si="38"/>
        <v>0</v>
      </c>
      <c r="G61" s="1310">
        <f t="shared" si="39"/>
        <v>0</v>
      </c>
      <c r="H61" s="1310">
        <f t="shared" si="40"/>
        <v>0</v>
      </c>
      <c r="I61" s="1310">
        <f t="shared" si="41"/>
        <v>0</v>
      </c>
      <c r="J61" s="1310">
        <f t="shared" si="42"/>
        <v>1</v>
      </c>
      <c r="K61" s="1310">
        <f t="shared" si="43"/>
        <v>0</v>
      </c>
      <c r="L61" s="1310">
        <f t="shared" si="44"/>
        <v>0</v>
      </c>
      <c r="M61" s="1310">
        <f t="shared" si="45"/>
        <v>0</v>
      </c>
      <c r="N61" s="1310">
        <f t="shared" si="46"/>
        <v>0</v>
      </c>
      <c r="O61" s="1310">
        <f t="shared" si="47"/>
        <v>0</v>
      </c>
      <c r="P61" s="1310"/>
      <c r="Q61" s="1310">
        <f t="shared" si="48"/>
        <v>0</v>
      </c>
      <c r="R61" s="1310">
        <f t="shared" si="49"/>
        <v>0</v>
      </c>
      <c r="S61" s="1310">
        <f t="shared" si="50"/>
        <v>0</v>
      </c>
      <c r="T61" s="1310">
        <f t="shared" si="51"/>
        <v>0</v>
      </c>
      <c r="U61" s="1310">
        <f t="shared" si="52"/>
        <v>1</v>
      </c>
      <c r="V61" s="1310">
        <f t="shared" si="53"/>
        <v>0</v>
      </c>
      <c r="W61" s="1310">
        <f t="shared" si="54"/>
        <v>3</v>
      </c>
      <c r="X61" s="1310">
        <f t="shared" si="55"/>
        <v>0</v>
      </c>
      <c r="Y61" s="1310">
        <f t="shared" si="56"/>
        <v>0</v>
      </c>
      <c r="Z61" s="1310">
        <f t="shared" si="57"/>
        <v>0</v>
      </c>
      <c r="AA61" s="1310">
        <f t="shared" si="58"/>
        <v>0</v>
      </c>
      <c r="AB61" s="1310">
        <f t="shared" si="59"/>
        <v>0</v>
      </c>
      <c r="AC61" s="1310">
        <f t="shared" si="60"/>
        <v>0</v>
      </c>
      <c r="AD61" s="1310">
        <f t="shared" si="61"/>
        <v>0</v>
      </c>
      <c r="AE61" s="1310">
        <f t="shared" si="62"/>
        <v>0</v>
      </c>
      <c r="AF61" s="1310">
        <f t="shared" si="63"/>
        <v>0</v>
      </c>
      <c r="AG61" s="1701">
        <f t="shared" si="64"/>
        <v>0</v>
      </c>
      <c r="AH61" s="1712"/>
      <c r="AI61" s="1712"/>
      <c r="AJ61" s="1712"/>
      <c r="AK61" s="1712"/>
      <c r="AL61" s="1712"/>
      <c r="AM61" s="1712"/>
      <c r="AN61" s="1712"/>
      <c r="AO61" s="1712"/>
      <c r="AP61" s="1712">
        <v>1</v>
      </c>
      <c r="AQ61" s="1712"/>
      <c r="AR61" s="1712"/>
      <c r="AS61" s="1712"/>
      <c r="AT61" s="1712"/>
      <c r="AU61" s="1712"/>
      <c r="AV61" s="1712"/>
      <c r="AW61" s="1712"/>
      <c r="AX61" s="1712"/>
      <c r="AY61" s="1712"/>
      <c r="AZ61" s="1712"/>
      <c r="BA61" s="1712">
        <v>1</v>
      </c>
      <c r="BB61" s="1712"/>
      <c r="BC61" s="1712">
        <v>3</v>
      </c>
      <c r="BD61" s="1712"/>
      <c r="BE61" s="1712"/>
      <c r="BF61" s="1712"/>
      <c r="BG61" s="1712"/>
      <c r="BH61" s="1712"/>
      <c r="BI61" s="1712"/>
      <c r="BJ61" s="1712"/>
      <c r="BK61" s="1712"/>
      <c r="BL61" s="1712"/>
      <c r="BM61" s="1712"/>
      <c r="BN61" s="1853"/>
      <c r="BO61" s="1708"/>
      <c r="BP61" s="1708"/>
      <c r="BQ61" s="1708"/>
      <c r="BR61" s="1708"/>
      <c r="BS61" s="1708"/>
      <c r="BT61" s="1708"/>
      <c r="BU61" s="1708"/>
      <c r="BV61" s="1708"/>
      <c r="BW61" s="1708"/>
      <c r="BX61" s="1708"/>
      <c r="BY61" s="1708"/>
      <c r="BZ61" s="1708"/>
      <c r="CA61" s="1708"/>
      <c r="CB61" s="1854"/>
      <c r="CC61" s="1855"/>
      <c r="CD61" s="1856"/>
      <c r="CE61" s="1856"/>
      <c r="CF61" s="1856"/>
      <c r="CG61" s="1856"/>
      <c r="CH61" s="1857"/>
      <c r="CI61" s="1853"/>
      <c r="CJ61" s="1708"/>
      <c r="CK61" s="1708"/>
      <c r="CL61" s="1708"/>
      <c r="CM61" s="1708"/>
      <c r="CN61" s="1708"/>
      <c r="CO61" s="1708"/>
      <c r="CP61" s="1708"/>
      <c r="CQ61" s="1708"/>
      <c r="CR61" s="1854"/>
      <c r="CS61" s="358">
        <v>2</v>
      </c>
      <c r="CT61">
        <v>5</v>
      </c>
      <c r="CU61">
        <v>0</v>
      </c>
    </row>
    <row r="62" spans="1:100" ht="13.8" hidden="1" thickBot="1">
      <c r="A62" s="1309">
        <v>44896</v>
      </c>
      <c r="B62" s="2155">
        <f t="shared" si="34"/>
        <v>0</v>
      </c>
      <c r="C62" s="2155">
        <f t="shared" si="35"/>
        <v>0</v>
      </c>
      <c r="D62" s="2155">
        <f t="shared" si="36"/>
        <v>0</v>
      </c>
      <c r="E62" s="2155">
        <f t="shared" si="37"/>
        <v>0</v>
      </c>
      <c r="F62" s="2155">
        <f t="shared" si="38"/>
        <v>0</v>
      </c>
      <c r="G62" s="2155">
        <f t="shared" si="39"/>
        <v>0</v>
      </c>
      <c r="H62" s="2155">
        <f t="shared" si="40"/>
        <v>0</v>
      </c>
      <c r="I62" s="2155">
        <f t="shared" si="41"/>
        <v>0</v>
      </c>
      <c r="J62" s="2155">
        <f t="shared" si="42"/>
        <v>1</v>
      </c>
      <c r="K62" s="2155">
        <f t="shared" si="43"/>
        <v>1</v>
      </c>
      <c r="L62" s="2155">
        <f t="shared" si="44"/>
        <v>0</v>
      </c>
      <c r="M62" s="2155">
        <f t="shared" si="45"/>
        <v>0</v>
      </c>
      <c r="N62" s="2155">
        <f t="shared" si="46"/>
        <v>0</v>
      </c>
      <c r="O62" s="2155">
        <f t="shared" si="47"/>
        <v>0</v>
      </c>
      <c r="P62" s="2155"/>
      <c r="Q62" s="2155">
        <f t="shared" si="48"/>
        <v>0</v>
      </c>
      <c r="R62" s="2155">
        <f t="shared" si="49"/>
        <v>0</v>
      </c>
      <c r="S62" s="2155">
        <f t="shared" si="50"/>
        <v>0</v>
      </c>
      <c r="T62" s="2155">
        <f t="shared" si="51"/>
        <v>0</v>
      </c>
      <c r="U62" s="2155">
        <f t="shared" si="52"/>
        <v>0</v>
      </c>
      <c r="V62" s="2155">
        <f t="shared" si="53"/>
        <v>0</v>
      </c>
      <c r="W62" s="2155">
        <f t="shared" si="54"/>
        <v>0</v>
      </c>
      <c r="X62" s="2155">
        <f t="shared" si="55"/>
        <v>0</v>
      </c>
      <c r="Y62" s="2155">
        <f t="shared" si="56"/>
        <v>0</v>
      </c>
      <c r="Z62" s="2155">
        <f t="shared" si="57"/>
        <v>0</v>
      </c>
      <c r="AA62" s="2155">
        <f t="shared" si="58"/>
        <v>0</v>
      </c>
      <c r="AB62" s="2155">
        <f t="shared" si="59"/>
        <v>0</v>
      </c>
      <c r="AC62" s="2155">
        <f t="shared" si="60"/>
        <v>0</v>
      </c>
      <c r="AD62" s="2155">
        <f t="shared" si="61"/>
        <v>0</v>
      </c>
      <c r="AE62" s="2155">
        <f t="shared" si="62"/>
        <v>0</v>
      </c>
      <c r="AF62" s="2155">
        <f t="shared" si="63"/>
        <v>0</v>
      </c>
      <c r="AG62" s="2156">
        <f t="shared" si="64"/>
        <v>0</v>
      </c>
      <c r="AH62" s="2157"/>
      <c r="AI62" s="2157"/>
      <c r="AJ62" s="2157"/>
      <c r="AK62" s="2157"/>
      <c r="AL62" s="2157"/>
      <c r="AM62" s="2157"/>
      <c r="AN62" s="2157"/>
      <c r="AO62" s="2157"/>
      <c r="AP62" s="2157">
        <v>1</v>
      </c>
      <c r="AQ62" s="2157">
        <v>1</v>
      </c>
      <c r="AR62" s="2157"/>
      <c r="AS62" s="2157"/>
      <c r="AT62" s="2157"/>
      <c r="AU62" s="2157"/>
      <c r="AV62" s="2157"/>
      <c r="AW62" s="2157"/>
      <c r="AX62" s="2157"/>
      <c r="AY62" s="2157"/>
      <c r="AZ62" s="2157"/>
      <c r="BA62" s="2157"/>
      <c r="BB62" s="2157"/>
      <c r="BC62" s="2157"/>
      <c r="BD62" s="2157"/>
      <c r="BE62" s="2157"/>
      <c r="BF62" s="2157"/>
      <c r="BG62" s="2157"/>
      <c r="BH62" s="2157"/>
      <c r="BI62" s="2157"/>
      <c r="BJ62" s="2157"/>
      <c r="BK62" s="2157"/>
      <c r="BL62" s="2157"/>
      <c r="BM62" s="2157"/>
      <c r="BN62" s="1849"/>
      <c r="BO62" s="1850"/>
      <c r="BP62" s="1850"/>
      <c r="BQ62" s="1850"/>
      <c r="BR62" s="1850"/>
      <c r="BS62" s="1850"/>
      <c r="BT62" s="1850"/>
      <c r="BU62" s="1850"/>
      <c r="BV62" s="1850"/>
      <c r="BW62" s="1850"/>
      <c r="BX62" s="1850"/>
      <c r="BY62" s="1850"/>
      <c r="BZ62" s="1850"/>
      <c r="CA62" s="1850"/>
      <c r="CB62" s="1851"/>
      <c r="CC62" s="2158"/>
      <c r="CD62" s="2159"/>
      <c r="CE62" s="2159"/>
      <c r="CF62" s="2159"/>
      <c r="CG62" s="2159"/>
      <c r="CH62" s="2160"/>
      <c r="CI62" s="1849"/>
      <c r="CJ62" s="1850"/>
      <c r="CK62" s="1850"/>
      <c r="CL62" s="1850"/>
      <c r="CM62" s="1850"/>
      <c r="CN62" s="1850"/>
      <c r="CO62" s="1850"/>
      <c r="CP62" s="1850"/>
      <c r="CQ62" s="1850"/>
      <c r="CR62" s="1851"/>
      <c r="CS62" s="358">
        <v>2</v>
      </c>
      <c r="CT62">
        <v>2</v>
      </c>
      <c r="CU62">
        <v>0</v>
      </c>
    </row>
    <row r="63" spans="1:100">
      <c r="A63" s="1309">
        <v>44927</v>
      </c>
      <c r="B63" s="1529">
        <f t="shared" ref="B63:B74" si="65">+AH63+BN63</f>
        <v>0</v>
      </c>
      <c r="C63" s="1529">
        <f t="shared" ref="C63:C74" si="66">+AI63+BO63</f>
        <v>0</v>
      </c>
      <c r="D63" s="1529">
        <f t="shared" ref="D63:D74" si="67">+AJ63+BP63</f>
        <v>0</v>
      </c>
      <c r="E63" s="1529">
        <f t="shared" ref="E63:E74" si="68">+AK63+BQ63</f>
        <v>0</v>
      </c>
      <c r="F63" s="1529">
        <f t="shared" ref="F63:F74" si="69">+AL63+BR63</f>
        <v>0</v>
      </c>
      <c r="G63" s="1529">
        <f t="shared" ref="G63:G74" si="70">+AM63+BS63</f>
        <v>0</v>
      </c>
      <c r="H63" s="1529">
        <f t="shared" ref="H63:H74" si="71">+AN63+BT63</f>
        <v>0</v>
      </c>
      <c r="I63" s="1529">
        <f t="shared" ref="I63:I74" si="72">+AO63+BU63</f>
        <v>0</v>
      </c>
      <c r="J63" s="1529">
        <f t="shared" ref="J63:J74" si="73">+AP63+BV63</f>
        <v>0</v>
      </c>
      <c r="K63" s="1529">
        <f t="shared" ref="K63:K74" si="74">+AQ63+BW63</f>
        <v>0</v>
      </c>
      <c r="L63" s="1529">
        <f t="shared" ref="L63:L74" si="75">+AR63+BX63</f>
        <v>0</v>
      </c>
      <c r="M63" s="1529">
        <f t="shared" ref="M63:M74" si="76">+AS63+BY63</f>
        <v>0</v>
      </c>
      <c r="N63" s="1529">
        <f t="shared" ref="N63:N74" si="77">+AT63+BZ63</f>
        <v>0</v>
      </c>
      <c r="O63" s="1529">
        <f t="shared" ref="O63:P74" si="78">+AU63+CA63</f>
        <v>0</v>
      </c>
      <c r="P63" s="1529">
        <f t="shared" si="78"/>
        <v>0</v>
      </c>
      <c r="Q63" s="1529">
        <f>+AW63+CB63</f>
        <v>0</v>
      </c>
      <c r="R63" s="1529">
        <f t="shared" ref="R63:R74" si="79">+AX63+CC63</f>
        <v>0</v>
      </c>
      <c r="S63" s="1529">
        <f t="shared" ref="S63:S74" si="80">+AY63+CD63</f>
        <v>0</v>
      </c>
      <c r="T63" s="1529">
        <f t="shared" ref="T63:T74" si="81">+AZ63+CE63</f>
        <v>0</v>
      </c>
      <c r="U63" s="1529">
        <f t="shared" ref="U63:U74" si="82">+BA63+CF63</f>
        <v>0</v>
      </c>
      <c r="V63" s="1529">
        <f t="shared" ref="V63:V74" si="83">+BB63+CG63</f>
        <v>0</v>
      </c>
      <c r="W63" s="1529">
        <f t="shared" ref="W63:W74" si="84">+BC63+CH63</f>
        <v>2</v>
      </c>
      <c r="X63" s="1529">
        <f t="shared" ref="X63:X74" si="85">+BD63+CI63</f>
        <v>0</v>
      </c>
      <c r="Y63" s="1529">
        <f t="shared" ref="Y63:Y74" si="86">+BE63+CJ63</f>
        <v>0</v>
      </c>
      <c r="Z63" s="1529">
        <f t="shared" ref="Z63:Z74" si="87">+BF63+CK63</f>
        <v>0</v>
      </c>
      <c r="AA63" s="1529">
        <f t="shared" ref="AA63:AA74" si="88">+BG63+CL63</f>
        <v>0</v>
      </c>
      <c r="AB63" s="1529">
        <f t="shared" ref="AB63:AB74" si="89">+BH63+CM63</f>
        <v>0</v>
      </c>
      <c r="AC63" s="1529">
        <f t="shared" ref="AC63:AC74" si="90">+BI63+CN63</f>
        <v>1</v>
      </c>
      <c r="AD63" s="1529">
        <f t="shared" ref="AD63:AD74" si="91">+BJ63+CO63</f>
        <v>0</v>
      </c>
      <c r="AE63" s="1529">
        <f t="shared" ref="AE63:AE74" si="92">+BK63+CP63</f>
        <v>0</v>
      </c>
      <c r="AF63" s="1529">
        <f t="shared" ref="AF63:AF74" si="93">+BL63+CQ63</f>
        <v>0</v>
      </c>
      <c r="AG63" s="1715">
        <f t="shared" ref="AG63:AG74" si="94">+BM63+CR63</f>
        <v>0</v>
      </c>
      <c r="AH63" s="1875"/>
      <c r="AI63" s="1875"/>
      <c r="AJ63" s="1875"/>
      <c r="AK63" s="1875"/>
      <c r="AL63" s="1875"/>
      <c r="AM63" s="1875"/>
      <c r="AN63" s="1875"/>
      <c r="AO63" s="1875"/>
      <c r="AP63" s="1875"/>
      <c r="AQ63" s="1875"/>
      <c r="AR63" s="1875"/>
      <c r="AS63" s="1875"/>
      <c r="AT63" s="1875"/>
      <c r="AU63" s="1875"/>
      <c r="AV63" s="1875"/>
      <c r="AW63" s="1875"/>
      <c r="AX63" s="1875"/>
      <c r="AY63" s="1875"/>
      <c r="AZ63" s="1875"/>
      <c r="BA63" s="1875"/>
      <c r="BB63" s="1875"/>
      <c r="BC63" s="1875">
        <v>2</v>
      </c>
      <c r="BD63" s="1875"/>
      <c r="BE63" s="1875"/>
      <c r="BF63" s="1875"/>
      <c r="BG63" s="1875"/>
      <c r="BH63" s="1875"/>
      <c r="BI63" s="1875">
        <v>1</v>
      </c>
      <c r="BJ63" s="1875"/>
      <c r="BK63" s="1875"/>
      <c r="BL63" s="1875"/>
      <c r="BM63" s="1875"/>
      <c r="BN63" s="2153"/>
      <c r="BO63" s="1706"/>
      <c r="BP63" s="1706"/>
      <c r="BQ63" s="1706"/>
      <c r="BR63" s="1706"/>
      <c r="BS63" s="1706"/>
      <c r="BT63" s="1706"/>
      <c r="BU63" s="1706"/>
      <c r="BV63" s="1706"/>
      <c r="BW63" s="1706"/>
      <c r="BX63" s="1706"/>
      <c r="BY63" s="1706"/>
      <c r="BZ63" s="1706"/>
      <c r="CA63" s="1706"/>
      <c r="CB63" s="2154"/>
      <c r="CC63" s="2153"/>
      <c r="CD63" s="1706"/>
      <c r="CE63" s="1706"/>
      <c r="CF63" s="1706"/>
      <c r="CG63" s="1706"/>
      <c r="CH63" s="1709"/>
      <c r="CI63" s="2153"/>
      <c r="CJ63" s="1706"/>
      <c r="CK63" s="1706"/>
      <c r="CL63" s="1706"/>
      <c r="CM63" s="1706"/>
      <c r="CN63" s="1706"/>
      <c r="CO63" s="1706"/>
      <c r="CP63" s="1706"/>
      <c r="CQ63" s="1706"/>
      <c r="CR63" s="2154"/>
      <c r="CS63" s="262">
        <f>SUM(AF63:BB63)+SUM(BN63:CG63)</f>
        <v>0</v>
      </c>
      <c r="CT63" s="262">
        <f>+CS63+BC63+CH63</f>
        <v>2</v>
      </c>
      <c r="CU63" s="358">
        <f>SUM(CI63:CR63)+SUM(BD63:BM63)</f>
        <v>1</v>
      </c>
      <c r="CV63" s="358">
        <f>+CU63+CT63</f>
        <v>3</v>
      </c>
    </row>
    <row r="64" spans="1:100">
      <c r="A64" s="1309">
        <v>44958</v>
      </c>
      <c r="B64" s="1310">
        <f t="shared" si="65"/>
        <v>0</v>
      </c>
      <c r="C64" s="1310">
        <f t="shared" si="66"/>
        <v>0</v>
      </c>
      <c r="D64" s="1310">
        <f t="shared" si="67"/>
        <v>0</v>
      </c>
      <c r="E64" s="1310">
        <f t="shared" si="68"/>
        <v>0</v>
      </c>
      <c r="F64" s="1310">
        <f t="shared" si="69"/>
        <v>0</v>
      </c>
      <c r="G64" s="1310">
        <f t="shared" si="70"/>
        <v>0</v>
      </c>
      <c r="H64" s="1310">
        <f t="shared" si="71"/>
        <v>0</v>
      </c>
      <c r="I64" s="1310">
        <f t="shared" si="72"/>
        <v>0</v>
      </c>
      <c r="J64" s="1310">
        <f t="shared" si="73"/>
        <v>0</v>
      </c>
      <c r="K64" s="1310">
        <f t="shared" si="74"/>
        <v>0</v>
      </c>
      <c r="L64" s="1310">
        <f t="shared" si="75"/>
        <v>0</v>
      </c>
      <c r="M64" s="1310">
        <f t="shared" si="76"/>
        <v>0</v>
      </c>
      <c r="N64" s="1310">
        <f t="shared" si="77"/>
        <v>0</v>
      </c>
      <c r="O64" s="1310">
        <f t="shared" si="78"/>
        <v>0</v>
      </c>
      <c r="P64" s="1310">
        <f t="shared" si="78"/>
        <v>0</v>
      </c>
      <c r="Q64" s="1310">
        <f t="shared" ref="Q64:Q74" si="95">+AW64+CB64</f>
        <v>0</v>
      </c>
      <c r="R64" s="1310">
        <f t="shared" si="79"/>
        <v>0</v>
      </c>
      <c r="S64" s="1310">
        <f t="shared" si="80"/>
        <v>0</v>
      </c>
      <c r="T64" s="1310">
        <f t="shared" si="81"/>
        <v>0</v>
      </c>
      <c r="U64" s="1310">
        <f t="shared" si="82"/>
        <v>0</v>
      </c>
      <c r="V64" s="1310">
        <f t="shared" si="83"/>
        <v>0</v>
      </c>
      <c r="W64" s="1310">
        <f t="shared" si="84"/>
        <v>0</v>
      </c>
      <c r="X64" s="1310">
        <f t="shared" si="85"/>
        <v>0</v>
      </c>
      <c r="Y64" s="1310">
        <f t="shared" si="86"/>
        <v>0</v>
      </c>
      <c r="Z64" s="1310">
        <f t="shared" si="87"/>
        <v>0</v>
      </c>
      <c r="AA64" s="1310">
        <f t="shared" si="88"/>
        <v>0</v>
      </c>
      <c r="AB64" s="1310">
        <f t="shared" si="89"/>
        <v>0</v>
      </c>
      <c r="AC64" s="1310">
        <f t="shared" si="90"/>
        <v>1</v>
      </c>
      <c r="AD64" s="1310">
        <f t="shared" si="91"/>
        <v>0</v>
      </c>
      <c r="AE64" s="1310">
        <f t="shared" si="92"/>
        <v>0</v>
      </c>
      <c r="AF64" s="1310">
        <f t="shared" si="93"/>
        <v>0</v>
      </c>
      <c r="AG64" s="1701">
        <f t="shared" si="94"/>
        <v>0</v>
      </c>
      <c r="AH64" s="1712"/>
      <c r="AI64" s="1712"/>
      <c r="AJ64" s="1712"/>
      <c r="AK64" s="1712"/>
      <c r="AL64" s="1712"/>
      <c r="AM64" s="1712"/>
      <c r="AN64" s="1712"/>
      <c r="AO64" s="1712"/>
      <c r="AP64" s="1712"/>
      <c r="AQ64" s="1712"/>
      <c r="AR64" s="1712"/>
      <c r="AS64" s="1712"/>
      <c r="AT64" s="1712"/>
      <c r="AU64" s="1712"/>
      <c r="AV64" s="1712"/>
      <c r="AW64" s="1712"/>
      <c r="AX64" s="1712"/>
      <c r="AY64" s="1712"/>
      <c r="AZ64" s="1712"/>
      <c r="BA64" s="1712"/>
      <c r="BB64" s="1712"/>
      <c r="BC64" s="1712"/>
      <c r="BD64" s="1712"/>
      <c r="BE64" s="1712"/>
      <c r="BF64" s="1712"/>
      <c r="BG64" s="1712"/>
      <c r="BH64" s="1712"/>
      <c r="BI64" s="1712">
        <v>1</v>
      </c>
      <c r="BJ64" s="1712"/>
      <c r="BK64" s="1712"/>
      <c r="BL64" s="1712"/>
      <c r="BM64" s="1712"/>
      <c r="BN64" s="1703"/>
      <c r="BO64" s="1318"/>
      <c r="BP64" s="1318"/>
      <c r="BQ64" s="1318"/>
      <c r="BR64" s="1318"/>
      <c r="BS64" s="1318"/>
      <c r="BT64" s="1318"/>
      <c r="BU64" s="1318"/>
      <c r="BV64" s="1318"/>
      <c r="BW64" s="1318"/>
      <c r="BX64" s="1318"/>
      <c r="BY64" s="1318"/>
      <c r="BZ64" s="1318"/>
      <c r="CA64" s="1318"/>
      <c r="CB64" s="1704"/>
      <c r="CC64" s="1703"/>
      <c r="CD64" s="1318"/>
      <c r="CE64" s="1318"/>
      <c r="CF64" s="1318"/>
      <c r="CG64" s="1318"/>
      <c r="CH64" s="1710"/>
      <c r="CI64" s="1703"/>
      <c r="CJ64" s="1318"/>
      <c r="CK64" s="1318"/>
      <c r="CL64" s="1318"/>
      <c r="CM64" s="1318"/>
      <c r="CN64" s="1318"/>
      <c r="CO64" s="1318"/>
      <c r="CP64" s="1318"/>
      <c r="CQ64" s="1318"/>
      <c r="CR64" s="1704"/>
      <c r="CS64" s="262">
        <f t="shared" ref="CS64:CS74" si="96">SUM(AF64:BB64)+SUM(BN64:CG64)</f>
        <v>0</v>
      </c>
      <c r="CT64" s="262">
        <f t="shared" ref="CT64:CT74" si="97">+CS64+BC64+CH64</f>
        <v>0</v>
      </c>
      <c r="CU64" s="358">
        <f t="shared" ref="CU64:CU74" si="98">SUM(CI64:CR64)+SUM(BD64:BM64)</f>
        <v>1</v>
      </c>
      <c r="CV64" s="358">
        <f t="shared" ref="CV64:CV74" si="99">+CU64+CT64</f>
        <v>1</v>
      </c>
    </row>
    <row r="65" spans="1:100">
      <c r="A65" s="1309">
        <v>44986</v>
      </c>
      <c r="B65" s="1310">
        <f t="shared" si="65"/>
        <v>0</v>
      </c>
      <c r="C65" s="1310">
        <f t="shared" si="66"/>
        <v>0</v>
      </c>
      <c r="D65" s="1310">
        <f t="shared" si="67"/>
        <v>1</v>
      </c>
      <c r="E65" s="1310">
        <f t="shared" si="68"/>
        <v>0</v>
      </c>
      <c r="F65" s="1310">
        <f t="shared" si="69"/>
        <v>0</v>
      </c>
      <c r="G65" s="1310">
        <f t="shared" si="70"/>
        <v>0</v>
      </c>
      <c r="H65" s="1310">
        <f t="shared" si="71"/>
        <v>0</v>
      </c>
      <c r="I65" s="1310">
        <f t="shared" si="72"/>
        <v>0</v>
      </c>
      <c r="J65" s="1310">
        <f t="shared" si="73"/>
        <v>0</v>
      </c>
      <c r="K65" s="1310">
        <f t="shared" si="74"/>
        <v>0</v>
      </c>
      <c r="L65" s="1310">
        <f t="shared" si="75"/>
        <v>0</v>
      </c>
      <c r="M65" s="1310">
        <f t="shared" si="76"/>
        <v>0</v>
      </c>
      <c r="N65" s="1310">
        <f t="shared" si="77"/>
        <v>0</v>
      </c>
      <c r="O65" s="1310">
        <f t="shared" si="78"/>
        <v>0</v>
      </c>
      <c r="P65" s="1310">
        <f t="shared" si="78"/>
        <v>0</v>
      </c>
      <c r="Q65" s="1310">
        <f t="shared" si="95"/>
        <v>0</v>
      </c>
      <c r="R65" s="1310">
        <f t="shared" si="79"/>
        <v>0</v>
      </c>
      <c r="S65" s="1310">
        <f t="shared" si="80"/>
        <v>0</v>
      </c>
      <c r="T65" s="1310">
        <f t="shared" si="81"/>
        <v>0</v>
      </c>
      <c r="U65" s="1310">
        <f t="shared" si="82"/>
        <v>0</v>
      </c>
      <c r="V65" s="1310">
        <f t="shared" si="83"/>
        <v>0</v>
      </c>
      <c r="W65" s="1310">
        <f t="shared" si="84"/>
        <v>0</v>
      </c>
      <c r="X65" s="1310">
        <f t="shared" si="85"/>
        <v>0</v>
      </c>
      <c r="Y65" s="1310">
        <f t="shared" si="86"/>
        <v>0</v>
      </c>
      <c r="Z65" s="1310">
        <f t="shared" si="87"/>
        <v>0</v>
      </c>
      <c r="AA65" s="1310">
        <f t="shared" si="88"/>
        <v>0</v>
      </c>
      <c r="AB65" s="1310">
        <f t="shared" si="89"/>
        <v>0</v>
      </c>
      <c r="AC65" s="1310">
        <f t="shared" si="90"/>
        <v>0</v>
      </c>
      <c r="AD65" s="1310">
        <f t="shared" si="91"/>
        <v>0</v>
      </c>
      <c r="AE65" s="1310">
        <f t="shared" si="92"/>
        <v>0</v>
      </c>
      <c r="AF65" s="1310">
        <f t="shared" si="93"/>
        <v>0</v>
      </c>
      <c r="AG65" s="1701">
        <f t="shared" si="94"/>
        <v>0</v>
      </c>
      <c r="AH65" s="1712"/>
      <c r="AI65" s="1712"/>
      <c r="AJ65" s="1712">
        <v>1</v>
      </c>
      <c r="AK65" s="1712"/>
      <c r="AL65" s="1712"/>
      <c r="AM65" s="1712"/>
      <c r="AN65" s="1712"/>
      <c r="AO65" s="1712"/>
      <c r="AP65" s="1712"/>
      <c r="AQ65" s="1712"/>
      <c r="AR65" s="1712"/>
      <c r="AS65" s="1712"/>
      <c r="AT65" s="1712"/>
      <c r="AU65" s="1712"/>
      <c r="AV65" s="1712"/>
      <c r="AW65" s="1712"/>
      <c r="AX65" s="1712"/>
      <c r="AY65" s="1712"/>
      <c r="AZ65" s="1712"/>
      <c r="BA65" s="1712"/>
      <c r="BB65" s="1712"/>
      <c r="BC65" s="1712"/>
      <c r="BD65" s="1712"/>
      <c r="BE65" s="1712"/>
      <c r="BF65" s="1712"/>
      <c r="BG65" s="1712"/>
      <c r="BH65" s="1712"/>
      <c r="BI65" s="1712"/>
      <c r="BJ65" s="1712"/>
      <c r="BK65" s="1712"/>
      <c r="BL65" s="1712"/>
      <c r="BM65" s="1712"/>
      <c r="BN65" s="1703"/>
      <c r="BO65" s="1318"/>
      <c r="BP65" s="1318"/>
      <c r="BQ65" s="1318"/>
      <c r="BR65" s="1318"/>
      <c r="BS65" s="1318"/>
      <c r="BT65" s="1318"/>
      <c r="BU65" s="1318"/>
      <c r="BV65" s="1318"/>
      <c r="BW65" s="1318"/>
      <c r="BX65" s="1318"/>
      <c r="BY65" s="1318"/>
      <c r="BZ65" s="1318"/>
      <c r="CA65" s="1318"/>
      <c r="CB65" s="1704"/>
      <c r="CC65" s="1703"/>
      <c r="CD65" s="1318"/>
      <c r="CE65" s="1318"/>
      <c r="CF65" s="1318"/>
      <c r="CG65" s="1318"/>
      <c r="CH65" s="1710"/>
      <c r="CI65" s="1703"/>
      <c r="CJ65" s="1318"/>
      <c r="CK65" s="1318"/>
      <c r="CL65" s="1318"/>
      <c r="CM65" s="1318"/>
      <c r="CN65" s="1318"/>
      <c r="CO65" s="1318"/>
      <c r="CP65" s="1318"/>
      <c r="CQ65" s="1318"/>
      <c r="CR65" s="1704"/>
      <c r="CS65" s="262">
        <f t="shared" si="96"/>
        <v>1</v>
      </c>
      <c r="CT65" s="262">
        <f t="shared" si="97"/>
        <v>1</v>
      </c>
      <c r="CU65" s="358">
        <f t="shared" si="98"/>
        <v>0</v>
      </c>
      <c r="CV65" s="358">
        <f t="shared" si="99"/>
        <v>1</v>
      </c>
    </row>
    <row r="66" spans="1:100">
      <c r="A66" s="1309">
        <v>45017</v>
      </c>
      <c r="B66" s="1310">
        <f t="shared" si="65"/>
        <v>0</v>
      </c>
      <c r="C66" s="1310">
        <f t="shared" si="66"/>
        <v>0</v>
      </c>
      <c r="D66" s="1310">
        <f t="shared" si="67"/>
        <v>0</v>
      </c>
      <c r="E66" s="1310">
        <f t="shared" si="68"/>
        <v>0</v>
      </c>
      <c r="F66" s="1310">
        <f t="shared" si="69"/>
        <v>0</v>
      </c>
      <c r="G66" s="1310">
        <f t="shared" si="70"/>
        <v>0</v>
      </c>
      <c r="H66" s="1310">
        <f t="shared" si="71"/>
        <v>0</v>
      </c>
      <c r="I66" s="1310">
        <f t="shared" si="72"/>
        <v>0</v>
      </c>
      <c r="J66" s="1310">
        <f t="shared" si="73"/>
        <v>0</v>
      </c>
      <c r="K66" s="1310">
        <f t="shared" si="74"/>
        <v>0</v>
      </c>
      <c r="L66" s="1310">
        <f t="shared" si="75"/>
        <v>0</v>
      </c>
      <c r="M66" s="1310">
        <f t="shared" si="76"/>
        <v>0</v>
      </c>
      <c r="N66" s="1310">
        <f t="shared" si="77"/>
        <v>0</v>
      </c>
      <c r="O66" s="1310">
        <f t="shared" si="78"/>
        <v>1</v>
      </c>
      <c r="P66" s="1310">
        <f t="shared" si="78"/>
        <v>0</v>
      </c>
      <c r="Q66" s="1310">
        <f t="shared" si="95"/>
        <v>0</v>
      </c>
      <c r="R66" s="1310">
        <f t="shared" si="79"/>
        <v>0</v>
      </c>
      <c r="S66" s="1310">
        <f t="shared" si="80"/>
        <v>0</v>
      </c>
      <c r="T66" s="1310">
        <f t="shared" si="81"/>
        <v>1</v>
      </c>
      <c r="U66" s="1310">
        <f t="shared" si="82"/>
        <v>0</v>
      </c>
      <c r="V66" s="1310">
        <f t="shared" si="83"/>
        <v>0</v>
      </c>
      <c r="W66" s="1310">
        <f t="shared" si="84"/>
        <v>3</v>
      </c>
      <c r="X66" s="1310">
        <f t="shared" si="85"/>
        <v>0</v>
      </c>
      <c r="Y66" s="1310">
        <f t="shared" si="86"/>
        <v>0</v>
      </c>
      <c r="Z66" s="1310">
        <f t="shared" si="87"/>
        <v>0</v>
      </c>
      <c r="AA66" s="1310">
        <f t="shared" si="88"/>
        <v>0</v>
      </c>
      <c r="AB66" s="1310">
        <f t="shared" si="89"/>
        <v>0</v>
      </c>
      <c r="AC66" s="1310">
        <f t="shared" si="90"/>
        <v>0</v>
      </c>
      <c r="AD66" s="1310">
        <f t="shared" si="91"/>
        <v>0</v>
      </c>
      <c r="AE66" s="1310">
        <f t="shared" si="92"/>
        <v>0</v>
      </c>
      <c r="AF66" s="1310">
        <f t="shared" si="93"/>
        <v>0</v>
      </c>
      <c r="AG66" s="1701">
        <f t="shared" si="94"/>
        <v>0</v>
      </c>
      <c r="AH66" s="1712"/>
      <c r="AI66" s="1712"/>
      <c r="AJ66" s="1712"/>
      <c r="AK66" s="1712"/>
      <c r="AL66" s="1712"/>
      <c r="AM66" s="1712"/>
      <c r="AN66" s="1712"/>
      <c r="AO66" s="1712"/>
      <c r="AP66" s="1712"/>
      <c r="AQ66" s="1712"/>
      <c r="AR66" s="1712"/>
      <c r="AS66" s="1712"/>
      <c r="AT66" s="1712"/>
      <c r="AU66" s="1712">
        <v>1</v>
      </c>
      <c r="AV66" s="1712"/>
      <c r="AW66" s="1712"/>
      <c r="AX66" s="1712"/>
      <c r="AY66" s="1712"/>
      <c r="AZ66" s="1712">
        <v>1</v>
      </c>
      <c r="BA66" s="1712"/>
      <c r="BB66" s="1712"/>
      <c r="BC66" s="1712">
        <v>3</v>
      </c>
      <c r="BD66" s="1712"/>
      <c r="BE66" s="1712"/>
      <c r="BF66" s="1712"/>
      <c r="BG66" s="1712"/>
      <c r="BH66" s="1712"/>
      <c r="BI66" s="1712"/>
      <c r="BJ66" s="1712"/>
      <c r="BK66" s="1712"/>
      <c r="BL66" s="1712"/>
      <c r="BM66" s="1712"/>
      <c r="BN66" s="1703"/>
      <c r="BO66" s="1318"/>
      <c r="BP66" s="1318"/>
      <c r="BQ66" s="1318"/>
      <c r="BR66" s="1318"/>
      <c r="BS66" s="1318"/>
      <c r="BT66" s="1318"/>
      <c r="BU66" s="1318"/>
      <c r="BV66" s="1318"/>
      <c r="BW66" s="1318"/>
      <c r="BX66" s="1318"/>
      <c r="BY66" s="1318"/>
      <c r="BZ66" s="1318"/>
      <c r="CA66" s="1318"/>
      <c r="CB66" s="1704"/>
      <c r="CC66" s="1703"/>
      <c r="CD66" s="1318"/>
      <c r="CE66" s="1318"/>
      <c r="CF66" s="1318"/>
      <c r="CG66" s="1318"/>
      <c r="CH66" s="1710"/>
      <c r="CI66" s="1703"/>
      <c r="CJ66" s="1318"/>
      <c r="CK66" s="1318"/>
      <c r="CL66" s="1318"/>
      <c r="CM66" s="1318"/>
      <c r="CN66" s="1318"/>
      <c r="CO66" s="1318"/>
      <c r="CP66" s="1318"/>
      <c r="CQ66" s="1318"/>
      <c r="CR66" s="1704"/>
      <c r="CS66" s="262">
        <f t="shared" si="96"/>
        <v>2</v>
      </c>
      <c r="CT66" s="262">
        <f t="shared" si="97"/>
        <v>5</v>
      </c>
      <c r="CU66" s="358">
        <f t="shared" si="98"/>
        <v>0</v>
      </c>
      <c r="CV66" s="358">
        <f t="shared" si="99"/>
        <v>5</v>
      </c>
    </row>
    <row r="67" spans="1:100">
      <c r="A67" s="1309">
        <v>45047</v>
      </c>
      <c r="B67" s="1310">
        <f t="shared" si="65"/>
        <v>0</v>
      </c>
      <c r="C67" s="1310">
        <f t="shared" si="66"/>
        <v>0</v>
      </c>
      <c r="D67" s="1310">
        <f t="shared" si="67"/>
        <v>0</v>
      </c>
      <c r="E67" s="1310">
        <f t="shared" si="68"/>
        <v>0</v>
      </c>
      <c r="F67" s="1310">
        <f t="shared" si="69"/>
        <v>0</v>
      </c>
      <c r="G67" s="1310">
        <f t="shared" si="70"/>
        <v>0</v>
      </c>
      <c r="H67" s="1310">
        <f t="shared" si="71"/>
        <v>0</v>
      </c>
      <c r="I67" s="1310">
        <f t="shared" si="72"/>
        <v>0</v>
      </c>
      <c r="J67" s="1310">
        <f t="shared" si="73"/>
        <v>0</v>
      </c>
      <c r="K67" s="1310">
        <f t="shared" si="74"/>
        <v>0</v>
      </c>
      <c r="L67" s="1310">
        <f t="shared" si="75"/>
        <v>0</v>
      </c>
      <c r="M67" s="1310">
        <f t="shared" si="76"/>
        <v>0</v>
      </c>
      <c r="N67" s="1310">
        <f t="shared" si="77"/>
        <v>0</v>
      </c>
      <c r="O67" s="1310">
        <f t="shared" si="78"/>
        <v>1</v>
      </c>
      <c r="P67" s="1310">
        <f t="shared" si="78"/>
        <v>0</v>
      </c>
      <c r="Q67" s="1310">
        <f t="shared" si="95"/>
        <v>0</v>
      </c>
      <c r="R67" s="1310">
        <f t="shared" si="79"/>
        <v>0</v>
      </c>
      <c r="S67" s="1310">
        <f t="shared" si="80"/>
        <v>0</v>
      </c>
      <c r="T67" s="1310">
        <f t="shared" si="81"/>
        <v>0</v>
      </c>
      <c r="U67" s="1310">
        <f t="shared" si="82"/>
        <v>0</v>
      </c>
      <c r="V67" s="1310">
        <f t="shared" si="83"/>
        <v>0</v>
      </c>
      <c r="W67" s="1310">
        <f t="shared" si="84"/>
        <v>1</v>
      </c>
      <c r="X67" s="1310">
        <f t="shared" si="85"/>
        <v>1</v>
      </c>
      <c r="Y67" s="1310">
        <f t="shared" si="86"/>
        <v>0</v>
      </c>
      <c r="Z67" s="1310">
        <f t="shared" si="87"/>
        <v>0</v>
      </c>
      <c r="AA67" s="1310">
        <f t="shared" si="88"/>
        <v>0</v>
      </c>
      <c r="AB67" s="1310">
        <f t="shared" si="89"/>
        <v>0</v>
      </c>
      <c r="AC67" s="1310">
        <f t="shared" si="90"/>
        <v>0</v>
      </c>
      <c r="AD67" s="1310">
        <f t="shared" si="91"/>
        <v>0</v>
      </c>
      <c r="AE67" s="1310">
        <f t="shared" si="92"/>
        <v>0</v>
      </c>
      <c r="AF67" s="1310">
        <f t="shared" si="93"/>
        <v>0</v>
      </c>
      <c r="AG67" s="1701">
        <f t="shared" si="94"/>
        <v>0</v>
      </c>
      <c r="AH67" s="1712"/>
      <c r="AI67" s="1712"/>
      <c r="AJ67" s="1712"/>
      <c r="AK67" s="1712"/>
      <c r="AL67" s="1712"/>
      <c r="AM67" s="1712"/>
      <c r="AN67" s="1712"/>
      <c r="AO67" s="1712"/>
      <c r="AP67" s="1712"/>
      <c r="AQ67" s="1712"/>
      <c r="AR67" s="1712"/>
      <c r="AS67" s="1712"/>
      <c r="AT67" s="1712"/>
      <c r="AU67" s="1712">
        <v>1</v>
      </c>
      <c r="AV67" s="1712"/>
      <c r="AW67" s="1712"/>
      <c r="AX67" s="1712"/>
      <c r="AY67" s="1712"/>
      <c r="AZ67" s="1712"/>
      <c r="BA67" s="1712"/>
      <c r="BB67" s="1712"/>
      <c r="BC67" s="1712">
        <v>1</v>
      </c>
      <c r="BD67" s="1712">
        <v>1</v>
      </c>
      <c r="BE67" s="1712"/>
      <c r="BF67" s="1712"/>
      <c r="BG67" s="1712"/>
      <c r="BH67" s="1712"/>
      <c r="BI67" s="1712"/>
      <c r="BJ67" s="1712"/>
      <c r="BK67" s="1712"/>
      <c r="BL67" s="1712"/>
      <c r="BM67" s="1712"/>
      <c r="BN67" s="1703"/>
      <c r="BO67" s="1318"/>
      <c r="BP67" s="1318"/>
      <c r="BQ67" s="1318"/>
      <c r="BR67" s="1318"/>
      <c r="BS67" s="1318"/>
      <c r="BT67" s="1318"/>
      <c r="BU67" s="1318"/>
      <c r="BV67" s="1318"/>
      <c r="BW67" s="1318"/>
      <c r="BX67" s="1318"/>
      <c r="BY67" s="1318"/>
      <c r="BZ67" s="1318"/>
      <c r="CA67" s="1318"/>
      <c r="CB67" s="1704"/>
      <c r="CC67" s="1703"/>
      <c r="CD67" s="1318"/>
      <c r="CE67" s="1318"/>
      <c r="CF67" s="1318"/>
      <c r="CG67" s="1318"/>
      <c r="CH67" s="1710"/>
      <c r="CI67" s="1703"/>
      <c r="CJ67" s="1318"/>
      <c r="CK67" s="1318"/>
      <c r="CL67" s="1318"/>
      <c r="CM67" s="1318"/>
      <c r="CN67" s="1318"/>
      <c r="CO67" s="1318"/>
      <c r="CP67" s="1318"/>
      <c r="CQ67" s="1318"/>
      <c r="CR67" s="1704"/>
      <c r="CS67" s="262">
        <f t="shared" si="96"/>
        <v>1</v>
      </c>
      <c r="CT67" s="262">
        <f t="shared" si="97"/>
        <v>2</v>
      </c>
      <c r="CU67" s="358">
        <f t="shared" si="98"/>
        <v>1</v>
      </c>
      <c r="CV67" s="358">
        <f t="shared" si="99"/>
        <v>3</v>
      </c>
    </row>
    <row r="68" spans="1:100">
      <c r="A68" s="1309">
        <v>45078</v>
      </c>
      <c r="B68" s="1310">
        <f t="shared" si="65"/>
        <v>0</v>
      </c>
      <c r="C68" s="1310">
        <f t="shared" si="66"/>
        <v>0</v>
      </c>
      <c r="D68" s="1310">
        <f t="shared" si="67"/>
        <v>0</v>
      </c>
      <c r="E68" s="1310">
        <f t="shared" si="68"/>
        <v>0</v>
      </c>
      <c r="F68" s="1310">
        <f t="shared" si="69"/>
        <v>0</v>
      </c>
      <c r="G68" s="1310">
        <f t="shared" si="70"/>
        <v>0</v>
      </c>
      <c r="H68" s="1310">
        <f t="shared" si="71"/>
        <v>0</v>
      </c>
      <c r="I68" s="1310">
        <f t="shared" si="72"/>
        <v>0</v>
      </c>
      <c r="J68" s="1310">
        <f t="shared" si="73"/>
        <v>0</v>
      </c>
      <c r="K68" s="1310">
        <f t="shared" si="74"/>
        <v>1</v>
      </c>
      <c r="L68" s="1310">
        <f t="shared" si="75"/>
        <v>0</v>
      </c>
      <c r="M68" s="1310">
        <f t="shared" si="76"/>
        <v>0</v>
      </c>
      <c r="N68" s="1310">
        <f t="shared" si="77"/>
        <v>0</v>
      </c>
      <c r="O68" s="1310">
        <f t="shared" si="78"/>
        <v>0</v>
      </c>
      <c r="P68" s="1310">
        <f t="shared" si="78"/>
        <v>0</v>
      </c>
      <c r="Q68" s="1310">
        <f t="shared" si="95"/>
        <v>0</v>
      </c>
      <c r="R68" s="1310">
        <f t="shared" si="79"/>
        <v>0</v>
      </c>
      <c r="S68" s="1310">
        <f t="shared" si="80"/>
        <v>0</v>
      </c>
      <c r="T68" s="1310">
        <f t="shared" si="81"/>
        <v>0</v>
      </c>
      <c r="U68" s="1310">
        <f t="shared" si="82"/>
        <v>0</v>
      </c>
      <c r="V68" s="1310">
        <f t="shared" si="83"/>
        <v>0</v>
      </c>
      <c r="W68" s="1310">
        <f t="shared" si="84"/>
        <v>2</v>
      </c>
      <c r="X68" s="1310">
        <f t="shared" si="85"/>
        <v>0</v>
      </c>
      <c r="Y68" s="1310">
        <f t="shared" si="86"/>
        <v>0</v>
      </c>
      <c r="Z68" s="1310">
        <f t="shared" si="87"/>
        <v>0</v>
      </c>
      <c r="AA68" s="1310">
        <f t="shared" si="88"/>
        <v>0</v>
      </c>
      <c r="AB68" s="1310">
        <f t="shared" si="89"/>
        <v>0</v>
      </c>
      <c r="AC68" s="1310">
        <f t="shared" si="90"/>
        <v>0</v>
      </c>
      <c r="AD68" s="1310">
        <f t="shared" si="91"/>
        <v>1</v>
      </c>
      <c r="AE68" s="1310">
        <f t="shared" si="92"/>
        <v>0</v>
      </c>
      <c r="AF68" s="1310">
        <f t="shared" si="93"/>
        <v>0</v>
      </c>
      <c r="AG68" s="1701">
        <f t="shared" si="94"/>
        <v>0</v>
      </c>
      <c r="AH68" s="1712"/>
      <c r="AI68" s="1712"/>
      <c r="AJ68" s="1712"/>
      <c r="AK68" s="1712"/>
      <c r="AL68" s="1712"/>
      <c r="AM68" s="1712"/>
      <c r="AN68" s="1712"/>
      <c r="AO68" s="1712"/>
      <c r="AP68" s="1712"/>
      <c r="AQ68" s="1712">
        <v>1</v>
      </c>
      <c r="AR68" s="1712"/>
      <c r="AS68" s="1712"/>
      <c r="AT68" s="1712"/>
      <c r="AU68" s="1712"/>
      <c r="AV68" s="1712"/>
      <c r="AW68" s="1712"/>
      <c r="AX68" s="1712"/>
      <c r="AY68" s="1712"/>
      <c r="AZ68" s="1712"/>
      <c r="BA68" s="1712"/>
      <c r="BB68" s="1712"/>
      <c r="BC68" s="1712">
        <v>2</v>
      </c>
      <c r="BD68" s="1712"/>
      <c r="BE68" s="1712"/>
      <c r="BF68" s="1712"/>
      <c r="BG68" s="1712"/>
      <c r="BH68" s="1712"/>
      <c r="BI68" s="1712"/>
      <c r="BJ68" s="1712">
        <v>1</v>
      </c>
      <c r="BK68" s="1712"/>
      <c r="BL68" s="1712"/>
      <c r="BM68" s="1712"/>
      <c r="BN68" s="1703"/>
      <c r="BO68" s="1318"/>
      <c r="BP68" s="1318"/>
      <c r="BQ68" s="1318"/>
      <c r="BR68" s="1318"/>
      <c r="BS68" s="1318"/>
      <c r="BT68" s="1318"/>
      <c r="BU68" s="1318"/>
      <c r="BV68" s="1318"/>
      <c r="BW68" s="1318"/>
      <c r="BX68" s="1318"/>
      <c r="BY68" s="1318"/>
      <c r="BZ68" s="1318"/>
      <c r="CA68" s="1318"/>
      <c r="CB68" s="1704"/>
      <c r="CC68" s="1703"/>
      <c r="CD68" s="1318"/>
      <c r="CE68" s="1318"/>
      <c r="CF68" s="1318"/>
      <c r="CG68" s="1318"/>
      <c r="CH68" s="1710"/>
      <c r="CI68" s="1703"/>
      <c r="CJ68" s="1318"/>
      <c r="CK68" s="1318"/>
      <c r="CL68" s="1318"/>
      <c r="CM68" s="1318"/>
      <c r="CN68" s="1318"/>
      <c r="CO68" s="1318"/>
      <c r="CP68" s="1318"/>
      <c r="CQ68" s="1318"/>
      <c r="CR68" s="1704"/>
      <c r="CS68" s="262">
        <f t="shared" si="96"/>
        <v>1</v>
      </c>
      <c r="CT68" s="262">
        <f t="shared" si="97"/>
        <v>3</v>
      </c>
      <c r="CU68" s="358">
        <f t="shared" si="98"/>
        <v>1</v>
      </c>
      <c r="CV68" s="358">
        <f t="shared" si="99"/>
        <v>4</v>
      </c>
    </row>
    <row r="69" spans="1:100">
      <c r="A69" s="1309">
        <v>45108</v>
      </c>
      <c r="B69" s="1310">
        <f t="shared" si="65"/>
        <v>0</v>
      </c>
      <c r="C69" s="1310">
        <f t="shared" si="66"/>
        <v>0</v>
      </c>
      <c r="D69" s="1310">
        <f t="shared" si="67"/>
        <v>0</v>
      </c>
      <c r="E69" s="1310">
        <f t="shared" si="68"/>
        <v>0</v>
      </c>
      <c r="F69" s="1310">
        <f t="shared" si="69"/>
        <v>0</v>
      </c>
      <c r="G69" s="1310">
        <f t="shared" si="70"/>
        <v>0</v>
      </c>
      <c r="H69" s="1310">
        <f t="shared" si="71"/>
        <v>0</v>
      </c>
      <c r="I69" s="1310">
        <f t="shared" si="72"/>
        <v>0</v>
      </c>
      <c r="J69" s="1310">
        <f t="shared" si="73"/>
        <v>0</v>
      </c>
      <c r="K69" s="1310">
        <f t="shared" si="74"/>
        <v>2</v>
      </c>
      <c r="L69" s="1310">
        <f t="shared" si="75"/>
        <v>0</v>
      </c>
      <c r="M69" s="1310">
        <f t="shared" si="76"/>
        <v>0</v>
      </c>
      <c r="N69" s="1310">
        <f t="shared" si="77"/>
        <v>0</v>
      </c>
      <c r="O69" s="1310">
        <f t="shared" si="78"/>
        <v>0</v>
      </c>
      <c r="P69" s="1310">
        <f t="shared" si="78"/>
        <v>0</v>
      </c>
      <c r="Q69" s="1310">
        <f t="shared" si="95"/>
        <v>0</v>
      </c>
      <c r="R69" s="1310">
        <f t="shared" si="79"/>
        <v>0</v>
      </c>
      <c r="S69" s="1310">
        <f t="shared" si="80"/>
        <v>0</v>
      </c>
      <c r="T69" s="1310">
        <f t="shared" si="81"/>
        <v>0</v>
      </c>
      <c r="U69" s="1310">
        <f t="shared" si="82"/>
        <v>0</v>
      </c>
      <c r="V69" s="1310">
        <f t="shared" si="83"/>
        <v>0</v>
      </c>
      <c r="W69" s="1310">
        <f t="shared" si="84"/>
        <v>0</v>
      </c>
      <c r="X69" s="1310">
        <f t="shared" si="85"/>
        <v>1</v>
      </c>
      <c r="Y69" s="1310">
        <f t="shared" si="86"/>
        <v>0</v>
      </c>
      <c r="Z69" s="1310">
        <f t="shared" si="87"/>
        <v>0</v>
      </c>
      <c r="AA69" s="1310">
        <f t="shared" si="88"/>
        <v>0</v>
      </c>
      <c r="AB69" s="1310">
        <f t="shared" si="89"/>
        <v>0</v>
      </c>
      <c r="AC69" s="1310">
        <f t="shared" si="90"/>
        <v>1</v>
      </c>
      <c r="AD69" s="1310">
        <f t="shared" si="91"/>
        <v>0</v>
      </c>
      <c r="AE69" s="1310">
        <f t="shared" si="92"/>
        <v>0</v>
      </c>
      <c r="AF69" s="1310">
        <f t="shared" si="93"/>
        <v>1</v>
      </c>
      <c r="AG69" s="1701">
        <f t="shared" si="94"/>
        <v>0</v>
      </c>
      <c r="AH69" s="1712"/>
      <c r="AI69" s="1712"/>
      <c r="AJ69" s="1712"/>
      <c r="AK69" s="1712"/>
      <c r="AL69" s="1712"/>
      <c r="AM69" s="1712"/>
      <c r="AN69" s="1712"/>
      <c r="AO69" s="1712"/>
      <c r="AP69" s="1712"/>
      <c r="AQ69" s="1712">
        <v>2</v>
      </c>
      <c r="AR69" s="1712"/>
      <c r="AS69" s="1712"/>
      <c r="AT69" s="1712"/>
      <c r="AU69" s="1712"/>
      <c r="AV69" s="1712"/>
      <c r="AW69" s="1712"/>
      <c r="AX69" s="1712"/>
      <c r="AY69" s="1712"/>
      <c r="AZ69" s="1712"/>
      <c r="BA69" s="1712"/>
      <c r="BB69" s="1712"/>
      <c r="BC69" s="1712"/>
      <c r="BD69" s="1712">
        <v>1</v>
      </c>
      <c r="BE69" s="1712"/>
      <c r="BF69" s="1712"/>
      <c r="BG69" s="1712"/>
      <c r="BH69" s="1712"/>
      <c r="BI69" s="1712">
        <v>1</v>
      </c>
      <c r="BJ69" s="1712"/>
      <c r="BK69" s="1712"/>
      <c r="BL69" s="1712">
        <v>1</v>
      </c>
      <c r="BM69" s="1712"/>
      <c r="BN69" s="1703"/>
      <c r="BO69" s="1318"/>
      <c r="BP69" s="1318"/>
      <c r="BQ69" s="1318"/>
      <c r="BR69" s="1318"/>
      <c r="BS69" s="1318"/>
      <c r="BT69" s="1318"/>
      <c r="BU69" s="1318"/>
      <c r="BV69" s="1318"/>
      <c r="BW69" s="1318"/>
      <c r="BX69" s="1318"/>
      <c r="BY69" s="1318"/>
      <c r="BZ69" s="1318"/>
      <c r="CA69" s="1318"/>
      <c r="CB69" s="1704"/>
      <c r="CC69" s="1703"/>
      <c r="CD69" s="1318"/>
      <c r="CE69" s="1318"/>
      <c r="CF69" s="1318"/>
      <c r="CG69" s="1318"/>
      <c r="CH69" s="1710"/>
      <c r="CI69" s="1703"/>
      <c r="CJ69" s="1318"/>
      <c r="CK69" s="1318"/>
      <c r="CL69" s="1318"/>
      <c r="CM69" s="1318"/>
      <c r="CN69" s="1318"/>
      <c r="CO69" s="1318"/>
      <c r="CP69" s="1318"/>
      <c r="CQ69" s="1318"/>
      <c r="CR69" s="1704"/>
      <c r="CS69" s="262">
        <f t="shared" si="96"/>
        <v>3</v>
      </c>
      <c r="CT69" s="262">
        <f t="shared" si="97"/>
        <v>3</v>
      </c>
      <c r="CU69" s="358">
        <f t="shared" si="98"/>
        <v>3</v>
      </c>
      <c r="CV69" s="358">
        <f t="shared" si="99"/>
        <v>6</v>
      </c>
    </row>
    <row r="70" spans="1:100">
      <c r="A70" s="1309">
        <v>45139</v>
      </c>
      <c r="B70" s="1310">
        <f t="shared" si="65"/>
        <v>0</v>
      </c>
      <c r="C70" s="1310">
        <f t="shared" si="66"/>
        <v>1</v>
      </c>
      <c r="D70" s="1310">
        <f t="shared" si="67"/>
        <v>0</v>
      </c>
      <c r="E70" s="1310">
        <f t="shared" si="68"/>
        <v>0</v>
      </c>
      <c r="F70" s="1310">
        <f t="shared" si="69"/>
        <v>0</v>
      </c>
      <c r="G70" s="1310">
        <f t="shared" si="70"/>
        <v>0</v>
      </c>
      <c r="H70" s="1310">
        <f t="shared" si="71"/>
        <v>1</v>
      </c>
      <c r="I70" s="1310">
        <f t="shared" si="72"/>
        <v>0</v>
      </c>
      <c r="J70" s="1310">
        <f t="shared" si="73"/>
        <v>0</v>
      </c>
      <c r="K70" s="1310">
        <f t="shared" si="74"/>
        <v>2</v>
      </c>
      <c r="L70" s="1310">
        <f t="shared" si="75"/>
        <v>0</v>
      </c>
      <c r="M70" s="1310">
        <f t="shared" si="76"/>
        <v>0</v>
      </c>
      <c r="N70" s="1310">
        <f t="shared" si="77"/>
        <v>0</v>
      </c>
      <c r="O70" s="1310">
        <f t="shared" si="78"/>
        <v>0</v>
      </c>
      <c r="P70" s="1310">
        <f t="shared" si="78"/>
        <v>0</v>
      </c>
      <c r="Q70" s="1310">
        <f t="shared" si="95"/>
        <v>0</v>
      </c>
      <c r="R70" s="1310">
        <f t="shared" si="79"/>
        <v>0</v>
      </c>
      <c r="S70" s="1310">
        <f t="shared" si="80"/>
        <v>0</v>
      </c>
      <c r="T70" s="1310">
        <f t="shared" si="81"/>
        <v>1</v>
      </c>
      <c r="U70" s="1310">
        <f t="shared" si="82"/>
        <v>0</v>
      </c>
      <c r="V70" s="1310">
        <f t="shared" si="83"/>
        <v>0</v>
      </c>
      <c r="W70" s="1310">
        <f t="shared" si="84"/>
        <v>0</v>
      </c>
      <c r="X70" s="1310">
        <f t="shared" si="85"/>
        <v>0</v>
      </c>
      <c r="Y70" s="1310">
        <f t="shared" si="86"/>
        <v>0</v>
      </c>
      <c r="Z70" s="1310">
        <f t="shared" si="87"/>
        <v>0</v>
      </c>
      <c r="AA70" s="1310">
        <f t="shared" si="88"/>
        <v>0</v>
      </c>
      <c r="AB70" s="1310">
        <f t="shared" si="89"/>
        <v>0</v>
      </c>
      <c r="AC70" s="1310">
        <f t="shared" si="90"/>
        <v>0</v>
      </c>
      <c r="AD70" s="1310">
        <f t="shared" si="91"/>
        <v>1</v>
      </c>
      <c r="AE70" s="1310">
        <f t="shared" si="92"/>
        <v>0</v>
      </c>
      <c r="AF70" s="1310">
        <f t="shared" si="93"/>
        <v>0</v>
      </c>
      <c r="AG70" s="1701">
        <f t="shared" si="94"/>
        <v>0</v>
      </c>
      <c r="AH70" s="1712"/>
      <c r="AI70" s="1712">
        <v>1</v>
      </c>
      <c r="AJ70" s="1712"/>
      <c r="AK70" s="1712"/>
      <c r="AL70" s="1712"/>
      <c r="AM70" s="1712"/>
      <c r="AN70" s="1712">
        <v>1</v>
      </c>
      <c r="AO70" s="1712"/>
      <c r="AP70" s="1712"/>
      <c r="AQ70" s="1712">
        <v>2</v>
      </c>
      <c r="AR70" s="1712"/>
      <c r="AS70" s="1712"/>
      <c r="AT70" s="1712"/>
      <c r="AU70" s="1712"/>
      <c r="AV70" s="1712"/>
      <c r="AW70" s="1712"/>
      <c r="AX70" s="1712"/>
      <c r="AY70" s="1712"/>
      <c r="AZ70" s="1712">
        <v>1</v>
      </c>
      <c r="BA70" s="1712"/>
      <c r="BB70" s="1712"/>
      <c r="BC70" s="1712"/>
      <c r="BD70" s="1712"/>
      <c r="BE70" s="1712"/>
      <c r="BF70" s="1712"/>
      <c r="BG70" s="1712"/>
      <c r="BH70" s="1712"/>
      <c r="BI70" s="1712"/>
      <c r="BJ70" s="1712">
        <v>1</v>
      </c>
      <c r="BK70" s="1712"/>
      <c r="BL70" s="1712"/>
      <c r="BM70" s="1712"/>
      <c r="BN70" s="1703"/>
      <c r="BO70" s="1318"/>
      <c r="BP70" s="1318"/>
      <c r="BQ70" s="1318"/>
      <c r="BR70" s="1318"/>
      <c r="BS70" s="1318"/>
      <c r="BT70" s="1318"/>
      <c r="BU70" s="1318"/>
      <c r="BV70" s="1318"/>
      <c r="BW70" s="1318"/>
      <c r="BX70" s="1318"/>
      <c r="BY70" s="1318"/>
      <c r="BZ70" s="1318"/>
      <c r="CA70" s="1318"/>
      <c r="CB70" s="1704"/>
      <c r="CC70" s="1703"/>
      <c r="CD70" s="1318"/>
      <c r="CE70" s="1318"/>
      <c r="CF70" s="1318"/>
      <c r="CG70" s="1318"/>
      <c r="CH70" s="1710"/>
      <c r="CI70" s="1703"/>
      <c r="CJ70" s="1318"/>
      <c r="CK70" s="1318"/>
      <c r="CL70" s="1318"/>
      <c r="CM70" s="1318"/>
      <c r="CN70" s="1318"/>
      <c r="CO70" s="1318"/>
      <c r="CP70" s="1318"/>
      <c r="CQ70" s="1318"/>
      <c r="CR70" s="1704"/>
      <c r="CS70" s="262">
        <f t="shared" si="96"/>
        <v>5</v>
      </c>
      <c r="CT70" s="262">
        <f>+CS70+BC70+CH70</f>
        <v>5</v>
      </c>
      <c r="CU70" s="358">
        <f t="shared" si="98"/>
        <v>1</v>
      </c>
      <c r="CV70" s="358">
        <f t="shared" si="99"/>
        <v>6</v>
      </c>
    </row>
    <row r="71" spans="1:100">
      <c r="A71" s="1309">
        <v>45170</v>
      </c>
      <c r="B71" s="1310">
        <f t="shared" si="65"/>
        <v>0</v>
      </c>
      <c r="C71" s="1310">
        <f t="shared" si="66"/>
        <v>0</v>
      </c>
      <c r="D71" s="1310">
        <f t="shared" si="67"/>
        <v>0</v>
      </c>
      <c r="E71" s="1310">
        <f t="shared" si="68"/>
        <v>0</v>
      </c>
      <c r="F71" s="1310">
        <f t="shared" si="69"/>
        <v>0</v>
      </c>
      <c r="G71" s="1310">
        <f t="shared" si="70"/>
        <v>0</v>
      </c>
      <c r="H71" s="1310">
        <f t="shared" si="71"/>
        <v>0</v>
      </c>
      <c r="I71" s="1310">
        <f t="shared" si="72"/>
        <v>0</v>
      </c>
      <c r="J71" s="1310">
        <f t="shared" si="73"/>
        <v>0</v>
      </c>
      <c r="K71" s="1310">
        <f t="shared" si="74"/>
        <v>0</v>
      </c>
      <c r="L71" s="1310">
        <f t="shared" si="75"/>
        <v>1</v>
      </c>
      <c r="M71" s="1310">
        <f t="shared" si="76"/>
        <v>0</v>
      </c>
      <c r="N71" s="1310">
        <f t="shared" si="77"/>
        <v>0</v>
      </c>
      <c r="O71" s="1310">
        <f t="shared" si="78"/>
        <v>0</v>
      </c>
      <c r="P71" s="1310">
        <f t="shared" si="78"/>
        <v>0</v>
      </c>
      <c r="Q71" s="1310">
        <f t="shared" si="95"/>
        <v>0</v>
      </c>
      <c r="R71" s="1310">
        <f t="shared" si="79"/>
        <v>0</v>
      </c>
      <c r="S71" s="1310">
        <f t="shared" si="80"/>
        <v>0</v>
      </c>
      <c r="T71" s="1310">
        <f t="shared" si="81"/>
        <v>0</v>
      </c>
      <c r="U71" s="1310">
        <f t="shared" si="82"/>
        <v>0</v>
      </c>
      <c r="V71" s="1310">
        <f t="shared" si="83"/>
        <v>0</v>
      </c>
      <c r="W71" s="1310">
        <f t="shared" si="84"/>
        <v>1</v>
      </c>
      <c r="X71" s="1310">
        <f t="shared" si="85"/>
        <v>0</v>
      </c>
      <c r="Y71" s="1310">
        <f t="shared" si="86"/>
        <v>0</v>
      </c>
      <c r="Z71" s="1310">
        <f t="shared" si="87"/>
        <v>0</v>
      </c>
      <c r="AA71" s="1310">
        <f t="shared" si="88"/>
        <v>0</v>
      </c>
      <c r="AB71" s="1310">
        <f t="shared" si="89"/>
        <v>0</v>
      </c>
      <c r="AC71" s="1310">
        <f t="shared" si="90"/>
        <v>0</v>
      </c>
      <c r="AD71" s="1310">
        <f t="shared" si="91"/>
        <v>0</v>
      </c>
      <c r="AE71" s="1310">
        <f t="shared" si="92"/>
        <v>0</v>
      </c>
      <c r="AF71" s="1310">
        <f t="shared" si="93"/>
        <v>0</v>
      </c>
      <c r="AG71" s="1701">
        <f t="shared" si="94"/>
        <v>0</v>
      </c>
      <c r="AH71" s="1712"/>
      <c r="AI71" s="1712"/>
      <c r="AJ71" s="1712"/>
      <c r="AK71" s="1712"/>
      <c r="AL71" s="1712"/>
      <c r="AM71" s="1712"/>
      <c r="AN71" s="1712"/>
      <c r="AO71" s="1712"/>
      <c r="AP71" s="1712"/>
      <c r="AQ71" s="1712"/>
      <c r="AR71" s="1712">
        <v>1</v>
      </c>
      <c r="AS71" s="1712"/>
      <c r="AT71" s="1712"/>
      <c r="AU71" s="1712"/>
      <c r="AV71" s="1712"/>
      <c r="AW71" s="1712"/>
      <c r="AX71" s="1712"/>
      <c r="AY71" s="1712"/>
      <c r="AZ71" s="1712"/>
      <c r="BA71" s="1712"/>
      <c r="BB71" s="1712"/>
      <c r="BC71" s="1712">
        <v>1</v>
      </c>
      <c r="BD71" s="1712"/>
      <c r="BE71" s="1712"/>
      <c r="BF71" s="1712"/>
      <c r="BG71" s="1712"/>
      <c r="BH71" s="1712"/>
      <c r="BI71" s="1712"/>
      <c r="BJ71" s="1712"/>
      <c r="BK71" s="1712"/>
      <c r="BL71" s="1712"/>
      <c r="BM71" s="1712"/>
      <c r="BN71" s="1703"/>
      <c r="BO71" s="1318"/>
      <c r="BP71" s="1318"/>
      <c r="BQ71" s="1318"/>
      <c r="BR71" s="1318"/>
      <c r="BS71" s="1318"/>
      <c r="BT71" s="1318"/>
      <c r="BU71" s="1318"/>
      <c r="BV71" s="1318"/>
      <c r="BW71" s="1318"/>
      <c r="BX71" s="1318"/>
      <c r="BY71" s="1318"/>
      <c r="BZ71" s="1318"/>
      <c r="CA71" s="1318"/>
      <c r="CB71" s="1704"/>
      <c r="CC71" s="1703"/>
      <c r="CD71" s="1318"/>
      <c r="CE71" s="1318"/>
      <c r="CF71" s="1318"/>
      <c r="CG71" s="1318"/>
      <c r="CH71" s="1710"/>
      <c r="CI71" s="1703"/>
      <c r="CJ71" s="1318"/>
      <c r="CK71" s="1318"/>
      <c r="CL71" s="1318"/>
      <c r="CM71" s="1318"/>
      <c r="CN71" s="1318"/>
      <c r="CO71" s="1318"/>
      <c r="CP71" s="1318"/>
      <c r="CQ71" s="1318"/>
      <c r="CR71" s="1704"/>
      <c r="CS71" s="262">
        <f t="shared" si="96"/>
        <v>1</v>
      </c>
      <c r="CT71" s="262">
        <f t="shared" si="97"/>
        <v>2</v>
      </c>
      <c r="CU71" s="358">
        <f t="shared" si="98"/>
        <v>0</v>
      </c>
      <c r="CV71" s="358">
        <f t="shared" si="99"/>
        <v>2</v>
      </c>
    </row>
    <row r="72" spans="1:100">
      <c r="A72" s="1309">
        <v>45200</v>
      </c>
      <c r="B72" s="1310">
        <f t="shared" si="65"/>
        <v>0</v>
      </c>
      <c r="C72" s="1310">
        <f t="shared" si="66"/>
        <v>0</v>
      </c>
      <c r="D72" s="1310">
        <f t="shared" si="67"/>
        <v>1</v>
      </c>
      <c r="E72" s="1310">
        <f t="shared" si="68"/>
        <v>0</v>
      </c>
      <c r="F72" s="1310">
        <f t="shared" si="69"/>
        <v>0</v>
      </c>
      <c r="G72" s="1310">
        <f t="shared" si="70"/>
        <v>0</v>
      </c>
      <c r="H72" s="1310">
        <f t="shared" si="71"/>
        <v>0</v>
      </c>
      <c r="I72" s="1310">
        <f t="shared" si="72"/>
        <v>0</v>
      </c>
      <c r="J72" s="1310">
        <f t="shared" si="73"/>
        <v>0</v>
      </c>
      <c r="K72" s="1310">
        <f t="shared" si="74"/>
        <v>0</v>
      </c>
      <c r="L72" s="1310">
        <f t="shared" si="75"/>
        <v>1</v>
      </c>
      <c r="M72" s="1310">
        <f t="shared" si="76"/>
        <v>0</v>
      </c>
      <c r="N72" s="1310">
        <f t="shared" si="77"/>
        <v>0</v>
      </c>
      <c r="O72" s="1310">
        <f t="shared" si="78"/>
        <v>0</v>
      </c>
      <c r="P72" s="1310">
        <f t="shared" si="78"/>
        <v>0</v>
      </c>
      <c r="Q72" s="1310">
        <f t="shared" si="95"/>
        <v>0</v>
      </c>
      <c r="R72" s="1310">
        <f t="shared" si="79"/>
        <v>0</v>
      </c>
      <c r="S72" s="1310">
        <f t="shared" si="80"/>
        <v>0</v>
      </c>
      <c r="T72" s="1310">
        <f t="shared" si="81"/>
        <v>0</v>
      </c>
      <c r="U72" s="1310">
        <f t="shared" si="82"/>
        <v>0</v>
      </c>
      <c r="V72" s="1310">
        <f t="shared" si="83"/>
        <v>0</v>
      </c>
      <c r="W72" s="1310">
        <f t="shared" si="84"/>
        <v>2</v>
      </c>
      <c r="X72" s="1310">
        <f t="shared" si="85"/>
        <v>0</v>
      </c>
      <c r="Y72" s="1310">
        <f t="shared" si="86"/>
        <v>0</v>
      </c>
      <c r="Z72" s="1310">
        <f t="shared" si="87"/>
        <v>0</v>
      </c>
      <c r="AA72" s="1310">
        <f t="shared" si="88"/>
        <v>0</v>
      </c>
      <c r="AB72" s="1310">
        <f t="shared" si="89"/>
        <v>0</v>
      </c>
      <c r="AC72" s="1310">
        <f t="shared" si="90"/>
        <v>0</v>
      </c>
      <c r="AD72" s="1310">
        <f t="shared" si="91"/>
        <v>0</v>
      </c>
      <c r="AE72" s="1310">
        <f t="shared" si="92"/>
        <v>0</v>
      </c>
      <c r="AF72" s="1310">
        <f t="shared" si="93"/>
        <v>0</v>
      </c>
      <c r="AG72" s="1701">
        <f t="shared" si="94"/>
        <v>0</v>
      </c>
      <c r="AH72" s="1712"/>
      <c r="AI72" s="1712"/>
      <c r="AJ72" s="1712">
        <v>1</v>
      </c>
      <c r="AK72" s="1712"/>
      <c r="AL72" s="1712"/>
      <c r="AM72" s="1712"/>
      <c r="AN72" s="1712"/>
      <c r="AO72" s="1712"/>
      <c r="AP72" s="1712"/>
      <c r="AQ72" s="1712"/>
      <c r="AR72" s="1712">
        <v>1</v>
      </c>
      <c r="AS72" s="1712"/>
      <c r="AT72" s="1712"/>
      <c r="AU72" s="1712"/>
      <c r="AV72" s="1712"/>
      <c r="AW72" s="1712"/>
      <c r="AX72" s="1712"/>
      <c r="AY72" s="1712"/>
      <c r="AZ72" s="1712"/>
      <c r="BA72" s="1712"/>
      <c r="BB72" s="1712"/>
      <c r="BC72" s="1712">
        <v>2</v>
      </c>
      <c r="BD72" s="1712"/>
      <c r="BE72" s="1712"/>
      <c r="BF72" s="1712"/>
      <c r="BG72" s="1712"/>
      <c r="BH72" s="1712"/>
      <c r="BI72" s="1712"/>
      <c r="BJ72" s="1712"/>
      <c r="BK72" s="1712"/>
      <c r="BL72" s="1712"/>
      <c r="BM72" s="1712"/>
      <c r="BN72" s="1703"/>
      <c r="BO72" s="1318"/>
      <c r="BP72" s="1318"/>
      <c r="BQ72" s="1318"/>
      <c r="BR72" s="1318"/>
      <c r="BS72" s="1318"/>
      <c r="BT72" s="1318"/>
      <c r="BU72" s="1318"/>
      <c r="BV72" s="1318"/>
      <c r="BW72" s="1318"/>
      <c r="BX72" s="1318"/>
      <c r="BY72" s="1318"/>
      <c r="BZ72" s="1318"/>
      <c r="CA72" s="1318"/>
      <c r="CB72" s="1704"/>
      <c r="CC72" s="1703"/>
      <c r="CD72" s="1318"/>
      <c r="CE72" s="1318"/>
      <c r="CF72" s="1318"/>
      <c r="CG72" s="1318"/>
      <c r="CH72" s="1710"/>
      <c r="CI72" s="1703"/>
      <c r="CJ72" s="1318"/>
      <c r="CK72" s="1318"/>
      <c r="CL72" s="1318"/>
      <c r="CM72" s="1318"/>
      <c r="CN72" s="1318"/>
      <c r="CO72" s="1318"/>
      <c r="CP72" s="1318"/>
      <c r="CQ72" s="1318"/>
      <c r="CR72" s="1704"/>
      <c r="CS72" s="262">
        <f t="shared" si="96"/>
        <v>2</v>
      </c>
      <c r="CT72" s="262">
        <f t="shared" si="97"/>
        <v>4</v>
      </c>
      <c r="CU72" s="358">
        <f t="shared" si="98"/>
        <v>0</v>
      </c>
      <c r="CV72" s="358">
        <f t="shared" si="99"/>
        <v>4</v>
      </c>
    </row>
    <row r="73" spans="1:100">
      <c r="A73" s="1309">
        <v>45231</v>
      </c>
      <c r="B73" s="1310">
        <f t="shared" si="65"/>
        <v>0</v>
      </c>
      <c r="C73" s="1310">
        <f t="shared" si="66"/>
        <v>0</v>
      </c>
      <c r="D73" s="1310">
        <f t="shared" si="67"/>
        <v>0</v>
      </c>
      <c r="E73" s="1310">
        <f t="shared" si="68"/>
        <v>0</v>
      </c>
      <c r="F73" s="1310">
        <f t="shared" si="69"/>
        <v>0</v>
      </c>
      <c r="G73" s="1310">
        <f t="shared" si="70"/>
        <v>0</v>
      </c>
      <c r="H73" s="1310">
        <f t="shared" si="71"/>
        <v>0</v>
      </c>
      <c r="I73" s="1310">
        <f t="shared" si="72"/>
        <v>0</v>
      </c>
      <c r="J73" s="1310">
        <f t="shared" si="73"/>
        <v>0</v>
      </c>
      <c r="K73" s="1310">
        <f t="shared" si="74"/>
        <v>0</v>
      </c>
      <c r="L73" s="1310">
        <f t="shared" si="75"/>
        <v>0</v>
      </c>
      <c r="M73" s="1310">
        <f t="shared" si="76"/>
        <v>0</v>
      </c>
      <c r="N73" s="1310">
        <f t="shared" si="77"/>
        <v>0</v>
      </c>
      <c r="O73" s="1310">
        <f t="shared" si="78"/>
        <v>0</v>
      </c>
      <c r="P73" s="1310">
        <f t="shared" si="78"/>
        <v>0</v>
      </c>
      <c r="Q73" s="1310">
        <f t="shared" si="95"/>
        <v>0</v>
      </c>
      <c r="R73" s="1310">
        <f t="shared" si="79"/>
        <v>0</v>
      </c>
      <c r="S73" s="1310">
        <f t="shared" si="80"/>
        <v>0</v>
      </c>
      <c r="T73" s="1310">
        <f t="shared" si="81"/>
        <v>0</v>
      </c>
      <c r="U73" s="1310">
        <f t="shared" si="82"/>
        <v>0</v>
      </c>
      <c r="V73" s="1310">
        <f t="shared" si="83"/>
        <v>0</v>
      </c>
      <c r="W73" s="1310">
        <f t="shared" si="84"/>
        <v>2</v>
      </c>
      <c r="X73" s="1310">
        <f t="shared" si="85"/>
        <v>0</v>
      </c>
      <c r="Y73" s="1310">
        <f t="shared" si="86"/>
        <v>0</v>
      </c>
      <c r="Z73" s="1310">
        <f t="shared" si="87"/>
        <v>0</v>
      </c>
      <c r="AA73" s="1310">
        <f t="shared" si="88"/>
        <v>0</v>
      </c>
      <c r="AB73" s="1310">
        <f t="shared" si="89"/>
        <v>0</v>
      </c>
      <c r="AC73" s="1310">
        <f t="shared" si="90"/>
        <v>0</v>
      </c>
      <c r="AD73" s="1310">
        <f t="shared" si="91"/>
        <v>0</v>
      </c>
      <c r="AE73" s="1310">
        <f t="shared" si="92"/>
        <v>0</v>
      </c>
      <c r="AF73" s="1310">
        <f t="shared" si="93"/>
        <v>0</v>
      </c>
      <c r="AG73" s="1701">
        <f t="shared" si="94"/>
        <v>0</v>
      </c>
      <c r="AH73" s="1712"/>
      <c r="AI73" s="1712"/>
      <c r="AJ73" s="1712"/>
      <c r="AK73" s="1712"/>
      <c r="AL73" s="1712"/>
      <c r="AM73" s="1712"/>
      <c r="AN73" s="1712"/>
      <c r="AO73" s="1712"/>
      <c r="AP73" s="1712"/>
      <c r="AQ73" s="1712"/>
      <c r="AR73" s="1712"/>
      <c r="AS73" s="1712"/>
      <c r="AT73" s="1712"/>
      <c r="AU73" s="1712"/>
      <c r="AV73" s="1712"/>
      <c r="AW73" s="1712"/>
      <c r="AX73" s="1712"/>
      <c r="AY73" s="1712"/>
      <c r="AZ73" s="1712"/>
      <c r="BA73" s="1712"/>
      <c r="BB73" s="1712"/>
      <c r="BC73" s="1712">
        <v>2</v>
      </c>
      <c r="BD73" s="1712"/>
      <c r="BE73" s="1712"/>
      <c r="BF73" s="1712"/>
      <c r="BG73" s="1712"/>
      <c r="BH73" s="1712"/>
      <c r="BI73" s="1712"/>
      <c r="BJ73" s="1712"/>
      <c r="BK73" s="1712"/>
      <c r="BL73" s="1712"/>
      <c r="BM73" s="1712"/>
      <c r="BN73" s="1703"/>
      <c r="BO73" s="1318"/>
      <c r="BP73" s="1318"/>
      <c r="BQ73" s="1318"/>
      <c r="BR73" s="1318"/>
      <c r="BS73" s="1318"/>
      <c r="BT73" s="1318"/>
      <c r="BU73" s="1318"/>
      <c r="BV73" s="1318"/>
      <c r="BW73" s="1318"/>
      <c r="BX73" s="1318"/>
      <c r="BY73" s="1318"/>
      <c r="BZ73" s="1318"/>
      <c r="CA73" s="1318"/>
      <c r="CB73" s="1704"/>
      <c r="CC73" s="1703"/>
      <c r="CD73" s="1318"/>
      <c r="CE73" s="1318"/>
      <c r="CF73" s="1318"/>
      <c r="CG73" s="1318"/>
      <c r="CH73" s="1710"/>
      <c r="CI73" s="1703"/>
      <c r="CJ73" s="1318"/>
      <c r="CK73" s="1318"/>
      <c r="CL73" s="1318"/>
      <c r="CM73" s="1318"/>
      <c r="CN73" s="1318"/>
      <c r="CO73" s="1318"/>
      <c r="CP73" s="1318"/>
      <c r="CQ73" s="1318"/>
      <c r="CR73" s="1704"/>
      <c r="CS73" s="262">
        <f t="shared" si="96"/>
        <v>0</v>
      </c>
      <c r="CT73" s="262">
        <f t="shared" si="97"/>
        <v>2</v>
      </c>
      <c r="CU73" s="358">
        <f t="shared" si="98"/>
        <v>0</v>
      </c>
      <c r="CV73" s="358">
        <f t="shared" si="99"/>
        <v>2</v>
      </c>
    </row>
    <row r="74" spans="1:100" ht="13.8" thickBot="1">
      <c r="A74" s="1309">
        <v>45261</v>
      </c>
      <c r="B74" s="1310">
        <f t="shared" si="65"/>
        <v>0</v>
      </c>
      <c r="C74" s="1310">
        <f t="shared" si="66"/>
        <v>0</v>
      </c>
      <c r="D74" s="1310">
        <f t="shared" si="67"/>
        <v>0</v>
      </c>
      <c r="E74" s="1310">
        <f t="shared" si="68"/>
        <v>1</v>
      </c>
      <c r="F74" s="1310">
        <f t="shared" si="69"/>
        <v>0</v>
      </c>
      <c r="G74" s="1310">
        <f t="shared" si="70"/>
        <v>0</v>
      </c>
      <c r="H74" s="1310">
        <f t="shared" si="71"/>
        <v>0</v>
      </c>
      <c r="I74" s="1310">
        <f t="shared" si="72"/>
        <v>0</v>
      </c>
      <c r="J74" s="1310">
        <f t="shared" si="73"/>
        <v>0</v>
      </c>
      <c r="K74" s="1310">
        <f t="shared" si="74"/>
        <v>0</v>
      </c>
      <c r="L74" s="1310">
        <f t="shared" si="75"/>
        <v>0</v>
      </c>
      <c r="M74" s="1310">
        <f t="shared" si="76"/>
        <v>0</v>
      </c>
      <c r="N74" s="1310">
        <f t="shared" si="77"/>
        <v>0</v>
      </c>
      <c r="O74" s="1310">
        <f t="shared" si="78"/>
        <v>0</v>
      </c>
      <c r="P74" s="1310">
        <f t="shared" si="78"/>
        <v>0</v>
      </c>
      <c r="Q74" s="1310">
        <f t="shared" si="95"/>
        <v>0</v>
      </c>
      <c r="R74" s="1310">
        <f t="shared" si="79"/>
        <v>0</v>
      </c>
      <c r="S74" s="1310">
        <f t="shared" si="80"/>
        <v>0</v>
      </c>
      <c r="T74" s="1310">
        <f t="shared" si="81"/>
        <v>0</v>
      </c>
      <c r="U74" s="1310">
        <f t="shared" si="82"/>
        <v>0</v>
      </c>
      <c r="V74" s="1310">
        <f t="shared" si="83"/>
        <v>0</v>
      </c>
      <c r="W74" s="1310">
        <f t="shared" si="84"/>
        <v>1</v>
      </c>
      <c r="X74" s="1310">
        <f t="shared" si="85"/>
        <v>3</v>
      </c>
      <c r="Y74" s="1310">
        <f t="shared" si="86"/>
        <v>0</v>
      </c>
      <c r="Z74" s="1310">
        <f t="shared" si="87"/>
        <v>0</v>
      </c>
      <c r="AA74" s="1310">
        <f t="shared" si="88"/>
        <v>0</v>
      </c>
      <c r="AB74" s="1310">
        <f t="shared" si="89"/>
        <v>0</v>
      </c>
      <c r="AC74" s="1310">
        <f t="shared" si="90"/>
        <v>0</v>
      </c>
      <c r="AD74" s="1310">
        <f t="shared" si="91"/>
        <v>0</v>
      </c>
      <c r="AE74" s="1310">
        <f t="shared" si="92"/>
        <v>1</v>
      </c>
      <c r="AF74" s="1310">
        <f t="shared" si="93"/>
        <v>0</v>
      </c>
      <c r="AG74" s="1701">
        <f t="shared" si="94"/>
        <v>0</v>
      </c>
      <c r="AH74" s="1712"/>
      <c r="AI74" s="1712"/>
      <c r="AJ74" s="1712"/>
      <c r="AK74" s="1712">
        <v>1</v>
      </c>
      <c r="AL74" s="1712"/>
      <c r="AM74" s="1712"/>
      <c r="AN74" s="1712"/>
      <c r="AO74" s="1712"/>
      <c r="AP74" s="1712"/>
      <c r="AQ74" s="1712"/>
      <c r="AR74" s="1712"/>
      <c r="AS74" s="1712"/>
      <c r="AT74" s="1712"/>
      <c r="AU74" s="1712"/>
      <c r="AV74" s="1712"/>
      <c r="AW74" s="1712"/>
      <c r="AX74" s="1712"/>
      <c r="AY74" s="1712"/>
      <c r="AZ74" s="1712"/>
      <c r="BA74" s="1712"/>
      <c r="BB74" s="1712"/>
      <c r="BC74" s="1712">
        <v>1</v>
      </c>
      <c r="BD74" s="1712">
        <v>3</v>
      </c>
      <c r="BE74" s="1712"/>
      <c r="BF74" s="1712"/>
      <c r="BG74" s="1712"/>
      <c r="BH74" s="1712"/>
      <c r="BI74" s="1712"/>
      <c r="BJ74" s="1712"/>
      <c r="BK74" s="1712">
        <v>1</v>
      </c>
      <c r="BL74" s="1712"/>
      <c r="BM74" s="1712"/>
      <c r="BN74" s="1849"/>
      <c r="BO74" s="1850"/>
      <c r="BP74" s="1850"/>
      <c r="BQ74" s="1850"/>
      <c r="BR74" s="1850"/>
      <c r="BS74" s="1850"/>
      <c r="BT74" s="1850"/>
      <c r="BU74" s="1850"/>
      <c r="BV74" s="1850"/>
      <c r="BW74" s="1850"/>
      <c r="BX74" s="1850"/>
      <c r="BY74" s="1850"/>
      <c r="BZ74" s="1850"/>
      <c r="CA74" s="1850"/>
      <c r="CB74" s="1851"/>
      <c r="CC74" s="1849"/>
      <c r="CD74" s="1850"/>
      <c r="CE74" s="1850"/>
      <c r="CF74" s="1850"/>
      <c r="CG74" s="1850"/>
      <c r="CH74" s="1852"/>
      <c r="CI74" s="1849"/>
      <c r="CJ74" s="1850"/>
      <c r="CK74" s="1850"/>
      <c r="CL74" s="1850"/>
      <c r="CM74" s="1850"/>
      <c r="CN74" s="1850"/>
      <c r="CO74" s="1850"/>
      <c r="CP74" s="1850"/>
      <c r="CQ74" s="1850"/>
      <c r="CR74" s="1851"/>
      <c r="CS74" s="262">
        <f t="shared" si="96"/>
        <v>1</v>
      </c>
      <c r="CT74" s="262">
        <f t="shared" si="97"/>
        <v>2</v>
      </c>
      <c r="CU74" s="358">
        <f t="shared" si="98"/>
        <v>4</v>
      </c>
      <c r="CV74" s="358">
        <f t="shared" si="99"/>
        <v>6</v>
      </c>
    </row>
    <row r="75" spans="1:100">
      <c r="A75" s="1315" t="s">
        <v>5176</v>
      </c>
      <c r="B75" s="262">
        <f>SUM(B63:B74)</f>
        <v>0</v>
      </c>
      <c r="C75" s="262">
        <f t="shared" ref="C75:AG75" si="100">SUM(C63:C74)</f>
        <v>1</v>
      </c>
      <c r="D75" s="262">
        <f t="shared" si="100"/>
        <v>2</v>
      </c>
      <c r="E75" s="262">
        <f t="shared" si="100"/>
        <v>1</v>
      </c>
      <c r="F75" s="262">
        <f t="shared" si="100"/>
        <v>0</v>
      </c>
      <c r="G75" s="262">
        <f t="shared" si="100"/>
        <v>0</v>
      </c>
      <c r="H75" s="262">
        <f t="shared" si="100"/>
        <v>1</v>
      </c>
      <c r="I75" s="262">
        <f t="shared" si="100"/>
        <v>0</v>
      </c>
      <c r="J75" s="262">
        <f t="shared" si="100"/>
        <v>0</v>
      </c>
      <c r="K75" s="262">
        <f t="shared" si="100"/>
        <v>5</v>
      </c>
      <c r="L75" s="262">
        <f t="shared" si="100"/>
        <v>2</v>
      </c>
      <c r="M75" s="262">
        <f t="shared" si="100"/>
        <v>0</v>
      </c>
      <c r="N75" s="262">
        <f t="shared" si="100"/>
        <v>0</v>
      </c>
      <c r="O75" s="262">
        <f t="shared" si="100"/>
        <v>2</v>
      </c>
      <c r="P75" s="262">
        <f>SUM(P63:P74)</f>
        <v>0</v>
      </c>
      <c r="Q75" s="262">
        <f t="shared" si="100"/>
        <v>0</v>
      </c>
      <c r="R75" s="262">
        <f t="shared" si="100"/>
        <v>0</v>
      </c>
      <c r="S75" s="262">
        <f t="shared" si="100"/>
        <v>0</v>
      </c>
      <c r="T75" s="262">
        <f t="shared" si="100"/>
        <v>2</v>
      </c>
      <c r="U75" s="262">
        <f t="shared" si="100"/>
        <v>0</v>
      </c>
      <c r="V75" s="262">
        <f t="shared" si="100"/>
        <v>0</v>
      </c>
      <c r="W75" s="262">
        <f t="shared" si="100"/>
        <v>14</v>
      </c>
      <c r="X75" s="262">
        <f t="shared" si="100"/>
        <v>5</v>
      </c>
      <c r="Y75" s="262">
        <f t="shared" si="100"/>
        <v>0</v>
      </c>
      <c r="Z75" s="262">
        <f t="shared" si="100"/>
        <v>0</v>
      </c>
      <c r="AA75" s="262">
        <f t="shared" si="100"/>
        <v>0</v>
      </c>
      <c r="AB75" s="262">
        <f t="shared" si="100"/>
        <v>0</v>
      </c>
      <c r="AC75" s="262">
        <f t="shared" si="100"/>
        <v>3</v>
      </c>
      <c r="AD75" s="262">
        <f t="shared" si="100"/>
        <v>2</v>
      </c>
      <c r="AE75" s="262">
        <f t="shared" si="100"/>
        <v>1</v>
      </c>
      <c r="AF75" s="262">
        <f t="shared" si="100"/>
        <v>1</v>
      </c>
      <c r="AG75" s="262">
        <f t="shared" si="100"/>
        <v>0</v>
      </c>
      <c r="AH75" s="262"/>
      <c r="AI75" s="262"/>
      <c r="AJ75" s="262"/>
      <c r="AK75" s="262"/>
      <c r="AL75" s="262"/>
      <c r="AM75" s="262"/>
      <c r="AN75" s="262"/>
      <c r="AO75" s="262"/>
      <c r="AP75" s="262"/>
      <c r="AQ75" s="262"/>
      <c r="AR75" s="262"/>
      <c r="AS75" s="262"/>
      <c r="AT75" s="262"/>
      <c r="AU75" s="262"/>
      <c r="AV75" s="262"/>
      <c r="AW75" s="262"/>
      <c r="AX75" s="262"/>
      <c r="AY75" s="262"/>
      <c r="AZ75" s="262"/>
      <c r="BA75" s="262"/>
      <c r="BB75" s="262"/>
      <c r="BC75" s="262"/>
      <c r="BD75" s="262"/>
      <c r="BE75" s="262"/>
      <c r="BF75" s="262"/>
      <c r="BG75" s="262"/>
      <c r="BH75" s="262"/>
      <c r="BI75" s="262"/>
      <c r="BJ75" s="262"/>
      <c r="BK75" s="262"/>
      <c r="BL75" s="262"/>
      <c r="BM75" s="262"/>
      <c r="BN75" s="358"/>
      <c r="BO75" s="358"/>
      <c r="BP75" s="358"/>
      <c r="BQ75" s="358"/>
      <c r="BR75" s="358"/>
      <c r="BS75" s="358"/>
      <c r="BT75" s="358"/>
      <c r="BU75" s="358"/>
      <c r="BV75" s="358"/>
      <c r="BW75" s="358"/>
      <c r="BX75" s="358"/>
      <c r="BY75" s="358"/>
      <c r="BZ75" s="358"/>
      <c r="CA75" s="358"/>
      <c r="CB75" s="358"/>
      <c r="CC75" s="358"/>
      <c r="CD75" s="358"/>
      <c r="CE75" s="358"/>
      <c r="CF75" s="358"/>
      <c r="CG75" s="358"/>
      <c r="CH75" s="358"/>
      <c r="CI75" s="358"/>
      <c r="CJ75" s="358"/>
      <c r="CK75" s="358"/>
      <c r="CL75" s="358"/>
      <c r="CM75" s="358"/>
      <c r="CN75" s="358"/>
      <c r="CO75" s="358"/>
      <c r="CP75" s="358"/>
      <c r="CQ75" s="358"/>
      <c r="CR75" s="358"/>
    </row>
    <row r="76" spans="1:100">
      <c r="A76" s="1309" t="s">
        <v>2914</v>
      </c>
      <c r="B76" s="262">
        <f>SUM(B40:B74)</f>
        <v>2</v>
      </c>
      <c r="C76" s="262">
        <f t="shared" ref="C76:AG76" si="101">SUM(C40:C74)</f>
        <v>5</v>
      </c>
      <c r="D76" s="262">
        <f t="shared" si="101"/>
        <v>3</v>
      </c>
      <c r="E76" s="262">
        <f t="shared" si="101"/>
        <v>3</v>
      </c>
      <c r="F76" s="262">
        <f t="shared" si="101"/>
        <v>0</v>
      </c>
      <c r="G76" s="262">
        <f t="shared" si="101"/>
        <v>1</v>
      </c>
      <c r="H76" s="262">
        <f t="shared" si="101"/>
        <v>2</v>
      </c>
      <c r="I76" s="262">
        <f t="shared" si="101"/>
        <v>0</v>
      </c>
      <c r="J76" s="262">
        <f t="shared" si="101"/>
        <v>5</v>
      </c>
      <c r="K76" s="262">
        <f t="shared" si="101"/>
        <v>14</v>
      </c>
      <c r="L76" s="262">
        <f t="shared" si="101"/>
        <v>3</v>
      </c>
      <c r="M76" s="262">
        <f t="shared" si="101"/>
        <v>2</v>
      </c>
      <c r="N76" s="262">
        <f t="shared" si="101"/>
        <v>1</v>
      </c>
      <c r="O76" s="262">
        <f t="shared" si="101"/>
        <v>4</v>
      </c>
      <c r="P76" s="262">
        <f>SUM(P40:P74)</f>
        <v>0</v>
      </c>
      <c r="Q76" s="262">
        <f t="shared" si="101"/>
        <v>0</v>
      </c>
      <c r="R76" s="262">
        <f t="shared" si="101"/>
        <v>0</v>
      </c>
      <c r="S76" s="262">
        <f t="shared" si="101"/>
        <v>0</v>
      </c>
      <c r="T76" s="262">
        <f t="shared" si="101"/>
        <v>3</v>
      </c>
      <c r="U76" s="262">
        <f t="shared" si="101"/>
        <v>1</v>
      </c>
      <c r="V76" s="262">
        <f t="shared" si="101"/>
        <v>1</v>
      </c>
      <c r="W76" s="262">
        <f t="shared" si="101"/>
        <v>30</v>
      </c>
      <c r="X76" s="262">
        <f t="shared" si="101"/>
        <v>9</v>
      </c>
      <c r="Y76" s="262">
        <f t="shared" si="101"/>
        <v>0</v>
      </c>
      <c r="Z76" s="262">
        <f t="shared" si="101"/>
        <v>1</v>
      </c>
      <c r="AA76" s="262">
        <f t="shared" si="101"/>
        <v>0</v>
      </c>
      <c r="AB76" s="262">
        <f t="shared" si="101"/>
        <v>0</v>
      </c>
      <c r="AC76" s="262">
        <f t="shared" si="101"/>
        <v>6</v>
      </c>
      <c r="AD76" s="262">
        <f t="shared" si="101"/>
        <v>3</v>
      </c>
      <c r="AE76" s="262">
        <f t="shared" si="101"/>
        <v>2</v>
      </c>
      <c r="AF76" s="262">
        <f t="shared" si="101"/>
        <v>1</v>
      </c>
      <c r="AG76" s="262">
        <f t="shared" si="101"/>
        <v>2</v>
      </c>
      <c r="AH76" s="262"/>
      <c r="AI76" s="262"/>
      <c r="AJ76" s="262"/>
      <c r="AK76" s="262"/>
      <c r="AL76" s="262"/>
      <c r="AM76" s="262"/>
      <c r="AN76" s="262"/>
      <c r="AO76" s="262"/>
      <c r="AP76" s="262"/>
      <c r="AQ76" s="262"/>
      <c r="AR76" s="262"/>
      <c r="AS76" s="262"/>
      <c r="AT76" s="262"/>
      <c r="AU76" s="262"/>
      <c r="AV76" s="262"/>
      <c r="AW76" s="262"/>
      <c r="AX76" s="262"/>
      <c r="AY76" s="262"/>
      <c r="AZ76" s="262"/>
      <c r="BA76" s="262"/>
      <c r="BB76" s="262"/>
      <c r="BC76" s="262"/>
      <c r="BD76" s="262"/>
      <c r="BE76" s="262"/>
      <c r="BF76" s="262"/>
      <c r="BG76" s="262"/>
      <c r="BH76" s="262"/>
      <c r="BI76" s="262"/>
      <c r="BJ76" s="262"/>
      <c r="BK76" s="262"/>
      <c r="BL76" s="262"/>
      <c r="BM76" s="262"/>
      <c r="BN76" s="358"/>
      <c r="BO76" s="358"/>
      <c r="BP76" s="358"/>
      <c r="BQ76" s="358"/>
      <c r="BR76" s="358"/>
      <c r="BS76" s="358"/>
      <c r="BT76" s="358"/>
      <c r="BU76" s="358"/>
      <c r="BV76" s="358"/>
      <c r="BW76" s="358"/>
      <c r="BX76" s="358"/>
      <c r="BY76" s="358"/>
      <c r="BZ76" s="358"/>
      <c r="CA76" s="358"/>
      <c r="CB76" s="358"/>
      <c r="CC76" s="358"/>
      <c r="CD76" s="358"/>
      <c r="CE76" s="358"/>
      <c r="CF76" s="358"/>
      <c r="CG76" s="358"/>
      <c r="CH76" s="358"/>
      <c r="CI76" s="358"/>
      <c r="CJ76" s="358"/>
      <c r="CK76" s="358"/>
      <c r="CL76" s="358"/>
      <c r="CM76" s="358"/>
      <c r="CN76" s="358"/>
      <c r="CO76" s="358"/>
      <c r="CP76" s="358"/>
      <c r="CQ76" s="358"/>
      <c r="CR76" s="358"/>
    </row>
    <row r="77" spans="1:100">
      <c r="A77" s="1309"/>
    </row>
    <row r="78" spans="1:100">
      <c r="A78" s="1309"/>
    </row>
    <row r="79" spans="1:100">
      <c r="A79" s="1309"/>
    </row>
    <row r="80" spans="1:100">
      <c r="A80" s="1309"/>
    </row>
    <row r="81" spans="1:1">
      <c r="A81" s="1309"/>
    </row>
    <row r="82" spans="1:1">
      <c r="A82" s="1309"/>
    </row>
    <row r="83" spans="1:1">
      <c r="A83" s="1309"/>
    </row>
    <row r="84" spans="1:1">
      <c r="A84" s="1309"/>
    </row>
    <row r="85" spans="1:1">
      <c r="A85" s="1309"/>
    </row>
    <row r="86" spans="1:1">
      <c r="A86" s="1309"/>
    </row>
    <row r="87" spans="1:1">
      <c r="A87" s="1309"/>
    </row>
    <row r="88" spans="1:1">
      <c r="A88" s="1309"/>
    </row>
    <row r="89" spans="1:1">
      <c r="A89" s="1309"/>
    </row>
    <row r="90" spans="1:1">
      <c r="A90" s="1309"/>
    </row>
    <row r="91" spans="1:1">
      <c r="A91" s="1309"/>
    </row>
    <row r="92" spans="1:1">
      <c r="A92" s="1309"/>
    </row>
    <row r="93" spans="1:1">
      <c r="A93" s="1309"/>
    </row>
    <row r="94" spans="1:1">
      <c r="A94" s="1309"/>
    </row>
    <row r="95" spans="1:1">
      <c r="A95" s="1309"/>
    </row>
    <row r="96" spans="1:1">
      <c r="A96" s="1309"/>
    </row>
    <row r="97" spans="1:1">
      <c r="A97" s="1309"/>
    </row>
    <row r="98" spans="1:1">
      <c r="A98" s="1309"/>
    </row>
    <row r="99" spans="1:1">
      <c r="A99" s="1309"/>
    </row>
    <row r="100" spans="1:1">
      <c r="A100" s="1309"/>
    </row>
    <row r="101" spans="1:1">
      <c r="A101" s="1309"/>
    </row>
    <row r="102" spans="1:1">
      <c r="A102" s="1309"/>
    </row>
    <row r="103" spans="1:1">
      <c r="A103" s="1309"/>
    </row>
    <row r="104" spans="1:1">
      <c r="A104" s="1309"/>
    </row>
    <row r="105" spans="1:1">
      <c r="A105" s="1309"/>
    </row>
    <row r="106" spans="1:1">
      <c r="A106" s="1309"/>
    </row>
    <row r="107" spans="1:1">
      <c r="A107" s="1309"/>
    </row>
    <row r="108" spans="1:1">
      <c r="A108" s="1309"/>
    </row>
    <row r="109" spans="1:1">
      <c r="A109" s="1309"/>
    </row>
    <row r="110" spans="1:1">
      <c r="A110" s="1309"/>
    </row>
    <row r="111" spans="1:1">
      <c r="A111" s="1309"/>
    </row>
    <row r="112" spans="1:1">
      <c r="A112" s="1309"/>
    </row>
    <row r="113" spans="1:1">
      <c r="A113" s="1309"/>
    </row>
    <row r="114" spans="1:1">
      <c r="A114" s="1309"/>
    </row>
    <row r="115" spans="1:1">
      <c r="A115" s="1309"/>
    </row>
    <row r="116" spans="1:1">
      <c r="A116" s="1309"/>
    </row>
    <row r="117" spans="1:1">
      <c r="A117" s="1309"/>
    </row>
    <row r="118" spans="1:1">
      <c r="A118" s="1309"/>
    </row>
    <row r="119" spans="1:1">
      <c r="A119" s="1309"/>
    </row>
    <row r="120" spans="1:1">
      <c r="A120" s="1309"/>
    </row>
    <row r="121" spans="1:1">
      <c r="A121" s="1309"/>
    </row>
    <row r="122" spans="1:1">
      <c r="A122" s="1309"/>
    </row>
    <row r="123" spans="1:1">
      <c r="A123" s="1309"/>
    </row>
    <row r="124" spans="1:1">
      <c r="A124" s="1309"/>
    </row>
    <row r="125" spans="1:1">
      <c r="A125" s="1309"/>
    </row>
    <row r="126" spans="1:1">
      <c r="A126" s="1309"/>
    </row>
    <row r="127" spans="1:1">
      <c r="A127" s="1309"/>
    </row>
    <row r="128" spans="1:1">
      <c r="A128" s="1309"/>
    </row>
    <row r="129" spans="1:1">
      <c r="A129" s="1309"/>
    </row>
    <row r="130" spans="1:1">
      <c r="A130" s="1309"/>
    </row>
    <row r="131" spans="1:1">
      <c r="A131" s="1309"/>
    </row>
    <row r="132" spans="1:1">
      <c r="A132" s="1309"/>
    </row>
    <row r="133" spans="1:1">
      <c r="A133" s="1309"/>
    </row>
    <row r="134" spans="1:1">
      <c r="A134" s="1309"/>
    </row>
    <row r="135" spans="1:1">
      <c r="A135" s="1309"/>
    </row>
    <row r="136" spans="1:1">
      <c r="A136" s="1309"/>
    </row>
    <row r="137" spans="1:1">
      <c r="A137" s="1309"/>
    </row>
    <row r="138" spans="1:1">
      <c r="A138" s="1309"/>
    </row>
    <row r="139" spans="1:1">
      <c r="A139" s="1309"/>
    </row>
    <row r="140" spans="1:1">
      <c r="A140" s="1309"/>
    </row>
    <row r="141" spans="1:1">
      <c r="A141" s="1309"/>
    </row>
    <row r="142" spans="1:1">
      <c r="A142" s="1309"/>
    </row>
    <row r="143" spans="1:1">
      <c r="A143" s="1309"/>
    </row>
    <row r="144" spans="1:1">
      <c r="A144" s="1309"/>
    </row>
    <row r="145" spans="1:1">
      <c r="A145" s="1309"/>
    </row>
    <row r="146" spans="1:1">
      <c r="A146" s="1309"/>
    </row>
    <row r="147" spans="1:1">
      <c r="A147" s="1309"/>
    </row>
    <row r="148" spans="1:1">
      <c r="A148" s="1309"/>
    </row>
    <row r="149" spans="1:1">
      <c r="A149" s="1309"/>
    </row>
    <row r="150" spans="1:1">
      <c r="A150" s="1309"/>
    </row>
    <row r="151" spans="1:1">
      <c r="A151" s="1309"/>
    </row>
    <row r="152" spans="1:1">
      <c r="A152" s="1309"/>
    </row>
    <row r="153" spans="1:1">
      <c r="A153" s="1309"/>
    </row>
    <row r="154" spans="1:1">
      <c r="A154" s="1309"/>
    </row>
    <row r="155" spans="1:1">
      <c r="A155" s="1309"/>
    </row>
    <row r="156" spans="1:1">
      <c r="A156" s="1309"/>
    </row>
    <row r="157" spans="1:1">
      <c r="A157" s="1309"/>
    </row>
    <row r="158" spans="1:1">
      <c r="A158" s="1309"/>
    </row>
    <row r="159" spans="1:1">
      <c r="A159" s="1309"/>
    </row>
    <row r="160" spans="1:1">
      <c r="A160" s="1309"/>
    </row>
    <row r="161" spans="1:1">
      <c r="A161" s="1309"/>
    </row>
    <row r="162" spans="1:1">
      <c r="A162" s="1309"/>
    </row>
    <row r="163" spans="1:1">
      <c r="A163" s="1309"/>
    </row>
    <row r="164" spans="1:1">
      <c r="A164" s="1309"/>
    </row>
    <row r="165" spans="1:1">
      <c r="A165" s="1309"/>
    </row>
    <row r="166" spans="1:1">
      <c r="A166" s="1309"/>
    </row>
    <row r="167" spans="1:1">
      <c r="A167" s="1309"/>
    </row>
  </sheetData>
  <mergeCells count="3">
    <mergeCell ref="B1:AG1"/>
    <mergeCell ref="AH1:BM1"/>
    <mergeCell ref="BN1:CR1"/>
  </mergeCells>
  <pageMargins left="0.7" right="0.7" top="0.75" bottom="0.75" header="0.3" footer="0.3"/>
  <customProperties>
    <customPr name="_pios_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249977111117893"/>
  </sheetPr>
  <dimension ref="A1:CX154"/>
  <sheetViews>
    <sheetView showGridLines="0" zoomScale="70" zoomScaleNormal="70" workbookViewId="0">
      <pane xSplit="1" ySplit="2" topLeftCell="B63" activePane="bottomRight" state="frozen"/>
      <selection pane="topRight" activeCell="B1" sqref="B1"/>
      <selection pane="bottomLeft" activeCell="A3" sqref="A3"/>
      <selection pane="bottomRight" activeCell="W87" sqref="W87"/>
    </sheetView>
  </sheetViews>
  <sheetFormatPr baseColWidth="10" defaultRowHeight="13.2"/>
  <cols>
    <col min="1" max="1" width="8.44140625" style="11" customWidth="1"/>
    <col min="2" max="98" width="6.44140625" style="8" customWidth="1"/>
  </cols>
  <sheetData>
    <row r="1" spans="1:101" s="1112" customFormat="1" ht="17.100000000000001" customHeight="1" thickBot="1">
      <c r="A1" s="535"/>
      <c r="B1" s="3224" t="s">
        <v>2909</v>
      </c>
      <c r="C1" s="3224"/>
      <c r="D1" s="3224"/>
      <c r="E1" s="3224"/>
      <c r="F1" s="3224"/>
      <c r="G1" s="3224"/>
      <c r="H1" s="3224"/>
      <c r="I1" s="3224"/>
      <c r="J1" s="3224"/>
      <c r="K1" s="3224"/>
      <c r="L1" s="3224"/>
      <c r="M1" s="3224"/>
      <c r="N1" s="3224"/>
      <c r="O1" s="3224"/>
      <c r="P1" s="3224"/>
      <c r="Q1" s="3224"/>
      <c r="R1" s="3224"/>
      <c r="S1" s="3224"/>
      <c r="T1" s="3224"/>
      <c r="U1" s="3224"/>
      <c r="V1" s="3224"/>
      <c r="W1" s="3224"/>
      <c r="X1" s="3224"/>
      <c r="Y1" s="3224"/>
      <c r="Z1" s="3224"/>
      <c r="AA1" s="3224"/>
      <c r="AB1" s="3224"/>
      <c r="AC1" s="3224"/>
      <c r="AD1" s="3224"/>
      <c r="AE1" s="3224"/>
      <c r="AF1" s="3224"/>
      <c r="AG1" s="3224"/>
      <c r="AH1" s="3224"/>
      <c r="AI1" s="3225" t="s">
        <v>2908</v>
      </c>
      <c r="AJ1" s="3225"/>
      <c r="AK1" s="3225"/>
      <c r="AL1" s="3225"/>
      <c r="AM1" s="3225"/>
      <c r="AN1" s="3225"/>
      <c r="AO1" s="3225"/>
      <c r="AP1" s="3225"/>
      <c r="AQ1" s="3225"/>
      <c r="AR1" s="3225"/>
      <c r="AS1" s="3225"/>
      <c r="AT1" s="3225"/>
      <c r="AU1" s="3225"/>
      <c r="AV1" s="3225"/>
      <c r="AW1" s="3225"/>
      <c r="AX1" s="3225"/>
      <c r="AY1" s="3225"/>
      <c r="AZ1" s="3225"/>
      <c r="BA1" s="3225"/>
      <c r="BB1" s="3225"/>
      <c r="BC1" s="3225"/>
      <c r="BD1" s="3225"/>
      <c r="BE1" s="3225"/>
      <c r="BF1" s="3225"/>
      <c r="BG1" s="3225"/>
      <c r="BH1" s="3225"/>
      <c r="BI1" s="3225"/>
      <c r="BJ1" s="3225"/>
      <c r="BK1" s="3225"/>
      <c r="BL1" s="3225"/>
      <c r="BM1" s="3225"/>
      <c r="BN1" s="3225"/>
      <c r="BO1" s="3221" t="s">
        <v>2455</v>
      </c>
      <c r="BP1" s="3221"/>
      <c r="BQ1" s="3221"/>
      <c r="BR1" s="3221"/>
      <c r="BS1" s="3221"/>
      <c r="BT1" s="3221"/>
      <c r="BU1" s="3221"/>
      <c r="BV1" s="3221"/>
      <c r="BW1" s="3221"/>
      <c r="BX1" s="3221"/>
      <c r="BY1" s="3221"/>
      <c r="BZ1" s="3221"/>
      <c r="CA1" s="3221"/>
      <c r="CB1" s="3221"/>
      <c r="CC1" s="3221"/>
      <c r="CD1" s="3221"/>
      <c r="CE1" s="3221"/>
      <c r="CF1" s="3221"/>
      <c r="CG1" s="3221"/>
      <c r="CH1" s="3221"/>
      <c r="CI1" s="3221"/>
      <c r="CJ1" s="3221"/>
      <c r="CK1" s="3221"/>
      <c r="CL1" s="3221"/>
      <c r="CM1" s="3221"/>
      <c r="CN1" s="3221"/>
      <c r="CO1" s="3221"/>
      <c r="CP1" s="3221"/>
      <c r="CQ1" s="3221"/>
      <c r="CR1" s="3221"/>
      <c r="CS1" s="3221"/>
      <c r="CT1" s="3221"/>
    </row>
    <row r="2" spans="1:101" s="1308" customFormat="1" ht="112.2" thickBot="1">
      <c r="A2" s="535" t="s">
        <v>2903</v>
      </c>
      <c r="B2" s="1313" t="s">
        <v>592</v>
      </c>
      <c r="C2" s="1313" t="s">
        <v>586</v>
      </c>
      <c r="D2" s="1313" t="s">
        <v>593</v>
      </c>
      <c r="E2" s="1313" t="s">
        <v>2907</v>
      </c>
      <c r="F2" s="1313" t="s">
        <v>588</v>
      </c>
      <c r="G2" s="1313" t="s">
        <v>91</v>
      </c>
      <c r="H2" s="1313" t="s">
        <v>893</v>
      </c>
      <c r="I2" s="1313" t="s">
        <v>77</v>
      </c>
      <c r="J2" s="1313" t="s">
        <v>595</v>
      </c>
      <c r="K2" s="1313" t="s">
        <v>602</v>
      </c>
      <c r="L2" s="1313" t="s">
        <v>1931</v>
      </c>
      <c r="M2" s="1313" t="s">
        <v>598</v>
      </c>
      <c r="N2" s="1313" t="s">
        <v>596</v>
      </c>
      <c r="O2" s="1313" t="s">
        <v>1057</v>
      </c>
      <c r="P2" s="1313" t="s">
        <v>4713</v>
      </c>
      <c r="Q2" s="1313" t="s">
        <v>918</v>
      </c>
      <c r="R2" s="1313" t="s">
        <v>55</v>
      </c>
      <c r="S2" s="1313" t="s">
        <v>384</v>
      </c>
      <c r="T2" s="1313" t="s">
        <v>591</v>
      </c>
      <c r="U2" s="1313" t="s">
        <v>1053</v>
      </c>
      <c r="V2" s="1313" t="s">
        <v>1958</v>
      </c>
      <c r="W2" s="1313" t="s">
        <v>938</v>
      </c>
      <c r="X2" s="1313" t="s">
        <v>3202</v>
      </c>
      <c r="Y2" s="1313" t="s">
        <v>789</v>
      </c>
      <c r="Z2" s="1313" t="s">
        <v>952</v>
      </c>
      <c r="AA2" s="1313" t="s">
        <v>1955</v>
      </c>
      <c r="AB2" s="1313" t="s">
        <v>1956</v>
      </c>
      <c r="AC2" s="1313" t="s">
        <v>1957</v>
      </c>
      <c r="AD2" s="1313" t="s">
        <v>790</v>
      </c>
      <c r="AE2" s="1313" t="s">
        <v>2912</v>
      </c>
      <c r="AF2" s="1313" t="s">
        <v>2905</v>
      </c>
      <c r="AG2" s="1313" t="s">
        <v>2754</v>
      </c>
      <c r="AH2" s="1693" t="s">
        <v>2906</v>
      </c>
      <c r="AI2" s="1879" t="s">
        <v>592</v>
      </c>
      <c r="AJ2" s="1880" t="s">
        <v>586</v>
      </c>
      <c r="AK2" s="1880" t="s">
        <v>593</v>
      </c>
      <c r="AL2" s="1880" t="s">
        <v>2907</v>
      </c>
      <c r="AM2" s="1880" t="s">
        <v>588</v>
      </c>
      <c r="AN2" s="1880" t="s">
        <v>91</v>
      </c>
      <c r="AO2" s="1880" t="s">
        <v>893</v>
      </c>
      <c r="AP2" s="1880" t="s">
        <v>77</v>
      </c>
      <c r="AQ2" s="1880" t="s">
        <v>595</v>
      </c>
      <c r="AR2" s="1880" t="s">
        <v>602</v>
      </c>
      <c r="AS2" s="1880" t="s">
        <v>1931</v>
      </c>
      <c r="AT2" s="1880" t="s">
        <v>598</v>
      </c>
      <c r="AU2" s="1880" t="s">
        <v>596</v>
      </c>
      <c r="AV2" s="1880" t="s">
        <v>1057</v>
      </c>
      <c r="AW2" s="1880" t="s">
        <v>4712</v>
      </c>
      <c r="AX2" s="1881" t="s">
        <v>918</v>
      </c>
      <c r="AY2" s="1907" t="s">
        <v>2913</v>
      </c>
      <c r="AZ2" s="1883" t="s">
        <v>591</v>
      </c>
      <c r="BA2" s="1883" t="s">
        <v>1053</v>
      </c>
      <c r="BB2" s="1883" t="s">
        <v>1958</v>
      </c>
      <c r="BC2" s="1883" t="s">
        <v>938</v>
      </c>
      <c r="BD2" s="1884" t="s">
        <v>3202</v>
      </c>
      <c r="BE2" s="1908" t="s">
        <v>789</v>
      </c>
      <c r="BF2" s="1886" t="s">
        <v>952</v>
      </c>
      <c r="BG2" s="1886" t="s">
        <v>1955</v>
      </c>
      <c r="BH2" s="1886" t="s">
        <v>1956</v>
      </c>
      <c r="BI2" s="1886" t="s">
        <v>1957</v>
      </c>
      <c r="BJ2" s="1886" t="s">
        <v>790</v>
      </c>
      <c r="BK2" s="1886" t="s">
        <v>4569</v>
      </c>
      <c r="BL2" s="1886" t="s">
        <v>2905</v>
      </c>
      <c r="BM2" s="1886" t="s">
        <v>2754</v>
      </c>
      <c r="BN2" s="1887" t="s">
        <v>2906</v>
      </c>
      <c r="BO2" s="1890" t="s">
        <v>592</v>
      </c>
      <c r="BP2" s="1891" t="s">
        <v>586</v>
      </c>
      <c r="BQ2" s="1891" t="s">
        <v>593</v>
      </c>
      <c r="BR2" s="1891" t="s">
        <v>2907</v>
      </c>
      <c r="BS2" s="1891" t="s">
        <v>588</v>
      </c>
      <c r="BT2" s="1891" t="s">
        <v>91</v>
      </c>
      <c r="BU2" s="1891" t="s">
        <v>893</v>
      </c>
      <c r="BV2" s="1891" t="s">
        <v>77</v>
      </c>
      <c r="BW2" s="1891" t="s">
        <v>595</v>
      </c>
      <c r="BX2" s="1891" t="s">
        <v>602</v>
      </c>
      <c r="BY2" s="1891" t="s">
        <v>1931</v>
      </c>
      <c r="BZ2" s="1891" t="s">
        <v>598</v>
      </c>
      <c r="CA2" s="1891" t="s">
        <v>596</v>
      </c>
      <c r="CB2" s="1891" t="s">
        <v>1057</v>
      </c>
      <c r="CC2" s="1891" t="s">
        <v>4712</v>
      </c>
      <c r="CD2" s="1892" t="s">
        <v>918</v>
      </c>
      <c r="CE2" s="1843" t="s">
        <v>2913</v>
      </c>
      <c r="CF2" s="1844" t="s">
        <v>591</v>
      </c>
      <c r="CG2" s="1844" t="s">
        <v>1053</v>
      </c>
      <c r="CH2" s="1844" t="s">
        <v>1958</v>
      </c>
      <c r="CI2" s="1844" t="s">
        <v>938</v>
      </c>
      <c r="CJ2" s="1916" t="s">
        <v>3202</v>
      </c>
      <c r="CK2" s="1917" t="s">
        <v>789</v>
      </c>
      <c r="CL2" s="1918" t="s">
        <v>952</v>
      </c>
      <c r="CM2" s="1918" t="s">
        <v>1955</v>
      </c>
      <c r="CN2" s="1918" t="s">
        <v>1956</v>
      </c>
      <c r="CO2" s="1918" t="s">
        <v>1957</v>
      </c>
      <c r="CP2" s="1918" t="s">
        <v>790</v>
      </c>
      <c r="CQ2" s="1918" t="s">
        <v>4674</v>
      </c>
      <c r="CR2" s="1918" t="s">
        <v>2905</v>
      </c>
      <c r="CS2" s="1918" t="s">
        <v>4570</v>
      </c>
      <c r="CT2" s="1919" t="s">
        <v>2906</v>
      </c>
      <c r="CU2" s="11" t="s">
        <v>4336</v>
      </c>
      <c r="CV2" s="11" t="s">
        <v>951</v>
      </c>
      <c r="CW2" s="1308" t="s">
        <v>5371</v>
      </c>
    </row>
    <row r="3" spans="1:101" hidden="1">
      <c r="A3" s="1309">
        <v>43101</v>
      </c>
      <c r="B3" s="1310">
        <f t="shared" ref="B3:O3" si="0">+AI3+BO3</f>
        <v>0</v>
      </c>
      <c r="C3" s="1310">
        <f t="shared" si="0"/>
        <v>0</v>
      </c>
      <c r="D3" s="1310">
        <f t="shared" si="0"/>
        <v>0</v>
      </c>
      <c r="E3" s="1310">
        <f t="shared" si="0"/>
        <v>73</v>
      </c>
      <c r="F3" s="1310">
        <f t="shared" si="0"/>
        <v>0</v>
      </c>
      <c r="G3" s="1310">
        <f t="shared" si="0"/>
        <v>15</v>
      </c>
      <c r="H3" s="1310">
        <f t="shared" si="0"/>
        <v>0</v>
      </c>
      <c r="I3" s="1310">
        <f t="shared" si="0"/>
        <v>0</v>
      </c>
      <c r="J3" s="1310">
        <f t="shared" si="0"/>
        <v>0</v>
      </c>
      <c r="K3" s="1310">
        <f t="shared" si="0"/>
        <v>0</v>
      </c>
      <c r="L3" s="1310">
        <f t="shared" si="0"/>
        <v>0</v>
      </c>
      <c r="M3" s="1310">
        <f t="shared" si="0"/>
        <v>31</v>
      </c>
      <c r="N3" s="1310">
        <f t="shared" si="0"/>
        <v>1</v>
      </c>
      <c r="O3" s="1310">
        <f t="shared" si="0"/>
        <v>0</v>
      </c>
      <c r="P3" s="1310"/>
      <c r="Q3" s="1310">
        <f>+AW3+CC3</f>
        <v>0</v>
      </c>
      <c r="R3" s="1310"/>
      <c r="S3" s="1310">
        <f t="shared" ref="S3:AH3" si="1">+AY3+CE3</f>
        <v>0</v>
      </c>
      <c r="T3" s="1310">
        <f t="shared" si="1"/>
        <v>0</v>
      </c>
      <c r="U3" s="1310">
        <f t="shared" si="1"/>
        <v>5</v>
      </c>
      <c r="V3" s="1310">
        <f t="shared" si="1"/>
        <v>0</v>
      </c>
      <c r="W3" s="1310">
        <f t="shared" si="1"/>
        <v>2</v>
      </c>
      <c r="X3" s="1310">
        <f t="shared" si="1"/>
        <v>59</v>
      </c>
      <c r="Y3" s="1310">
        <f t="shared" si="1"/>
        <v>0</v>
      </c>
      <c r="Z3" s="1310">
        <f t="shared" si="1"/>
        <v>427</v>
      </c>
      <c r="AA3" s="1310">
        <f t="shared" si="1"/>
        <v>14</v>
      </c>
      <c r="AB3" s="1310">
        <f t="shared" si="1"/>
        <v>0</v>
      </c>
      <c r="AC3" s="1310">
        <f t="shared" si="1"/>
        <v>0</v>
      </c>
      <c r="AD3" s="1310">
        <f t="shared" si="1"/>
        <v>0</v>
      </c>
      <c r="AE3" s="1310">
        <f t="shared" si="1"/>
        <v>0</v>
      </c>
      <c r="AF3" s="1310">
        <f t="shared" si="1"/>
        <v>7</v>
      </c>
      <c r="AG3" s="1310">
        <f t="shared" si="1"/>
        <v>0</v>
      </c>
      <c r="AH3" s="1701">
        <f t="shared" si="1"/>
        <v>0</v>
      </c>
      <c r="AI3" s="1875"/>
      <c r="AJ3" s="1875"/>
      <c r="AK3" s="1875"/>
      <c r="AL3" s="1875">
        <v>73</v>
      </c>
      <c r="AM3" s="1875"/>
      <c r="AN3" s="1875">
        <v>15</v>
      </c>
      <c r="AO3" s="1875"/>
      <c r="AP3" s="1875"/>
      <c r="AQ3" s="1875"/>
      <c r="AR3" s="1875"/>
      <c r="AS3" s="1875"/>
      <c r="AT3" s="1875"/>
      <c r="AU3" s="1875"/>
      <c r="AV3" s="1875"/>
      <c r="AW3" s="1875"/>
      <c r="AX3" s="1875"/>
      <c r="AY3" s="1875"/>
      <c r="AZ3" s="1875"/>
      <c r="BA3" s="1875">
        <v>5</v>
      </c>
      <c r="BB3" s="1875"/>
      <c r="BC3" s="1875"/>
      <c r="BD3" s="1875"/>
      <c r="BE3" s="1875"/>
      <c r="BF3" s="1875">
        <v>427</v>
      </c>
      <c r="BG3" s="1875">
        <v>14</v>
      </c>
      <c r="BH3" s="1875"/>
      <c r="BI3" s="1875"/>
      <c r="BJ3" s="1875"/>
      <c r="BK3" s="1875"/>
      <c r="BL3" s="1875">
        <v>7</v>
      </c>
      <c r="BM3" s="1875"/>
      <c r="BN3" s="1875"/>
      <c r="BO3" s="1716"/>
      <c r="BP3" s="1530"/>
      <c r="BQ3" s="1530"/>
      <c r="BR3" s="1530"/>
      <c r="BS3" s="1530"/>
      <c r="BT3" s="1530"/>
      <c r="BU3" s="1530"/>
      <c r="BV3" s="1530"/>
      <c r="BW3" s="1530"/>
      <c r="BX3" s="1530"/>
      <c r="BY3" s="1530"/>
      <c r="BZ3" s="1530">
        <v>31</v>
      </c>
      <c r="CA3" s="1530">
        <v>1</v>
      </c>
      <c r="CB3" s="1530"/>
      <c r="CC3" s="1717"/>
      <c r="CD3" s="1719"/>
      <c r="CE3" s="1716"/>
      <c r="CF3" s="1530"/>
      <c r="CG3" s="1530"/>
      <c r="CH3" s="1530"/>
      <c r="CI3" s="1530">
        <v>2</v>
      </c>
      <c r="CJ3" s="1717">
        <v>59</v>
      </c>
      <c r="CK3" s="1716"/>
      <c r="CL3" s="1530"/>
      <c r="CM3" s="1530"/>
      <c r="CN3" s="1530"/>
      <c r="CO3" s="1530"/>
      <c r="CP3" s="1530"/>
      <c r="CQ3" s="1530"/>
      <c r="CR3" s="1530"/>
      <c r="CS3" s="1530"/>
      <c r="CT3" s="1717"/>
      <c r="CU3" s="8"/>
      <c r="CV3" s="8"/>
    </row>
    <row r="4" spans="1:101" hidden="1">
      <c r="A4" s="1309">
        <v>43132</v>
      </c>
      <c r="B4" s="1310">
        <f t="shared" ref="B4:B50" si="2">+AI4+BO4</f>
        <v>0</v>
      </c>
      <c r="C4" s="1310">
        <f t="shared" ref="C4:C50" si="3">+AJ4+BP4</f>
        <v>0</v>
      </c>
      <c r="D4" s="1310">
        <f t="shared" ref="D4:D50" si="4">+AK4+BQ4</f>
        <v>0</v>
      </c>
      <c r="E4" s="1310">
        <f t="shared" ref="E4:E50" si="5">+AL4+BR4</f>
        <v>11</v>
      </c>
      <c r="F4" s="1310">
        <f t="shared" ref="F4:F50" si="6">+AM4+BS4</f>
        <v>0</v>
      </c>
      <c r="G4" s="1310">
        <f t="shared" ref="G4:G50" si="7">+AN4+BT4</f>
        <v>35</v>
      </c>
      <c r="H4" s="1310">
        <f t="shared" ref="H4:H50" si="8">+AO4+BU4</f>
        <v>0</v>
      </c>
      <c r="I4" s="1310">
        <f t="shared" ref="I4:I50" si="9">+AP4+BV4</f>
        <v>0</v>
      </c>
      <c r="J4" s="1310">
        <f t="shared" ref="J4:J50" si="10">+AQ4+BW4</f>
        <v>0</v>
      </c>
      <c r="K4" s="1310">
        <f t="shared" ref="K4:K50" si="11">+AR4+BX4</f>
        <v>0</v>
      </c>
      <c r="L4" s="1310">
        <f t="shared" ref="L4:L50" si="12">+AS4+BY4</f>
        <v>96</v>
      </c>
      <c r="M4" s="1310">
        <f t="shared" ref="M4:M50" si="13">+AT4+BZ4</f>
        <v>0</v>
      </c>
      <c r="N4" s="1310">
        <f t="shared" ref="N4:N50" si="14">+AU4+CA4</f>
        <v>0</v>
      </c>
      <c r="O4" s="1310">
        <f t="shared" ref="O4:O50" si="15">+AV4+CB4</f>
        <v>0</v>
      </c>
      <c r="P4" s="1310"/>
      <c r="Q4" s="1310">
        <f t="shared" ref="Q4:Q38" si="16">+AW4+CC4</f>
        <v>10</v>
      </c>
      <c r="R4" s="1310"/>
      <c r="S4" s="1310">
        <f t="shared" ref="S4:S50" si="17">+AY4+CE4</f>
        <v>0</v>
      </c>
      <c r="T4" s="1310">
        <f t="shared" ref="T4:T50" si="18">+AZ4+CF4</f>
        <v>0</v>
      </c>
      <c r="U4" s="1310">
        <f t="shared" ref="U4:U50" si="19">+BA4+CG4</f>
        <v>0</v>
      </c>
      <c r="V4" s="1310">
        <f t="shared" ref="V4:V50" si="20">+BB4+CH4</f>
        <v>0</v>
      </c>
      <c r="W4" s="1310">
        <f t="shared" ref="W4:W50" si="21">+BC4+CI4</f>
        <v>7</v>
      </c>
      <c r="X4" s="1310">
        <f t="shared" ref="X4:X50" si="22">+BD4+CJ4</f>
        <v>80</v>
      </c>
      <c r="Y4" s="1310">
        <f t="shared" ref="Y4:Y50" si="23">+BE4+CK4</f>
        <v>0</v>
      </c>
      <c r="Z4" s="1310">
        <f t="shared" ref="Z4:Z50" si="24">+BF4+CL4</f>
        <v>0</v>
      </c>
      <c r="AA4" s="1310">
        <f t="shared" ref="AA4:AA50" si="25">+BG4+CM4</f>
        <v>60</v>
      </c>
      <c r="AB4" s="1310">
        <f t="shared" ref="AB4:AB50" si="26">+BH4+CN4</f>
        <v>0</v>
      </c>
      <c r="AC4" s="1310">
        <f t="shared" ref="AC4:AC50" si="27">+BI4+CO4</f>
        <v>0</v>
      </c>
      <c r="AD4" s="1310">
        <f t="shared" ref="AD4:AD50" si="28">+BJ4+CP4</f>
        <v>1</v>
      </c>
      <c r="AE4" s="1310">
        <f t="shared" ref="AE4:AE50" si="29">+BK4+CQ4</f>
        <v>0</v>
      </c>
      <c r="AF4" s="1310">
        <f t="shared" ref="AF4:AF50" si="30">+BL4+CR4</f>
        <v>43</v>
      </c>
      <c r="AG4" s="1310">
        <f t="shared" ref="AG4:AG50" si="31">+BM4+CS4</f>
        <v>0</v>
      </c>
      <c r="AH4" s="1701">
        <f t="shared" ref="AH4:AH50" si="32">+BN4+CT4</f>
        <v>0</v>
      </c>
      <c r="AI4" s="1712"/>
      <c r="AJ4" s="1712"/>
      <c r="AK4" s="1712"/>
      <c r="AL4" s="1712">
        <v>11</v>
      </c>
      <c r="AM4" s="1712"/>
      <c r="AN4" s="1712">
        <v>35</v>
      </c>
      <c r="AO4" s="1712"/>
      <c r="AP4" s="1712"/>
      <c r="AQ4" s="1712"/>
      <c r="AR4" s="1712"/>
      <c r="AS4" s="1712">
        <v>96</v>
      </c>
      <c r="AT4" s="1712"/>
      <c r="AU4" s="1712"/>
      <c r="AV4" s="1712"/>
      <c r="AW4" s="1712"/>
      <c r="AX4" s="1712"/>
      <c r="AY4" s="1712"/>
      <c r="AZ4" s="1712"/>
      <c r="BA4" s="1712"/>
      <c r="BB4" s="1712"/>
      <c r="BC4" s="1712"/>
      <c r="BD4" s="1712">
        <v>68</v>
      </c>
      <c r="BE4" s="1712"/>
      <c r="BF4" s="1712"/>
      <c r="BG4" s="1712">
        <v>60</v>
      </c>
      <c r="BH4" s="1712"/>
      <c r="BI4" s="1712"/>
      <c r="BJ4" s="1712">
        <v>1</v>
      </c>
      <c r="BK4" s="1712"/>
      <c r="BL4" s="1712">
        <v>43</v>
      </c>
      <c r="BM4" s="1712"/>
      <c r="BN4" s="1712"/>
      <c r="BO4" s="1713"/>
      <c r="BP4" s="1317"/>
      <c r="BQ4" s="1317"/>
      <c r="BR4" s="1317"/>
      <c r="BS4" s="1317"/>
      <c r="BT4" s="1317"/>
      <c r="BU4" s="1317"/>
      <c r="BV4" s="1317"/>
      <c r="BW4" s="1317"/>
      <c r="BX4" s="1317"/>
      <c r="BY4" s="1317"/>
      <c r="BZ4" s="1317"/>
      <c r="CA4" s="1317"/>
      <c r="CB4" s="1317"/>
      <c r="CC4" s="1714">
        <v>10</v>
      </c>
      <c r="CD4" s="1718"/>
      <c r="CE4" s="1713"/>
      <c r="CF4" s="1317"/>
      <c r="CG4" s="1317"/>
      <c r="CH4" s="1317"/>
      <c r="CI4" s="1317">
        <v>7</v>
      </c>
      <c r="CJ4" s="1714">
        <v>12</v>
      </c>
      <c r="CK4" s="1713"/>
      <c r="CL4" s="1317"/>
      <c r="CM4" s="1317"/>
      <c r="CN4" s="1317"/>
      <c r="CO4" s="1317"/>
      <c r="CP4" s="1317"/>
      <c r="CQ4" s="1317"/>
      <c r="CR4" s="1317"/>
      <c r="CS4" s="1317"/>
      <c r="CT4" s="1714"/>
      <c r="CU4" s="8"/>
      <c r="CV4" s="8"/>
    </row>
    <row r="5" spans="1:101" hidden="1">
      <c r="A5" s="1309">
        <v>43160</v>
      </c>
      <c r="B5" s="1310">
        <f t="shared" si="2"/>
        <v>0</v>
      </c>
      <c r="C5" s="1310">
        <f t="shared" si="3"/>
        <v>0</v>
      </c>
      <c r="D5" s="1310">
        <f t="shared" si="4"/>
        <v>0</v>
      </c>
      <c r="E5" s="1310">
        <f t="shared" si="5"/>
        <v>61</v>
      </c>
      <c r="F5" s="1310">
        <f t="shared" si="6"/>
        <v>0</v>
      </c>
      <c r="G5" s="1310">
        <f t="shared" si="7"/>
        <v>0</v>
      </c>
      <c r="H5" s="1310">
        <f t="shared" si="8"/>
        <v>0</v>
      </c>
      <c r="I5" s="1310">
        <f t="shared" si="9"/>
        <v>0</v>
      </c>
      <c r="J5" s="1310">
        <f t="shared" si="10"/>
        <v>0</v>
      </c>
      <c r="K5" s="1310">
        <f t="shared" si="11"/>
        <v>0</v>
      </c>
      <c r="L5" s="1310">
        <f t="shared" si="12"/>
        <v>0</v>
      </c>
      <c r="M5" s="1310">
        <f t="shared" si="13"/>
        <v>0</v>
      </c>
      <c r="N5" s="1310">
        <f t="shared" si="14"/>
        <v>0</v>
      </c>
      <c r="O5" s="1310">
        <f t="shared" si="15"/>
        <v>30</v>
      </c>
      <c r="P5" s="1310"/>
      <c r="Q5" s="1310">
        <f t="shared" si="16"/>
        <v>3</v>
      </c>
      <c r="R5" s="1310"/>
      <c r="S5" s="1310">
        <f t="shared" si="17"/>
        <v>0</v>
      </c>
      <c r="T5" s="1310">
        <f t="shared" si="18"/>
        <v>110</v>
      </c>
      <c r="U5" s="1310">
        <f t="shared" si="19"/>
        <v>0</v>
      </c>
      <c r="V5" s="1310">
        <f t="shared" si="20"/>
        <v>0</v>
      </c>
      <c r="W5" s="1310">
        <f t="shared" si="21"/>
        <v>2</v>
      </c>
      <c r="X5" s="1310">
        <f t="shared" si="22"/>
        <v>330</v>
      </c>
      <c r="Y5" s="1310">
        <f t="shared" si="23"/>
        <v>0</v>
      </c>
      <c r="Z5" s="1310">
        <f t="shared" si="24"/>
        <v>15</v>
      </c>
      <c r="AA5" s="1310">
        <f t="shared" si="25"/>
        <v>0</v>
      </c>
      <c r="AB5" s="1310">
        <f t="shared" si="26"/>
        <v>0</v>
      </c>
      <c r="AC5" s="1310">
        <f t="shared" si="27"/>
        <v>0</v>
      </c>
      <c r="AD5" s="1310">
        <f t="shared" si="28"/>
        <v>2</v>
      </c>
      <c r="AE5" s="1310">
        <f t="shared" si="29"/>
        <v>0</v>
      </c>
      <c r="AF5" s="1310">
        <f t="shared" si="30"/>
        <v>5</v>
      </c>
      <c r="AG5" s="1310">
        <f t="shared" si="31"/>
        <v>0</v>
      </c>
      <c r="AH5" s="1701">
        <f t="shared" si="32"/>
        <v>0</v>
      </c>
      <c r="AI5" s="1712"/>
      <c r="AJ5" s="1712"/>
      <c r="AK5" s="1712"/>
      <c r="AL5" s="1712">
        <v>61</v>
      </c>
      <c r="AM5" s="1712"/>
      <c r="AN5" s="1712"/>
      <c r="AO5" s="1712"/>
      <c r="AP5" s="1712"/>
      <c r="AQ5" s="1712"/>
      <c r="AR5" s="1712"/>
      <c r="AS5" s="1712"/>
      <c r="AT5" s="1712"/>
      <c r="AU5" s="1712"/>
      <c r="AV5" s="1712">
        <v>30</v>
      </c>
      <c r="AW5" s="1712"/>
      <c r="AX5" s="1712"/>
      <c r="AY5" s="1712"/>
      <c r="AZ5" s="1712">
        <v>110</v>
      </c>
      <c r="BA5" s="1712"/>
      <c r="BB5" s="1712"/>
      <c r="BC5" s="1712"/>
      <c r="BD5" s="1712">
        <v>19</v>
      </c>
      <c r="BE5" s="1712"/>
      <c r="BF5" s="1712">
        <v>15</v>
      </c>
      <c r="BG5" s="1712"/>
      <c r="BH5" s="1712"/>
      <c r="BI5" s="1712"/>
      <c r="BJ5" s="1712">
        <v>2</v>
      </c>
      <c r="BK5" s="1712"/>
      <c r="BL5" s="1712">
        <v>5</v>
      </c>
      <c r="BM5" s="1712"/>
      <c r="BN5" s="1712"/>
      <c r="BO5" s="1713"/>
      <c r="BP5" s="1317"/>
      <c r="BQ5" s="1317"/>
      <c r="BR5" s="1317"/>
      <c r="BS5" s="1317"/>
      <c r="BT5" s="1317"/>
      <c r="BU5" s="1317"/>
      <c r="BV5" s="1317"/>
      <c r="BW5" s="1317"/>
      <c r="BX5" s="1317"/>
      <c r="BY5" s="1317"/>
      <c r="BZ5" s="1317"/>
      <c r="CA5" s="1317"/>
      <c r="CB5" s="1317"/>
      <c r="CC5" s="1714">
        <v>3</v>
      </c>
      <c r="CD5" s="1718"/>
      <c r="CE5" s="1713"/>
      <c r="CF5" s="1317"/>
      <c r="CG5" s="1317"/>
      <c r="CH5" s="1317"/>
      <c r="CI5" s="1317">
        <v>2</v>
      </c>
      <c r="CJ5" s="1714">
        <v>311</v>
      </c>
      <c r="CK5" s="1713"/>
      <c r="CL5" s="1317"/>
      <c r="CM5" s="1317"/>
      <c r="CN5" s="1317"/>
      <c r="CO5" s="1317"/>
      <c r="CP5" s="1317"/>
      <c r="CQ5" s="1317"/>
      <c r="CR5" s="1317"/>
      <c r="CS5" s="1317"/>
      <c r="CT5" s="1714"/>
      <c r="CU5" s="8"/>
      <c r="CV5" s="8"/>
    </row>
    <row r="6" spans="1:101" hidden="1">
      <c r="A6" s="1309">
        <v>43191</v>
      </c>
      <c r="B6" s="1310">
        <f t="shared" si="2"/>
        <v>0</v>
      </c>
      <c r="C6" s="1310">
        <f t="shared" si="3"/>
        <v>0</v>
      </c>
      <c r="D6" s="1310">
        <f t="shared" si="4"/>
        <v>0</v>
      </c>
      <c r="E6" s="1310">
        <f t="shared" si="5"/>
        <v>0</v>
      </c>
      <c r="F6" s="1310">
        <f t="shared" si="6"/>
        <v>0</v>
      </c>
      <c r="G6" s="1310">
        <f t="shared" si="7"/>
        <v>0</v>
      </c>
      <c r="H6" s="1310">
        <f t="shared" si="8"/>
        <v>0</v>
      </c>
      <c r="I6" s="1310">
        <f t="shared" si="9"/>
        <v>7</v>
      </c>
      <c r="J6" s="1310">
        <f t="shared" si="10"/>
        <v>0</v>
      </c>
      <c r="K6" s="1310">
        <f t="shared" si="11"/>
        <v>0</v>
      </c>
      <c r="L6" s="1310">
        <f t="shared" si="12"/>
        <v>0</v>
      </c>
      <c r="M6" s="1310">
        <f t="shared" si="13"/>
        <v>0</v>
      </c>
      <c r="N6" s="1310">
        <f t="shared" si="14"/>
        <v>0</v>
      </c>
      <c r="O6" s="1310">
        <f t="shared" si="15"/>
        <v>0</v>
      </c>
      <c r="P6" s="1310"/>
      <c r="Q6" s="1310">
        <f t="shared" si="16"/>
        <v>0</v>
      </c>
      <c r="R6" s="1310"/>
      <c r="S6" s="1310">
        <f t="shared" si="17"/>
        <v>0</v>
      </c>
      <c r="T6" s="1310">
        <f t="shared" si="18"/>
        <v>0</v>
      </c>
      <c r="U6" s="1310">
        <f t="shared" si="19"/>
        <v>1</v>
      </c>
      <c r="V6" s="1310">
        <f t="shared" si="20"/>
        <v>0</v>
      </c>
      <c r="W6" s="1310">
        <f t="shared" si="21"/>
        <v>0</v>
      </c>
      <c r="X6" s="1310">
        <f t="shared" si="22"/>
        <v>263</v>
      </c>
      <c r="Y6" s="1310">
        <f t="shared" si="23"/>
        <v>0</v>
      </c>
      <c r="Z6" s="1310">
        <f t="shared" si="24"/>
        <v>0</v>
      </c>
      <c r="AA6" s="1310">
        <f t="shared" si="25"/>
        <v>57</v>
      </c>
      <c r="AB6" s="1310">
        <f t="shared" si="26"/>
        <v>8</v>
      </c>
      <c r="AC6" s="1310">
        <f t="shared" si="27"/>
        <v>0</v>
      </c>
      <c r="AD6" s="1310">
        <f t="shared" si="28"/>
        <v>0</v>
      </c>
      <c r="AE6" s="1310">
        <f t="shared" si="29"/>
        <v>0</v>
      </c>
      <c r="AF6" s="1310">
        <f t="shared" si="30"/>
        <v>0</v>
      </c>
      <c r="AG6" s="1310">
        <f t="shared" si="31"/>
        <v>0</v>
      </c>
      <c r="AH6" s="1701">
        <f t="shared" si="32"/>
        <v>0</v>
      </c>
      <c r="AI6" s="1712"/>
      <c r="AJ6" s="1712"/>
      <c r="AK6" s="1712"/>
      <c r="AL6" s="1712"/>
      <c r="AM6" s="1712"/>
      <c r="AN6" s="1712"/>
      <c r="AO6" s="1712"/>
      <c r="AP6" s="1712">
        <v>7</v>
      </c>
      <c r="AQ6" s="1712"/>
      <c r="AR6" s="1712"/>
      <c r="AS6" s="1712"/>
      <c r="AT6" s="1712"/>
      <c r="AU6" s="1712"/>
      <c r="AV6" s="1712"/>
      <c r="AW6" s="1712"/>
      <c r="AX6" s="1712"/>
      <c r="AY6" s="1712"/>
      <c r="AZ6" s="1712"/>
      <c r="BA6" s="1712">
        <v>1</v>
      </c>
      <c r="BB6" s="1712"/>
      <c r="BC6" s="1712"/>
      <c r="BD6" s="1712">
        <v>106</v>
      </c>
      <c r="BE6" s="1712"/>
      <c r="BF6" s="1712"/>
      <c r="BG6" s="1712">
        <v>57</v>
      </c>
      <c r="BH6" s="1712">
        <v>8</v>
      </c>
      <c r="BI6" s="1712"/>
      <c r="BJ6" s="1712"/>
      <c r="BK6" s="1712"/>
      <c r="BL6" s="1712"/>
      <c r="BM6" s="1712"/>
      <c r="BN6" s="1712"/>
      <c r="BO6" s="1713"/>
      <c r="BP6" s="1317"/>
      <c r="BQ6" s="1317"/>
      <c r="BR6" s="1317"/>
      <c r="BS6" s="1317"/>
      <c r="BT6" s="1317"/>
      <c r="BU6" s="1317"/>
      <c r="BV6" s="1317"/>
      <c r="BW6" s="1317"/>
      <c r="BX6" s="1317"/>
      <c r="BY6" s="1317"/>
      <c r="BZ6" s="1317"/>
      <c r="CA6" s="1317"/>
      <c r="CB6" s="1317"/>
      <c r="CC6" s="1714"/>
      <c r="CD6" s="1718"/>
      <c r="CE6" s="1713"/>
      <c r="CF6" s="1317"/>
      <c r="CG6" s="1317"/>
      <c r="CH6" s="1317"/>
      <c r="CI6" s="1317"/>
      <c r="CJ6" s="1714">
        <v>157</v>
      </c>
      <c r="CK6" s="1713"/>
      <c r="CL6" s="1317"/>
      <c r="CM6" s="1317"/>
      <c r="CN6" s="1317"/>
      <c r="CO6" s="1317"/>
      <c r="CP6" s="1317"/>
      <c r="CQ6" s="1317"/>
      <c r="CR6" s="1317"/>
      <c r="CS6" s="1317"/>
      <c r="CT6" s="1714"/>
      <c r="CU6" s="8"/>
      <c r="CV6" s="8"/>
    </row>
    <row r="7" spans="1:101" hidden="1">
      <c r="A7" s="1309">
        <v>43221</v>
      </c>
      <c r="B7" s="1310">
        <f t="shared" si="2"/>
        <v>0</v>
      </c>
      <c r="C7" s="1310">
        <f t="shared" si="3"/>
        <v>0</v>
      </c>
      <c r="D7" s="1310">
        <f t="shared" si="4"/>
        <v>0</v>
      </c>
      <c r="E7" s="1310">
        <f t="shared" si="5"/>
        <v>65</v>
      </c>
      <c r="F7" s="1310">
        <f t="shared" si="6"/>
        <v>0</v>
      </c>
      <c r="G7" s="1310">
        <f t="shared" si="7"/>
        <v>44</v>
      </c>
      <c r="H7" s="1310">
        <f t="shared" si="8"/>
        <v>0</v>
      </c>
      <c r="I7" s="1310">
        <f t="shared" si="9"/>
        <v>17</v>
      </c>
      <c r="J7" s="1310">
        <f t="shared" si="10"/>
        <v>16</v>
      </c>
      <c r="K7" s="1310">
        <f t="shared" si="11"/>
        <v>1</v>
      </c>
      <c r="L7" s="1310">
        <f t="shared" si="12"/>
        <v>90</v>
      </c>
      <c r="M7" s="1310">
        <f t="shared" si="13"/>
        <v>0</v>
      </c>
      <c r="N7" s="1310">
        <f t="shared" si="14"/>
        <v>0</v>
      </c>
      <c r="O7" s="1310">
        <f t="shared" si="15"/>
        <v>0</v>
      </c>
      <c r="P7" s="1310"/>
      <c r="Q7" s="1310">
        <f t="shared" si="16"/>
        <v>0</v>
      </c>
      <c r="R7" s="1310"/>
      <c r="S7" s="1310">
        <f t="shared" si="17"/>
        <v>0</v>
      </c>
      <c r="T7" s="1310">
        <f t="shared" si="18"/>
        <v>0</v>
      </c>
      <c r="U7" s="1310">
        <f t="shared" si="19"/>
        <v>0</v>
      </c>
      <c r="V7" s="1310">
        <f t="shared" si="20"/>
        <v>0</v>
      </c>
      <c r="W7" s="1310">
        <f t="shared" si="21"/>
        <v>2</v>
      </c>
      <c r="X7" s="1310">
        <f t="shared" si="22"/>
        <v>579</v>
      </c>
      <c r="Y7" s="1310">
        <f t="shared" si="23"/>
        <v>0</v>
      </c>
      <c r="Z7" s="1310">
        <f t="shared" si="24"/>
        <v>30</v>
      </c>
      <c r="AA7" s="1310">
        <f t="shared" si="25"/>
        <v>0</v>
      </c>
      <c r="AB7" s="1310">
        <f t="shared" si="26"/>
        <v>0</v>
      </c>
      <c r="AC7" s="1310">
        <f t="shared" si="27"/>
        <v>43</v>
      </c>
      <c r="AD7" s="1310">
        <f t="shared" si="28"/>
        <v>3</v>
      </c>
      <c r="AE7" s="1310">
        <f t="shared" si="29"/>
        <v>0</v>
      </c>
      <c r="AF7" s="1310">
        <f t="shared" si="30"/>
        <v>0</v>
      </c>
      <c r="AG7" s="1310">
        <f t="shared" si="31"/>
        <v>0</v>
      </c>
      <c r="AH7" s="1701">
        <f t="shared" si="32"/>
        <v>0</v>
      </c>
      <c r="AI7" s="1712"/>
      <c r="AJ7" s="1712"/>
      <c r="AK7" s="1712"/>
      <c r="AL7" s="1712">
        <v>65</v>
      </c>
      <c r="AM7" s="1712"/>
      <c r="AN7" s="1712">
        <v>44</v>
      </c>
      <c r="AO7" s="1712"/>
      <c r="AP7" s="1712">
        <v>17</v>
      </c>
      <c r="AQ7" s="1712">
        <v>16</v>
      </c>
      <c r="AR7" s="1712"/>
      <c r="AS7" s="1712">
        <v>90</v>
      </c>
      <c r="AT7" s="1712"/>
      <c r="AU7" s="1712"/>
      <c r="AV7" s="1712"/>
      <c r="AW7" s="1712"/>
      <c r="AX7" s="1712"/>
      <c r="AY7" s="1712"/>
      <c r="AZ7" s="1712"/>
      <c r="BA7" s="1712"/>
      <c r="BB7" s="1712"/>
      <c r="BC7" s="1712"/>
      <c r="BD7" s="1712">
        <v>184</v>
      </c>
      <c r="BE7" s="1712"/>
      <c r="BF7" s="1712">
        <v>30</v>
      </c>
      <c r="BG7" s="1712"/>
      <c r="BH7" s="1712"/>
      <c r="BI7" s="1712">
        <v>43</v>
      </c>
      <c r="BJ7" s="1712">
        <v>3</v>
      </c>
      <c r="BK7" s="1712"/>
      <c r="BL7" s="1712"/>
      <c r="BM7" s="1712"/>
      <c r="BN7" s="1712"/>
      <c r="BO7" s="1713"/>
      <c r="BP7" s="1317"/>
      <c r="BQ7" s="1317"/>
      <c r="BR7" s="1317"/>
      <c r="BS7" s="1317"/>
      <c r="BT7" s="1317"/>
      <c r="BU7" s="1317"/>
      <c r="BV7" s="1317"/>
      <c r="BW7" s="1317"/>
      <c r="BX7" s="1317">
        <v>1</v>
      </c>
      <c r="BY7" s="1317"/>
      <c r="BZ7" s="1317"/>
      <c r="CA7" s="1317"/>
      <c r="CB7" s="1317"/>
      <c r="CC7" s="1714"/>
      <c r="CD7" s="1718"/>
      <c r="CE7" s="1713"/>
      <c r="CF7" s="1317"/>
      <c r="CG7" s="1317"/>
      <c r="CH7" s="1317"/>
      <c r="CI7" s="1317">
        <v>2</v>
      </c>
      <c r="CJ7" s="1714">
        <v>395</v>
      </c>
      <c r="CK7" s="1713"/>
      <c r="CL7" s="1317"/>
      <c r="CM7" s="1317"/>
      <c r="CN7" s="1317"/>
      <c r="CO7" s="1317"/>
      <c r="CP7" s="1317"/>
      <c r="CQ7" s="1317"/>
      <c r="CR7" s="1317"/>
      <c r="CS7" s="1317"/>
      <c r="CT7" s="1714"/>
      <c r="CU7" s="8"/>
      <c r="CV7" s="8"/>
    </row>
    <row r="8" spans="1:101" hidden="1">
      <c r="A8" s="1309">
        <v>43252</v>
      </c>
      <c r="B8" s="1310">
        <f t="shared" si="2"/>
        <v>0</v>
      </c>
      <c r="C8" s="1310">
        <f t="shared" si="3"/>
        <v>0</v>
      </c>
      <c r="D8" s="1310">
        <f t="shared" si="4"/>
        <v>0</v>
      </c>
      <c r="E8" s="1310">
        <f t="shared" si="5"/>
        <v>94</v>
      </c>
      <c r="F8" s="1310">
        <f t="shared" si="6"/>
        <v>0</v>
      </c>
      <c r="G8" s="1310">
        <f t="shared" si="7"/>
        <v>8</v>
      </c>
      <c r="H8" s="1310">
        <f t="shared" si="8"/>
        <v>0</v>
      </c>
      <c r="I8" s="1310">
        <f t="shared" si="9"/>
        <v>0</v>
      </c>
      <c r="J8" s="1310">
        <f t="shared" si="10"/>
        <v>0</v>
      </c>
      <c r="K8" s="1310">
        <f t="shared" si="11"/>
        <v>0</v>
      </c>
      <c r="L8" s="1310">
        <f t="shared" si="12"/>
        <v>0</v>
      </c>
      <c r="M8" s="1310">
        <f t="shared" si="13"/>
        <v>0</v>
      </c>
      <c r="N8" s="1310">
        <f t="shared" si="14"/>
        <v>0</v>
      </c>
      <c r="O8" s="1310">
        <f t="shared" si="15"/>
        <v>0</v>
      </c>
      <c r="P8" s="1310"/>
      <c r="Q8" s="1310">
        <f t="shared" si="16"/>
        <v>0</v>
      </c>
      <c r="R8" s="1310"/>
      <c r="S8" s="1310">
        <f t="shared" si="17"/>
        <v>0</v>
      </c>
      <c r="T8" s="1310">
        <f t="shared" si="18"/>
        <v>0</v>
      </c>
      <c r="U8" s="1310">
        <f t="shared" si="19"/>
        <v>0</v>
      </c>
      <c r="V8" s="1310">
        <f t="shared" si="20"/>
        <v>0</v>
      </c>
      <c r="W8" s="1310">
        <f t="shared" si="21"/>
        <v>0</v>
      </c>
      <c r="X8" s="1310">
        <f t="shared" si="22"/>
        <v>410</v>
      </c>
      <c r="Y8" s="1310">
        <f t="shared" si="23"/>
        <v>0</v>
      </c>
      <c r="Z8" s="1310">
        <f t="shared" si="24"/>
        <v>0</v>
      </c>
      <c r="AA8" s="1310">
        <f t="shared" si="25"/>
        <v>0</v>
      </c>
      <c r="AB8" s="1310">
        <f t="shared" si="26"/>
        <v>0</v>
      </c>
      <c r="AC8" s="1310">
        <f t="shared" si="27"/>
        <v>5</v>
      </c>
      <c r="AD8" s="1310">
        <f t="shared" si="28"/>
        <v>17</v>
      </c>
      <c r="AE8" s="1310">
        <f t="shared" si="29"/>
        <v>90</v>
      </c>
      <c r="AF8" s="1310">
        <f t="shared" si="30"/>
        <v>0</v>
      </c>
      <c r="AG8" s="1310">
        <f t="shared" si="31"/>
        <v>0</v>
      </c>
      <c r="AH8" s="1701">
        <f t="shared" si="32"/>
        <v>0</v>
      </c>
      <c r="AI8" s="1712"/>
      <c r="AJ8" s="1712"/>
      <c r="AK8" s="1712"/>
      <c r="AL8" s="1712">
        <v>94</v>
      </c>
      <c r="AM8" s="1712"/>
      <c r="AN8" s="1712">
        <v>8</v>
      </c>
      <c r="AO8" s="1712"/>
      <c r="AP8" s="1712"/>
      <c r="AQ8" s="1712"/>
      <c r="AR8" s="1712"/>
      <c r="AS8" s="1712"/>
      <c r="AT8" s="1712"/>
      <c r="AU8" s="1712"/>
      <c r="AV8" s="1712"/>
      <c r="AW8" s="1712"/>
      <c r="AX8" s="1712"/>
      <c r="AY8" s="1712"/>
      <c r="AZ8" s="1712"/>
      <c r="BA8" s="1712"/>
      <c r="BB8" s="1712"/>
      <c r="BC8" s="1712"/>
      <c r="BD8" s="1712">
        <v>56</v>
      </c>
      <c r="BE8" s="1712"/>
      <c r="BF8" s="1712"/>
      <c r="BG8" s="1712"/>
      <c r="BH8" s="1712"/>
      <c r="BI8" s="1712">
        <v>5</v>
      </c>
      <c r="BJ8" s="1712">
        <v>17</v>
      </c>
      <c r="BK8" s="1712">
        <v>90</v>
      </c>
      <c r="BL8" s="1712"/>
      <c r="BM8" s="1712"/>
      <c r="BN8" s="1712"/>
      <c r="BO8" s="1713"/>
      <c r="BP8" s="1317"/>
      <c r="BQ8" s="1317"/>
      <c r="BR8" s="1317"/>
      <c r="BS8" s="1317"/>
      <c r="BT8" s="1317"/>
      <c r="BU8" s="1317"/>
      <c r="BV8" s="1317"/>
      <c r="BW8" s="1317"/>
      <c r="BX8" s="1317"/>
      <c r="BY8" s="1317"/>
      <c r="BZ8" s="1317"/>
      <c r="CA8" s="1317"/>
      <c r="CB8" s="1317"/>
      <c r="CC8" s="1714"/>
      <c r="CD8" s="1718"/>
      <c r="CE8" s="1713"/>
      <c r="CF8" s="1317"/>
      <c r="CG8" s="1317"/>
      <c r="CH8" s="1317"/>
      <c r="CI8" s="1317"/>
      <c r="CJ8" s="1714">
        <v>354</v>
      </c>
      <c r="CK8" s="1713"/>
      <c r="CL8" s="1317"/>
      <c r="CM8" s="1317"/>
      <c r="CN8" s="1317"/>
      <c r="CO8" s="1317"/>
      <c r="CP8" s="1317"/>
      <c r="CQ8" s="1317"/>
      <c r="CR8" s="1317"/>
      <c r="CS8" s="1317"/>
      <c r="CT8" s="1714"/>
      <c r="CU8" s="8"/>
      <c r="CV8" s="8"/>
    </row>
    <row r="9" spans="1:101" hidden="1">
      <c r="A9" s="1309">
        <v>43282</v>
      </c>
      <c r="B9" s="1310">
        <f t="shared" si="2"/>
        <v>0</v>
      </c>
      <c r="C9" s="1310">
        <f t="shared" si="3"/>
        <v>0</v>
      </c>
      <c r="D9" s="1310">
        <f t="shared" si="4"/>
        <v>0</v>
      </c>
      <c r="E9" s="1310">
        <f t="shared" si="5"/>
        <v>5</v>
      </c>
      <c r="F9" s="1310">
        <f t="shared" si="6"/>
        <v>0</v>
      </c>
      <c r="G9" s="1310">
        <f t="shared" si="7"/>
        <v>60</v>
      </c>
      <c r="H9" s="1310">
        <f t="shared" si="8"/>
        <v>0</v>
      </c>
      <c r="I9" s="1310">
        <f t="shared" si="9"/>
        <v>87</v>
      </c>
      <c r="J9" s="1310">
        <f t="shared" si="10"/>
        <v>0</v>
      </c>
      <c r="K9" s="1310">
        <f t="shared" si="11"/>
        <v>0</v>
      </c>
      <c r="L9" s="1310">
        <f t="shared" si="12"/>
        <v>0</v>
      </c>
      <c r="M9" s="1310">
        <f t="shared" si="13"/>
        <v>0</v>
      </c>
      <c r="N9" s="1310">
        <f t="shared" si="14"/>
        <v>0</v>
      </c>
      <c r="O9" s="1310">
        <f t="shared" si="15"/>
        <v>0</v>
      </c>
      <c r="P9" s="1310"/>
      <c r="Q9" s="1310">
        <f t="shared" si="16"/>
        <v>30</v>
      </c>
      <c r="R9" s="1310"/>
      <c r="S9" s="1310">
        <f t="shared" si="17"/>
        <v>0</v>
      </c>
      <c r="T9" s="1310">
        <f t="shared" si="18"/>
        <v>0</v>
      </c>
      <c r="U9" s="1310">
        <f t="shared" si="19"/>
        <v>0</v>
      </c>
      <c r="V9" s="1310">
        <f t="shared" si="20"/>
        <v>0</v>
      </c>
      <c r="W9" s="1310">
        <f t="shared" si="21"/>
        <v>15</v>
      </c>
      <c r="X9" s="1310">
        <f t="shared" si="22"/>
        <v>407</v>
      </c>
      <c r="Y9" s="1310">
        <f t="shared" si="23"/>
        <v>0</v>
      </c>
      <c r="Z9" s="1310">
        <f t="shared" si="24"/>
        <v>0</v>
      </c>
      <c r="AA9" s="1310">
        <f t="shared" si="25"/>
        <v>0</v>
      </c>
      <c r="AB9" s="1310">
        <f t="shared" si="26"/>
        <v>0</v>
      </c>
      <c r="AC9" s="1310">
        <f t="shared" si="27"/>
        <v>0</v>
      </c>
      <c r="AD9" s="1310">
        <f t="shared" si="28"/>
        <v>0</v>
      </c>
      <c r="AE9" s="1310">
        <f t="shared" si="29"/>
        <v>0</v>
      </c>
      <c r="AF9" s="1310">
        <f t="shared" si="30"/>
        <v>37</v>
      </c>
      <c r="AG9" s="1310">
        <f t="shared" si="31"/>
        <v>0</v>
      </c>
      <c r="AH9" s="1701">
        <f t="shared" si="32"/>
        <v>0</v>
      </c>
      <c r="AI9" s="1712"/>
      <c r="AJ9" s="1712"/>
      <c r="AK9" s="1712"/>
      <c r="AL9" s="1712">
        <v>5</v>
      </c>
      <c r="AM9" s="1712"/>
      <c r="AN9" s="1712">
        <v>60</v>
      </c>
      <c r="AO9" s="1712"/>
      <c r="AP9" s="1712">
        <v>87</v>
      </c>
      <c r="AQ9" s="1712"/>
      <c r="AR9" s="1712"/>
      <c r="AS9" s="1712"/>
      <c r="AT9" s="1712"/>
      <c r="AU9" s="1712"/>
      <c r="AV9" s="1712"/>
      <c r="AW9" s="1712"/>
      <c r="AX9" s="1712"/>
      <c r="AY9" s="1712"/>
      <c r="AZ9" s="1712"/>
      <c r="BA9" s="1712"/>
      <c r="BB9" s="1712"/>
      <c r="BC9" s="1712"/>
      <c r="BD9" s="1712">
        <v>78</v>
      </c>
      <c r="BE9" s="1712"/>
      <c r="BF9" s="1712"/>
      <c r="BG9" s="1712"/>
      <c r="BH9" s="1712"/>
      <c r="BI9" s="1712"/>
      <c r="BJ9" s="1712"/>
      <c r="BK9" s="1712"/>
      <c r="BL9" s="1712">
        <v>37</v>
      </c>
      <c r="BM9" s="1712"/>
      <c r="BN9" s="1712"/>
      <c r="BO9" s="1713"/>
      <c r="BP9" s="1317"/>
      <c r="BQ9" s="1317"/>
      <c r="BR9" s="1317"/>
      <c r="BS9" s="1317"/>
      <c r="BT9" s="1317"/>
      <c r="BU9" s="1317"/>
      <c r="BV9" s="1317"/>
      <c r="BW9" s="1317"/>
      <c r="BX9" s="1317"/>
      <c r="BY9" s="1317"/>
      <c r="BZ9" s="1317"/>
      <c r="CA9" s="1317"/>
      <c r="CB9" s="1317"/>
      <c r="CC9" s="1714">
        <v>30</v>
      </c>
      <c r="CD9" s="1718"/>
      <c r="CE9" s="1713"/>
      <c r="CF9" s="1317"/>
      <c r="CG9" s="1317"/>
      <c r="CH9" s="1317"/>
      <c r="CI9" s="1317">
        <v>15</v>
      </c>
      <c r="CJ9" s="1714">
        <v>329</v>
      </c>
      <c r="CK9" s="1713"/>
      <c r="CL9" s="1317"/>
      <c r="CM9" s="1317"/>
      <c r="CN9" s="1317"/>
      <c r="CO9" s="1317"/>
      <c r="CP9" s="1317"/>
      <c r="CQ9" s="1317"/>
      <c r="CR9" s="1317"/>
      <c r="CS9" s="1317"/>
      <c r="CT9" s="1714"/>
      <c r="CU9" s="8"/>
      <c r="CV9" s="8"/>
    </row>
    <row r="10" spans="1:101" hidden="1">
      <c r="A10" s="1309">
        <v>43313</v>
      </c>
      <c r="B10" s="1310">
        <f t="shared" si="2"/>
        <v>0</v>
      </c>
      <c r="C10" s="1310">
        <f t="shared" si="3"/>
        <v>79</v>
      </c>
      <c r="D10" s="1310">
        <f t="shared" si="4"/>
        <v>0</v>
      </c>
      <c r="E10" s="1310">
        <f t="shared" si="5"/>
        <v>0</v>
      </c>
      <c r="F10" s="1310">
        <f t="shared" si="6"/>
        <v>0</v>
      </c>
      <c r="G10" s="1310">
        <f t="shared" si="7"/>
        <v>8</v>
      </c>
      <c r="H10" s="1310">
        <f t="shared" si="8"/>
        <v>0</v>
      </c>
      <c r="I10" s="1310">
        <f t="shared" si="9"/>
        <v>0</v>
      </c>
      <c r="J10" s="1310">
        <f t="shared" si="10"/>
        <v>0</v>
      </c>
      <c r="K10" s="1310">
        <f t="shared" si="11"/>
        <v>26</v>
      </c>
      <c r="L10" s="1310">
        <f t="shared" si="12"/>
        <v>0</v>
      </c>
      <c r="M10" s="1310">
        <f t="shared" si="13"/>
        <v>0</v>
      </c>
      <c r="N10" s="1310">
        <f t="shared" si="14"/>
        <v>0</v>
      </c>
      <c r="O10" s="1310">
        <f t="shared" si="15"/>
        <v>0</v>
      </c>
      <c r="P10" s="1310"/>
      <c r="Q10" s="1310">
        <f t="shared" si="16"/>
        <v>0</v>
      </c>
      <c r="R10" s="1310"/>
      <c r="S10" s="1310">
        <f t="shared" si="17"/>
        <v>0</v>
      </c>
      <c r="T10" s="1310">
        <f t="shared" si="18"/>
        <v>0</v>
      </c>
      <c r="U10" s="1310">
        <f t="shared" si="19"/>
        <v>0</v>
      </c>
      <c r="V10" s="1310">
        <f t="shared" si="20"/>
        <v>0</v>
      </c>
      <c r="W10" s="1310">
        <f t="shared" si="21"/>
        <v>13</v>
      </c>
      <c r="X10" s="1310">
        <f t="shared" si="22"/>
        <v>194</v>
      </c>
      <c r="Y10" s="1310">
        <f t="shared" si="23"/>
        <v>0</v>
      </c>
      <c r="Z10" s="1310">
        <f t="shared" si="24"/>
        <v>0</v>
      </c>
      <c r="AA10" s="1310">
        <f t="shared" si="25"/>
        <v>0</v>
      </c>
      <c r="AB10" s="1310">
        <f t="shared" si="26"/>
        <v>0</v>
      </c>
      <c r="AC10" s="1310">
        <f t="shared" si="27"/>
        <v>7</v>
      </c>
      <c r="AD10" s="1310">
        <f t="shared" si="28"/>
        <v>4</v>
      </c>
      <c r="AE10" s="1310">
        <f t="shared" si="29"/>
        <v>0</v>
      </c>
      <c r="AF10" s="1310">
        <f t="shared" si="30"/>
        <v>51</v>
      </c>
      <c r="AG10" s="1310">
        <f t="shared" si="31"/>
        <v>0</v>
      </c>
      <c r="AH10" s="1701">
        <f t="shared" si="32"/>
        <v>0</v>
      </c>
      <c r="AI10" s="1712"/>
      <c r="AJ10" s="1712">
        <v>79</v>
      </c>
      <c r="AK10" s="1712"/>
      <c r="AL10" s="1712"/>
      <c r="AM10" s="1712"/>
      <c r="AN10" s="1712">
        <v>8</v>
      </c>
      <c r="AO10" s="1712"/>
      <c r="AP10" s="1712"/>
      <c r="AQ10" s="1712"/>
      <c r="AR10" s="1712">
        <v>2</v>
      </c>
      <c r="AS10" s="1712"/>
      <c r="AT10" s="1712"/>
      <c r="AU10" s="1712"/>
      <c r="AV10" s="1712"/>
      <c r="AW10" s="1712"/>
      <c r="AX10" s="1712"/>
      <c r="AY10" s="1712"/>
      <c r="AZ10" s="1712"/>
      <c r="BA10" s="1712"/>
      <c r="BB10" s="1712"/>
      <c r="BC10" s="1712">
        <v>9</v>
      </c>
      <c r="BD10" s="1712">
        <v>78</v>
      </c>
      <c r="BE10" s="1712"/>
      <c r="BF10" s="1712"/>
      <c r="BG10" s="1712"/>
      <c r="BH10" s="1712"/>
      <c r="BI10" s="1712">
        <v>7</v>
      </c>
      <c r="BJ10" s="1712">
        <v>4</v>
      </c>
      <c r="BK10" s="1712"/>
      <c r="BL10" s="1712">
        <v>51</v>
      </c>
      <c r="BM10" s="1712"/>
      <c r="BN10" s="1712"/>
      <c r="BO10" s="1713"/>
      <c r="BP10" s="1317"/>
      <c r="BQ10" s="1317"/>
      <c r="BR10" s="1317"/>
      <c r="BS10" s="1317"/>
      <c r="BT10" s="1317"/>
      <c r="BU10" s="1317"/>
      <c r="BV10" s="1317"/>
      <c r="BW10" s="1317"/>
      <c r="BX10" s="1317">
        <v>24</v>
      </c>
      <c r="BY10" s="1317"/>
      <c r="BZ10" s="1317"/>
      <c r="CA10" s="1317"/>
      <c r="CB10" s="1317"/>
      <c r="CC10" s="1714"/>
      <c r="CD10" s="1718"/>
      <c r="CE10" s="1713"/>
      <c r="CF10" s="1317"/>
      <c r="CG10" s="1317"/>
      <c r="CH10" s="1317"/>
      <c r="CI10" s="1317">
        <v>4</v>
      </c>
      <c r="CJ10" s="1714">
        <v>116</v>
      </c>
      <c r="CK10" s="1713"/>
      <c r="CL10" s="1317"/>
      <c r="CM10" s="1317"/>
      <c r="CN10" s="1317"/>
      <c r="CO10" s="1317"/>
      <c r="CP10" s="1317"/>
      <c r="CQ10" s="1317"/>
      <c r="CR10" s="1317"/>
      <c r="CS10" s="1317"/>
      <c r="CT10" s="1714"/>
      <c r="CU10" s="8"/>
      <c r="CV10" s="8"/>
    </row>
    <row r="11" spans="1:101" hidden="1">
      <c r="A11" s="1309">
        <v>43344</v>
      </c>
      <c r="B11" s="1310">
        <f t="shared" si="2"/>
        <v>13</v>
      </c>
      <c r="C11" s="1310">
        <f t="shared" si="3"/>
        <v>90</v>
      </c>
      <c r="D11" s="1310">
        <f t="shared" si="4"/>
        <v>0</v>
      </c>
      <c r="E11" s="1310">
        <f t="shared" si="5"/>
        <v>5</v>
      </c>
      <c r="F11" s="1310">
        <f t="shared" si="6"/>
        <v>0</v>
      </c>
      <c r="G11" s="1310">
        <f t="shared" si="7"/>
        <v>5</v>
      </c>
      <c r="H11" s="1310">
        <f t="shared" si="8"/>
        <v>0</v>
      </c>
      <c r="I11" s="1310">
        <f t="shared" si="9"/>
        <v>13</v>
      </c>
      <c r="J11" s="1310">
        <f t="shared" si="10"/>
        <v>0</v>
      </c>
      <c r="K11" s="1310">
        <f t="shared" si="11"/>
        <v>0</v>
      </c>
      <c r="L11" s="1310">
        <f t="shared" si="12"/>
        <v>0</v>
      </c>
      <c r="M11" s="1310">
        <f t="shared" si="13"/>
        <v>0</v>
      </c>
      <c r="N11" s="1310">
        <f t="shared" si="14"/>
        <v>0</v>
      </c>
      <c r="O11" s="1310">
        <f t="shared" si="15"/>
        <v>0</v>
      </c>
      <c r="P11" s="1310"/>
      <c r="Q11" s="1310">
        <f t="shared" si="16"/>
        <v>0</v>
      </c>
      <c r="R11" s="1310"/>
      <c r="S11" s="1310">
        <f t="shared" si="17"/>
        <v>0</v>
      </c>
      <c r="T11" s="1310">
        <f t="shared" si="18"/>
        <v>9</v>
      </c>
      <c r="U11" s="1310">
        <f t="shared" si="19"/>
        <v>0</v>
      </c>
      <c r="V11" s="1310">
        <f t="shared" si="20"/>
        <v>0</v>
      </c>
      <c r="W11" s="1310">
        <f t="shared" si="21"/>
        <v>0</v>
      </c>
      <c r="X11" s="1310">
        <f t="shared" si="22"/>
        <v>194</v>
      </c>
      <c r="Y11" s="1310">
        <f t="shared" si="23"/>
        <v>0</v>
      </c>
      <c r="Z11" s="1310">
        <f t="shared" si="24"/>
        <v>0</v>
      </c>
      <c r="AA11" s="1310">
        <f t="shared" si="25"/>
        <v>0</v>
      </c>
      <c r="AB11" s="1310">
        <f t="shared" si="26"/>
        <v>0</v>
      </c>
      <c r="AC11" s="1310">
        <f t="shared" si="27"/>
        <v>0</v>
      </c>
      <c r="AD11" s="1310">
        <f t="shared" si="28"/>
        <v>0</v>
      </c>
      <c r="AE11" s="1310">
        <f t="shared" si="29"/>
        <v>0</v>
      </c>
      <c r="AF11" s="1310">
        <f t="shared" si="30"/>
        <v>0</v>
      </c>
      <c r="AG11" s="1310">
        <f t="shared" si="31"/>
        <v>0</v>
      </c>
      <c r="AH11" s="1701">
        <f t="shared" si="32"/>
        <v>0</v>
      </c>
      <c r="AI11" s="1712">
        <v>13</v>
      </c>
      <c r="AJ11" s="1712">
        <v>90</v>
      </c>
      <c r="AK11" s="1712"/>
      <c r="AL11" s="1712">
        <v>5</v>
      </c>
      <c r="AM11" s="1712"/>
      <c r="AN11" s="1712">
        <v>5</v>
      </c>
      <c r="AO11" s="1712"/>
      <c r="AP11" s="1712">
        <v>13</v>
      </c>
      <c r="AQ11" s="1712"/>
      <c r="AR11" s="1712"/>
      <c r="AS11" s="1712"/>
      <c r="AT11" s="1712"/>
      <c r="AU11" s="1712"/>
      <c r="AV11" s="1712"/>
      <c r="AW11" s="1712"/>
      <c r="AX11" s="1712"/>
      <c r="AY11" s="1712"/>
      <c r="AZ11" s="1712">
        <v>9</v>
      </c>
      <c r="BA11" s="1712"/>
      <c r="BB11" s="1712"/>
      <c r="BC11" s="1712"/>
      <c r="BD11" s="1712">
        <v>88</v>
      </c>
      <c r="BE11" s="1712"/>
      <c r="BF11" s="1712"/>
      <c r="BG11" s="1712"/>
      <c r="BH11" s="1712"/>
      <c r="BI11" s="1712"/>
      <c r="BJ11" s="1712"/>
      <c r="BK11" s="1712"/>
      <c r="BL11" s="1712"/>
      <c r="BM11" s="1712"/>
      <c r="BN11" s="1712"/>
      <c r="BO11" s="1713"/>
      <c r="BP11" s="1317"/>
      <c r="BQ11" s="1317"/>
      <c r="BR11" s="1317"/>
      <c r="BS11" s="1317"/>
      <c r="BT11" s="1317"/>
      <c r="BU11" s="1317"/>
      <c r="BV11" s="1317"/>
      <c r="BW11" s="1317"/>
      <c r="BX11" s="1317"/>
      <c r="BY11" s="1317"/>
      <c r="BZ11" s="1317"/>
      <c r="CA11" s="1317"/>
      <c r="CB11" s="1317"/>
      <c r="CC11" s="1714"/>
      <c r="CD11" s="1718"/>
      <c r="CE11" s="1713"/>
      <c r="CF11" s="1317"/>
      <c r="CG11" s="1317"/>
      <c r="CH11" s="1317"/>
      <c r="CI11" s="1317"/>
      <c r="CJ11" s="1714">
        <v>106</v>
      </c>
      <c r="CK11" s="1713"/>
      <c r="CL11" s="1317"/>
      <c r="CM11" s="1317"/>
      <c r="CN11" s="1317"/>
      <c r="CO11" s="1317"/>
      <c r="CP11" s="1317"/>
      <c r="CQ11" s="1317"/>
      <c r="CR11" s="1317"/>
      <c r="CS11" s="1317"/>
      <c r="CT11" s="1714"/>
      <c r="CU11" s="8"/>
      <c r="CV11" s="8"/>
    </row>
    <row r="12" spans="1:101" hidden="1">
      <c r="A12" s="1309">
        <v>43374</v>
      </c>
      <c r="B12" s="1310">
        <f t="shared" si="2"/>
        <v>0</v>
      </c>
      <c r="C12" s="1310">
        <f t="shared" si="3"/>
        <v>0</v>
      </c>
      <c r="D12" s="1310">
        <f t="shared" si="4"/>
        <v>0</v>
      </c>
      <c r="E12" s="1310">
        <f t="shared" si="5"/>
        <v>24</v>
      </c>
      <c r="F12" s="1310">
        <f t="shared" si="6"/>
        <v>10</v>
      </c>
      <c r="G12" s="1310">
        <f t="shared" si="7"/>
        <v>0</v>
      </c>
      <c r="H12" s="1310">
        <f t="shared" si="8"/>
        <v>0</v>
      </c>
      <c r="I12" s="1310">
        <f t="shared" si="9"/>
        <v>0</v>
      </c>
      <c r="J12" s="1310">
        <f t="shared" si="10"/>
        <v>0</v>
      </c>
      <c r="K12" s="1310">
        <f t="shared" si="11"/>
        <v>6</v>
      </c>
      <c r="L12" s="1310">
        <f t="shared" si="12"/>
        <v>0</v>
      </c>
      <c r="M12" s="1310">
        <f t="shared" si="13"/>
        <v>0</v>
      </c>
      <c r="N12" s="1310">
        <f t="shared" si="14"/>
        <v>0</v>
      </c>
      <c r="O12" s="1310">
        <f t="shared" si="15"/>
        <v>0</v>
      </c>
      <c r="P12" s="1310"/>
      <c r="Q12" s="1310">
        <f t="shared" si="16"/>
        <v>0</v>
      </c>
      <c r="R12" s="1310"/>
      <c r="S12" s="1310">
        <f t="shared" si="17"/>
        <v>0</v>
      </c>
      <c r="T12" s="1310">
        <f t="shared" si="18"/>
        <v>0</v>
      </c>
      <c r="U12" s="1310">
        <f t="shared" si="19"/>
        <v>0</v>
      </c>
      <c r="V12" s="1310">
        <f t="shared" si="20"/>
        <v>0</v>
      </c>
      <c r="W12" s="1310">
        <f t="shared" si="21"/>
        <v>0</v>
      </c>
      <c r="X12" s="1310">
        <f t="shared" si="22"/>
        <v>65</v>
      </c>
      <c r="Y12" s="1310">
        <f t="shared" si="23"/>
        <v>0</v>
      </c>
      <c r="Z12" s="1310">
        <f t="shared" si="24"/>
        <v>0</v>
      </c>
      <c r="AA12" s="1310">
        <f t="shared" si="25"/>
        <v>0</v>
      </c>
      <c r="AB12" s="1310">
        <f t="shared" si="26"/>
        <v>0</v>
      </c>
      <c r="AC12" s="1310">
        <f t="shared" si="27"/>
        <v>0</v>
      </c>
      <c r="AD12" s="1310">
        <f t="shared" si="28"/>
        <v>2</v>
      </c>
      <c r="AE12" s="1310">
        <f t="shared" si="29"/>
        <v>2</v>
      </c>
      <c r="AF12" s="1310">
        <f t="shared" si="30"/>
        <v>0</v>
      </c>
      <c r="AG12" s="1310">
        <f t="shared" si="31"/>
        <v>0</v>
      </c>
      <c r="AH12" s="1701">
        <f t="shared" si="32"/>
        <v>0</v>
      </c>
      <c r="AI12" s="1712"/>
      <c r="AJ12" s="1712"/>
      <c r="AK12" s="1712"/>
      <c r="AL12" s="1712">
        <v>24</v>
      </c>
      <c r="AM12" s="1712">
        <v>10</v>
      </c>
      <c r="AN12" s="1712"/>
      <c r="AO12" s="1712"/>
      <c r="AP12" s="1712"/>
      <c r="AQ12" s="1712"/>
      <c r="AR12" s="1712">
        <v>6</v>
      </c>
      <c r="AS12" s="1712"/>
      <c r="AT12" s="1712"/>
      <c r="AU12" s="1712"/>
      <c r="AV12" s="1712"/>
      <c r="AW12" s="1712"/>
      <c r="AX12" s="1712"/>
      <c r="AY12" s="1712"/>
      <c r="AZ12" s="1712"/>
      <c r="BA12" s="1712"/>
      <c r="BB12" s="1712"/>
      <c r="BC12" s="1712"/>
      <c r="BD12" s="1712">
        <v>56</v>
      </c>
      <c r="BE12" s="1712"/>
      <c r="BF12" s="1712"/>
      <c r="BG12" s="1712"/>
      <c r="BH12" s="1712"/>
      <c r="BI12" s="1712"/>
      <c r="BJ12" s="1712">
        <v>2</v>
      </c>
      <c r="BK12" s="1712">
        <v>2</v>
      </c>
      <c r="BL12" s="1712"/>
      <c r="BM12" s="1712"/>
      <c r="BN12" s="1712"/>
      <c r="BO12" s="1713"/>
      <c r="BP12" s="1317"/>
      <c r="BQ12" s="1317"/>
      <c r="BR12" s="1317"/>
      <c r="BS12" s="1317"/>
      <c r="BT12" s="1317"/>
      <c r="BU12" s="1317"/>
      <c r="BV12" s="1317"/>
      <c r="BW12" s="1317"/>
      <c r="BX12" s="1317"/>
      <c r="BY12" s="1317"/>
      <c r="BZ12" s="1317"/>
      <c r="CA12" s="1317"/>
      <c r="CB12" s="1317"/>
      <c r="CC12" s="1714"/>
      <c r="CD12" s="1718"/>
      <c r="CE12" s="1713"/>
      <c r="CF12" s="1317"/>
      <c r="CG12" s="1317"/>
      <c r="CH12" s="1317"/>
      <c r="CI12" s="1317"/>
      <c r="CJ12" s="1714">
        <v>9</v>
      </c>
      <c r="CK12" s="1713"/>
      <c r="CL12" s="1317"/>
      <c r="CM12" s="1317"/>
      <c r="CN12" s="1317"/>
      <c r="CO12" s="1317"/>
      <c r="CP12" s="1317"/>
      <c r="CQ12" s="1317"/>
      <c r="CR12" s="1317"/>
      <c r="CS12" s="1317"/>
      <c r="CT12" s="1714"/>
      <c r="CU12" s="8"/>
      <c r="CV12" s="8"/>
    </row>
    <row r="13" spans="1:101" hidden="1">
      <c r="A13" s="1309">
        <v>43405</v>
      </c>
      <c r="B13" s="1310">
        <f t="shared" si="2"/>
        <v>0</v>
      </c>
      <c r="C13" s="1310">
        <f t="shared" si="3"/>
        <v>0</v>
      </c>
      <c r="D13" s="1310">
        <f t="shared" si="4"/>
        <v>10</v>
      </c>
      <c r="E13" s="1310">
        <f t="shared" si="5"/>
        <v>11</v>
      </c>
      <c r="F13" s="1310">
        <f t="shared" si="6"/>
        <v>0</v>
      </c>
      <c r="G13" s="1310">
        <f t="shared" si="7"/>
        <v>19</v>
      </c>
      <c r="H13" s="1310">
        <f t="shared" si="8"/>
        <v>0</v>
      </c>
      <c r="I13" s="1310">
        <f t="shared" si="9"/>
        <v>0</v>
      </c>
      <c r="J13" s="1310">
        <f t="shared" si="10"/>
        <v>0</v>
      </c>
      <c r="K13" s="1310">
        <f t="shared" si="11"/>
        <v>6000</v>
      </c>
      <c r="L13" s="1310">
        <f t="shared" si="12"/>
        <v>0</v>
      </c>
      <c r="M13" s="1310">
        <f t="shared" si="13"/>
        <v>0</v>
      </c>
      <c r="N13" s="1310">
        <f t="shared" si="14"/>
        <v>0</v>
      </c>
      <c r="O13" s="1310">
        <f t="shared" si="15"/>
        <v>0</v>
      </c>
      <c r="P13" s="1310"/>
      <c r="Q13" s="1310">
        <f t="shared" si="16"/>
        <v>0</v>
      </c>
      <c r="R13" s="1310"/>
      <c r="S13" s="1310">
        <f t="shared" si="17"/>
        <v>0</v>
      </c>
      <c r="T13" s="1310">
        <f t="shared" si="18"/>
        <v>0</v>
      </c>
      <c r="U13" s="1310">
        <f t="shared" si="19"/>
        <v>0</v>
      </c>
      <c r="V13" s="1310">
        <f t="shared" si="20"/>
        <v>9</v>
      </c>
      <c r="W13" s="1310">
        <f t="shared" si="21"/>
        <v>10</v>
      </c>
      <c r="X13" s="1310">
        <f t="shared" si="22"/>
        <v>86</v>
      </c>
      <c r="Y13" s="1310">
        <f t="shared" si="23"/>
        <v>149</v>
      </c>
      <c r="Z13" s="1310">
        <f t="shared" si="24"/>
        <v>0</v>
      </c>
      <c r="AA13" s="1310">
        <f t="shared" si="25"/>
        <v>0</v>
      </c>
      <c r="AB13" s="1310">
        <f t="shared" si="26"/>
        <v>0</v>
      </c>
      <c r="AC13" s="1310">
        <f t="shared" si="27"/>
        <v>0</v>
      </c>
      <c r="AD13" s="1310">
        <f t="shared" si="28"/>
        <v>2</v>
      </c>
      <c r="AE13" s="1310">
        <f t="shared" si="29"/>
        <v>0</v>
      </c>
      <c r="AF13" s="1310">
        <f t="shared" si="30"/>
        <v>22</v>
      </c>
      <c r="AG13" s="1310">
        <f t="shared" si="31"/>
        <v>0</v>
      </c>
      <c r="AH13" s="1701">
        <f t="shared" si="32"/>
        <v>0</v>
      </c>
      <c r="AI13" s="1712"/>
      <c r="AJ13" s="1712"/>
      <c r="AK13" s="1712">
        <v>10</v>
      </c>
      <c r="AL13" s="1712">
        <v>6</v>
      </c>
      <c r="AM13" s="1712"/>
      <c r="AN13" s="1712">
        <v>19</v>
      </c>
      <c r="AO13" s="1712"/>
      <c r="AP13" s="1712"/>
      <c r="AQ13" s="1712"/>
      <c r="AR13" s="1712"/>
      <c r="AS13" s="1712"/>
      <c r="AT13" s="1712"/>
      <c r="AU13" s="1712"/>
      <c r="AV13" s="1712"/>
      <c r="AW13" s="1712"/>
      <c r="AX13" s="1712"/>
      <c r="AY13" s="1712"/>
      <c r="AZ13" s="1712"/>
      <c r="BA13" s="1712"/>
      <c r="BB13" s="1712">
        <v>9</v>
      </c>
      <c r="BC13" s="1712"/>
      <c r="BD13" s="1712">
        <v>22</v>
      </c>
      <c r="BE13" s="1712">
        <f>49+100</f>
        <v>149</v>
      </c>
      <c r="BF13" s="1712"/>
      <c r="BG13" s="1712"/>
      <c r="BH13" s="1712"/>
      <c r="BI13" s="1712"/>
      <c r="BJ13" s="1712">
        <v>2</v>
      </c>
      <c r="BK13" s="1712"/>
      <c r="BL13" s="1712">
        <v>22</v>
      </c>
      <c r="BM13" s="1712"/>
      <c r="BN13" s="1712"/>
      <c r="BO13" s="1713"/>
      <c r="BP13" s="1317"/>
      <c r="BQ13" s="1317"/>
      <c r="BR13" s="1317">
        <v>5</v>
      </c>
      <c r="BS13" s="1317"/>
      <c r="BT13" s="1317"/>
      <c r="BU13" s="1317"/>
      <c r="BV13" s="1317"/>
      <c r="BW13" s="1317"/>
      <c r="BX13" s="1317">
        <v>6000</v>
      </c>
      <c r="BY13" s="1317"/>
      <c r="BZ13" s="1317"/>
      <c r="CA13" s="1317"/>
      <c r="CB13" s="1317"/>
      <c r="CC13" s="1714"/>
      <c r="CD13" s="1718"/>
      <c r="CE13" s="1713"/>
      <c r="CF13" s="1317"/>
      <c r="CG13" s="1317"/>
      <c r="CH13" s="1317"/>
      <c r="CI13" s="1317">
        <v>10</v>
      </c>
      <c r="CJ13" s="1714">
        <v>64</v>
      </c>
      <c r="CK13" s="1713"/>
      <c r="CL13" s="1317"/>
      <c r="CM13" s="1317"/>
      <c r="CN13" s="1317"/>
      <c r="CO13" s="1317"/>
      <c r="CP13" s="1317"/>
      <c r="CQ13" s="1317"/>
      <c r="CR13" s="1317"/>
      <c r="CS13" s="1317"/>
      <c r="CT13" s="1714"/>
      <c r="CU13" s="8"/>
      <c r="CV13" s="8"/>
    </row>
    <row r="14" spans="1:101" hidden="1">
      <c r="A14" s="1309">
        <v>43435</v>
      </c>
      <c r="B14" s="1310">
        <f t="shared" si="2"/>
        <v>0</v>
      </c>
      <c r="C14" s="1310">
        <f t="shared" si="3"/>
        <v>0</v>
      </c>
      <c r="D14" s="1310">
        <f t="shared" si="4"/>
        <v>0</v>
      </c>
      <c r="E14" s="1310">
        <f t="shared" si="5"/>
        <v>0</v>
      </c>
      <c r="F14" s="1310">
        <f t="shared" si="6"/>
        <v>0</v>
      </c>
      <c r="G14" s="1310">
        <f t="shared" si="7"/>
        <v>3</v>
      </c>
      <c r="H14" s="1310">
        <f t="shared" si="8"/>
        <v>0</v>
      </c>
      <c r="I14" s="1310">
        <f t="shared" si="9"/>
        <v>0</v>
      </c>
      <c r="J14" s="1310">
        <f t="shared" si="10"/>
        <v>0</v>
      </c>
      <c r="K14" s="1310">
        <f t="shared" si="11"/>
        <v>0</v>
      </c>
      <c r="L14" s="1310">
        <f t="shared" si="12"/>
        <v>0</v>
      </c>
      <c r="M14" s="1310">
        <f t="shared" si="13"/>
        <v>0</v>
      </c>
      <c r="N14" s="1310">
        <f t="shared" si="14"/>
        <v>0</v>
      </c>
      <c r="O14" s="1310">
        <f t="shared" si="15"/>
        <v>0</v>
      </c>
      <c r="P14" s="1310"/>
      <c r="Q14" s="1310">
        <f t="shared" si="16"/>
        <v>0</v>
      </c>
      <c r="R14" s="1310"/>
      <c r="S14" s="1310">
        <f t="shared" si="17"/>
        <v>0</v>
      </c>
      <c r="T14" s="1310">
        <f t="shared" si="18"/>
        <v>9</v>
      </c>
      <c r="U14" s="1310">
        <f t="shared" si="19"/>
        <v>0</v>
      </c>
      <c r="V14" s="1310">
        <f t="shared" si="20"/>
        <v>0</v>
      </c>
      <c r="W14" s="1310">
        <f t="shared" si="21"/>
        <v>0</v>
      </c>
      <c r="X14" s="1310">
        <f t="shared" si="22"/>
        <v>49</v>
      </c>
      <c r="Y14" s="1310">
        <f t="shared" si="23"/>
        <v>0</v>
      </c>
      <c r="Z14" s="1310">
        <f t="shared" si="24"/>
        <v>0</v>
      </c>
      <c r="AA14" s="1310">
        <f t="shared" si="25"/>
        <v>7</v>
      </c>
      <c r="AB14" s="1310">
        <f t="shared" si="26"/>
        <v>0</v>
      </c>
      <c r="AC14" s="1310">
        <f t="shared" si="27"/>
        <v>0</v>
      </c>
      <c r="AD14" s="1310">
        <f t="shared" si="28"/>
        <v>0</v>
      </c>
      <c r="AE14" s="1310">
        <f t="shared" si="29"/>
        <v>0</v>
      </c>
      <c r="AF14" s="1310">
        <f t="shared" si="30"/>
        <v>0</v>
      </c>
      <c r="AG14" s="1310">
        <f t="shared" si="31"/>
        <v>0</v>
      </c>
      <c r="AH14" s="1701">
        <f t="shared" si="32"/>
        <v>0</v>
      </c>
      <c r="AI14" s="1712"/>
      <c r="AJ14" s="1712"/>
      <c r="AK14" s="1712"/>
      <c r="AL14" s="1712"/>
      <c r="AM14" s="1712"/>
      <c r="AN14" s="1712">
        <v>3</v>
      </c>
      <c r="AO14" s="1712"/>
      <c r="AP14" s="1712"/>
      <c r="AQ14" s="1712"/>
      <c r="AR14" s="1712"/>
      <c r="AS14" s="1712"/>
      <c r="AT14" s="1712"/>
      <c r="AU14" s="1712"/>
      <c r="AV14" s="1712"/>
      <c r="AW14" s="1712"/>
      <c r="AX14" s="1712"/>
      <c r="AY14" s="1712"/>
      <c r="AZ14" s="1712">
        <v>9</v>
      </c>
      <c r="BA14" s="1712"/>
      <c r="BB14" s="1712"/>
      <c r="BC14" s="1712"/>
      <c r="BD14" s="1712">
        <v>4</v>
      </c>
      <c r="BE14" s="1712"/>
      <c r="BF14" s="1712"/>
      <c r="BG14" s="1712">
        <v>7</v>
      </c>
      <c r="BH14" s="1712"/>
      <c r="BI14" s="1712"/>
      <c r="BJ14" s="1712"/>
      <c r="BK14" s="1712"/>
      <c r="BL14" s="1712"/>
      <c r="BM14" s="1712"/>
      <c r="BN14" s="1712"/>
      <c r="BO14" s="1713"/>
      <c r="BP14" s="1317"/>
      <c r="BQ14" s="1317"/>
      <c r="BR14" s="1317"/>
      <c r="BS14" s="1317"/>
      <c r="BT14" s="1317"/>
      <c r="BU14" s="1317"/>
      <c r="BV14" s="1317"/>
      <c r="BW14" s="1317"/>
      <c r="BX14" s="1317"/>
      <c r="BY14" s="1317"/>
      <c r="BZ14" s="1317"/>
      <c r="CA14" s="1317"/>
      <c r="CB14" s="1317"/>
      <c r="CC14" s="1714"/>
      <c r="CD14" s="1718"/>
      <c r="CE14" s="1713"/>
      <c r="CF14" s="1317"/>
      <c r="CG14" s="1317"/>
      <c r="CH14" s="1317"/>
      <c r="CI14" s="1317"/>
      <c r="CJ14" s="1714">
        <v>45</v>
      </c>
      <c r="CK14" s="1713"/>
      <c r="CL14" s="1317"/>
      <c r="CM14" s="1317"/>
      <c r="CN14" s="1317"/>
      <c r="CO14" s="1317"/>
      <c r="CP14" s="1317"/>
      <c r="CQ14" s="1317"/>
      <c r="CR14" s="1317"/>
      <c r="CS14" s="1317"/>
      <c r="CT14" s="1714"/>
      <c r="CU14" s="8"/>
      <c r="CV14" s="8"/>
    </row>
    <row r="15" spans="1:101" hidden="1">
      <c r="A15" s="1309">
        <v>43466</v>
      </c>
      <c r="B15" s="1310">
        <v>0</v>
      </c>
      <c r="C15" s="1310">
        <v>0</v>
      </c>
      <c r="D15" s="1310">
        <v>0</v>
      </c>
      <c r="E15" s="1310">
        <v>3</v>
      </c>
      <c r="F15" s="1310">
        <v>29</v>
      </c>
      <c r="G15" s="1310">
        <v>0</v>
      </c>
      <c r="H15" s="1310">
        <v>0</v>
      </c>
      <c r="I15" s="1310">
        <v>0</v>
      </c>
      <c r="J15" s="1310">
        <v>0</v>
      </c>
      <c r="K15" s="1310">
        <v>0</v>
      </c>
      <c r="L15" s="1310">
        <v>0</v>
      </c>
      <c r="M15" s="1310">
        <v>2</v>
      </c>
      <c r="N15" s="1310">
        <v>0</v>
      </c>
      <c r="O15" s="1310">
        <v>0</v>
      </c>
      <c r="P15" s="1310"/>
      <c r="Q15" s="1310">
        <v>2</v>
      </c>
      <c r="R15" s="1310"/>
      <c r="S15" s="1310">
        <v>0</v>
      </c>
      <c r="T15" s="1310">
        <v>0</v>
      </c>
      <c r="U15" s="1310">
        <v>0</v>
      </c>
      <c r="V15" s="1310">
        <v>0</v>
      </c>
      <c r="W15" s="1310">
        <v>91</v>
      </c>
      <c r="X15" s="1310">
        <v>281</v>
      </c>
      <c r="Y15" s="1310">
        <v>0</v>
      </c>
      <c r="Z15" s="1310">
        <v>0</v>
      </c>
      <c r="AA15" s="1310">
        <v>5</v>
      </c>
      <c r="AB15" s="1310">
        <v>0</v>
      </c>
      <c r="AC15" s="1310">
        <v>0</v>
      </c>
      <c r="AD15" s="1310">
        <v>0</v>
      </c>
      <c r="AE15" s="1310">
        <v>0</v>
      </c>
      <c r="AF15" s="1310">
        <v>64</v>
      </c>
      <c r="AG15" s="1310">
        <v>0</v>
      </c>
      <c r="AH15" s="1701">
        <v>0</v>
      </c>
      <c r="AI15" s="1712"/>
      <c r="AJ15" s="1712"/>
      <c r="AK15" s="1712"/>
      <c r="AL15" s="1712">
        <v>3</v>
      </c>
      <c r="AM15" s="1712">
        <v>29</v>
      </c>
      <c r="AN15" s="1712"/>
      <c r="AO15" s="1712"/>
      <c r="AP15" s="1712"/>
      <c r="AQ15" s="1712"/>
      <c r="AR15" s="1712"/>
      <c r="AS15" s="1712"/>
      <c r="AT15" s="1712">
        <v>2</v>
      </c>
      <c r="AU15" s="1712"/>
      <c r="AV15" s="1712"/>
      <c r="AW15" s="1712">
        <v>2</v>
      </c>
      <c r="AX15" s="1712"/>
      <c r="AY15" s="1712"/>
      <c r="AZ15" s="1712"/>
      <c r="BA15" s="1712"/>
      <c r="BB15" s="1712"/>
      <c r="BC15" s="1712">
        <v>5</v>
      </c>
      <c r="BD15" s="1712">
        <v>171</v>
      </c>
      <c r="BE15" s="1712"/>
      <c r="BF15" s="1712"/>
      <c r="BG15" s="1712">
        <v>5</v>
      </c>
      <c r="BH15" s="1712"/>
      <c r="BI15" s="1712"/>
      <c r="BJ15" s="1712"/>
      <c r="BK15" s="1712"/>
      <c r="BL15" s="1712">
        <v>60</v>
      </c>
      <c r="BM15" s="1712"/>
      <c r="BN15" s="1712"/>
      <c r="BO15" s="1713"/>
      <c r="BP15" s="1317"/>
      <c r="BQ15" s="1317"/>
      <c r="BR15" s="1317"/>
      <c r="BS15" s="1317"/>
      <c r="BT15" s="1317"/>
      <c r="BU15" s="1317"/>
      <c r="BV15" s="1317"/>
      <c r="BW15" s="1317"/>
      <c r="BX15" s="1317"/>
      <c r="BY15" s="1317"/>
      <c r="BZ15" s="1317"/>
      <c r="CA15" s="1317"/>
      <c r="CB15" s="1317"/>
      <c r="CC15" s="1714"/>
      <c r="CD15" s="1718"/>
      <c r="CE15" s="1713"/>
      <c r="CF15" s="1317"/>
      <c r="CG15" s="1317"/>
      <c r="CH15" s="1317"/>
      <c r="CI15" s="1317">
        <v>86</v>
      </c>
      <c r="CJ15" s="1714">
        <v>110</v>
      </c>
      <c r="CK15" s="1713"/>
      <c r="CL15" s="1317"/>
      <c r="CM15" s="1317"/>
      <c r="CN15" s="1317"/>
      <c r="CO15" s="1317"/>
      <c r="CP15" s="1317"/>
      <c r="CQ15" s="1317"/>
      <c r="CR15" s="1317">
        <v>4</v>
      </c>
      <c r="CS15" s="1317"/>
      <c r="CT15" s="1714"/>
      <c r="CU15" s="262">
        <f>SUM(AI15:BC15)+SUM(BO15:CI15)</f>
        <v>127</v>
      </c>
      <c r="CV15" s="262">
        <f>+CU15+BD15+CJ15</f>
        <v>408</v>
      </c>
    </row>
    <row r="16" spans="1:101" hidden="1">
      <c r="A16" s="1309">
        <v>43497</v>
      </c>
      <c r="B16" s="1310">
        <v>0</v>
      </c>
      <c r="C16" s="1310">
        <v>405</v>
      </c>
      <c r="D16" s="1310">
        <v>0</v>
      </c>
      <c r="E16" s="1310">
        <v>2</v>
      </c>
      <c r="F16" s="1310">
        <v>0</v>
      </c>
      <c r="G16" s="1310">
        <v>4</v>
      </c>
      <c r="H16" s="1310">
        <v>0</v>
      </c>
      <c r="I16" s="1310">
        <v>0</v>
      </c>
      <c r="J16" s="1310">
        <v>0</v>
      </c>
      <c r="K16" s="1310">
        <v>0</v>
      </c>
      <c r="L16" s="1310">
        <v>0</v>
      </c>
      <c r="M16" s="1310">
        <v>6</v>
      </c>
      <c r="N16" s="1310">
        <v>0</v>
      </c>
      <c r="O16" s="1310">
        <v>0</v>
      </c>
      <c r="P16" s="1310"/>
      <c r="Q16" s="1310">
        <v>0</v>
      </c>
      <c r="R16" s="1310"/>
      <c r="S16" s="1310">
        <v>0</v>
      </c>
      <c r="T16" s="1310">
        <v>0</v>
      </c>
      <c r="U16" s="1310">
        <v>4</v>
      </c>
      <c r="V16" s="1310">
        <v>0</v>
      </c>
      <c r="W16" s="1310">
        <v>0</v>
      </c>
      <c r="X16" s="1310">
        <v>6129</v>
      </c>
      <c r="Y16" s="1310">
        <v>0</v>
      </c>
      <c r="Z16" s="1310">
        <v>0</v>
      </c>
      <c r="AA16" s="1310">
        <v>0</v>
      </c>
      <c r="AB16" s="1310">
        <v>0</v>
      </c>
      <c r="AC16" s="1310">
        <v>12</v>
      </c>
      <c r="AD16" s="1310">
        <v>0</v>
      </c>
      <c r="AE16" s="1310">
        <v>0</v>
      </c>
      <c r="AF16" s="1310">
        <v>2</v>
      </c>
      <c r="AG16" s="1310">
        <v>0</v>
      </c>
      <c r="AH16" s="1701">
        <v>0</v>
      </c>
      <c r="AI16" s="1712"/>
      <c r="AJ16" s="1712">
        <v>404</v>
      </c>
      <c r="AK16" s="1712"/>
      <c r="AL16" s="1712">
        <v>2</v>
      </c>
      <c r="AM16" s="1712"/>
      <c r="AN16" s="1712">
        <v>4</v>
      </c>
      <c r="AO16" s="1712"/>
      <c r="AP16" s="1712"/>
      <c r="AQ16" s="1712"/>
      <c r="AR16" s="1712"/>
      <c r="AS16" s="1712"/>
      <c r="AT16" s="1712"/>
      <c r="AU16" s="1712"/>
      <c r="AV16" s="1712"/>
      <c r="AW16" s="1712"/>
      <c r="AX16" s="1712"/>
      <c r="AY16" s="1712"/>
      <c r="AZ16" s="1712"/>
      <c r="BA16" s="1712"/>
      <c r="BB16" s="1712"/>
      <c r="BC16" s="1712"/>
      <c r="BD16" s="1712">
        <v>6</v>
      </c>
      <c r="BE16" s="1712"/>
      <c r="BF16" s="1712"/>
      <c r="BG16" s="1712"/>
      <c r="BH16" s="1712"/>
      <c r="BI16" s="1712">
        <v>12</v>
      </c>
      <c r="BJ16" s="1712"/>
      <c r="BK16" s="1712"/>
      <c r="BL16" s="1712"/>
      <c r="BM16" s="1712"/>
      <c r="BN16" s="1712"/>
      <c r="BO16" s="1713"/>
      <c r="BP16" s="1317">
        <v>1</v>
      </c>
      <c r="BQ16" s="1317"/>
      <c r="BR16" s="1317"/>
      <c r="BS16" s="1317"/>
      <c r="BT16" s="1317"/>
      <c r="BU16" s="1317"/>
      <c r="BV16" s="1317"/>
      <c r="BW16" s="1317"/>
      <c r="BX16" s="1317"/>
      <c r="BY16" s="1317"/>
      <c r="BZ16" s="1317">
        <v>6</v>
      </c>
      <c r="CA16" s="1317"/>
      <c r="CB16" s="1317"/>
      <c r="CC16" s="1714"/>
      <c r="CD16" s="1718"/>
      <c r="CE16" s="1713"/>
      <c r="CF16" s="1317"/>
      <c r="CG16" s="1317">
        <v>4</v>
      </c>
      <c r="CH16" s="1317"/>
      <c r="CI16" s="1317"/>
      <c r="CJ16" s="1714">
        <v>6123</v>
      </c>
      <c r="CK16" s="1713"/>
      <c r="CL16" s="1317"/>
      <c r="CM16" s="1317"/>
      <c r="CN16" s="1317"/>
      <c r="CO16" s="1317"/>
      <c r="CP16" s="1317"/>
      <c r="CQ16" s="1317"/>
      <c r="CR16" s="1317">
        <v>2</v>
      </c>
      <c r="CS16" s="1317"/>
      <c r="CT16" s="1714"/>
      <c r="CU16" s="262">
        <f t="shared" ref="CU16:CU26" si="33">SUM(AI16:BC16)+SUM(BO16:CI16)</f>
        <v>421</v>
      </c>
      <c r="CV16" s="262">
        <f t="shared" ref="CV16:CV26" si="34">+CU16+BD16+CJ16</f>
        <v>6550</v>
      </c>
    </row>
    <row r="17" spans="1:101" hidden="1">
      <c r="A17" s="1309">
        <v>43525</v>
      </c>
      <c r="B17" s="1310">
        <v>0</v>
      </c>
      <c r="C17" s="1310">
        <v>0</v>
      </c>
      <c r="D17" s="1310">
        <v>0</v>
      </c>
      <c r="E17" s="1310">
        <v>0</v>
      </c>
      <c r="F17" s="1310">
        <v>0</v>
      </c>
      <c r="G17" s="1310">
        <v>30</v>
      </c>
      <c r="H17" s="1310">
        <v>0</v>
      </c>
      <c r="I17" s="1310">
        <v>26</v>
      </c>
      <c r="J17" s="1310">
        <v>0</v>
      </c>
      <c r="K17" s="1310">
        <v>0</v>
      </c>
      <c r="L17" s="1310">
        <v>0</v>
      </c>
      <c r="M17" s="1310">
        <v>2</v>
      </c>
      <c r="N17" s="1310">
        <v>0</v>
      </c>
      <c r="O17" s="1310">
        <v>10</v>
      </c>
      <c r="P17" s="1310"/>
      <c r="Q17" s="1310">
        <v>0</v>
      </c>
      <c r="R17" s="1310"/>
      <c r="S17" s="1310">
        <v>0</v>
      </c>
      <c r="T17" s="1310">
        <v>9</v>
      </c>
      <c r="U17" s="1310">
        <v>0</v>
      </c>
      <c r="V17" s="1310">
        <v>0</v>
      </c>
      <c r="W17" s="1310">
        <v>0</v>
      </c>
      <c r="X17" s="1310">
        <v>250</v>
      </c>
      <c r="Y17" s="1310">
        <v>0</v>
      </c>
      <c r="Z17" s="1310">
        <v>0</v>
      </c>
      <c r="AA17" s="1310">
        <v>20</v>
      </c>
      <c r="AB17" s="1310">
        <v>0</v>
      </c>
      <c r="AC17" s="1310">
        <v>0</v>
      </c>
      <c r="AD17" s="1310">
        <v>0</v>
      </c>
      <c r="AE17" s="1310">
        <v>1</v>
      </c>
      <c r="AF17" s="1310">
        <v>41</v>
      </c>
      <c r="AG17" s="1310">
        <v>0</v>
      </c>
      <c r="AH17" s="1701">
        <v>0</v>
      </c>
      <c r="AI17" s="1712"/>
      <c r="AJ17" s="1712"/>
      <c r="AK17" s="1712"/>
      <c r="AL17" s="1712"/>
      <c r="AM17" s="1712"/>
      <c r="AN17" s="1712">
        <v>30</v>
      </c>
      <c r="AO17" s="1712"/>
      <c r="AP17" s="1712">
        <v>26</v>
      </c>
      <c r="AQ17" s="1712"/>
      <c r="AR17" s="1712"/>
      <c r="AS17" s="1712"/>
      <c r="AT17" s="1712"/>
      <c r="AU17" s="1712"/>
      <c r="AV17" s="1712"/>
      <c r="AW17" s="1712"/>
      <c r="AX17" s="1712"/>
      <c r="AY17" s="1712"/>
      <c r="AZ17" s="1712">
        <v>9</v>
      </c>
      <c r="BA17" s="1712"/>
      <c r="BB17" s="1712"/>
      <c r="BC17" s="1712"/>
      <c r="BD17" s="1712">
        <v>4</v>
      </c>
      <c r="BE17" s="1712"/>
      <c r="BF17" s="1712"/>
      <c r="BG17" s="1712"/>
      <c r="BH17" s="1712"/>
      <c r="BI17" s="1712"/>
      <c r="BJ17" s="1712"/>
      <c r="BK17" s="1712">
        <v>1</v>
      </c>
      <c r="BL17" s="1712">
        <v>41</v>
      </c>
      <c r="BM17" s="1712"/>
      <c r="BN17" s="1712"/>
      <c r="BO17" s="1713"/>
      <c r="BP17" s="1317"/>
      <c r="BQ17" s="1317"/>
      <c r="BR17" s="1317"/>
      <c r="BS17" s="1317"/>
      <c r="BT17" s="1317"/>
      <c r="BU17" s="1317"/>
      <c r="BV17" s="1317"/>
      <c r="BW17" s="1317"/>
      <c r="BX17" s="1317"/>
      <c r="BY17" s="1317"/>
      <c r="BZ17" s="1317">
        <v>2</v>
      </c>
      <c r="CA17" s="1317"/>
      <c r="CB17" s="1317">
        <v>10</v>
      </c>
      <c r="CC17" s="1714"/>
      <c r="CD17" s="1718"/>
      <c r="CE17" s="1713"/>
      <c r="CF17" s="1317"/>
      <c r="CG17" s="1317"/>
      <c r="CH17" s="1317"/>
      <c r="CI17" s="1317"/>
      <c r="CJ17" s="1714">
        <v>246</v>
      </c>
      <c r="CK17" s="1713"/>
      <c r="CL17" s="1317"/>
      <c r="CM17" s="1317">
        <v>20</v>
      </c>
      <c r="CN17" s="1317"/>
      <c r="CO17" s="1317"/>
      <c r="CP17" s="1317"/>
      <c r="CQ17" s="1317"/>
      <c r="CR17" s="1317"/>
      <c r="CS17" s="1317"/>
      <c r="CT17" s="1714"/>
      <c r="CU17" s="262">
        <f t="shared" si="33"/>
        <v>77</v>
      </c>
      <c r="CV17" s="262">
        <f t="shared" si="34"/>
        <v>327</v>
      </c>
    </row>
    <row r="18" spans="1:101" hidden="1">
      <c r="A18" s="1309">
        <v>43556</v>
      </c>
      <c r="B18" s="1310">
        <v>7</v>
      </c>
      <c r="C18" s="1310">
        <v>0</v>
      </c>
      <c r="D18" s="1310">
        <v>0</v>
      </c>
      <c r="E18" s="1310">
        <v>16</v>
      </c>
      <c r="F18" s="1310">
        <v>0</v>
      </c>
      <c r="G18" s="1310">
        <v>0</v>
      </c>
      <c r="H18" s="1310">
        <v>0</v>
      </c>
      <c r="I18" s="1310">
        <v>0</v>
      </c>
      <c r="J18" s="1310">
        <v>0</v>
      </c>
      <c r="K18" s="1310">
        <v>44</v>
      </c>
      <c r="L18" s="1310">
        <v>0</v>
      </c>
      <c r="M18" s="1310">
        <v>3</v>
      </c>
      <c r="N18" s="1310">
        <v>0</v>
      </c>
      <c r="O18" s="1310">
        <v>0</v>
      </c>
      <c r="P18" s="1310"/>
      <c r="Q18" s="1310">
        <v>150</v>
      </c>
      <c r="R18" s="1310"/>
      <c r="S18" s="1310">
        <v>0</v>
      </c>
      <c r="T18" s="1310">
        <v>0</v>
      </c>
      <c r="U18" s="1310">
        <v>0</v>
      </c>
      <c r="V18" s="1310">
        <v>100</v>
      </c>
      <c r="W18" s="1310">
        <v>41</v>
      </c>
      <c r="X18" s="1310">
        <v>158</v>
      </c>
      <c r="Y18" s="1310">
        <v>0</v>
      </c>
      <c r="Z18" s="1310">
        <v>0</v>
      </c>
      <c r="AA18" s="1310">
        <v>0</v>
      </c>
      <c r="AB18" s="1310">
        <v>0</v>
      </c>
      <c r="AC18" s="1310">
        <v>0</v>
      </c>
      <c r="AD18" s="1310">
        <v>0</v>
      </c>
      <c r="AE18" s="1310">
        <v>0</v>
      </c>
      <c r="AF18" s="1310">
        <v>0</v>
      </c>
      <c r="AG18" s="1310">
        <v>0</v>
      </c>
      <c r="AH18" s="1701">
        <v>7</v>
      </c>
      <c r="AI18" s="1712">
        <v>7</v>
      </c>
      <c r="AJ18" s="1712"/>
      <c r="AK18" s="1712"/>
      <c r="AL18" s="1712">
        <v>16</v>
      </c>
      <c r="AM18" s="1712"/>
      <c r="AN18" s="1712"/>
      <c r="AO18" s="1712"/>
      <c r="AP18" s="1712"/>
      <c r="AQ18" s="1712"/>
      <c r="AR18" s="1712"/>
      <c r="AS18" s="1712"/>
      <c r="AT18" s="1712"/>
      <c r="AU18" s="1712"/>
      <c r="AV18" s="1712"/>
      <c r="AW18" s="1712"/>
      <c r="AX18" s="1712"/>
      <c r="AY18" s="1712"/>
      <c r="AZ18" s="1712"/>
      <c r="BA18" s="1712"/>
      <c r="BB18" s="1712">
        <v>100</v>
      </c>
      <c r="BC18" s="1712"/>
      <c r="BD18" s="1712">
        <v>17</v>
      </c>
      <c r="BE18" s="1712"/>
      <c r="BF18" s="1712"/>
      <c r="BG18" s="1712"/>
      <c r="BH18" s="1712"/>
      <c r="BI18" s="1712"/>
      <c r="BJ18" s="1712"/>
      <c r="BK18" s="1712"/>
      <c r="BL18" s="1712"/>
      <c r="BM18" s="1712"/>
      <c r="BN18" s="1712"/>
      <c r="BO18" s="1713"/>
      <c r="BP18" s="1317"/>
      <c r="BQ18" s="1317"/>
      <c r="BR18" s="1317"/>
      <c r="BS18" s="1317"/>
      <c r="BT18" s="1317"/>
      <c r="BU18" s="1317"/>
      <c r="BV18" s="1317"/>
      <c r="BW18" s="1317"/>
      <c r="BX18" s="1317">
        <v>44</v>
      </c>
      <c r="BY18" s="1317"/>
      <c r="BZ18" s="1317">
        <v>3</v>
      </c>
      <c r="CA18" s="1317"/>
      <c r="CB18" s="1317"/>
      <c r="CC18" s="1714">
        <v>150</v>
      </c>
      <c r="CD18" s="1718"/>
      <c r="CE18" s="1713"/>
      <c r="CF18" s="1317"/>
      <c r="CG18" s="1317"/>
      <c r="CH18" s="1317"/>
      <c r="CI18" s="1317">
        <v>41</v>
      </c>
      <c r="CJ18" s="1714">
        <v>141</v>
      </c>
      <c r="CK18" s="1713"/>
      <c r="CL18" s="1317"/>
      <c r="CM18" s="1317"/>
      <c r="CN18" s="1317"/>
      <c r="CO18" s="1317"/>
      <c r="CP18" s="1317"/>
      <c r="CQ18" s="1317"/>
      <c r="CR18" s="1317"/>
      <c r="CS18" s="1317"/>
      <c r="CT18" s="1714">
        <v>7</v>
      </c>
      <c r="CU18" s="262">
        <f t="shared" si="33"/>
        <v>361</v>
      </c>
      <c r="CV18" s="262">
        <f t="shared" si="34"/>
        <v>519</v>
      </c>
    </row>
    <row r="19" spans="1:101" hidden="1">
      <c r="A19" s="1309">
        <v>43586</v>
      </c>
      <c r="B19" s="1310">
        <v>0</v>
      </c>
      <c r="C19" s="1310">
        <v>0</v>
      </c>
      <c r="D19" s="1310">
        <v>0</v>
      </c>
      <c r="E19" s="1310">
        <v>47</v>
      </c>
      <c r="F19" s="1310">
        <v>0</v>
      </c>
      <c r="G19" s="1310">
        <v>19</v>
      </c>
      <c r="H19" s="1310">
        <v>0</v>
      </c>
      <c r="I19" s="1310">
        <v>0</v>
      </c>
      <c r="J19" s="1310">
        <v>0</v>
      </c>
      <c r="K19" s="1310">
        <v>0</v>
      </c>
      <c r="L19" s="1310">
        <v>0</v>
      </c>
      <c r="M19" s="1310">
        <v>0</v>
      </c>
      <c r="N19" s="1310">
        <v>19</v>
      </c>
      <c r="O19" s="1310">
        <v>0</v>
      </c>
      <c r="P19" s="1310"/>
      <c r="Q19" s="1310">
        <v>0</v>
      </c>
      <c r="R19" s="1310"/>
      <c r="S19" s="1310">
        <v>0</v>
      </c>
      <c r="T19" s="1310">
        <v>196</v>
      </c>
      <c r="U19" s="1310">
        <v>0</v>
      </c>
      <c r="V19" s="1310">
        <v>0</v>
      </c>
      <c r="W19" s="1310">
        <v>0</v>
      </c>
      <c r="X19" s="1310">
        <v>204</v>
      </c>
      <c r="Y19" s="1310">
        <v>0</v>
      </c>
      <c r="Z19" s="1310">
        <v>0</v>
      </c>
      <c r="AA19" s="1310">
        <v>0</v>
      </c>
      <c r="AB19" s="1310">
        <v>0</v>
      </c>
      <c r="AC19" s="1310">
        <v>0</v>
      </c>
      <c r="AD19" s="1310">
        <v>54</v>
      </c>
      <c r="AE19" s="1310">
        <v>0</v>
      </c>
      <c r="AF19" s="1310">
        <v>0</v>
      </c>
      <c r="AG19" s="1310">
        <v>7</v>
      </c>
      <c r="AH19" s="1701">
        <v>0</v>
      </c>
      <c r="AI19" s="1712"/>
      <c r="AJ19" s="1712"/>
      <c r="AK19" s="1712"/>
      <c r="AL19" s="1712">
        <v>47</v>
      </c>
      <c r="AM19" s="1712"/>
      <c r="AN19" s="1712">
        <v>19</v>
      </c>
      <c r="AO19" s="1712"/>
      <c r="AP19" s="1712"/>
      <c r="AQ19" s="1712"/>
      <c r="AR19" s="1712"/>
      <c r="AS19" s="1712"/>
      <c r="AT19" s="1712"/>
      <c r="AU19" s="1712"/>
      <c r="AV19" s="1712"/>
      <c r="AW19" s="1712"/>
      <c r="AX19" s="1712"/>
      <c r="AY19" s="1712"/>
      <c r="AZ19" s="1712">
        <v>196</v>
      </c>
      <c r="BA19" s="1712"/>
      <c r="BB19" s="1712"/>
      <c r="BC19" s="1712"/>
      <c r="BD19" s="1712">
        <v>14</v>
      </c>
      <c r="BE19" s="1712"/>
      <c r="BF19" s="1712"/>
      <c r="BG19" s="1712"/>
      <c r="BH19" s="1712"/>
      <c r="BI19" s="1712"/>
      <c r="BJ19" s="1712">
        <v>54</v>
      </c>
      <c r="BK19" s="1712"/>
      <c r="BL19" s="1712"/>
      <c r="BM19" s="1712">
        <v>7</v>
      </c>
      <c r="BN19" s="1712"/>
      <c r="BO19" s="1713"/>
      <c r="BP19" s="1317"/>
      <c r="BQ19" s="1317"/>
      <c r="BR19" s="1317"/>
      <c r="BS19" s="1317"/>
      <c r="BT19" s="1317"/>
      <c r="BU19" s="1317"/>
      <c r="BV19" s="1317"/>
      <c r="BW19" s="1317"/>
      <c r="BX19" s="1317"/>
      <c r="BY19" s="1317"/>
      <c r="BZ19" s="1317"/>
      <c r="CA19" s="1317">
        <v>19</v>
      </c>
      <c r="CB19" s="1317"/>
      <c r="CC19" s="1714"/>
      <c r="CD19" s="1718"/>
      <c r="CE19" s="1713"/>
      <c r="CF19" s="1317"/>
      <c r="CG19" s="1317"/>
      <c r="CH19" s="1317"/>
      <c r="CI19" s="1317"/>
      <c r="CJ19" s="1714">
        <v>190</v>
      </c>
      <c r="CK19" s="1713"/>
      <c r="CL19" s="1317"/>
      <c r="CM19" s="1317"/>
      <c r="CN19" s="1317"/>
      <c r="CO19" s="1317"/>
      <c r="CP19" s="1317"/>
      <c r="CQ19" s="1317"/>
      <c r="CR19" s="1317"/>
      <c r="CS19" s="1317"/>
      <c r="CT19" s="1714"/>
      <c r="CU19" s="262">
        <f t="shared" si="33"/>
        <v>281</v>
      </c>
      <c r="CV19" s="262">
        <f t="shared" si="34"/>
        <v>485</v>
      </c>
    </row>
    <row r="20" spans="1:101" hidden="1">
      <c r="A20" s="1309">
        <v>43617</v>
      </c>
      <c r="B20" s="1310">
        <v>0</v>
      </c>
      <c r="C20" s="1310">
        <v>0</v>
      </c>
      <c r="D20" s="1310">
        <v>0</v>
      </c>
      <c r="E20" s="1310">
        <v>0</v>
      </c>
      <c r="F20" s="1310">
        <v>0</v>
      </c>
      <c r="G20" s="1310">
        <v>5</v>
      </c>
      <c r="H20" s="1310">
        <v>0</v>
      </c>
      <c r="I20" s="1310">
        <v>0</v>
      </c>
      <c r="J20" s="1310">
        <v>0</v>
      </c>
      <c r="K20" s="1310">
        <v>0</v>
      </c>
      <c r="L20" s="1310">
        <v>0</v>
      </c>
      <c r="M20" s="1310">
        <v>16</v>
      </c>
      <c r="N20" s="1310">
        <v>0</v>
      </c>
      <c r="O20" s="1310">
        <v>0</v>
      </c>
      <c r="P20" s="1310"/>
      <c r="Q20" s="1310">
        <v>0</v>
      </c>
      <c r="R20" s="1310"/>
      <c r="S20" s="1310">
        <v>0</v>
      </c>
      <c r="T20" s="1310">
        <v>82</v>
      </c>
      <c r="U20" s="1310">
        <v>5</v>
      </c>
      <c r="V20" s="1310">
        <v>15</v>
      </c>
      <c r="W20" s="1310">
        <v>7</v>
      </c>
      <c r="X20" s="1310">
        <v>185</v>
      </c>
      <c r="Y20" s="1310">
        <v>0</v>
      </c>
      <c r="Z20" s="1310">
        <v>30</v>
      </c>
      <c r="AA20" s="1310">
        <v>0</v>
      </c>
      <c r="AB20" s="1310">
        <v>0</v>
      </c>
      <c r="AC20" s="1310">
        <v>0</v>
      </c>
      <c r="AD20" s="1310">
        <v>0</v>
      </c>
      <c r="AE20" s="1310">
        <v>0</v>
      </c>
      <c r="AF20" s="1310">
        <v>0</v>
      </c>
      <c r="AG20" s="1310">
        <v>0</v>
      </c>
      <c r="AH20" s="1701">
        <v>0</v>
      </c>
      <c r="AI20" s="1712"/>
      <c r="AJ20" s="1712"/>
      <c r="AK20" s="1712"/>
      <c r="AL20" s="1712"/>
      <c r="AM20" s="1712"/>
      <c r="AN20" s="1712"/>
      <c r="AO20" s="1712"/>
      <c r="AP20" s="1712"/>
      <c r="AQ20" s="1712"/>
      <c r="AR20" s="1712"/>
      <c r="AS20" s="1712"/>
      <c r="AT20" s="1712"/>
      <c r="AU20" s="1712"/>
      <c r="AV20" s="1712"/>
      <c r="AW20" s="1712"/>
      <c r="AX20" s="1712"/>
      <c r="AY20" s="1712"/>
      <c r="AZ20" s="1712">
        <v>82</v>
      </c>
      <c r="BA20" s="1712">
        <v>5</v>
      </c>
      <c r="BB20" s="1712">
        <v>15</v>
      </c>
      <c r="BC20" s="1712">
        <v>7</v>
      </c>
      <c r="BD20" s="1712">
        <v>60</v>
      </c>
      <c r="BE20" s="1712"/>
      <c r="BF20" s="1712"/>
      <c r="BG20" s="1712"/>
      <c r="BH20" s="1712"/>
      <c r="BI20" s="1712"/>
      <c r="BJ20" s="1712"/>
      <c r="BK20" s="1712"/>
      <c r="BL20" s="1712"/>
      <c r="BM20" s="1712"/>
      <c r="BN20" s="1712"/>
      <c r="BO20" s="1713"/>
      <c r="BP20" s="1317"/>
      <c r="BQ20" s="1317"/>
      <c r="BR20" s="1317"/>
      <c r="BS20" s="1317"/>
      <c r="BT20" s="1317">
        <v>5</v>
      </c>
      <c r="BU20" s="1317"/>
      <c r="BV20" s="1317"/>
      <c r="BW20" s="1317"/>
      <c r="BX20" s="1317"/>
      <c r="BY20" s="1317"/>
      <c r="BZ20" s="1317">
        <v>16</v>
      </c>
      <c r="CA20" s="1317"/>
      <c r="CB20" s="1317"/>
      <c r="CC20" s="1714"/>
      <c r="CD20" s="1718"/>
      <c r="CE20" s="1713"/>
      <c r="CF20" s="1317"/>
      <c r="CG20" s="1317"/>
      <c r="CH20" s="1317"/>
      <c r="CI20" s="1317"/>
      <c r="CJ20" s="1714">
        <v>125</v>
      </c>
      <c r="CK20" s="1713"/>
      <c r="CL20" s="1317">
        <v>30</v>
      </c>
      <c r="CM20" s="1317"/>
      <c r="CN20" s="1317"/>
      <c r="CO20" s="1317"/>
      <c r="CP20" s="1317"/>
      <c r="CQ20" s="1317"/>
      <c r="CR20" s="1317"/>
      <c r="CS20" s="1317"/>
      <c r="CT20" s="1714"/>
      <c r="CU20" s="262">
        <f t="shared" si="33"/>
        <v>130</v>
      </c>
      <c r="CV20" s="262">
        <f t="shared" si="34"/>
        <v>315</v>
      </c>
    </row>
    <row r="21" spans="1:101" s="44" customFormat="1" hidden="1">
      <c r="A21" s="1531">
        <v>43647</v>
      </c>
      <c r="B21" s="1310">
        <v>0</v>
      </c>
      <c r="C21" s="1310">
        <v>0</v>
      </c>
      <c r="D21" s="1310">
        <v>0</v>
      </c>
      <c r="E21" s="1310">
        <v>2</v>
      </c>
      <c r="F21" s="1310">
        <v>0</v>
      </c>
      <c r="G21" s="1310">
        <v>1</v>
      </c>
      <c r="H21" s="1310">
        <v>0</v>
      </c>
      <c r="I21" s="1310">
        <v>0</v>
      </c>
      <c r="J21" s="1310">
        <v>0</v>
      </c>
      <c r="K21" s="1310">
        <v>22</v>
      </c>
      <c r="L21" s="1310">
        <v>0</v>
      </c>
      <c r="M21" s="1310">
        <v>6</v>
      </c>
      <c r="N21" s="1310">
        <v>0</v>
      </c>
      <c r="O21" s="1310">
        <v>0</v>
      </c>
      <c r="P21" s="1310"/>
      <c r="Q21" s="1310">
        <v>0</v>
      </c>
      <c r="R21" s="1310"/>
      <c r="S21" s="1310">
        <v>0</v>
      </c>
      <c r="T21" s="1310">
        <v>13</v>
      </c>
      <c r="U21" s="1310">
        <v>6034</v>
      </c>
      <c r="V21" s="1310">
        <v>7</v>
      </c>
      <c r="W21" s="1310">
        <v>0</v>
      </c>
      <c r="X21" s="1310">
        <v>74</v>
      </c>
      <c r="Y21" s="1310">
        <v>47</v>
      </c>
      <c r="Z21" s="1310">
        <v>0</v>
      </c>
      <c r="AA21" s="1310">
        <v>0</v>
      </c>
      <c r="AB21" s="1310">
        <v>0</v>
      </c>
      <c r="AC21" s="1310">
        <v>25</v>
      </c>
      <c r="AD21" s="1310">
        <v>4</v>
      </c>
      <c r="AE21" s="1310">
        <v>0</v>
      </c>
      <c r="AF21" s="1310">
        <v>2</v>
      </c>
      <c r="AG21" s="1310">
        <v>0</v>
      </c>
      <c r="AH21" s="1701">
        <v>0</v>
      </c>
      <c r="AI21" s="1712"/>
      <c r="AJ21" s="1712"/>
      <c r="AK21" s="1712"/>
      <c r="AL21" s="1712"/>
      <c r="AM21" s="1712"/>
      <c r="AN21" s="1712">
        <v>1</v>
      </c>
      <c r="AO21" s="1712"/>
      <c r="AP21" s="1712"/>
      <c r="AQ21" s="1712"/>
      <c r="AR21" s="1712"/>
      <c r="AS21" s="1712"/>
      <c r="AT21" s="1712">
        <v>6</v>
      </c>
      <c r="AU21" s="1712"/>
      <c r="AV21" s="1712"/>
      <c r="AW21" s="1712"/>
      <c r="AX21" s="1712"/>
      <c r="AY21" s="1712"/>
      <c r="AZ21" s="1712">
        <v>13</v>
      </c>
      <c r="BA21" s="1712">
        <v>34</v>
      </c>
      <c r="BB21" s="1712">
        <v>7</v>
      </c>
      <c r="BC21" s="1712"/>
      <c r="BD21" s="1712">
        <v>32</v>
      </c>
      <c r="BE21" s="1712">
        <v>47</v>
      </c>
      <c r="BF21" s="1712"/>
      <c r="BG21" s="1712"/>
      <c r="BH21" s="1712"/>
      <c r="BI21" s="1712">
        <v>25</v>
      </c>
      <c r="BJ21" s="1712">
        <v>4</v>
      </c>
      <c r="BK21" s="1712"/>
      <c r="BL21" s="1712">
        <v>2</v>
      </c>
      <c r="BM21" s="1712"/>
      <c r="BN21" s="1712"/>
      <c r="BO21" s="1713"/>
      <c r="BP21" s="1317"/>
      <c r="BQ21" s="1317"/>
      <c r="BR21" s="1317">
        <v>2</v>
      </c>
      <c r="BS21" s="1317"/>
      <c r="BT21" s="1317"/>
      <c r="BU21" s="1317"/>
      <c r="BV21" s="1317"/>
      <c r="BW21" s="1317"/>
      <c r="BX21" s="1317">
        <v>22</v>
      </c>
      <c r="BY21" s="1317"/>
      <c r="BZ21" s="1317"/>
      <c r="CA21" s="1317"/>
      <c r="CB21" s="1317"/>
      <c r="CC21" s="1714"/>
      <c r="CD21" s="1718"/>
      <c r="CE21" s="1713"/>
      <c r="CF21" s="1317"/>
      <c r="CG21" s="1317">
        <v>6000</v>
      </c>
      <c r="CH21" s="1317"/>
      <c r="CI21" s="1317"/>
      <c r="CJ21" s="1714">
        <v>42</v>
      </c>
      <c r="CK21" s="1713"/>
      <c r="CL21" s="1317"/>
      <c r="CM21" s="1317"/>
      <c r="CN21" s="1317"/>
      <c r="CO21" s="1317"/>
      <c r="CP21" s="1317"/>
      <c r="CQ21" s="1317"/>
      <c r="CR21" s="1317"/>
      <c r="CS21" s="1317"/>
      <c r="CT21" s="1714"/>
      <c r="CU21" s="262">
        <f t="shared" si="33"/>
        <v>6085</v>
      </c>
      <c r="CV21" s="262">
        <f t="shared" si="34"/>
        <v>6159</v>
      </c>
      <c r="CW21"/>
    </row>
    <row r="22" spans="1:101" hidden="1">
      <c r="A22" s="1309">
        <v>43678</v>
      </c>
      <c r="B22" s="1529">
        <v>0</v>
      </c>
      <c r="C22" s="1529">
        <v>11</v>
      </c>
      <c r="D22" s="1529">
        <v>0</v>
      </c>
      <c r="E22" s="1529">
        <v>0</v>
      </c>
      <c r="F22" s="1529">
        <v>0</v>
      </c>
      <c r="G22" s="1529">
        <v>0</v>
      </c>
      <c r="H22" s="1529">
        <v>0</v>
      </c>
      <c r="I22" s="1529">
        <v>0</v>
      </c>
      <c r="J22" s="1529">
        <v>0</v>
      </c>
      <c r="K22" s="1529">
        <v>2</v>
      </c>
      <c r="L22" s="1529">
        <v>0</v>
      </c>
      <c r="M22" s="1529">
        <v>7</v>
      </c>
      <c r="N22" s="1529">
        <v>0</v>
      </c>
      <c r="O22" s="1529">
        <v>0</v>
      </c>
      <c r="P22" s="1529"/>
      <c r="Q22" s="1529">
        <v>0</v>
      </c>
      <c r="R22" s="1529"/>
      <c r="S22" s="1529">
        <v>0</v>
      </c>
      <c r="T22" s="1529">
        <v>29</v>
      </c>
      <c r="U22" s="1529">
        <v>0</v>
      </c>
      <c r="V22" s="1529">
        <v>0</v>
      </c>
      <c r="W22" s="1529">
        <v>7</v>
      </c>
      <c r="X22" s="1529">
        <v>290</v>
      </c>
      <c r="Y22" s="1529">
        <v>0</v>
      </c>
      <c r="Z22" s="1529">
        <v>0</v>
      </c>
      <c r="AA22" s="1529">
        <v>0</v>
      </c>
      <c r="AB22" s="1529">
        <v>0</v>
      </c>
      <c r="AC22" s="1529">
        <v>0</v>
      </c>
      <c r="AD22" s="1529">
        <v>5</v>
      </c>
      <c r="AE22" s="1529">
        <v>0</v>
      </c>
      <c r="AF22" s="1529">
        <v>0</v>
      </c>
      <c r="AG22" s="1529">
        <v>0</v>
      </c>
      <c r="AH22" s="1715">
        <v>0</v>
      </c>
      <c r="AI22" s="1712"/>
      <c r="AJ22" s="1712">
        <v>11</v>
      </c>
      <c r="AK22" s="1712"/>
      <c r="AL22" s="1712"/>
      <c r="AM22" s="1712"/>
      <c r="AN22" s="1712"/>
      <c r="AO22" s="1712"/>
      <c r="AP22" s="1712"/>
      <c r="AQ22" s="1712"/>
      <c r="AR22" s="1712"/>
      <c r="AS22" s="1712"/>
      <c r="AT22" s="1712"/>
      <c r="AU22" s="1712"/>
      <c r="AV22" s="1712"/>
      <c r="AW22" s="1712"/>
      <c r="AX22" s="1712"/>
      <c r="AY22" s="1712"/>
      <c r="AZ22" s="1712">
        <v>29</v>
      </c>
      <c r="BA22" s="1712"/>
      <c r="BB22" s="1712"/>
      <c r="BC22" s="1712"/>
      <c r="BD22" s="1712">
        <v>15</v>
      </c>
      <c r="BE22" s="1712"/>
      <c r="BF22" s="1712"/>
      <c r="BG22" s="1712"/>
      <c r="BH22" s="1712"/>
      <c r="BI22" s="1712"/>
      <c r="BJ22" s="1712">
        <v>5</v>
      </c>
      <c r="BK22" s="1712"/>
      <c r="BL22" s="1712"/>
      <c r="BM22" s="1712"/>
      <c r="BN22" s="1712"/>
      <c r="BO22" s="1716"/>
      <c r="BP22" s="1530"/>
      <c r="BQ22" s="1530"/>
      <c r="BR22" s="1530"/>
      <c r="BS22" s="1530"/>
      <c r="BT22" s="1530"/>
      <c r="BU22" s="1530"/>
      <c r="BV22" s="1530"/>
      <c r="BW22" s="1530"/>
      <c r="BX22" s="1530">
        <v>2</v>
      </c>
      <c r="BY22" s="1530"/>
      <c r="BZ22" s="1530">
        <v>7</v>
      </c>
      <c r="CA22" s="1530"/>
      <c r="CB22" s="1530"/>
      <c r="CC22" s="1717"/>
      <c r="CD22" s="1719"/>
      <c r="CE22" s="1716"/>
      <c r="CF22" s="1530"/>
      <c r="CG22" s="1530"/>
      <c r="CH22" s="1530"/>
      <c r="CI22" s="1530">
        <v>7</v>
      </c>
      <c r="CJ22" s="1717">
        <v>275</v>
      </c>
      <c r="CK22" s="1716"/>
      <c r="CL22" s="1530"/>
      <c r="CM22" s="1530"/>
      <c r="CN22" s="1530"/>
      <c r="CO22" s="1530"/>
      <c r="CP22" s="1530"/>
      <c r="CQ22" s="1530"/>
      <c r="CR22" s="1530"/>
      <c r="CS22" s="1530"/>
      <c r="CT22" s="1717"/>
      <c r="CU22" s="262">
        <f t="shared" si="33"/>
        <v>56</v>
      </c>
      <c r="CV22" s="262">
        <f t="shared" si="34"/>
        <v>346</v>
      </c>
    </row>
    <row r="23" spans="1:101" hidden="1">
      <c r="A23" s="1309">
        <v>43709</v>
      </c>
      <c r="B23" s="1310">
        <v>76</v>
      </c>
      <c r="C23" s="1310">
        <v>0</v>
      </c>
      <c r="D23" s="1310">
        <v>0</v>
      </c>
      <c r="E23" s="1310">
        <v>2</v>
      </c>
      <c r="F23" s="1310">
        <v>0</v>
      </c>
      <c r="G23" s="1310">
        <v>11</v>
      </c>
      <c r="H23" s="1310">
        <v>0</v>
      </c>
      <c r="I23" s="1310">
        <v>0</v>
      </c>
      <c r="J23" s="1310">
        <v>0</v>
      </c>
      <c r="K23" s="1310">
        <v>57</v>
      </c>
      <c r="L23" s="1310">
        <v>0</v>
      </c>
      <c r="M23" s="1310">
        <v>0</v>
      </c>
      <c r="N23" s="1310">
        <v>0</v>
      </c>
      <c r="O23" s="1310">
        <v>0</v>
      </c>
      <c r="P23" s="1310"/>
      <c r="Q23" s="1310">
        <v>0</v>
      </c>
      <c r="R23" s="1310"/>
      <c r="S23" s="1310">
        <v>0</v>
      </c>
      <c r="T23" s="1310">
        <v>0</v>
      </c>
      <c r="U23" s="1310">
        <v>0</v>
      </c>
      <c r="V23" s="1310">
        <v>1</v>
      </c>
      <c r="W23" s="1310">
        <v>0</v>
      </c>
      <c r="X23" s="1310">
        <v>95</v>
      </c>
      <c r="Y23" s="1310">
        <v>0</v>
      </c>
      <c r="Z23" s="1310">
        <v>90</v>
      </c>
      <c r="AA23" s="1310">
        <v>0</v>
      </c>
      <c r="AB23" s="1310">
        <v>0</v>
      </c>
      <c r="AC23" s="1310">
        <v>0</v>
      </c>
      <c r="AD23" s="1310">
        <v>0</v>
      </c>
      <c r="AE23" s="1310">
        <v>0</v>
      </c>
      <c r="AF23" s="1310">
        <v>0</v>
      </c>
      <c r="AG23" s="1310">
        <v>0</v>
      </c>
      <c r="AH23" s="1701">
        <v>0</v>
      </c>
      <c r="AI23" s="1712">
        <v>76</v>
      </c>
      <c r="AJ23" s="1712"/>
      <c r="AK23" s="1712"/>
      <c r="AL23" s="1712">
        <v>2</v>
      </c>
      <c r="AM23" s="1712"/>
      <c r="AN23" s="1712">
        <v>11</v>
      </c>
      <c r="AO23" s="1712"/>
      <c r="AP23" s="1712"/>
      <c r="AQ23" s="1712"/>
      <c r="AR23" s="1712">
        <v>57</v>
      </c>
      <c r="AS23" s="1712"/>
      <c r="AT23" s="1712"/>
      <c r="AU23" s="1712"/>
      <c r="AV23" s="1712"/>
      <c r="AW23" s="1712"/>
      <c r="AX23" s="1712"/>
      <c r="AY23" s="1712"/>
      <c r="AZ23" s="1712"/>
      <c r="BA23" s="1712"/>
      <c r="BB23" s="1712">
        <v>1</v>
      </c>
      <c r="BC23" s="1712"/>
      <c r="BD23" s="1712">
        <v>0</v>
      </c>
      <c r="BE23" s="1712"/>
      <c r="BF23" s="1712">
        <v>90</v>
      </c>
      <c r="BG23" s="1712"/>
      <c r="BH23" s="1712"/>
      <c r="BI23" s="1712"/>
      <c r="BJ23" s="1712"/>
      <c r="BK23" s="1712"/>
      <c r="BL23" s="1712"/>
      <c r="BM23" s="1712"/>
      <c r="BN23" s="1712"/>
      <c r="BO23" s="1713"/>
      <c r="BP23" s="1317"/>
      <c r="BQ23" s="1317"/>
      <c r="BR23" s="1317"/>
      <c r="BS23" s="1317"/>
      <c r="BT23" s="1317"/>
      <c r="BU23" s="1317"/>
      <c r="BV23" s="1317"/>
      <c r="BW23" s="1317"/>
      <c r="BX23" s="1317"/>
      <c r="BY23" s="1317"/>
      <c r="BZ23" s="1317"/>
      <c r="CA23" s="1317"/>
      <c r="CB23" s="1317"/>
      <c r="CC23" s="1714"/>
      <c r="CD23" s="1718"/>
      <c r="CE23" s="1713"/>
      <c r="CF23" s="1317"/>
      <c r="CG23" s="1317"/>
      <c r="CH23" s="1317"/>
      <c r="CI23" s="1317"/>
      <c r="CJ23" s="1714">
        <v>95</v>
      </c>
      <c r="CK23" s="1713"/>
      <c r="CL23" s="1317"/>
      <c r="CM23" s="1317"/>
      <c r="CN23" s="1317"/>
      <c r="CO23" s="1317"/>
      <c r="CP23" s="1317"/>
      <c r="CQ23" s="1317"/>
      <c r="CR23" s="1317"/>
      <c r="CS23" s="1317"/>
      <c r="CT23" s="1714"/>
      <c r="CU23" s="262">
        <f t="shared" si="33"/>
        <v>147</v>
      </c>
      <c r="CV23" s="262">
        <f t="shared" si="34"/>
        <v>242</v>
      </c>
    </row>
    <row r="24" spans="1:101" hidden="1">
      <c r="A24" s="1309">
        <v>43739</v>
      </c>
      <c r="B24" s="1310">
        <v>8</v>
      </c>
      <c r="C24" s="1310">
        <v>2</v>
      </c>
      <c r="D24" s="1310">
        <v>0</v>
      </c>
      <c r="E24" s="1310">
        <v>0</v>
      </c>
      <c r="F24" s="1310">
        <v>16</v>
      </c>
      <c r="G24" s="1310">
        <v>6</v>
      </c>
      <c r="H24" s="1310">
        <v>0</v>
      </c>
      <c r="I24" s="1310">
        <v>0</v>
      </c>
      <c r="J24" s="1310">
        <v>0</v>
      </c>
      <c r="K24" s="1310">
        <v>0</v>
      </c>
      <c r="L24" s="1310">
        <v>2</v>
      </c>
      <c r="M24" s="1310">
        <v>0</v>
      </c>
      <c r="N24" s="1310">
        <v>0</v>
      </c>
      <c r="O24" s="1310">
        <v>0</v>
      </c>
      <c r="P24" s="1310"/>
      <c r="Q24" s="1310">
        <v>2</v>
      </c>
      <c r="R24" s="1310"/>
      <c r="S24" s="1310">
        <v>0</v>
      </c>
      <c r="T24" s="1310">
        <v>0</v>
      </c>
      <c r="U24" s="1310">
        <v>0</v>
      </c>
      <c r="V24" s="1310">
        <v>0</v>
      </c>
      <c r="W24" s="1310">
        <v>0</v>
      </c>
      <c r="X24" s="1310">
        <v>493</v>
      </c>
      <c r="Y24" s="1310">
        <v>0</v>
      </c>
      <c r="Z24" s="1310">
        <v>0</v>
      </c>
      <c r="AA24" s="1310">
        <v>0</v>
      </c>
      <c r="AB24" s="1310">
        <v>7</v>
      </c>
      <c r="AC24" s="1310">
        <v>0</v>
      </c>
      <c r="AD24" s="1310">
        <v>0</v>
      </c>
      <c r="AE24" s="1310">
        <v>0</v>
      </c>
      <c r="AF24" s="1310">
        <v>0</v>
      </c>
      <c r="AG24" s="1310">
        <v>0</v>
      </c>
      <c r="AH24" s="1701">
        <v>0</v>
      </c>
      <c r="AI24" s="1712">
        <v>8</v>
      </c>
      <c r="AJ24" s="1712">
        <v>2</v>
      </c>
      <c r="AK24" s="1712"/>
      <c r="AL24" s="1712"/>
      <c r="AM24" s="1712">
        <v>16</v>
      </c>
      <c r="AN24" s="1712">
        <v>6</v>
      </c>
      <c r="AO24" s="1712"/>
      <c r="AP24" s="1712"/>
      <c r="AQ24" s="1712"/>
      <c r="AR24" s="1712"/>
      <c r="AS24" s="1712"/>
      <c r="AT24" s="1712"/>
      <c r="AU24" s="1712"/>
      <c r="AV24" s="1712"/>
      <c r="AW24" s="1712">
        <v>2</v>
      </c>
      <c r="AX24" s="1712"/>
      <c r="AY24" s="1712"/>
      <c r="AZ24" s="1712"/>
      <c r="BA24" s="1712"/>
      <c r="BB24" s="1712"/>
      <c r="BC24" s="1712"/>
      <c r="BD24" s="1712">
        <v>6</v>
      </c>
      <c r="BE24" s="1712"/>
      <c r="BF24" s="1712"/>
      <c r="BG24" s="1712"/>
      <c r="BH24" s="1712"/>
      <c r="BI24" s="1712"/>
      <c r="BJ24" s="1712"/>
      <c r="BK24" s="1712"/>
      <c r="BL24" s="1712"/>
      <c r="BM24" s="1712"/>
      <c r="BN24" s="1712"/>
      <c r="BO24" s="1713"/>
      <c r="BP24" s="1317"/>
      <c r="BQ24" s="1317"/>
      <c r="BR24" s="1317"/>
      <c r="BS24" s="1317"/>
      <c r="BT24" s="1317"/>
      <c r="BU24" s="1317"/>
      <c r="BV24" s="1317"/>
      <c r="BW24" s="1317"/>
      <c r="BX24" s="1317"/>
      <c r="BY24" s="1317">
        <v>2</v>
      </c>
      <c r="BZ24" s="1317"/>
      <c r="CA24" s="1317"/>
      <c r="CB24" s="1317"/>
      <c r="CC24" s="1714"/>
      <c r="CD24" s="1718"/>
      <c r="CE24" s="1713"/>
      <c r="CF24" s="1317"/>
      <c r="CG24" s="1317"/>
      <c r="CH24" s="1317"/>
      <c r="CI24" s="1317"/>
      <c r="CJ24" s="1714">
        <v>487</v>
      </c>
      <c r="CK24" s="1713"/>
      <c r="CL24" s="1317"/>
      <c r="CM24" s="1317"/>
      <c r="CN24" s="1317">
        <v>7</v>
      </c>
      <c r="CO24" s="1317"/>
      <c r="CP24" s="1317"/>
      <c r="CQ24" s="1317"/>
      <c r="CR24" s="1317"/>
      <c r="CS24" s="1317"/>
      <c r="CT24" s="1714"/>
      <c r="CU24" s="262">
        <f t="shared" si="33"/>
        <v>36</v>
      </c>
      <c r="CV24" s="262">
        <f t="shared" si="34"/>
        <v>529</v>
      </c>
    </row>
    <row r="25" spans="1:101" hidden="1">
      <c r="A25" s="1309">
        <v>43770</v>
      </c>
      <c r="B25" s="1310">
        <v>0</v>
      </c>
      <c r="C25" s="1310">
        <v>0</v>
      </c>
      <c r="D25" s="1310">
        <v>20</v>
      </c>
      <c r="E25" s="1310">
        <v>11</v>
      </c>
      <c r="F25" s="1310">
        <v>0</v>
      </c>
      <c r="G25" s="1310">
        <v>2</v>
      </c>
      <c r="H25" s="1310">
        <v>0</v>
      </c>
      <c r="I25" s="1310">
        <v>0</v>
      </c>
      <c r="J25" s="1310">
        <v>0</v>
      </c>
      <c r="K25" s="1310">
        <v>0</v>
      </c>
      <c r="L25" s="1310">
        <v>3</v>
      </c>
      <c r="M25" s="1310">
        <v>0</v>
      </c>
      <c r="N25" s="1310">
        <v>0</v>
      </c>
      <c r="O25" s="1310">
        <v>30</v>
      </c>
      <c r="P25" s="1310"/>
      <c r="Q25" s="1310">
        <v>14</v>
      </c>
      <c r="R25" s="1310"/>
      <c r="S25" s="1310">
        <v>0</v>
      </c>
      <c r="T25" s="1310">
        <v>0</v>
      </c>
      <c r="U25" s="1310">
        <v>0</v>
      </c>
      <c r="V25" s="1310">
        <v>0</v>
      </c>
      <c r="W25" s="1310">
        <v>0</v>
      </c>
      <c r="X25" s="1310">
        <v>77</v>
      </c>
      <c r="Y25" s="1310">
        <v>0</v>
      </c>
      <c r="Z25" s="1310">
        <v>0</v>
      </c>
      <c r="AA25" s="1310">
        <v>0</v>
      </c>
      <c r="AB25" s="1310">
        <v>0</v>
      </c>
      <c r="AC25" s="1310">
        <v>0</v>
      </c>
      <c r="AD25" s="1310">
        <v>12</v>
      </c>
      <c r="AE25" s="1310">
        <v>0</v>
      </c>
      <c r="AF25" s="1310">
        <v>0</v>
      </c>
      <c r="AG25" s="1310">
        <v>0</v>
      </c>
      <c r="AH25" s="1701">
        <v>0</v>
      </c>
      <c r="AI25" s="1712"/>
      <c r="AJ25" s="1712"/>
      <c r="AK25" s="1712">
        <v>20</v>
      </c>
      <c r="AL25" s="1712">
        <v>11</v>
      </c>
      <c r="AM25" s="1712"/>
      <c r="AN25" s="1712">
        <v>2</v>
      </c>
      <c r="AO25" s="1712"/>
      <c r="AP25" s="1712"/>
      <c r="AQ25" s="1712"/>
      <c r="AR25" s="1712"/>
      <c r="AS25" s="1712"/>
      <c r="AT25" s="1712"/>
      <c r="AU25" s="1712"/>
      <c r="AV25" s="1712"/>
      <c r="AW25" s="1712">
        <v>14</v>
      </c>
      <c r="AX25" s="1712"/>
      <c r="AY25" s="1712"/>
      <c r="AZ25" s="1712"/>
      <c r="BA25" s="1712"/>
      <c r="BB25" s="1712"/>
      <c r="BC25" s="1712"/>
      <c r="BD25" s="1712">
        <v>17</v>
      </c>
      <c r="BE25" s="1712"/>
      <c r="BF25" s="1712"/>
      <c r="BG25" s="1712"/>
      <c r="BH25" s="1712"/>
      <c r="BI25" s="1712"/>
      <c r="BJ25" s="1712">
        <v>12</v>
      </c>
      <c r="BK25" s="1712"/>
      <c r="BL25" s="1712"/>
      <c r="BM25" s="1712"/>
      <c r="BN25" s="1712"/>
      <c r="BO25" s="1713"/>
      <c r="BP25" s="1317"/>
      <c r="BQ25" s="1317"/>
      <c r="BR25" s="1317"/>
      <c r="BS25" s="1317"/>
      <c r="BT25" s="1317"/>
      <c r="BU25" s="1317"/>
      <c r="BV25" s="1317"/>
      <c r="BW25" s="1317"/>
      <c r="BX25" s="1317"/>
      <c r="BY25" s="1317">
        <v>3</v>
      </c>
      <c r="BZ25" s="1317"/>
      <c r="CA25" s="1317"/>
      <c r="CB25" s="1317">
        <v>30</v>
      </c>
      <c r="CC25" s="1714"/>
      <c r="CD25" s="1718"/>
      <c r="CE25" s="1713"/>
      <c r="CF25" s="1317"/>
      <c r="CG25" s="1317"/>
      <c r="CH25" s="1317"/>
      <c r="CI25" s="1317"/>
      <c r="CJ25" s="1714">
        <v>60</v>
      </c>
      <c r="CK25" s="1713"/>
      <c r="CL25" s="1317"/>
      <c r="CM25" s="1317"/>
      <c r="CN25" s="1317"/>
      <c r="CO25" s="1317"/>
      <c r="CP25" s="1317"/>
      <c r="CQ25" s="1317"/>
      <c r="CR25" s="1317"/>
      <c r="CS25" s="1317"/>
      <c r="CT25" s="1714"/>
      <c r="CU25" s="262">
        <f t="shared" si="33"/>
        <v>80</v>
      </c>
      <c r="CV25" s="262">
        <f t="shared" si="34"/>
        <v>157</v>
      </c>
    </row>
    <row r="26" spans="1:101" hidden="1">
      <c r="A26" s="1309">
        <v>43800</v>
      </c>
      <c r="B26" s="1310">
        <v>0</v>
      </c>
      <c r="C26" s="1310">
        <v>10</v>
      </c>
      <c r="D26" s="1310">
        <v>0</v>
      </c>
      <c r="E26" s="1310">
        <v>434</v>
      </c>
      <c r="F26" s="1310">
        <v>9</v>
      </c>
      <c r="G26" s="1310">
        <v>0</v>
      </c>
      <c r="H26" s="1310">
        <v>0</v>
      </c>
      <c r="I26" s="1310">
        <v>0</v>
      </c>
      <c r="J26" s="1310">
        <v>0</v>
      </c>
      <c r="K26" s="1310">
        <v>0</v>
      </c>
      <c r="L26" s="1310">
        <v>0</v>
      </c>
      <c r="M26" s="1310">
        <v>0</v>
      </c>
      <c r="N26" s="1310">
        <v>0</v>
      </c>
      <c r="O26" s="1310">
        <v>14</v>
      </c>
      <c r="P26" s="1310"/>
      <c r="Q26" s="1310">
        <v>0</v>
      </c>
      <c r="R26" s="1310"/>
      <c r="S26" s="1310">
        <v>0</v>
      </c>
      <c r="T26" s="1310">
        <v>0</v>
      </c>
      <c r="U26" s="1310">
        <v>0</v>
      </c>
      <c r="V26" s="1310">
        <v>0</v>
      </c>
      <c r="W26" s="1310">
        <v>0</v>
      </c>
      <c r="X26" s="1310">
        <v>367</v>
      </c>
      <c r="Y26" s="1310">
        <v>0</v>
      </c>
      <c r="Z26" s="1310">
        <v>7</v>
      </c>
      <c r="AA26" s="1310">
        <v>0</v>
      </c>
      <c r="AB26" s="1310">
        <v>0</v>
      </c>
      <c r="AC26" s="1310">
        <v>15</v>
      </c>
      <c r="AD26" s="1310">
        <v>0</v>
      </c>
      <c r="AE26" s="1310">
        <v>16</v>
      </c>
      <c r="AF26" s="1310">
        <v>0</v>
      </c>
      <c r="AG26" s="1310">
        <v>0</v>
      </c>
      <c r="AH26" s="1701">
        <v>0</v>
      </c>
      <c r="AI26" s="1712"/>
      <c r="AJ26" s="1712">
        <v>10</v>
      </c>
      <c r="AK26" s="1712"/>
      <c r="AL26" s="1712">
        <v>434</v>
      </c>
      <c r="AM26" s="1712">
        <v>9</v>
      </c>
      <c r="AN26" s="1712"/>
      <c r="AO26" s="1712"/>
      <c r="AP26" s="1712"/>
      <c r="AQ26" s="1712"/>
      <c r="AR26" s="1712"/>
      <c r="AS26" s="1712"/>
      <c r="AT26" s="1712"/>
      <c r="AU26" s="1712"/>
      <c r="AV26" s="1712"/>
      <c r="AW26" s="1712"/>
      <c r="AX26" s="1712"/>
      <c r="AY26" s="1712"/>
      <c r="AZ26" s="1712"/>
      <c r="BA26" s="1712"/>
      <c r="BB26" s="1712"/>
      <c r="BC26" s="1712"/>
      <c r="BD26" s="1712">
        <v>17</v>
      </c>
      <c r="BE26" s="1712"/>
      <c r="BF26" s="1712">
        <v>7</v>
      </c>
      <c r="BG26" s="1712"/>
      <c r="BH26" s="1712"/>
      <c r="BI26" s="1712">
        <v>15</v>
      </c>
      <c r="BJ26" s="1712"/>
      <c r="BK26" s="1712">
        <v>16</v>
      </c>
      <c r="BL26" s="1712"/>
      <c r="BM26" s="1712"/>
      <c r="BN26" s="1712"/>
      <c r="BO26" s="1713"/>
      <c r="BP26" s="1317"/>
      <c r="BQ26" s="1317"/>
      <c r="BR26" s="1317"/>
      <c r="BS26" s="1317"/>
      <c r="BT26" s="1317"/>
      <c r="BU26" s="1317"/>
      <c r="BV26" s="1317"/>
      <c r="BW26" s="1317"/>
      <c r="BX26" s="1317"/>
      <c r="BY26" s="1317"/>
      <c r="BZ26" s="1317"/>
      <c r="CA26" s="1317"/>
      <c r="CB26" s="1317">
        <v>14</v>
      </c>
      <c r="CC26" s="1714"/>
      <c r="CD26" s="1718"/>
      <c r="CE26" s="1713"/>
      <c r="CF26" s="1317"/>
      <c r="CG26" s="1317"/>
      <c r="CH26" s="1317"/>
      <c r="CI26" s="1317"/>
      <c r="CJ26" s="1714">
        <v>350</v>
      </c>
      <c r="CK26" s="1713"/>
      <c r="CL26" s="1317"/>
      <c r="CM26" s="1317"/>
      <c r="CN26" s="1317"/>
      <c r="CO26" s="1317"/>
      <c r="CP26" s="1317"/>
      <c r="CQ26" s="1317"/>
      <c r="CR26" s="1317"/>
      <c r="CS26" s="1317"/>
      <c r="CT26" s="1714"/>
      <c r="CU26" s="262">
        <f t="shared" si="33"/>
        <v>467</v>
      </c>
      <c r="CV26" s="262">
        <f t="shared" si="34"/>
        <v>834</v>
      </c>
    </row>
    <row r="27" spans="1:101" hidden="1">
      <c r="A27" s="1309">
        <v>43831</v>
      </c>
      <c r="B27" s="1310">
        <f t="shared" si="2"/>
        <v>0</v>
      </c>
      <c r="C27" s="1310">
        <f t="shared" si="3"/>
        <v>0</v>
      </c>
      <c r="D27" s="1310">
        <f t="shared" si="4"/>
        <v>0</v>
      </c>
      <c r="E27" s="1310">
        <f t="shared" si="5"/>
        <v>3</v>
      </c>
      <c r="F27" s="1310">
        <f t="shared" si="6"/>
        <v>0</v>
      </c>
      <c r="G27" s="1310">
        <f t="shared" si="7"/>
        <v>10</v>
      </c>
      <c r="H27" s="1310">
        <f t="shared" si="8"/>
        <v>0</v>
      </c>
      <c r="I27" s="1310">
        <f t="shared" si="9"/>
        <v>0</v>
      </c>
      <c r="J27" s="1310">
        <f t="shared" si="10"/>
        <v>0</v>
      </c>
      <c r="K27" s="1310">
        <f t="shared" si="11"/>
        <v>0</v>
      </c>
      <c r="L27" s="1310">
        <f t="shared" si="12"/>
        <v>0</v>
      </c>
      <c r="M27" s="1310">
        <f t="shared" si="13"/>
        <v>0</v>
      </c>
      <c r="N27" s="1310">
        <f t="shared" si="14"/>
        <v>0</v>
      </c>
      <c r="O27" s="1310">
        <f t="shared" si="15"/>
        <v>0</v>
      </c>
      <c r="P27" s="1310"/>
      <c r="Q27" s="1310">
        <f t="shared" si="16"/>
        <v>0</v>
      </c>
      <c r="R27" s="1310"/>
      <c r="S27" s="1310">
        <f t="shared" si="17"/>
        <v>0</v>
      </c>
      <c r="T27" s="1310">
        <f t="shared" si="18"/>
        <v>0</v>
      </c>
      <c r="U27" s="1310">
        <f t="shared" si="19"/>
        <v>0</v>
      </c>
      <c r="V27" s="1310">
        <f t="shared" si="20"/>
        <v>0</v>
      </c>
      <c r="W27" s="1310">
        <f t="shared" si="21"/>
        <v>277</v>
      </c>
      <c r="X27" s="1310">
        <f t="shared" si="22"/>
        <v>115</v>
      </c>
      <c r="Y27" s="1310">
        <f t="shared" si="23"/>
        <v>0</v>
      </c>
      <c r="Z27" s="1310">
        <f t="shared" si="24"/>
        <v>0</v>
      </c>
      <c r="AA27" s="1310">
        <f t="shared" si="25"/>
        <v>0</v>
      </c>
      <c r="AB27" s="1310">
        <f t="shared" si="26"/>
        <v>0</v>
      </c>
      <c r="AC27" s="1310">
        <f t="shared" si="27"/>
        <v>10</v>
      </c>
      <c r="AD27" s="1310">
        <f t="shared" si="28"/>
        <v>0</v>
      </c>
      <c r="AE27" s="1310">
        <f t="shared" si="29"/>
        <v>0</v>
      </c>
      <c r="AF27" s="1310">
        <f t="shared" si="30"/>
        <v>0</v>
      </c>
      <c r="AG27" s="1310">
        <f t="shared" si="31"/>
        <v>0</v>
      </c>
      <c r="AH27" s="1701">
        <f t="shared" si="32"/>
        <v>0</v>
      </c>
      <c r="AI27" s="1712"/>
      <c r="AJ27" s="1712"/>
      <c r="AK27" s="1712"/>
      <c r="AL27" s="1712">
        <v>3</v>
      </c>
      <c r="AM27" s="1712"/>
      <c r="AN27" s="1712">
        <v>10</v>
      </c>
      <c r="AO27" s="1712"/>
      <c r="AP27" s="1712"/>
      <c r="AQ27" s="1712"/>
      <c r="AR27" s="1712"/>
      <c r="AS27" s="1712"/>
      <c r="AT27" s="1712"/>
      <c r="AU27" s="1712"/>
      <c r="AV27" s="1712"/>
      <c r="AW27" s="1712"/>
      <c r="AX27" s="1712"/>
      <c r="AY27" s="1712"/>
      <c r="AZ27" s="1712"/>
      <c r="BA27" s="1712"/>
      <c r="BB27" s="1712"/>
      <c r="BC27" s="1712">
        <v>277</v>
      </c>
      <c r="BD27" s="1712"/>
      <c r="BE27" s="1712"/>
      <c r="BF27" s="1712"/>
      <c r="BG27" s="1712"/>
      <c r="BH27" s="1712"/>
      <c r="BI27" s="1712">
        <v>10</v>
      </c>
      <c r="BJ27" s="1712"/>
      <c r="BK27" s="1712"/>
      <c r="BL27" s="1712"/>
      <c r="BM27" s="1712"/>
      <c r="BN27" s="1712"/>
      <c r="BO27" s="1713"/>
      <c r="BP27" s="1317"/>
      <c r="BQ27" s="1317"/>
      <c r="BR27" s="1317"/>
      <c r="BS27" s="1317"/>
      <c r="BT27" s="1317"/>
      <c r="BU27" s="1317"/>
      <c r="BV27" s="1317"/>
      <c r="BW27" s="1317"/>
      <c r="BX27" s="1317"/>
      <c r="BY27" s="1317"/>
      <c r="BZ27" s="1317"/>
      <c r="CA27" s="1317"/>
      <c r="CB27" s="1317"/>
      <c r="CC27" s="1714"/>
      <c r="CD27" s="1718"/>
      <c r="CE27" s="1713"/>
      <c r="CF27" s="1317"/>
      <c r="CG27" s="1317"/>
      <c r="CH27" s="1317"/>
      <c r="CI27" s="1317"/>
      <c r="CJ27" s="1714">
        <v>115</v>
      </c>
      <c r="CK27" s="1713"/>
      <c r="CL27" s="1317"/>
      <c r="CM27" s="1317"/>
      <c r="CN27" s="1317"/>
      <c r="CO27" s="1317"/>
      <c r="CP27" s="1317"/>
      <c r="CQ27" s="1317"/>
      <c r="CR27" s="1317"/>
      <c r="CS27" s="1317"/>
      <c r="CT27" s="1714"/>
      <c r="CU27" s="262">
        <f>SUM(AI27:BC27)+SUM(BO27:CI27)</f>
        <v>290</v>
      </c>
      <c r="CV27" s="262">
        <f>+CU27+BD27+CJ27</f>
        <v>405</v>
      </c>
    </row>
    <row r="28" spans="1:101" hidden="1">
      <c r="A28" s="1309">
        <v>43862</v>
      </c>
      <c r="B28" s="1310">
        <f t="shared" si="2"/>
        <v>0</v>
      </c>
      <c r="C28" s="1310">
        <f t="shared" si="3"/>
        <v>20</v>
      </c>
      <c r="D28" s="1310">
        <f t="shared" si="4"/>
        <v>0</v>
      </c>
      <c r="E28" s="1310">
        <f t="shared" si="5"/>
        <v>3</v>
      </c>
      <c r="F28" s="1310">
        <f t="shared" si="6"/>
        <v>0</v>
      </c>
      <c r="G28" s="1310">
        <f t="shared" si="7"/>
        <v>10</v>
      </c>
      <c r="H28" s="1310">
        <f t="shared" si="8"/>
        <v>0</v>
      </c>
      <c r="I28" s="1310">
        <f t="shared" si="9"/>
        <v>0</v>
      </c>
      <c r="J28" s="1310">
        <f t="shared" si="10"/>
        <v>0</v>
      </c>
      <c r="K28" s="1310">
        <f t="shared" si="11"/>
        <v>0</v>
      </c>
      <c r="L28" s="1310">
        <f t="shared" si="12"/>
        <v>3</v>
      </c>
      <c r="M28" s="1310">
        <f t="shared" si="13"/>
        <v>3</v>
      </c>
      <c r="N28" s="1310">
        <f t="shared" si="14"/>
        <v>0</v>
      </c>
      <c r="O28" s="1310">
        <f t="shared" si="15"/>
        <v>0</v>
      </c>
      <c r="P28" s="1310"/>
      <c r="Q28" s="1310">
        <f t="shared" si="16"/>
        <v>0</v>
      </c>
      <c r="R28" s="1310"/>
      <c r="S28" s="1310">
        <f t="shared" si="17"/>
        <v>0</v>
      </c>
      <c r="T28" s="1310">
        <f t="shared" si="18"/>
        <v>34</v>
      </c>
      <c r="U28" s="1310">
        <f t="shared" si="19"/>
        <v>0</v>
      </c>
      <c r="V28" s="1310">
        <f t="shared" si="20"/>
        <v>0</v>
      </c>
      <c r="W28" s="1310">
        <f t="shared" si="21"/>
        <v>0</v>
      </c>
      <c r="X28" s="1310">
        <f t="shared" si="22"/>
        <v>79</v>
      </c>
      <c r="Y28" s="1310">
        <f t="shared" si="23"/>
        <v>0</v>
      </c>
      <c r="Z28" s="1310">
        <f t="shared" si="24"/>
        <v>0</v>
      </c>
      <c r="AA28" s="1310">
        <f t="shared" si="25"/>
        <v>0</v>
      </c>
      <c r="AB28" s="1310">
        <f t="shared" si="26"/>
        <v>0</v>
      </c>
      <c r="AC28" s="1310">
        <f t="shared" si="27"/>
        <v>0</v>
      </c>
      <c r="AD28" s="1310">
        <f t="shared" si="28"/>
        <v>0</v>
      </c>
      <c r="AE28" s="1310">
        <f t="shared" si="29"/>
        <v>0</v>
      </c>
      <c r="AF28" s="1310">
        <f t="shared" si="30"/>
        <v>0</v>
      </c>
      <c r="AG28" s="1310">
        <f t="shared" si="31"/>
        <v>0</v>
      </c>
      <c r="AH28" s="1701">
        <f t="shared" si="32"/>
        <v>0</v>
      </c>
      <c r="AI28" s="1712"/>
      <c r="AJ28" s="1712">
        <v>20</v>
      </c>
      <c r="AK28" s="1712"/>
      <c r="AL28" s="1712">
        <v>3</v>
      </c>
      <c r="AM28" s="1712"/>
      <c r="AN28" s="1712">
        <v>10</v>
      </c>
      <c r="AO28" s="1712"/>
      <c r="AP28" s="1712"/>
      <c r="AQ28" s="1712"/>
      <c r="AR28" s="1712"/>
      <c r="AS28" s="1712">
        <v>3</v>
      </c>
      <c r="AT28" s="1712"/>
      <c r="AU28" s="1712"/>
      <c r="AV28" s="1712"/>
      <c r="AW28" s="1712"/>
      <c r="AX28" s="1712"/>
      <c r="AY28" s="1712"/>
      <c r="AZ28" s="1712">
        <v>34</v>
      </c>
      <c r="BA28" s="1712"/>
      <c r="BB28" s="1712"/>
      <c r="BC28" s="1712"/>
      <c r="BD28" s="1712">
        <v>30</v>
      </c>
      <c r="BE28" s="1712"/>
      <c r="BF28" s="1712"/>
      <c r="BG28" s="1712"/>
      <c r="BH28" s="1712"/>
      <c r="BI28" s="1712"/>
      <c r="BJ28" s="1712"/>
      <c r="BK28" s="1712"/>
      <c r="BL28" s="1712"/>
      <c r="BM28" s="1712"/>
      <c r="BN28" s="1712"/>
      <c r="BO28" s="1713"/>
      <c r="BP28" s="1317"/>
      <c r="BQ28" s="1317"/>
      <c r="BR28" s="1317"/>
      <c r="BS28" s="1317"/>
      <c r="BT28" s="1317"/>
      <c r="BU28" s="1317"/>
      <c r="BV28" s="1317"/>
      <c r="BW28" s="1317"/>
      <c r="BX28" s="1317"/>
      <c r="BY28" s="1317"/>
      <c r="BZ28" s="1317">
        <v>3</v>
      </c>
      <c r="CA28" s="1317"/>
      <c r="CB28" s="1317"/>
      <c r="CC28" s="1714"/>
      <c r="CD28" s="1718"/>
      <c r="CE28" s="1713"/>
      <c r="CF28" s="1317"/>
      <c r="CG28" s="1317"/>
      <c r="CH28" s="1317"/>
      <c r="CI28" s="1317"/>
      <c r="CJ28" s="1714">
        <v>49</v>
      </c>
      <c r="CK28" s="1713"/>
      <c r="CL28" s="1317"/>
      <c r="CM28" s="1317"/>
      <c r="CN28" s="1317"/>
      <c r="CO28" s="1317"/>
      <c r="CP28" s="1317"/>
      <c r="CQ28" s="1317"/>
      <c r="CR28" s="1317"/>
      <c r="CS28" s="1317"/>
      <c r="CT28" s="1714"/>
      <c r="CU28" s="262">
        <f t="shared" ref="CU28:CU38" si="35">SUM(AI28:BC28)+SUM(BO28:CI28)</f>
        <v>73</v>
      </c>
      <c r="CV28" s="262">
        <f t="shared" ref="CV28:CV38" si="36">+CU28+BD28+CJ28</f>
        <v>152</v>
      </c>
    </row>
    <row r="29" spans="1:101" hidden="1">
      <c r="A29" s="1309">
        <v>43891</v>
      </c>
      <c r="B29" s="1310">
        <f t="shared" si="2"/>
        <v>0</v>
      </c>
      <c r="C29" s="1310">
        <f t="shared" si="3"/>
        <v>0</v>
      </c>
      <c r="D29" s="1310">
        <f t="shared" si="4"/>
        <v>0</v>
      </c>
      <c r="E29" s="1310">
        <f t="shared" si="5"/>
        <v>3071</v>
      </c>
      <c r="F29" s="1310">
        <f t="shared" si="6"/>
        <v>0</v>
      </c>
      <c r="G29" s="1310">
        <f t="shared" si="7"/>
        <v>3</v>
      </c>
      <c r="H29" s="1310">
        <f t="shared" si="8"/>
        <v>0</v>
      </c>
      <c r="I29" s="1310">
        <f t="shared" si="9"/>
        <v>0</v>
      </c>
      <c r="J29" s="1310">
        <f t="shared" si="10"/>
        <v>0</v>
      </c>
      <c r="K29" s="1310">
        <f t="shared" si="11"/>
        <v>0</v>
      </c>
      <c r="L29" s="1310">
        <f t="shared" si="12"/>
        <v>0</v>
      </c>
      <c r="M29" s="1310">
        <f t="shared" si="13"/>
        <v>0</v>
      </c>
      <c r="N29" s="1310">
        <f t="shared" si="14"/>
        <v>0</v>
      </c>
      <c r="O29" s="1310">
        <f t="shared" si="15"/>
        <v>0</v>
      </c>
      <c r="P29" s="1310"/>
      <c r="Q29" s="1310">
        <f t="shared" si="16"/>
        <v>0</v>
      </c>
      <c r="R29" s="1310"/>
      <c r="S29" s="1310">
        <f t="shared" si="17"/>
        <v>0</v>
      </c>
      <c r="T29" s="1310">
        <f t="shared" si="18"/>
        <v>39</v>
      </c>
      <c r="U29" s="1310">
        <f t="shared" si="19"/>
        <v>9</v>
      </c>
      <c r="V29" s="1310">
        <f t="shared" si="20"/>
        <v>13</v>
      </c>
      <c r="W29" s="1310">
        <f t="shared" si="21"/>
        <v>0</v>
      </c>
      <c r="X29" s="1310">
        <f t="shared" si="22"/>
        <v>165</v>
      </c>
      <c r="Y29" s="1310">
        <f t="shared" si="23"/>
        <v>0</v>
      </c>
      <c r="Z29" s="1310">
        <f t="shared" si="24"/>
        <v>4</v>
      </c>
      <c r="AA29" s="1310">
        <f t="shared" si="25"/>
        <v>0</v>
      </c>
      <c r="AB29" s="1310">
        <f t="shared" si="26"/>
        <v>50</v>
      </c>
      <c r="AC29" s="1310">
        <f t="shared" si="27"/>
        <v>0</v>
      </c>
      <c r="AD29" s="1310">
        <f t="shared" si="28"/>
        <v>0</v>
      </c>
      <c r="AE29" s="1310">
        <f t="shared" si="29"/>
        <v>0</v>
      </c>
      <c r="AF29" s="1310">
        <f t="shared" si="30"/>
        <v>95</v>
      </c>
      <c r="AG29" s="1310">
        <f t="shared" si="31"/>
        <v>4503</v>
      </c>
      <c r="AH29" s="1701">
        <f t="shared" si="32"/>
        <v>0</v>
      </c>
      <c r="AI29" s="1712"/>
      <c r="AJ29" s="1712"/>
      <c r="AK29" s="1712"/>
      <c r="AL29" s="1712">
        <v>11</v>
      </c>
      <c r="AM29" s="1712"/>
      <c r="AN29" s="1712">
        <v>3</v>
      </c>
      <c r="AO29" s="1712"/>
      <c r="AP29" s="1712"/>
      <c r="AQ29" s="1712"/>
      <c r="AR29" s="1712"/>
      <c r="AS29" s="1712"/>
      <c r="AT29" s="1712"/>
      <c r="AU29" s="1712"/>
      <c r="AV29" s="1712"/>
      <c r="AW29" s="1712"/>
      <c r="AX29" s="1712"/>
      <c r="AY29" s="1712"/>
      <c r="AZ29" s="1712"/>
      <c r="BA29" s="1712"/>
      <c r="BB29" s="1712">
        <v>13</v>
      </c>
      <c r="BC29" s="1712"/>
      <c r="BD29" s="1712">
        <v>113</v>
      </c>
      <c r="BE29" s="1712"/>
      <c r="BF29" s="1712">
        <v>4</v>
      </c>
      <c r="BG29" s="1712"/>
      <c r="BH29" s="1712">
        <v>50</v>
      </c>
      <c r="BI29" s="1712"/>
      <c r="BJ29" s="1712"/>
      <c r="BK29" s="1712"/>
      <c r="BL29" s="1712">
        <v>40</v>
      </c>
      <c r="BM29" s="1712">
        <v>3</v>
      </c>
      <c r="BN29" s="1712"/>
      <c r="BO29" s="1713"/>
      <c r="BP29" s="1317"/>
      <c r="BQ29" s="1317"/>
      <c r="BR29" s="1317">
        <v>3060</v>
      </c>
      <c r="BS29" s="1317"/>
      <c r="BT29" s="1317"/>
      <c r="BU29" s="1317"/>
      <c r="BV29" s="1317"/>
      <c r="BW29" s="1317"/>
      <c r="BX29" s="1317"/>
      <c r="BY29" s="1317"/>
      <c r="BZ29" s="1317"/>
      <c r="CA29" s="1317"/>
      <c r="CB29" s="1317"/>
      <c r="CC29" s="1714"/>
      <c r="CD29" s="1718"/>
      <c r="CE29" s="1713"/>
      <c r="CF29" s="1317">
        <v>39</v>
      </c>
      <c r="CG29" s="1317">
        <v>9</v>
      </c>
      <c r="CH29" s="1317"/>
      <c r="CI29" s="1317"/>
      <c r="CJ29" s="1714">
        <v>52</v>
      </c>
      <c r="CK29" s="1713"/>
      <c r="CL29" s="1317"/>
      <c r="CM29" s="1317"/>
      <c r="CN29" s="1317"/>
      <c r="CO29" s="1317"/>
      <c r="CP29" s="1317"/>
      <c r="CQ29" s="1317"/>
      <c r="CR29" s="1317">
        <v>55</v>
      </c>
      <c r="CS29" s="1317">
        <v>4500</v>
      </c>
      <c r="CT29" s="1714"/>
      <c r="CU29" s="262">
        <f t="shared" si="35"/>
        <v>3135</v>
      </c>
      <c r="CV29" s="262">
        <f t="shared" si="36"/>
        <v>3300</v>
      </c>
    </row>
    <row r="30" spans="1:101" hidden="1">
      <c r="A30" s="1309">
        <v>43922</v>
      </c>
      <c r="B30" s="1310">
        <f t="shared" si="2"/>
        <v>5</v>
      </c>
      <c r="C30" s="1310">
        <f t="shared" si="3"/>
        <v>0</v>
      </c>
      <c r="D30" s="1310">
        <f t="shared" si="4"/>
        <v>3</v>
      </c>
      <c r="E30" s="1310">
        <f t="shared" si="5"/>
        <v>0</v>
      </c>
      <c r="F30" s="1310">
        <f t="shared" si="6"/>
        <v>3</v>
      </c>
      <c r="G30" s="1310">
        <f t="shared" si="7"/>
        <v>19</v>
      </c>
      <c r="H30" s="1310">
        <f t="shared" si="8"/>
        <v>0</v>
      </c>
      <c r="I30" s="1310">
        <f t="shared" si="9"/>
        <v>0</v>
      </c>
      <c r="J30" s="1310">
        <f t="shared" si="10"/>
        <v>0</v>
      </c>
      <c r="K30" s="1310">
        <f t="shared" si="11"/>
        <v>3</v>
      </c>
      <c r="L30" s="1310">
        <f t="shared" si="12"/>
        <v>0</v>
      </c>
      <c r="M30" s="1310">
        <f t="shared" si="13"/>
        <v>0</v>
      </c>
      <c r="N30" s="1310">
        <f t="shared" si="14"/>
        <v>0</v>
      </c>
      <c r="O30" s="1310">
        <f t="shared" si="15"/>
        <v>0</v>
      </c>
      <c r="P30" s="1310"/>
      <c r="Q30" s="1310">
        <f t="shared" si="16"/>
        <v>0</v>
      </c>
      <c r="R30" s="1310"/>
      <c r="S30" s="1310">
        <f t="shared" si="17"/>
        <v>0</v>
      </c>
      <c r="T30" s="1310">
        <f t="shared" si="18"/>
        <v>0</v>
      </c>
      <c r="U30" s="1310">
        <f t="shared" si="19"/>
        <v>0</v>
      </c>
      <c r="V30" s="1310">
        <f t="shared" si="20"/>
        <v>17</v>
      </c>
      <c r="W30" s="1310">
        <f t="shared" si="21"/>
        <v>0</v>
      </c>
      <c r="X30" s="1310">
        <f t="shared" si="22"/>
        <v>0</v>
      </c>
      <c r="Y30" s="1310">
        <f t="shared" si="23"/>
        <v>0</v>
      </c>
      <c r="Z30" s="1310">
        <f t="shared" si="24"/>
        <v>3</v>
      </c>
      <c r="AA30" s="1310">
        <f t="shared" si="25"/>
        <v>0</v>
      </c>
      <c r="AB30" s="1310">
        <f t="shared" si="26"/>
        <v>0</v>
      </c>
      <c r="AC30" s="1310">
        <f t="shared" si="27"/>
        <v>0</v>
      </c>
      <c r="AD30" s="1310">
        <f t="shared" si="28"/>
        <v>0</v>
      </c>
      <c r="AE30" s="1310">
        <f t="shared" si="29"/>
        <v>0</v>
      </c>
      <c r="AF30" s="1310">
        <f t="shared" si="30"/>
        <v>0</v>
      </c>
      <c r="AG30" s="1310">
        <f t="shared" si="31"/>
        <v>0</v>
      </c>
      <c r="AH30" s="1701">
        <f t="shared" si="32"/>
        <v>0</v>
      </c>
      <c r="AI30" s="1712">
        <v>5</v>
      </c>
      <c r="AJ30" s="1712"/>
      <c r="AK30" s="1712">
        <v>3</v>
      </c>
      <c r="AL30" s="1712"/>
      <c r="AM30" s="1712">
        <v>3</v>
      </c>
      <c r="AN30" s="1712">
        <v>19</v>
      </c>
      <c r="AO30" s="1712"/>
      <c r="AP30" s="1712"/>
      <c r="AQ30" s="1712"/>
      <c r="AR30" s="1712"/>
      <c r="AS30" s="1712"/>
      <c r="AT30" s="1712"/>
      <c r="AU30" s="1712"/>
      <c r="AV30" s="1712"/>
      <c r="AW30" s="1712"/>
      <c r="AX30" s="1712"/>
      <c r="AY30" s="1712"/>
      <c r="AZ30" s="1712"/>
      <c r="BA30" s="1712"/>
      <c r="BB30" s="1712">
        <v>17</v>
      </c>
      <c r="BC30" s="1712"/>
      <c r="BD30" s="1712"/>
      <c r="BE30" s="1712"/>
      <c r="BF30" s="1712"/>
      <c r="BG30" s="1712"/>
      <c r="BH30" s="1712"/>
      <c r="BI30" s="1712"/>
      <c r="BJ30" s="1712"/>
      <c r="BK30" s="1712"/>
      <c r="BL30" s="1712"/>
      <c r="BM30" s="1712"/>
      <c r="BN30" s="1712"/>
      <c r="BO30" s="1713"/>
      <c r="BP30" s="1317"/>
      <c r="BQ30" s="1317"/>
      <c r="BR30" s="1317"/>
      <c r="BS30" s="1317"/>
      <c r="BT30" s="1317"/>
      <c r="BU30" s="1317"/>
      <c r="BV30" s="1317"/>
      <c r="BW30" s="1317"/>
      <c r="BX30" s="1317">
        <v>3</v>
      </c>
      <c r="BY30" s="1317"/>
      <c r="BZ30" s="1317"/>
      <c r="CA30" s="1317"/>
      <c r="CB30" s="1317"/>
      <c r="CC30" s="1714"/>
      <c r="CD30" s="1718"/>
      <c r="CE30" s="1713"/>
      <c r="CF30" s="1317"/>
      <c r="CG30" s="1317"/>
      <c r="CH30" s="1317"/>
      <c r="CI30" s="1317"/>
      <c r="CJ30" s="1714"/>
      <c r="CK30" s="1713"/>
      <c r="CL30" s="1317">
        <v>3</v>
      </c>
      <c r="CM30" s="1317"/>
      <c r="CN30" s="1317"/>
      <c r="CO30" s="1317"/>
      <c r="CP30" s="1317"/>
      <c r="CQ30" s="1317"/>
      <c r="CR30" s="1317"/>
      <c r="CS30" s="1317"/>
      <c r="CT30" s="1714"/>
      <c r="CU30" s="262">
        <f t="shared" si="35"/>
        <v>50</v>
      </c>
      <c r="CV30" s="262">
        <f t="shared" si="36"/>
        <v>50</v>
      </c>
    </row>
    <row r="31" spans="1:101" hidden="1">
      <c r="A31" s="1309">
        <v>43952</v>
      </c>
      <c r="B31" s="1310">
        <f t="shared" si="2"/>
        <v>0</v>
      </c>
      <c r="C31" s="1310">
        <f t="shared" si="3"/>
        <v>0</v>
      </c>
      <c r="D31" s="1310">
        <f t="shared" si="4"/>
        <v>30</v>
      </c>
      <c r="E31" s="1310">
        <f t="shared" si="5"/>
        <v>30</v>
      </c>
      <c r="F31" s="1310">
        <f t="shared" si="6"/>
        <v>0</v>
      </c>
      <c r="G31" s="1310">
        <f t="shared" si="7"/>
        <v>0</v>
      </c>
      <c r="H31" s="1310">
        <f t="shared" si="8"/>
        <v>0</v>
      </c>
      <c r="I31" s="1310">
        <f t="shared" si="9"/>
        <v>0</v>
      </c>
      <c r="J31" s="1310">
        <f t="shared" si="10"/>
        <v>0</v>
      </c>
      <c r="K31" s="1310">
        <f t="shared" si="11"/>
        <v>7</v>
      </c>
      <c r="L31" s="1310">
        <f t="shared" si="12"/>
        <v>0</v>
      </c>
      <c r="M31" s="1310">
        <f t="shared" si="13"/>
        <v>0</v>
      </c>
      <c r="N31" s="1310">
        <f t="shared" si="14"/>
        <v>0</v>
      </c>
      <c r="O31" s="1310">
        <f t="shared" si="15"/>
        <v>0</v>
      </c>
      <c r="P31" s="1310"/>
      <c r="Q31" s="1310">
        <f t="shared" si="16"/>
        <v>0</v>
      </c>
      <c r="R31" s="1310"/>
      <c r="S31" s="1310">
        <f t="shared" si="17"/>
        <v>0</v>
      </c>
      <c r="T31" s="1310">
        <f t="shared" si="18"/>
        <v>16</v>
      </c>
      <c r="U31" s="1310">
        <f t="shared" si="19"/>
        <v>0</v>
      </c>
      <c r="V31" s="1310">
        <f t="shared" si="20"/>
        <v>0</v>
      </c>
      <c r="W31" s="1310">
        <f t="shared" si="21"/>
        <v>0</v>
      </c>
      <c r="X31" s="1310">
        <f t="shared" si="22"/>
        <v>180</v>
      </c>
      <c r="Y31" s="1310">
        <f t="shared" si="23"/>
        <v>0</v>
      </c>
      <c r="Z31" s="1310">
        <f t="shared" si="24"/>
        <v>0</v>
      </c>
      <c r="AA31" s="1310">
        <f t="shared" si="25"/>
        <v>0</v>
      </c>
      <c r="AB31" s="1310">
        <f t="shared" si="26"/>
        <v>0</v>
      </c>
      <c r="AC31" s="1310">
        <f t="shared" si="27"/>
        <v>0</v>
      </c>
      <c r="AD31" s="1310">
        <f t="shared" si="28"/>
        <v>0</v>
      </c>
      <c r="AE31" s="1310">
        <f t="shared" si="29"/>
        <v>0</v>
      </c>
      <c r="AF31" s="1310">
        <f t="shared" si="30"/>
        <v>40</v>
      </c>
      <c r="AG31" s="1310">
        <f t="shared" si="31"/>
        <v>0</v>
      </c>
      <c r="AH31" s="1701">
        <f t="shared" si="32"/>
        <v>0</v>
      </c>
      <c r="AI31" s="1712"/>
      <c r="AJ31" s="1712"/>
      <c r="AK31" s="1712">
        <v>30</v>
      </c>
      <c r="AL31" s="1712">
        <v>30</v>
      </c>
      <c r="AM31" s="1712"/>
      <c r="AN31" s="1712"/>
      <c r="AO31" s="1712"/>
      <c r="AP31" s="1712"/>
      <c r="AQ31" s="1712"/>
      <c r="AR31" s="1712"/>
      <c r="AS31" s="1712"/>
      <c r="AT31" s="1712"/>
      <c r="AU31" s="1712"/>
      <c r="AV31" s="1712"/>
      <c r="AW31" s="1712"/>
      <c r="AX31" s="1712"/>
      <c r="AY31" s="1712"/>
      <c r="AZ31" s="1712">
        <v>16</v>
      </c>
      <c r="BA31" s="1712"/>
      <c r="BB31" s="1712"/>
      <c r="BC31" s="1712"/>
      <c r="BD31" s="1712"/>
      <c r="BE31" s="1712"/>
      <c r="BF31" s="1712"/>
      <c r="BG31" s="1712"/>
      <c r="BH31" s="1712"/>
      <c r="BI31" s="1712"/>
      <c r="BJ31" s="1712"/>
      <c r="BK31" s="1712"/>
      <c r="BL31" s="1712">
        <v>40</v>
      </c>
      <c r="BM31" s="1712"/>
      <c r="BN31" s="1712"/>
      <c r="BO31" s="1713"/>
      <c r="BP31" s="1317"/>
      <c r="BQ31" s="1317"/>
      <c r="BR31" s="1317"/>
      <c r="BS31" s="1317"/>
      <c r="BT31" s="1317"/>
      <c r="BU31" s="1317"/>
      <c r="BV31" s="1317"/>
      <c r="BW31" s="1317"/>
      <c r="BX31" s="1317">
        <v>7</v>
      </c>
      <c r="BY31" s="1317"/>
      <c r="BZ31" s="1317"/>
      <c r="CA31" s="1317"/>
      <c r="CB31" s="1317"/>
      <c r="CC31" s="1714"/>
      <c r="CD31" s="1718"/>
      <c r="CE31" s="1713"/>
      <c r="CF31" s="1317"/>
      <c r="CG31" s="1317"/>
      <c r="CH31" s="1317"/>
      <c r="CI31" s="1317"/>
      <c r="CJ31" s="1714">
        <v>180</v>
      </c>
      <c r="CK31" s="1713"/>
      <c r="CL31" s="1317"/>
      <c r="CM31" s="1317"/>
      <c r="CN31" s="1317"/>
      <c r="CO31" s="1317"/>
      <c r="CP31" s="1317"/>
      <c r="CQ31" s="1317"/>
      <c r="CR31" s="1317"/>
      <c r="CS31" s="1317"/>
      <c r="CT31" s="1714"/>
      <c r="CU31" s="262">
        <f t="shared" si="35"/>
        <v>83</v>
      </c>
      <c r="CV31" s="262">
        <f t="shared" si="36"/>
        <v>263</v>
      </c>
    </row>
    <row r="32" spans="1:101" hidden="1">
      <c r="A32" s="1309">
        <v>43983</v>
      </c>
      <c r="B32" s="1310">
        <f t="shared" si="2"/>
        <v>0</v>
      </c>
      <c r="C32" s="1310">
        <f t="shared" si="3"/>
        <v>0</v>
      </c>
      <c r="D32" s="1310">
        <f t="shared" si="4"/>
        <v>0</v>
      </c>
      <c r="E32" s="1310">
        <f t="shared" si="5"/>
        <v>7</v>
      </c>
      <c r="F32" s="1310">
        <f t="shared" si="6"/>
        <v>0</v>
      </c>
      <c r="G32" s="1310">
        <f t="shared" si="7"/>
        <v>0</v>
      </c>
      <c r="H32" s="1310">
        <f t="shared" si="8"/>
        <v>0</v>
      </c>
      <c r="I32" s="1310">
        <f t="shared" si="9"/>
        <v>0</v>
      </c>
      <c r="J32" s="1310">
        <f t="shared" si="10"/>
        <v>0</v>
      </c>
      <c r="K32" s="1310">
        <f t="shared" si="11"/>
        <v>0</v>
      </c>
      <c r="L32" s="1310">
        <f t="shared" si="12"/>
        <v>0</v>
      </c>
      <c r="M32" s="1310">
        <f t="shared" si="13"/>
        <v>0</v>
      </c>
      <c r="N32" s="1310">
        <f t="shared" si="14"/>
        <v>0</v>
      </c>
      <c r="O32" s="1310">
        <f t="shared" si="15"/>
        <v>0</v>
      </c>
      <c r="P32" s="1310"/>
      <c r="Q32" s="1310">
        <f t="shared" si="16"/>
        <v>0</v>
      </c>
      <c r="R32" s="1310"/>
      <c r="S32" s="1310">
        <f t="shared" si="17"/>
        <v>0</v>
      </c>
      <c r="T32" s="1310">
        <f t="shared" si="18"/>
        <v>0</v>
      </c>
      <c r="U32" s="1310">
        <f t="shared" si="19"/>
        <v>0</v>
      </c>
      <c r="V32" s="1310">
        <f t="shared" si="20"/>
        <v>0</v>
      </c>
      <c r="W32" s="1310">
        <f t="shared" si="21"/>
        <v>0</v>
      </c>
      <c r="X32" s="1310">
        <f t="shared" si="22"/>
        <v>23</v>
      </c>
      <c r="Y32" s="1310">
        <f t="shared" si="23"/>
        <v>0</v>
      </c>
      <c r="Z32" s="1310">
        <f t="shared" si="24"/>
        <v>2</v>
      </c>
      <c r="AA32" s="1310">
        <f t="shared" si="25"/>
        <v>0</v>
      </c>
      <c r="AB32" s="1310">
        <f t="shared" si="26"/>
        <v>0</v>
      </c>
      <c r="AC32" s="1310">
        <f t="shared" si="27"/>
        <v>2</v>
      </c>
      <c r="AD32" s="1310">
        <f t="shared" si="28"/>
        <v>14</v>
      </c>
      <c r="AE32" s="1310">
        <f t="shared" si="29"/>
        <v>0</v>
      </c>
      <c r="AF32" s="1310">
        <f t="shared" si="30"/>
        <v>32</v>
      </c>
      <c r="AG32" s="1310">
        <f t="shared" si="31"/>
        <v>0</v>
      </c>
      <c r="AH32" s="1701">
        <f t="shared" si="32"/>
        <v>0</v>
      </c>
      <c r="AI32" s="1712"/>
      <c r="AJ32" s="1712"/>
      <c r="AK32" s="1712"/>
      <c r="AL32" s="1712">
        <v>7</v>
      </c>
      <c r="AM32" s="1712"/>
      <c r="AN32" s="1712"/>
      <c r="AO32" s="1712"/>
      <c r="AP32" s="1712"/>
      <c r="AQ32" s="1712"/>
      <c r="AR32" s="1712"/>
      <c r="AS32" s="1712"/>
      <c r="AT32" s="1712"/>
      <c r="AU32" s="1712"/>
      <c r="AV32" s="1712"/>
      <c r="AW32" s="1712"/>
      <c r="AX32" s="1712"/>
      <c r="AY32" s="1712"/>
      <c r="AZ32" s="1712"/>
      <c r="BA32" s="1712"/>
      <c r="BB32" s="1712"/>
      <c r="BC32" s="1712"/>
      <c r="BD32" s="1712"/>
      <c r="BE32" s="1712"/>
      <c r="BF32" s="1712">
        <v>2</v>
      </c>
      <c r="BG32" s="1712"/>
      <c r="BH32" s="1712"/>
      <c r="BI32" s="1712"/>
      <c r="BJ32" s="1712">
        <v>7</v>
      </c>
      <c r="BK32" s="1712"/>
      <c r="BL32" s="1712">
        <v>32</v>
      </c>
      <c r="BM32" s="1712"/>
      <c r="BN32" s="1712"/>
      <c r="BO32" s="1713"/>
      <c r="BP32" s="1317"/>
      <c r="BQ32" s="1317"/>
      <c r="BR32" s="1317"/>
      <c r="BS32" s="1317"/>
      <c r="BT32" s="1317"/>
      <c r="BU32" s="1317"/>
      <c r="BV32" s="1317"/>
      <c r="BW32" s="1317"/>
      <c r="BX32" s="1317"/>
      <c r="BY32" s="1317"/>
      <c r="BZ32" s="1317"/>
      <c r="CA32" s="1317"/>
      <c r="CB32" s="1317"/>
      <c r="CC32" s="1714"/>
      <c r="CD32" s="1718"/>
      <c r="CE32" s="1713"/>
      <c r="CF32" s="1317"/>
      <c r="CG32" s="1317"/>
      <c r="CH32" s="1317"/>
      <c r="CI32" s="1317"/>
      <c r="CJ32" s="1714">
        <v>23</v>
      </c>
      <c r="CK32" s="1713"/>
      <c r="CL32" s="1317"/>
      <c r="CM32" s="1317"/>
      <c r="CN32" s="1317"/>
      <c r="CO32" s="1317">
        <v>2</v>
      </c>
      <c r="CP32" s="1317">
        <v>7</v>
      </c>
      <c r="CQ32" s="1317"/>
      <c r="CR32" s="1317"/>
      <c r="CS32" s="1317"/>
      <c r="CT32" s="1714"/>
      <c r="CU32" s="262">
        <f t="shared" si="35"/>
        <v>7</v>
      </c>
      <c r="CV32" s="262">
        <f t="shared" si="36"/>
        <v>30</v>
      </c>
    </row>
    <row r="33" spans="1:100" hidden="1">
      <c r="A33" s="1309">
        <v>44013</v>
      </c>
      <c r="B33" s="1310">
        <f t="shared" si="2"/>
        <v>0</v>
      </c>
      <c r="C33" s="1310">
        <f t="shared" si="3"/>
        <v>4</v>
      </c>
      <c r="D33" s="1310">
        <f t="shared" si="4"/>
        <v>0</v>
      </c>
      <c r="E33" s="1310">
        <f t="shared" si="5"/>
        <v>9</v>
      </c>
      <c r="F33" s="1310">
        <f t="shared" si="6"/>
        <v>15</v>
      </c>
      <c r="G33" s="1310">
        <f t="shared" si="7"/>
        <v>0</v>
      </c>
      <c r="H33" s="1310">
        <f t="shared" si="8"/>
        <v>0</v>
      </c>
      <c r="I33" s="1310">
        <f t="shared" si="9"/>
        <v>5</v>
      </c>
      <c r="J33" s="1310">
        <f t="shared" si="10"/>
        <v>0</v>
      </c>
      <c r="K33" s="1310">
        <f t="shared" si="11"/>
        <v>0</v>
      </c>
      <c r="L33" s="1310">
        <f t="shared" si="12"/>
        <v>0</v>
      </c>
      <c r="M33" s="1310">
        <f t="shared" si="13"/>
        <v>0</v>
      </c>
      <c r="N33" s="1310">
        <f t="shared" si="14"/>
        <v>0</v>
      </c>
      <c r="O33" s="1310">
        <f t="shared" si="15"/>
        <v>0</v>
      </c>
      <c r="P33" s="1310"/>
      <c r="Q33" s="1310">
        <f t="shared" si="16"/>
        <v>0</v>
      </c>
      <c r="R33" s="1310"/>
      <c r="S33" s="1310">
        <f t="shared" si="17"/>
        <v>0</v>
      </c>
      <c r="T33" s="1310">
        <f t="shared" si="18"/>
        <v>7</v>
      </c>
      <c r="U33" s="1310">
        <f t="shared" si="19"/>
        <v>0</v>
      </c>
      <c r="V33" s="1310">
        <f t="shared" si="20"/>
        <v>0</v>
      </c>
      <c r="W33" s="1310">
        <f t="shared" si="21"/>
        <v>17</v>
      </c>
      <c r="X33" s="1310">
        <f t="shared" si="22"/>
        <v>145</v>
      </c>
      <c r="Y33" s="1310">
        <f t="shared" si="23"/>
        <v>0</v>
      </c>
      <c r="Z33" s="1310">
        <f t="shared" si="24"/>
        <v>7</v>
      </c>
      <c r="AA33" s="1310">
        <f t="shared" si="25"/>
        <v>0</v>
      </c>
      <c r="AB33" s="1310">
        <f t="shared" si="26"/>
        <v>0</v>
      </c>
      <c r="AC33" s="1310">
        <f t="shared" si="27"/>
        <v>0</v>
      </c>
      <c r="AD33" s="1310">
        <f t="shared" si="28"/>
        <v>0</v>
      </c>
      <c r="AE33" s="1310">
        <f t="shared" si="29"/>
        <v>0</v>
      </c>
      <c r="AF33" s="1310">
        <f t="shared" si="30"/>
        <v>0</v>
      </c>
      <c r="AG33" s="1310">
        <f t="shared" si="31"/>
        <v>0</v>
      </c>
      <c r="AH33" s="1701">
        <f t="shared" si="32"/>
        <v>0</v>
      </c>
      <c r="AI33" s="1712"/>
      <c r="AJ33" s="1712">
        <v>4</v>
      </c>
      <c r="AK33" s="1712"/>
      <c r="AL33" s="1712">
        <v>9</v>
      </c>
      <c r="AM33" s="1712"/>
      <c r="AN33" s="1712"/>
      <c r="AO33" s="1712"/>
      <c r="AP33" s="1712">
        <v>5</v>
      </c>
      <c r="AQ33" s="1712"/>
      <c r="AR33" s="1712"/>
      <c r="AS33" s="1712"/>
      <c r="AT33" s="1712"/>
      <c r="AU33" s="1712"/>
      <c r="AV33" s="1712"/>
      <c r="AW33" s="1712"/>
      <c r="AX33" s="1712"/>
      <c r="AY33" s="1712"/>
      <c r="AZ33" s="1712">
        <v>7</v>
      </c>
      <c r="BA33" s="1712"/>
      <c r="BB33" s="1712"/>
      <c r="BC33" s="1712">
        <v>17</v>
      </c>
      <c r="BD33" s="1712"/>
      <c r="BE33" s="1712"/>
      <c r="BF33" s="1712">
        <v>7</v>
      </c>
      <c r="BG33" s="1712"/>
      <c r="BH33" s="1712"/>
      <c r="BI33" s="1712"/>
      <c r="BJ33" s="1712"/>
      <c r="BK33" s="1712"/>
      <c r="BL33" s="1712"/>
      <c r="BM33" s="1712"/>
      <c r="BN33" s="1712"/>
      <c r="BO33" s="1713"/>
      <c r="BP33" s="1317"/>
      <c r="BQ33" s="1317"/>
      <c r="BR33" s="1317"/>
      <c r="BS33" s="1317">
        <v>15</v>
      </c>
      <c r="BT33" s="1317"/>
      <c r="BU33" s="1317"/>
      <c r="BV33" s="1317"/>
      <c r="BW33" s="1317"/>
      <c r="BX33" s="1317"/>
      <c r="BY33" s="1317"/>
      <c r="BZ33" s="1317"/>
      <c r="CA33" s="1317"/>
      <c r="CB33" s="1317"/>
      <c r="CC33" s="1714"/>
      <c r="CD33" s="1718"/>
      <c r="CE33" s="1713"/>
      <c r="CF33" s="1317"/>
      <c r="CG33" s="1317"/>
      <c r="CH33" s="1317"/>
      <c r="CI33" s="1317"/>
      <c r="CJ33" s="1714">
        <v>145</v>
      </c>
      <c r="CK33" s="1713"/>
      <c r="CL33" s="1317"/>
      <c r="CM33" s="1317"/>
      <c r="CN33" s="1317"/>
      <c r="CO33" s="1317"/>
      <c r="CP33" s="1317"/>
      <c r="CQ33" s="1317"/>
      <c r="CR33" s="1317"/>
      <c r="CS33" s="1317"/>
      <c r="CT33" s="1714"/>
      <c r="CU33" s="262">
        <f t="shared" si="35"/>
        <v>57</v>
      </c>
      <c r="CV33" s="262">
        <f t="shared" si="36"/>
        <v>202</v>
      </c>
    </row>
    <row r="34" spans="1:100" hidden="1">
      <c r="A34" s="1309">
        <v>44044</v>
      </c>
      <c r="B34" s="1310">
        <f t="shared" si="2"/>
        <v>3</v>
      </c>
      <c r="C34" s="1310">
        <f t="shared" si="3"/>
        <v>0</v>
      </c>
      <c r="D34" s="1310">
        <f t="shared" si="4"/>
        <v>2</v>
      </c>
      <c r="E34" s="1310">
        <f t="shared" si="5"/>
        <v>6</v>
      </c>
      <c r="F34" s="1310">
        <f t="shared" si="6"/>
        <v>0</v>
      </c>
      <c r="G34" s="1310">
        <f t="shared" si="7"/>
        <v>0</v>
      </c>
      <c r="H34" s="1310">
        <f t="shared" si="8"/>
        <v>0</v>
      </c>
      <c r="I34" s="1310">
        <f t="shared" si="9"/>
        <v>4</v>
      </c>
      <c r="J34" s="1310">
        <f t="shared" si="10"/>
        <v>2</v>
      </c>
      <c r="K34" s="1310">
        <f t="shared" si="11"/>
        <v>0</v>
      </c>
      <c r="L34" s="1310">
        <f t="shared" si="12"/>
        <v>0</v>
      </c>
      <c r="M34" s="1310">
        <f t="shared" si="13"/>
        <v>0</v>
      </c>
      <c r="N34" s="1310">
        <f t="shared" si="14"/>
        <v>0</v>
      </c>
      <c r="O34" s="1310">
        <f t="shared" si="15"/>
        <v>0</v>
      </c>
      <c r="P34" s="1310"/>
      <c r="Q34" s="1310">
        <f t="shared" si="16"/>
        <v>75</v>
      </c>
      <c r="R34" s="1310"/>
      <c r="S34" s="1310">
        <f t="shared" si="17"/>
        <v>0</v>
      </c>
      <c r="T34" s="1310">
        <f t="shared" si="18"/>
        <v>0</v>
      </c>
      <c r="U34" s="1310">
        <f t="shared" si="19"/>
        <v>0</v>
      </c>
      <c r="V34" s="1310">
        <f t="shared" si="20"/>
        <v>0</v>
      </c>
      <c r="W34" s="1310">
        <f t="shared" si="21"/>
        <v>0</v>
      </c>
      <c r="X34" s="1310">
        <f t="shared" si="22"/>
        <v>377</v>
      </c>
      <c r="Y34" s="1310">
        <f t="shared" si="23"/>
        <v>7</v>
      </c>
      <c r="Z34" s="1310">
        <f t="shared" si="24"/>
        <v>0</v>
      </c>
      <c r="AA34" s="1310">
        <f t="shared" si="25"/>
        <v>10</v>
      </c>
      <c r="AB34" s="1310">
        <f t="shared" si="26"/>
        <v>0</v>
      </c>
      <c r="AC34" s="1310">
        <f t="shared" si="27"/>
        <v>0</v>
      </c>
      <c r="AD34" s="1310">
        <f t="shared" si="28"/>
        <v>4</v>
      </c>
      <c r="AE34" s="1310">
        <f t="shared" si="29"/>
        <v>0</v>
      </c>
      <c r="AF34" s="1310">
        <f t="shared" si="30"/>
        <v>0</v>
      </c>
      <c r="AG34" s="1310">
        <f t="shared" si="31"/>
        <v>0</v>
      </c>
      <c r="AH34" s="1701">
        <f t="shared" si="32"/>
        <v>0</v>
      </c>
      <c r="AI34" s="1712">
        <v>3</v>
      </c>
      <c r="AJ34" s="1712"/>
      <c r="AK34" s="1712">
        <v>2</v>
      </c>
      <c r="AL34" s="1712">
        <v>3</v>
      </c>
      <c r="AM34" s="1712"/>
      <c r="AN34" s="1712"/>
      <c r="AO34" s="1712"/>
      <c r="AP34" s="1712">
        <v>4</v>
      </c>
      <c r="AQ34" s="1712">
        <v>2</v>
      </c>
      <c r="AR34" s="1712"/>
      <c r="AS34" s="1712"/>
      <c r="AT34" s="1712"/>
      <c r="AU34" s="1712"/>
      <c r="AV34" s="1712"/>
      <c r="AW34" s="1712">
        <v>75</v>
      </c>
      <c r="AX34" s="1712"/>
      <c r="AY34" s="1712"/>
      <c r="AZ34" s="1712"/>
      <c r="BA34" s="1712"/>
      <c r="BB34" s="1712"/>
      <c r="BC34" s="1712"/>
      <c r="BD34" s="1712">
        <v>330</v>
      </c>
      <c r="BE34" s="1712"/>
      <c r="BF34" s="1712"/>
      <c r="BG34" s="1712">
        <v>10</v>
      </c>
      <c r="BH34" s="1712"/>
      <c r="BI34" s="1712"/>
      <c r="BJ34" s="1712"/>
      <c r="BK34" s="1712"/>
      <c r="BL34" s="1712"/>
      <c r="BM34" s="1712"/>
      <c r="BN34" s="1712"/>
      <c r="BO34" s="1713"/>
      <c r="BP34" s="1317"/>
      <c r="BQ34" s="1317"/>
      <c r="BR34" s="1317">
        <v>3</v>
      </c>
      <c r="BS34" s="1317"/>
      <c r="BT34" s="1317"/>
      <c r="BU34" s="1317"/>
      <c r="BV34" s="1317"/>
      <c r="BW34" s="1317"/>
      <c r="BX34" s="1317"/>
      <c r="BY34" s="1317"/>
      <c r="BZ34" s="1317"/>
      <c r="CA34" s="1317"/>
      <c r="CB34" s="1317"/>
      <c r="CC34" s="1714"/>
      <c r="CD34" s="1718"/>
      <c r="CE34" s="1713"/>
      <c r="CF34" s="1317"/>
      <c r="CG34" s="1317"/>
      <c r="CH34" s="1317"/>
      <c r="CI34" s="1317"/>
      <c r="CJ34" s="1714">
        <v>47</v>
      </c>
      <c r="CK34" s="1713">
        <v>7</v>
      </c>
      <c r="CL34" s="1317"/>
      <c r="CM34" s="1317"/>
      <c r="CN34" s="1317"/>
      <c r="CO34" s="1317"/>
      <c r="CP34" s="1317">
        <v>4</v>
      </c>
      <c r="CQ34" s="1317"/>
      <c r="CR34" s="1317"/>
      <c r="CS34" s="1317"/>
      <c r="CT34" s="1714"/>
      <c r="CU34" s="262">
        <f t="shared" si="35"/>
        <v>92</v>
      </c>
      <c r="CV34" s="262">
        <f t="shared" si="36"/>
        <v>469</v>
      </c>
    </row>
    <row r="35" spans="1:100" hidden="1">
      <c r="A35" s="1309">
        <v>44075</v>
      </c>
      <c r="B35" s="1310">
        <f t="shared" si="2"/>
        <v>3</v>
      </c>
      <c r="C35" s="1310">
        <f t="shared" si="3"/>
        <v>0</v>
      </c>
      <c r="D35" s="1310">
        <f t="shared" si="4"/>
        <v>0</v>
      </c>
      <c r="E35" s="1310">
        <f t="shared" si="5"/>
        <v>4</v>
      </c>
      <c r="F35" s="1310">
        <f t="shared" si="6"/>
        <v>0</v>
      </c>
      <c r="G35" s="1310">
        <f t="shared" si="7"/>
        <v>2</v>
      </c>
      <c r="H35" s="1310">
        <f t="shared" si="8"/>
        <v>0</v>
      </c>
      <c r="I35" s="1310">
        <f t="shared" si="9"/>
        <v>0</v>
      </c>
      <c r="J35" s="1310">
        <f t="shared" si="10"/>
        <v>2</v>
      </c>
      <c r="K35" s="1310">
        <f t="shared" si="11"/>
        <v>0</v>
      </c>
      <c r="L35" s="1310">
        <f t="shared" si="12"/>
        <v>0</v>
      </c>
      <c r="M35" s="1310">
        <f t="shared" si="13"/>
        <v>0</v>
      </c>
      <c r="N35" s="1310">
        <f t="shared" si="14"/>
        <v>0</v>
      </c>
      <c r="O35" s="1310">
        <f t="shared" si="15"/>
        <v>0</v>
      </c>
      <c r="P35" s="1310"/>
      <c r="Q35" s="1310">
        <f t="shared" si="16"/>
        <v>2</v>
      </c>
      <c r="R35" s="1310"/>
      <c r="S35" s="1310">
        <f t="shared" si="17"/>
        <v>0</v>
      </c>
      <c r="T35" s="1310">
        <f t="shared" si="18"/>
        <v>0</v>
      </c>
      <c r="U35" s="1310">
        <f t="shared" si="19"/>
        <v>0</v>
      </c>
      <c r="V35" s="1310">
        <f t="shared" si="20"/>
        <v>0</v>
      </c>
      <c r="W35" s="1310">
        <f t="shared" si="21"/>
        <v>36</v>
      </c>
      <c r="X35" s="1310">
        <f t="shared" si="22"/>
        <v>164</v>
      </c>
      <c r="Y35" s="1310">
        <f t="shared" si="23"/>
        <v>0</v>
      </c>
      <c r="Z35" s="1310">
        <f t="shared" si="24"/>
        <v>90</v>
      </c>
      <c r="AA35" s="1310">
        <f t="shared" si="25"/>
        <v>0</v>
      </c>
      <c r="AB35" s="1310">
        <f t="shared" si="26"/>
        <v>52</v>
      </c>
      <c r="AC35" s="1310">
        <f t="shared" si="27"/>
        <v>0</v>
      </c>
      <c r="AD35" s="1310">
        <f t="shared" si="28"/>
        <v>7</v>
      </c>
      <c r="AE35" s="1310">
        <f t="shared" si="29"/>
        <v>0</v>
      </c>
      <c r="AF35" s="1310">
        <f t="shared" si="30"/>
        <v>0</v>
      </c>
      <c r="AG35" s="1310">
        <f t="shared" si="31"/>
        <v>0</v>
      </c>
      <c r="AH35" s="1701">
        <f t="shared" si="32"/>
        <v>0</v>
      </c>
      <c r="AI35" s="1712">
        <v>3</v>
      </c>
      <c r="AJ35" s="1712"/>
      <c r="AK35" s="1712"/>
      <c r="AL35" s="1712">
        <v>2</v>
      </c>
      <c r="AM35" s="1712"/>
      <c r="AN35" s="1712">
        <v>2</v>
      </c>
      <c r="AO35" s="1712"/>
      <c r="AP35" s="1712"/>
      <c r="AQ35" s="1712">
        <v>2</v>
      </c>
      <c r="AR35" s="1712"/>
      <c r="AS35" s="1712"/>
      <c r="AT35" s="1712"/>
      <c r="AU35" s="1712"/>
      <c r="AV35" s="1712"/>
      <c r="AW35" s="1712">
        <v>2</v>
      </c>
      <c r="AX35" s="1712"/>
      <c r="AY35" s="1712"/>
      <c r="AZ35" s="1712"/>
      <c r="BA35" s="1712"/>
      <c r="BB35" s="1712"/>
      <c r="BC35" s="1712"/>
      <c r="BD35" s="1712">
        <v>15</v>
      </c>
      <c r="BE35" s="1712"/>
      <c r="BF35" s="1712">
        <v>90</v>
      </c>
      <c r="BG35" s="1712"/>
      <c r="BH35" s="1712">
        <v>12</v>
      </c>
      <c r="BI35" s="1712"/>
      <c r="BJ35" s="1712"/>
      <c r="BK35" s="1712"/>
      <c r="BL35" s="1712"/>
      <c r="BM35" s="1712"/>
      <c r="BN35" s="1712"/>
      <c r="BO35" s="1713"/>
      <c r="BP35" s="1317"/>
      <c r="BQ35" s="1317"/>
      <c r="BR35" s="1317">
        <v>2</v>
      </c>
      <c r="BS35" s="1317"/>
      <c r="BT35" s="1317"/>
      <c r="BU35" s="1317"/>
      <c r="BV35" s="1317"/>
      <c r="BW35" s="1317"/>
      <c r="BX35" s="1317"/>
      <c r="BY35" s="1317"/>
      <c r="BZ35" s="1317"/>
      <c r="CA35" s="1317"/>
      <c r="CB35" s="1317"/>
      <c r="CC35" s="1714"/>
      <c r="CD35" s="1718"/>
      <c r="CE35" s="1713"/>
      <c r="CF35" s="1317"/>
      <c r="CG35" s="1317"/>
      <c r="CH35" s="1317"/>
      <c r="CI35" s="1317">
        <v>36</v>
      </c>
      <c r="CJ35" s="1714">
        <v>149</v>
      </c>
      <c r="CK35" s="1713"/>
      <c r="CL35" s="1317"/>
      <c r="CM35" s="1317"/>
      <c r="CN35" s="1317">
        <v>40</v>
      </c>
      <c r="CO35" s="1317"/>
      <c r="CP35" s="1317">
        <v>7</v>
      </c>
      <c r="CQ35" s="1317"/>
      <c r="CR35" s="1317"/>
      <c r="CS35" s="1317"/>
      <c r="CT35" s="1714"/>
      <c r="CU35" s="262">
        <f t="shared" si="35"/>
        <v>49</v>
      </c>
      <c r="CV35" s="262">
        <f t="shared" si="36"/>
        <v>213</v>
      </c>
    </row>
    <row r="36" spans="1:100" hidden="1">
      <c r="A36" s="1309">
        <v>44105</v>
      </c>
      <c r="B36" s="1310">
        <f t="shared" si="2"/>
        <v>5</v>
      </c>
      <c r="C36" s="1310">
        <f t="shared" si="3"/>
        <v>0</v>
      </c>
      <c r="D36" s="1310">
        <f t="shared" si="4"/>
        <v>0</v>
      </c>
      <c r="E36" s="1310">
        <f t="shared" si="5"/>
        <v>9</v>
      </c>
      <c r="F36" s="1310">
        <f t="shared" si="6"/>
        <v>0</v>
      </c>
      <c r="G36" s="1310">
        <f t="shared" si="7"/>
        <v>1</v>
      </c>
      <c r="H36" s="1310">
        <f t="shared" si="8"/>
        <v>0</v>
      </c>
      <c r="I36" s="1310">
        <f t="shared" si="9"/>
        <v>0</v>
      </c>
      <c r="J36" s="1310">
        <f t="shared" si="10"/>
        <v>9</v>
      </c>
      <c r="K36" s="1310">
        <f t="shared" si="11"/>
        <v>0</v>
      </c>
      <c r="L36" s="1310">
        <f t="shared" si="12"/>
        <v>0</v>
      </c>
      <c r="M36" s="1310">
        <f t="shared" si="13"/>
        <v>0</v>
      </c>
      <c r="N36" s="1310">
        <f t="shared" si="14"/>
        <v>0</v>
      </c>
      <c r="O36" s="1310">
        <f t="shared" si="15"/>
        <v>0</v>
      </c>
      <c r="P36" s="1310"/>
      <c r="Q36" s="1310">
        <f t="shared" si="16"/>
        <v>0</v>
      </c>
      <c r="R36" s="1310"/>
      <c r="S36" s="1310">
        <f t="shared" si="17"/>
        <v>0</v>
      </c>
      <c r="T36" s="1310">
        <f t="shared" si="18"/>
        <v>0</v>
      </c>
      <c r="U36" s="1310">
        <f t="shared" si="19"/>
        <v>0</v>
      </c>
      <c r="V36" s="1310">
        <f t="shared" si="20"/>
        <v>0</v>
      </c>
      <c r="W36" s="1310">
        <f t="shared" si="21"/>
        <v>19</v>
      </c>
      <c r="X36" s="1310">
        <f t="shared" si="22"/>
        <v>113</v>
      </c>
      <c r="Y36" s="1310">
        <f t="shared" si="23"/>
        <v>0</v>
      </c>
      <c r="Z36" s="1310">
        <f t="shared" si="24"/>
        <v>0</v>
      </c>
      <c r="AA36" s="1310">
        <f t="shared" si="25"/>
        <v>0</v>
      </c>
      <c r="AB36" s="1310">
        <f t="shared" si="26"/>
        <v>0</v>
      </c>
      <c r="AC36" s="1310">
        <f t="shared" si="27"/>
        <v>0</v>
      </c>
      <c r="AD36" s="1310">
        <f t="shared" si="28"/>
        <v>0</v>
      </c>
      <c r="AE36" s="1310">
        <f t="shared" si="29"/>
        <v>0</v>
      </c>
      <c r="AF36" s="1310">
        <f t="shared" si="30"/>
        <v>0</v>
      </c>
      <c r="AG36" s="1310">
        <f t="shared" si="31"/>
        <v>3</v>
      </c>
      <c r="AH36" s="1701">
        <f t="shared" si="32"/>
        <v>0</v>
      </c>
      <c r="AI36" s="1712">
        <v>5</v>
      </c>
      <c r="AJ36" s="1712"/>
      <c r="AK36" s="1712"/>
      <c r="AL36" s="1712">
        <v>9</v>
      </c>
      <c r="AM36" s="1712"/>
      <c r="AN36" s="1712">
        <v>1</v>
      </c>
      <c r="AO36" s="1712"/>
      <c r="AP36" s="1712"/>
      <c r="AQ36" s="1712">
        <v>9</v>
      </c>
      <c r="AR36" s="1712"/>
      <c r="AS36" s="1712"/>
      <c r="AT36" s="1712"/>
      <c r="AU36" s="1712"/>
      <c r="AV36" s="1712"/>
      <c r="AW36" s="1712"/>
      <c r="AX36" s="1712"/>
      <c r="AY36" s="1712"/>
      <c r="AZ36" s="1712"/>
      <c r="BA36" s="1712"/>
      <c r="BB36" s="1712"/>
      <c r="BC36" s="1712">
        <v>19</v>
      </c>
      <c r="BD36" s="1712"/>
      <c r="BE36" s="1712"/>
      <c r="BF36" s="1712"/>
      <c r="BG36" s="1712"/>
      <c r="BH36" s="1712"/>
      <c r="BI36" s="1712"/>
      <c r="BJ36" s="1712"/>
      <c r="BK36" s="1712"/>
      <c r="BL36" s="1712"/>
      <c r="BM36" s="1712">
        <v>3</v>
      </c>
      <c r="BN36" s="1712"/>
      <c r="BO36" s="1713"/>
      <c r="BP36" s="1317"/>
      <c r="BQ36" s="1317"/>
      <c r="BR36" s="1317"/>
      <c r="BS36" s="1317"/>
      <c r="BT36" s="1317"/>
      <c r="BU36" s="1317"/>
      <c r="BV36" s="1317"/>
      <c r="BW36" s="1317"/>
      <c r="BX36" s="1317"/>
      <c r="BY36" s="1317"/>
      <c r="BZ36" s="1317"/>
      <c r="CA36" s="1317"/>
      <c r="CB36" s="1317"/>
      <c r="CC36" s="1714"/>
      <c r="CD36" s="1718"/>
      <c r="CE36" s="1713"/>
      <c r="CF36" s="1317"/>
      <c r="CG36" s="1317"/>
      <c r="CH36" s="1317"/>
      <c r="CI36" s="1317"/>
      <c r="CJ36" s="1714">
        <v>113</v>
      </c>
      <c r="CK36" s="1713"/>
      <c r="CL36" s="1317"/>
      <c r="CM36" s="1317"/>
      <c r="CN36" s="1317"/>
      <c r="CO36" s="1317"/>
      <c r="CP36" s="1317"/>
      <c r="CQ36" s="1317"/>
      <c r="CR36" s="1317"/>
      <c r="CS36" s="1317"/>
      <c r="CT36" s="1714"/>
      <c r="CU36" s="262">
        <f t="shared" si="35"/>
        <v>43</v>
      </c>
      <c r="CV36" s="262">
        <f t="shared" si="36"/>
        <v>156</v>
      </c>
    </row>
    <row r="37" spans="1:100" hidden="1">
      <c r="A37" s="1309">
        <v>44136</v>
      </c>
      <c r="B37" s="1310">
        <f t="shared" si="2"/>
        <v>0</v>
      </c>
      <c r="C37" s="1310">
        <f t="shared" si="3"/>
        <v>0</v>
      </c>
      <c r="D37" s="1310">
        <f t="shared" si="4"/>
        <v>0</v>
      </c>
      <c r="E37" s="1310">
        <f t="shared" si="5"/>
        <v>0</v>
      </c>
      <c r="F37" s="1310">
        <f t="shared" si="6"/>
        <v>0</v>
      </c>
      <c r="G37" s="1310">
        <f t="shared" si="7"/>
        <v>49</v>
      </c>
      <c r="H37" s="1310">
        <f t="shared" si="8"/>
        <v>0</v>
      </c>
      <c r="I37" s="1310">
        <f t="shared" si="9"/>
        <v>11</v>
      </c>
      <c r="J37" s="1310">
        <f t="shared" si="10"/>
        <v>0</v>
      </c>
      <c r="K37" s="1310">
        <f t="shared" si="11"/>
        <v>0</v>
      </c>
      <c r="L37" s="1310">
        <f t="shared" si="12"/>
        <v>0</v>
      </c>
      <c r="M37" s="1310">
        <f t="shared" si="13"/>
        <v>4</v>
      </c>
      <c r="N37" s="1310">
        <f t="shared" si="14"/>
        <v>0</v>
      </c>
      <c r="O37" s="1310">
        <f t="shared" si="15"/>
        <v>0</v>
      </c>
      <c r="P37" s="1310"/>
      <c r="Q37" s="1310">
        <f t="shared" si="16"/>
        <v>0</v>
      </c>
      <c r="R37" s="1310"/>
      <c r="S37" s="1310">
        <f t="shared" si="17"/>
        <v>0</v>
      </c>
      <c r="T37" s="1310">
        <f t="shared" si="18"/>
        <v>0</v>
      </c>
      <c r="U37" s="1310">
        <f t="shared" si="19"/>
        <v>0</v>
      </c>
      <c r="V37" s="1310">
        <f t="shared" si="20"/>
        <v>0</v>
      </c>
      <c r="W37" s="1310">
        <f t="shared" si="21"/>
        <v>43</v>
      </c>
      <c r="X37" s="1310">
        <f t="shared" si="22"/>
        <v>220</v>
      </c>
      <c r="Y37" s="1310">
        <f t="shared" si="23"/>
        <v>0</v>
      </c>
      <c r="Z37" s="1310">
        <f t="shared" si="24"/>
        <v>30</v>
      </c>
      <c r="AA37" s="1310">
        <f t="shared" si="25"/>
        <v>0</v>
      </c>
      <c r="AB37" s="1310">
        <f t="shared" si="26"/>
        <v>0</v>
      </c>
      <c r="AC37" s="1310">
        <f t="shared" si="27"/>
        <v>0</v>
      </c>
      <c r="AD37" s="1310">
        <f t="shared" si="28"/>
        <v>0</v>
      </c>
      <c r="AE37" s="1310">
        <f t="shared" si="29"/>
        <v>0</v>
      </c>
      <c r="AF37" s="1310">
        <f t="shared" si="30"/>
        <v>0</v>
      </c>
      <c r="AG37" s="1310">
        <f t="shared" si="31"/>
        <v>0</v>
      </c>
      <c r="AH37" s="1701">
        <f t="shared" si="32"/>
        <v>0</v>
      </c>
      <c r="AI37" s="1712"/>
      <c r="AJ37" s="1712"/>
      <c r="AK37" s="1712"/>
      <c r="AL37" s="1712"/>
      <c r="AM37" s="1712"/>
      <c r="AN37" s="1712">
        <v>49</v>
      </c>
      <c r="AO37" s="1712"/>
      <c r="AP37" s="1712">
        <v>11</v>
      </c>
      <c r="AQ37" s="1712"/>
      <c r="AR37" s="1712"/>
      <c r="AS37" s="1712"/>
      <c r="AT37" s="1712"/>
      <c r="AU37" s="1712"/>
      <c r="AV37" s="1712"/>
      <c r="AW37" s="1712"/>
      <c r="AX37" s="1712"/>
      <c r="AY37" s="1712"/>
      <c r="AZ37" s="1712"/>
      <c r="BA37" s="1712"/>
      <c r="BB37" s="1712"/>
      <c r="BC37" s="1712"/>
      <c r="BD37" s="1712"/>
      <c r="BE37" s="1712"/>
      <c r="BF37" s="1712">
        <v>30</v>
      </c>
      <c r="BG37" s="1712"/>
      <c r="BH37" s="1712"/>
      <c r="BI37" s="1712"/>
      <c r="BJ37" s="1712"/>
      <c r="BK37" s="1712"/>
      <c r="BL37" s="1712"/>
      <c r="BM37" s="1712"/>
      <c r="BN37" s="1712"/>
      <c r="BO37" s="1713"/>
      <c r="BP37" s="1317"/>
      <c r="BQ37" s="1317"/>
      <c r="BR37" s="1317"/>
      <c r="BS37" s="1317"/>
      <c r="BT37" s="1317"/>
      <c r="BU37" s="1317"/>
      <c r="BV37" s="1317"/>
      <c r="BW37" s="1317"/>
      <c r="BX37" s="1317"/>
      <c r="BY37" s="1317"/>
      <c r="BZ37" s="1317">
        <v>4</v>
      </c>
      <c r="CA37" s="1317"/>
      <c r="CB37" s="1317"/>
      <c r="CC37" s="1714"/>
      <c r="CD37" s="1718"/>
      <c r="CE37" s="1713"/>
      <c r="CF37" s="1317"/>
      <c r="CG37" s="1317"/>
      <c r="CH37" s="1317"/>
      <c r="CI37" s="1317">
        <v>43</v>
      </c>
      <c r="CJ37" s="1714">
        <v>220</v>
      </c>
      <c r="CK37" s="1713"/>
      <c r="CL37" s="1317"/>
      <c r="CM37" s="1317"/>
      <c r="CN37" s="1317"/>
      <c r="CO37" s="1317"/>
      <c r="CP37" s="1317"/>
      <c r="CQ37" s="1317"/>
      <c r="CR37" s="1317"/>
      <c r="CS37" s="1317"/>
      <c r="CT37" s="1714"/>
      <c r="CU37" s="262">
        <f t="shared" si="35"/>
        <v>107</v>
      </c>
      <c r="CV37" s="262">
        <f t="shared" si="36"/>
        <v>327</v>
      </c>
    </row>
    <row r="38" spans="1:100" hidden="1">
      <c r="A38" s="1309">
        <v>44166</v>
      </c>
      <c r="B38" s="1310">
        <f t="shared" si="2"/>
        <v>0</v>
      </c>
      <c r="C38" s="1310">
        <f t="shared" si="3"/>
        <v>30</v>
      </c>
      <c r="D38" s="1310">
        <f t="shared" si="4"/>
        <v>0</v>
      </c>
      <c r="E38" s="1310">
        <f t="shared" si="5"/>
        <v>0</v>
      </c>
      <c r="F38" s="1310">
        <f t="shared" si="6"/>
        <v>0</v>
      </c>
      <c r="G38" s="1310">
        <f t="shared" si="7"/>
        <v>0</v>
      </c>
      <c r="H38" s="1310">
        <f t="shared" si="8"/>
        <v>0</v>
      </c>
      <c r="I38" s="1310">
        <f t="shared" si="9"/>
        <v>0</v>
      </c>
      <c r="J38" s="1310">
        <f t="shared" si="10"/>
        <v>0</v>
      </c>
      <c r="K38" s="1310">
        <f t="shared" si="11"/>
        <v>0</v>
      </c>
      <c r="L38" s="1310">
        <f t="shared" si="12"/>
        <v>0</v>
      </c>
      <c r="M38" s="1310">
        <f t="shared" si="13"/>
        <v>6</v>
      </c>
      <c r="N38" s="1310">
        <f t="shared" si="14"/>
        <v>0</v>
      </c>
      <c r="O38" s="1310">
        <f t="shared" si="15"/>
        <v>0</v>
      </c>
      <c r="P38" s="1310"/>
      <c r="Q38" s="1310">
        <f t="shared" si="16"/>
        <v>0</v>
      </c>
      <c r="R38" s="1310"/>
      <c r="S38" s="1310">
        <f t="shared" si="17"/>
        <v>0</v>
      </c>
      <c r="T38" s="1310">
        <f t="shared" si="18"/>
        <v>4</v>
      </c>
      <c r="U38" s="1310">
        <f t="shared" si="19"/>
        <v>0</v>
      </c>
      <c r="V38" s="1310">
        <f t="shared" si="20"/>
        <v>0</v>
      </c>
      <c r="W38" s="1310">
        <f t="shared" si="21"/>
        <v>0</v>
      </c>
      <c r="X38" s="1310">
        <f t="shared" si="22"/>
        <v>838</v>
      </c>
      <c r="Y38" s="1310">
        <f t="shared" si="23"/>
        <v>0</v>
      </c>
      <c r="Z38" s="1310">
        <f t="shared" si="24"/>
        <v>3</v>
      </c>
      <c r="AA38" s="1310">
        <f t="shared" si="25"/>
        <v>10</v>
      </c>
      <c r="AB38" s="1310">
        <f t="shared" si="26"/>
        <v>0</v>
      </c>
      <c r="AC38" s="1310">
        <f t="shared" si="27"/>
        <v>0</v>
      </c>
      <c r="AD38" s="1310">
        <f t="shared" si="28"/>
        <v>0</v>
      </c>
      <c r="AE38" s="1310">
        <f t="shared" si="29"/>
        <v>0</v>
      </c>
      <c r="AF38" s="1310">
        <f t="shared" si="30"/>
        <v>0</v>
      </c>
      <c r="AG38" s="1310">
        <f t="shared" si="31"/>
        <v>0</v>
      </c>
      <c r="AH38" s="1701">
        <f t="shared" si="32"/>
        <v>116</v>
      </c>
      <c r="AI38" s="1712"/>
      <c r="AJ38" s="1712"/>
      <c r="AK38" s="1712"/>
      <c r="AL38" s="1712"/>
      <c r="AM38" s="1712"/>
      <c r="AN38" s="1712"/>
      <c r="AO38" s="1712"/>
      <c r="AP38" s="1712"/>
      <c r="AQ38" s="1712"/>
      <c r="AR38" s="1712"/>
      <c r="AS38" s="1712"/>
      <c r="AT38" s="1712"/>
      <c r="AU38" s="1712"/>
      <c r="AV38" s="1712"/>
      <c r="AW38" s="1712"/>
      <c r="AX38" s="1712"/>
      <c r="AY38" s="1712"/>
      <c r="AZ38" s="1712">
        <v>4</v>
      </c>
      <c r="BA38" s="1712"/>
      <c r="BB38" s="1712"/>
      <c r="BC38" s="1712"/>
      <c r="BD38" s="1712"/>
      <c r="BE38" s="1712"/>
      <c r="BF38" s="1712"/>
      <c r="BG38" s="1712"/>
      <c r="BH38" s="1712"/>
      <c r="BI38" s="1712"/>
      <c r="BJ38" s="1712"/>
      <c r="BK38" s="1712"/>
      <c r="BL38" s="1712"/>
      <c r="BM38" s="1712"/>
      <c r="BN38" s="1712"/>
      <c r="BO38" s="1713"/>
      <c r="BP38" s="1317">
        <v>30</v>
      </c>
      <c r="BQ38" s="1317"/>
      <c r="BR38" s="1317"/>
      <c r="BS38" s="1317"/>
      <c r="BT38" s="1317"/>
      <c r="BU38" s="1317"/>
      <c r="BV38" s="1317"/>
      <c r="BW38" s="1317"/>
      <c r="BX38" s="1317"/>
      <c r="BY38" s="1317"/>
      <c r="BZ38" s="1317">
        <v>6</v>
      </c>
      <c r="CA38" s="1317"/>
      <c r="CB38" s="1317"/>
      <c r="CC38" s="1714"/>
      <c r="CD38" s="1718"/>
      <c r="CE38" s="1713"/>
      <c r="CF38" s="1317"/>
      <c r="CG38" s="1317"/>
      <c r="CH38" s="1317"/>
      <c r="CI38" s="1317"/>
      <c r="CJ38" s="1714">
        <v>838</v>
      </c>
      <c r="CK38" s="1713"/>
      <c r="CL38" s="1317">
        <v>3</v>
      </c>
      <c r="CM38" s="1317">
        <v>10</v>
      </c>
      <c r="CN38" s="1317"/>
      <c r="CO38" s="1317"/>
      <c r="CP38" s="1317"/>
      <c r="CQ38" s="1317"/>
      <c r="CR38" s="1317"/>
      <c r="CS38" s="1317"/>
      <c r="CT38" s="1714">
        <v>116</v>
      </c>
      <c r="CU38" s="262">
        <f t="shared" si="35"/>
        <v>40</v>
      </c>
      <c r="CV38" s="262">
        <f t="shared" si="36"/>
        <v>878</v>
      </c>
    </row>
    <row r="39" spans="1:100" hidden="1">
      <c r="A39" s="1309">
        <v>44197</v>
      </c>
      <c r="B39" s="1310">
        <f t="shared" si="2"/>
        <v>6000</v>
      </c>
      <c r="C39" s="1310">
        <f t="shared" si="3"/>
        <v>0</v>
      </c>
      <c r="D39" s="1310">
        <f t="shared" si="4"/>
        <v>0</v>
      </c>
      <c r="E39" s="1310">
        <f t="shared" si="5"/>
        <v>0</v>
      </c>
      <c r="F39" s="1310">
        <f t="shared" si="6"/>
        <v>0</v>
      </c>
      <c r="G39" s="1310">
        <f t="shared" si="7"/>
        <v>19</v>
      </c>
      <c r="H39" s="1310">
        <f t="shared" si="8"/>
        <v>0</v>
      </c>
      <c r="I39" s="1310">
        <f t="shared" si="9"/>
        <v>0</v>
      </c>
      <c r="J39" s="1310">
        <f t="shared" si="10"/>
        <v>0</v>
      </c>
      <c r="K39" s="1310">
        <f t="shared" si="11"/>
        <v>0</v>
      </c>
      <c r="L39" s="1310">
        <f t="shared" si="12"/>
        <v>0</v>
      </c>
      <c r="M39" s="1310">
        <f t="shared" si="13"/>
        <v>0</v>
      </c>
      <c r="N39" s="1310">
        <f t="shared" si="14"/>
        <v>0</v>
      </c>
      <c r="O39" s="1310">
        <f t="shared" si="15"/>
        <v>70</v>
      </c>
      <c r="P39" s="1310">
        <f>+AW39+CC39</f>
        <v>12</v>
      </c>
      <c r="Q39" s="1310">
        <f>+AX39+CD39</f>
        <v>0</v>
      </c>
      <c r="R39" s="1310"/>
      <c r="S39" s="1310">
        <f t="shared" si="17"/>
        <v>0</v>
      </c>
      <c r="T39" s="1310">
        <f t="shared" si="18"/>
        <v>0</v>
      </c>
      <c r="U39" s="1310">
        <f t="shared" si="19"/>
        <v>6</v>
      </c>
      <c r="V39" s="1310">
        <f t="shared" si="20"/>
        <v>0</v>
      </c>
      <c r="W39" s="1310">
        <f t="shared" si="21"/>
        <v>49</v>
      </c>
      <c r="X39" s="1310">
        <f t="shared" si="22"/>
        <v>269</v>
      </c>
      <c r="Y39" s="1310">
        <f t="shared" si="23"/>
        <v>0</v>
      </c>
      <c r="Z39" s="1310">
        <f t="shared" si="24"/>
        <v>0</v>
      </c>
      <c r="AA39" s="1310">
        <f t="shared" si="25"/>
        <v>0</v>
      </c>
      <c r="AB39" s="1310">
        <f t="shared" si="26"/>
        <v>0</v>
      </c>
      <c r="AC39" s="1310">
        <f t="shared" si="27"/>
        <v>0</v>
      </c>
      <c r="AD39" s="1310">
        <f t="shared" si="28"/>
        <v>0</v>
      </c>
      <c r="AE39" s="1310">
        <f t="shared" si="29"/>
        <v>0</v>
      </c>
      <c r="AF39" s="1310">
        <f t="shared" si="30"/>
        <v>0</v>
      </c>
      <c r="AG39" s="1310">
        <f t="shared" si="31"/>
        <v>0</v>
      </c>
      <c r="AH39" s="1701">
        <f t="shared" si="32"/>
        <v>0</v>
      </c>
      <c r="AI39" s="1712">
        <v>6000</v>
      </c>
      <c r="AJ39" s="1712"/>
      <c r="AK39" s="1712"/>
      <c r="AL39" s="1712">
        <v>0</v>
      </c>
      <c r="AM39" s="1712"/>
      <c r="AN39" s="1712">
        <v>19</v>
      </c>
      <c r="AO39" s="1712"/>
      <c r="AP39" s="1712"/>
      <c r="AQ39" s="1712"/>
      <c r="AR39" s="1712"/>
      <c r="AS39" s="1712"/>
      <c r="AT39" s="1712"/>
      <c r="AU39" s="1712"/>
      <c r="AV39" s="1712"/>
      <c r="AW39" s="1712"/>
      <c r="AX39" s="1712"/>
      <c r="AY39" s="1712"/>
      <c r="AZ39" s="1712"/>
      <c r="BA39" s="1712"/>
      <c r="BB39" s="1712"/>
      <c r="BC39" s="1712">
        <v>49</v>
      </c>
      <c r="BD39" s="1712">
        <v>101</v>
      </c>
      <c r="BE39" s="1712"/>
      <c r="BF39" s="1712"/>
      <c r="BG39" s="1712"/>
      <c r="BH39" s="1712"/>
      <c r="BI39" s="1712"/>
      <c r="BJ39" s="1712"/>
      <c r="BK39" s="1712"/>
      <c r="BL39" s="1712"/>
      <c r="BM39" s="1712"/>
      <c r="BN39" s="1712"/>
      <c r="BO39" s="1713"/>
      <c r="BP39" s="1317"/>
      <c r="BQ39" s="1317"/>
      <c r="BR39" s="1317"/>
      <c r="BS39" s="1317"/>
      <c r="BT39" s="1317"/>
      <c r="BU39" s="1317"/>
      <c r="BV39" s="1317"/>
      <c r="BW39" s="1317"/>
      <c r="BX39" s="1317"/>
      <c r="BY39" s="1317"/>
      <c r="BZ39" s="1317"/>
      <c r="CA39" s="1317"/>
      <c r="CB39" s="1317">
        <v>70</v>
      </c>
      <c r="CC39" s="1714">
        <v>12</v>
      </c>
      <c r="CD39" s="1718"/>
      <c r="CE39" s="1713"/>
      <c r="CF39" s="1317"/>
      <c r="CG39" s="1317">
        <v>6</v>
      </c>
      <c r="CH39" s="1317"/>
      <c r="CI39" s="1317"/>
      <c r="CJ39" s="1714">
        <v>168</v>
      </c>
      <c r="CK39" s="1713"/>
      <c r="CL39" s="1317"/>
      <c r="CM39" s="1317"/>
      <c r="CN39" s="1317"/>
      <c r="CO39" s="1317"/>
      <c r="CP39" s="1317"/>
      <c r="CQ39" s="1317"/>
      <c r="CR39" s="1317"/>
      <c r="CS39" s="1317"/>
      <c r="CT39" s="1714"/>
      <c r="CU39" s="262"/>
      <c r="CV39" s="262"/>
    </row>
    <row r="40" spans="1:100" hidden="1">
      <c r="A40" s="1309">
        <v>44228</v>
      </c>
      <c r="B40" s="1310">
        <f t="shared" si="2"/>
        <v>0</v>
      </c>
      <c r="C40" s="1310">
        <f t="shared" si="3"/>
        <v>0</v>
      </c>
      <c r="D40" s="1310">
        <f t="shared" si="4"/>
        <v>0</v>
      </c>
      <c r="E40" s="1310">
        <f t="shared" si="5"/>
        <v>0</v>
      </c>
      <c r="F40" s="1310">
        <f t="shared" si="6"/>
        <v>0</v>
      </c>
      <c r="G40" s="1310">
        <f t="shared" si="7"/>
        <v>0</v>
      </c>
      <c r="H40" s="1310">
        <f t="shared" si="8"/>
        <v>0</v>
      </c>
      <c r="I40" s="1310">
        <f t="shared" si="9"/>
        <v>0</v>
      </c>
      <c r="J40" s="1310">
        <f t="shared" si="10"/>
        <v>7</v>
      </c>
      <c r="K40" s="1310">
        <f t="shared" si="11"/>
        <v>12</v>
      </c>
      <c r="L40" s="1310">
        <f t="shared" si="12"/>
        <v>0</v>
      </c>
      <c r="M40" s="1310">
        <f t="shared" si="13"/>
        <v>0</v>
      </c>
      <c r="N40" s="1310">
        <f t="shared" si="14"/>
        <v>0</v>
      </c>
      <c r="O40" s="1310">
        <f t="shared" si="15"/>
        <v>0</v>
      </c>
      <c r="P40" s="1310">
        <f t="shared" ref="P40:P50" si="37">+AW40+CC40</f>
        <v>0</v>
      </c>
      <c r="Q40" s="1310">
        <f t="shared" ref="Q40:Q50" si="38">+AX40+CD40</f>
        <v>0</v>
      </c>
      <c r="R40" s="1310"/>
      <c r="S40" s="1310">
        <f t="shared" si="17"/>
        <v>0</v>
      </c>
      <c r="T40" s="1310">
        <f t="shared" si="18"/>
        <v>0</v>
      </c>
      <c r="U40" s="1310">
        <f t="shared" si="19"/>
        <v>0</v>
      </c>
      <c r="V40" s="1310">
        <f t="shared" si="20"/>
        <v>17</v>
      </c>
      <c r="W40" s="1310">
        <f t="shared" si="21"/>
        <v>0</v>
      </c>
      <c r="X40" s="1310">
        <f t="shared" si="22"/>
        <v>155</v>
      </c>
      <c r="Y40" s="1310">
        <f t="shared" si="23"/>
        <v>24</v>
      </c>
      <c r="Z40" s="1310">
        <f t="shared" si="24"/>
        <v>0</v>
      </c>
      <c r="AA40" s="1310">
        <f t="shared" si="25"/>
        <v>0</v>
      </c>
      <c r="AB40" s="1310">
        <f t="shared" si="26"/>
        <v>0</v>
      </c>
      <c r="AC40" s="1310">
        <f t="shared" si="27"/>
        <v>0</v>
      </c>
      <c r="AD40" s="1310">
        <f t="shared" si="28"/>
        <v>0</v>
      </c>
      <c r="AE40" s="1310">
        <f t="shared" si="29"/>
        <v>0</v>
      </c>
      <c r="AF40" s="1310">
        <f t="shared" si="30"/>
        <v>0</v>
      </c>
      <c r="AG40" s="1310">
        <f t="shared" si="31"/>
        <v>0</v>
      </c>
      <c r="AH40" s="1701">
        <f t="shared" si="32"/>
        <v>0</v>
      </c>
      <c r="AI40" s="1712"/>
      <c r="AJ40" s="1712"/>
      <c r="AK40" s="1712"/>
      <c r="AL40" s="1712">
        <v>0</v>
      </c>
      <c r="AM40" s="1712"/>
      <c r="AN40" s="1712"/>
      <c r="AO40" s="1712"/>
      <c r="AP40" s="1712"/>
      <c r="AQ40" s="1712">
        <v>7</v>
      </c>
      <c r="AR40" s="1712"/>
      <c r="AS40" s="1712"/>
      <c r="AT40" s="1712"/>
      <c r="AU40" s="1712"/>
      <c r="AV40" s="1712"/>
      <c r="AW40" s="1712"/>
      <c r="AX40" s="1712"/>
      <c r="AY40" s="1712"/>
      <c r="AZ40" s="1712"/>
      <c r="BA40" s="1712"/>
      <c r="BB40" s="1712">
        <v>17</v>
      </c>
      <c r="BC40" s="1712"/>
      <c r="BD40" s="1712">
        <v>34</v>
      </c>
      <c r="BE40" s="1712">
        <v>24</v>
      </c>
      <c r="BF40" s="1712"/>
      <c r="BG40" s="1712"/>
      <c r="BH40" s="1712"/>
      <c r="BI40" s="1712"/>
      <c r="BJ40" s="1712"/>
      <c r="BK40" s="1712"/>
      <c r="BL40" s="1712"/>
      <c r="BM40" s="1712"/>
      <c r="BN40" s="1712"/>
      <c r="BO40" s="1713"/>
      <c r="BP40" s="1317"/>
      <c r="BQ40" s="1317"/>
      <c r="BR40" s="1317"/>
      <c r="BS40" s="1317"/>
      <c r="BT40" s="1317"/>
      <c r="BU40" s="1317"/>
      <c r="BV40" s="1317"/>
      <c r="BW40" s="1317"/>
      <c r="BX40" s="1317">
        <v>12</v>
      </c>
      <c r="BY40" s="1317"/>
      <c r="BZ40" s="1317"/>
      <c r="CA40" s="1317"/>
      <c r="CB40" s="1317"/>
      <c r="CC40" s="1714"/>
      <c r="CD40" s="1718"/>
      <c r="CE40" s="1713"/>
      <c r="CF40" s="1317"/>
      <c r="CG40" s="1317"/>
      <c r="CH40" s="1317"/>
      <c r="CI40" s="1317"/>
      <c r="CJ40" s="1714">
        <v>121</v>
      </c>
      <c r="CK40" s="1713"/>
      <c r="CL40" s="1317"/>
      <c r="CM40" s="1317"/>
      <c r="CN40" s="1317"/>
      <c r="CO40" s="1317"/>
      <c r="CP40" s="1317"/>
      <c r="CQ40" s="1317"/>
      <c r="CR40" s="1317"/>
      <c r="CS40" s="1317"/>
      <c r="CT40" s="1714"/>
      <c r="CU40" s="262"/>
      <c r="CV40" s="262"/>
    </row>
    <row r="41" spans="1:100" hidden="1">
      <c r="A41" s="1309">
        <v>44256</v>
      </c>
      <c r="B41" s="1310">
        <f t="shared" si="2"/>
        <v>3</v>
      </c>
      <c r="C41" s="1310">
        <f t="shared" si="3"/>
        <v>0</v>
      </c>
      <c r="D41" s="1310">
        <f t="shared" si="4"/>
        <v>10</v>
      </c>
      <c r="E41" s="1310">
        <f t="shared" si="5"/>
        <v>6</v>
      </c>
      <c r="F41" s="1310">
        <f t="shared" si="6"/>
        <v>28</v>
      </c>
      <c r="G41" s="1310">
        <f t="shared" si="7"/>
        <v>28</v>
      </c>
      <c r="H41" s="1310">
        <f t="shared" si="8"/>
        <v>0</v>
      </c>
      <c r="I41" s="1310">
        <f t="shared" si="9"/>
        <v>7</v>
      </c>
      <c r="J41" s="1310">
        <f t="shared" si="10"/>
        <v>0</v>
      </c>
      <c r="K41" s="1310">
        <f t="shared" si="11"/>
        <v>0</v>
      </c>
      <c r="L41" s="1310">
        <f t="shared" si="12"/>
        <v>0</v>
      </c>
      <c r="M41" s="1310">
        <f t="shared" si="13"/>
        <v>0</v>
      </c>
      <c r="N41" s="1310">
        <f t="shared" si="14"/>
        <v>0</v>
      </c>
      <c r="O41" s="1310">
        <f t="shared" si="15"/>
        <v>2</v>
      </c>
      <c r="P41" s="1310">
        <f t="shared" si="37"/>
        <v>0</v>
      </c>
      <c r="Q41" s="1310">
        <f t="shared" si="38"/>
        <v>0</v>
      </c>
      <c r="R41" s="1310"/>
      <c r="S41" s="1310">
        <f t="shared" si="17"/>
        <v>0</v>
      </c>
      <c r="T41" s="1310">
        <f t="shared" si="18"/>
        <v>0</v>
      </c>
      <c r="U41" s="1310">
        <f t="shared" si="19"/>
        <v>60</v>
      </c>
      <c r="V41" s="1310">
        <f t="shared" si="20"/>
        <v>0</v>
      </c>
      <c r="W41" s="1310">
        <f t="shared" si="21"/>
        <v>0</v>
      </c>
      <c r="X41" s="1310">
        <f t="shared" si="22"/>
        <v>36</v>
      </c>
      <c r="Y41" s="1310">
        <f t="shared" si="23"/>
        <v>0</v>
      </c>
      <c r="Z41" s="1310">
        <f t="shared" si="24"/>
        <v>90</v>
      </c>
      <c r="AA41" s="1310">
        <f t="shared" si="25"/>
        <v>5</v>
      </c>
      <c r="AB41" s="1310">
        <f t="shared" si="26"/>
        <v>0</v>
      </c>
      <c r="AC41" s="1310">
        <f t="shared" si="27"/>
        <v>0</v>
      </c>
      <c r="AD41" s="1310">
        <f t="shared" si="28"/>
        <v>0</v>
      </c>
      <c r="AE41" s="1310">
        <f t="shared" si="29"/>
        <v>7</v>
      </c>
      <c r="AF41" s="1310">
        <f t="shared" si="30"/>
        <v>0</v>
      </c>
      <c r="AG41" s="1310">
        <f t="shared" si="31"/>
        <v>0</v>
      </c>
      <c r="AH41" s="1701">
        <f t="shared" si="32"/>
        <v>0</v>
      </c>
      <c r="AI41" s="1712">
        <v>3</v>
      </c>
      <c r="AJ41" s="1712"/>
      <c r="AK41" s="1712">
        <v>10</v>
      </c>
      <c r="AL41" s="1712">
        <v>6</v>
      </c>
      <c r="AM41" s="1712">
        <v>28</v>
      </c>
      <c r="AN41" s="1712">
        <v>28</v>
      </c>
      <c r="AO41" s="1712"/>
      <c r="AP41" s="1712">
        <v>7</v>
      </c>
      <c r="AQ41" s="1712"/>
      <c r="AR41" s="1712"/>
      <c r="AS41" s="1712"/>
      <c r="AT41" s="1712"/>
      <c r="AU41" s="1712"/>
      <c r="AV41" s="1712"/>
      <c r="AW41" s="1712"/>
      <c r="AX41" s="1712"/>
      <c r="AY41" s="1712"/>
      <c r="AZ41" s="1712"/>
      <c r="BA41" s="1712">
        <v>60</v>
      </c>
      <c r="BB41" s="1712"/>
      <c r="BC41" s="1712"/>
      <c r="BD41" s="1712"/>
      <c r="BE41" s="1712"/>
      <c r="BF41" s="1712">
        <v>90</v>
      </c>
      <c r="BG41" s="1712">
        <v>5</v>
      </c>
      <c r="BH41" s="1712"/>
      <c r="BI41" s="1712"/>
      <c r="BJ41" s="1712"/>
      <c r="BK41" s="1712"/>
      <c r="BL41" s="1712"/>
      <c r="BM41" s="1712"/>
      <c r="BN41" s="1712"/>
      <c r="BO41" s="1713"/>
      <c r="BP41" s="1317"/>
      <c r="BQ41" s="1317"/>
      <c r="BR41" s="1317"/>
      <c r="BS41" s="1317"/>
      <c r="BT41" s="1317"/>
      <c r="BU41" s="1317"/>
      <c r="BV41" s="1317"/>
      <c r="BW41" s="1317"/>
      <c r="BX41" s="1317"/>
      <c r="BY41" s="1317"/>
      <c r="BZ41" s="1317"/>
      <c r="CA41" s="1317"/>
      <c r="CB41" s="1317">
        <v>2</v>
      </c>
      <c r="CC41" s="1714"/>
      <c r="CD41" s="1718"/>
      <c r="CE41" s="1713"/>
      <c r="CF41" s="1317"/>
      <c r="CG41" s="1317"/>
      <c r="CH41" s="1317"/>
      <c r="CI41" s="1317"/>
      <c r="CJ41" s="1714">
        <v>36</v>
      </c>
      <c r="CK41" s="1713"/>
      <c r="CL41" s="1317"/>
      <c r="CM41" s="1317"/>
      <c r="CN41" s="1317"/>
      <c r="CO41" s="1317"/>
      <c r="CP41" s="1317"/>
      <c r="CQ41" s="1317">
        <v>7</v>
      </c>
      <c r="CR41" s="1317"/>
      <c r="CS41" s="1317"/>
      <c r="CT41" s="1714"/>
      <c r="CU41" s="262"/>
      <c r="CV41" s="262"/>
    </row>
    <row r="42" spans="1:100" hidden="1">
      <c r="A42" s="1309">
        <v>44287</v>
      </c>
      <c r="B42" s="1310">
        <f t="shared" si="2"/>
        <v>7</v>
      </c>
      <c r="C42" s="1310">
        <f t="shared" si="3"/>
        <v>0</v>
      </c>
      <c r="D42" s="1310">
        <f t="shared" si="4"/>
        <v>0</v>
      </c>
      <c r="E42" s="1310">
        <f t="shared" si="5"/>
        <v>0</v>
      </c>
      <c r="F42" s="1310">
        <f t="shared" si="6"/>
        <v>8</v>
      </c>
      <c r="G42" s="1310">
        <f t="shared" si="7"/>
        <v>60</v>
      </c>
      <c r="H42" s="1310">
        <f t="shared" si="8"/>
        <v>0</v>
      </c>
      <c r="I42" s="1310">
        <f t="shared" si="9"/>
        <v>0</v>
      </c>
      <c r="J42" s="1310">
        <f t="shared" si="10"/>
        <v>0</v>
      </c>
      <c r="K42" s="1310">
        <f t="shared" si="11"/>
        <v>7</v>
      </c>
      <c r="L42" s="1310">
        <f t="shared" si="12"/>
        <v>0</v>
      </c>
      <c r="M42" s="1310">
        <f t="shared" si="13"/>
        <v>14</v>
      </c>
      <c r="N42" s="1310">
        <f t="shared" si="14"/>
        <v>0</v>
      </c>
      <c r="O42" s="1310">
        <f t="shared" si="15"/>
        <v>0</v>
      </c>
      <c r="P42" s="1310">
        <f t="shared" si="37"/>
        <v>0</v>
      </c>
      <c r="Q42" s="1310">
        <f t="shared" si="38"/>
        <v>0</v>
      </c>
      <c r="R42" s="1310"/>
      <c r="S42" s="1310">
        <f t="shared" si="17"/>
        <v>0</v>
      </c>
      <c r="T42" s="1310">
        <f t="shared" si="18"/>
        <v>0</v>
      </c>
      <c r="U42" s="1310">
        <f t="shared" si="19"/>
        <v>0</v>
      </c>
      <c r="V42" s="1310">
        <f t="shared" si="20"/>
        <v>0</v>
      </c>
      <c r="W42" s="1310">
        <f t="shared" si="21"/>
        <v>0</v>
      </c>
      <c r="X42" s="1310">
        <f t="shared" si="22"/>
        <v>7</v>
      </c>
      <c r="Y42" s="1310">
        <f t="shared" si="23"/>
        <v>22</v>
      </c>
      <c r="Z42" s="1310">
        <f t="shared" si="24"/>
        <v>0</v>
      </c>
      <c r="AA42" s="1310">
        <f t="shared" si="25"/>
        <v>0</v>
      </c>
      <c r="AB42" s="1310">
        <f t="shared" si="26"/>
        <v>0</v>
      </c>
      <c r="AC42" s="1310">
        <f t="shared" si="27"/>
        <v>15</v>
      </c>
      <c r="AD42" s="1310">
        <f t="shared" si="28"/>
        <v>0</v>
      </c>
      <c r="AE42" s="1310">
        <f t="shared" si="29"/>
        <v>0</v>
      </c>
      <c r="AF42" s="1310">
        <f t="shared" si="30"/>
        <v>0</v>
      </c>
      <c r="AG42" s="1310">
        <f t="shared" si="31"/>
        <v>11</v>
      </c>
      <c r="AH42" s="1701">
        <f t="shared" si="32"/>
        <v>0</v>
      </c>
      <c r="AI42" s="1712">
        <v>7</v>
      </c>
      <c r="AJ42" s="1712"/>
      <c r="AK42" s="1712"/>
      <c r="AL42" s="1712">
        <v>0</v>
      </c>
      <c r="AM42" s="1712">
        <v>8</v>
      </c>
      <c r="AN42" s="1712">
        <v>60</v>
      </c>
      <c r="AO42" s="1712"/>
      <c r="AP42" s="1712"/>
      <c r="AQ42" s="1712"/>
      <c r="AR42" s="1712">
        <v>7</v>
      </c>
      <c r="AS42" s="1712"/>
      <c r="AT42" s="1712">
        <v>14</v>
      </c>
      <c r="AU42" s="1712"/>
      <c r="AV42" s="1712"/>
      <c r="AW42" s="1712"/>
      <c r="AX42" s="1712"/>
      <c r="AY42" s="1712"/>
      <c r="AZ42" s="1712"/>
      <c r="BA42" s="1712"/>
      <c r="BB42" s="1712"/>
      <c r="BC42" s="1712"/>
      <c r="BD42" s="1712"/>
      <c r="BE42" s="1712">
        <v>22</v>
      </c>
      <c r="BF42" s="1712"/>
      <c r="BG42" s="1712"/>
      <c r="BH42" s="1712"/>
      <c r="BI42" s="1712"/>
      <c r="BJ42" s="1712"/>
      <c r="BK42" s="1712"/>
      <c r="BL42" s="1712"/>
      <c r="BM42" s="1712"/>
      <c r="BN42" s="1712"/>
      <c r="BO42" s="1713"/>
      <c r="BP42" s="1317"/>
      <c r="BQ42" s="1317"/>
      <c r="BR42" s="1317"/>
      <c r="BS42" s="1317"/>
      <c r="BT42" s="1317"/>
      <c r="BU42" s="1317"/>
      <c r="BV42" s="1317"/>
      <c r="BW42" s="1317"/>
      <c r="BX42" s="1317"/>
      <c r="BY42" s="1317"/>
      <c r="BZ42" s="1317"/>
      <c r="CA42" s="1317"/>
      <c r="CB42" s="1317"/>
      <c r="CC42" s="1714"/>
      <c r="CD42" s="1718"/>
      <c r="CE42" s="1713"/>
      <c r="CF42" s="1317"/>
      <c r="CG42" s="1317"/>
      <c r="CH42" s="1317"/>
      <c r="CI42" s="1317"/>
      <c r="CJ42" s="1714">
        <v>7</v>
      </c>
      <c r="CK42" s="1713"/>
      <c r="CL42" s="1317"/>
      <c r="CM42" s="1317"/>
      <c r="CN42" s="1317"/>
      <c r="CO42" s="1317">
        <v>15</v>
      </c>
      <c r="CP42" s="1317"/>
      <c r="CQ42" s="1317"/>
      <c r="CR42" s="1317"/>
      <c r="CS42" s="1317">
        <v>11</v>
      </c>
      <c r="CT42" s="1714"/>
      <c r="CU42" s="262"/>
      <c r="CV42" s="262"/>
    </row>
    <row r="43" spans="1:100" hidden="1">
      <c r="A43" s="1309">
        <v>44317</v>
      </c>
      <c r="B43" s="1310">
        <f t="shared" si="2"/>
        <v>0</v>
      </c>
      <c r="C43" s="1310">
        <f t="shared" si="3"/>
        <v>0</v>
      </c>
      <c r="D43" s="1310">
        <f t="shared" si="4"/>
        <v>0</v>
      </c>
      <c r="E43" s="1310">
        <f t="shared" si="5"/>
        <v>2</v>
      </c>
      <c r="F43" s="1310">
        <f t="shared" si="6"/>
        <v>0</v>
      </c>
      <c r="G43" s="1310">
        <f t="shared" si="7"/>
        <v>1</v>
      </c>
      <c r="H43" s="1310">
        <f t="shared" si="8"/>
        <v>0</v>
      </c>
      <c r="I43" s="1310">
        <f t="shared" si="9"/>
        <v>18</v>
      </c>
      <c r="J43" s="1310">
        <f t="shared" si="10"/>
        <v>0</v>
      </c>
      <c r="K43" s="1310">
        <f t="shared" si="11"/>
        <v>0</v>
      </c>
      <c r="L43" s="1310">
        <f t="shared" si="12"/>
        <v>0</v>
      </c>
      <c r="M43" s="1310">
        <f t="shared" si="13"/>
        <v>0</v>
      </c>
      <c r="N43" s="1310">
        <f t="shared" si="14"/>
        <v>0</v>
      </c>
      <c r="O43" s="1310">
        <f t="shared" si="15"/>
        <v>3</v>
      </c>
      <c r="P43" s="1310">
        <f t="shared" si="37"/>
        <v>0</v>
      </c>
      <c r="Q43" s="1310">
        <f t="shared" si="38"/>
        <v>0</v>
      </c>
      <c r="R43" s="1310"/>
      <c r="S43" s="1310">
        <f t="shared" si="17"/>
        <v>0</v>
      </c>
      <c r="T43" s="1310">
        <f t="shared" si="18"/>
        <v>0</v>
      </c>
      <c r="U43" s="1310">
        <f t="shared" si="19"/>
        <v>0</v>
      </c>
      <c r="V43" s="1310">
        <f t="shared" si="20"/>
        <v>0</v>
      </c>
      <c r="W43" s="1310">
        <f t="shared" si="21"/>
        <v>0</v>
      </c>
      <c r="X43" s="1310">
        <f t="shared" si="22"/>
        <v>48</v>
      </c>
      <c r="Y43" s="1310">
        <f t="shared" si="23"/>
        <v>0</v>
      </c>
      <c r="Z43" s="1310">
        <f t="shared" si="24"/>
        <v>40</v>
      </c>
      <c r="AA43" s="1310">
        <f t="shared" si="25"/>
        <v>0</v>
      </c>
      <c r="AB43" s="1310">
        <f t="shared" si="26"/>
        <v>0</v>
      </c>
      <c r="AC43" s="1310">
        <f t="shared" si="27"/>
        <v>0</v>
      </c>
      <c r="AD43" s="1310">
        <f t="shared" si="28"/>
        <v>0</v>
      </c>
      <c r="AE43" s="1310">
        <f t="shared" si="29"/>
        <v>0</v>
      </c>
      <c r="AF43" s="1310">
        <f t="shared" si="30"/>
        <v>0</v>
      </c>
      <c r="AG43" s="1310">
        <f t="shared" si="31"/>
        <v>0</v>
      </c>
      <c r="AH43" s="1701">
        <f t="shared" si="32"/>
        <v>0</v>
      </c>
      <c r="AI43" s="1712"/>
      <c r="AJ43" s="1712"/>
      <c r="AK43" s="1712"/>
      <c r="AL43" s="1712">
        <v>2</v>
      </c>
      <c r="AM43" s="1712"/>
      <c r="AN43" s="1712">
        <v>1</v>
      </c>
      <c r="AO43" s="1712"/>
      <c r="AP43" s="1712">
        <v>18</v>
      </c>
      <c r="AQ43" s="1712"/>
      <c r="AR43" s="1712"/>
      <c r="AS43" s="1712"/>
      <c r="AT43" s="1712"/>
      <c r="AU43" s="1712"/>
      <c r="AV43" s="1712"/>
      <c r="AW43" s="1712"/>
      <c r="AX43" s="1712"/>
      <c r="AY43" s="1712"/>
      <c r="AZ43" s="1712"/>
      <c r="BA43" s="1712"/>
      <c r="BB43" s="1712"/>
      <c r="BC43" s="1712"/>
      <c r="BD43" s="1712">
        <v>11</v>
      </c>
      <c r="BE43" s="1712"/>
      <c r="BF43" s="1712"/>
      <c r="BG43" s="1712"/>
      <c r="BH43" s="1712"/>
      <c r="BI43" s="1712"/>
      <c r="BJ43" s="1712"/>
      <c r="BK43" s="1712"/>
      <c r="BL43" s="1712"/>
      <c r="BM43" s="1712"/>
      <c r="BN43" s="1712"/>
      <c r="BO43" s="1713"/>
      <c r="BP43" s="1317"/>
      <c r="BQ43" s="1317"/>
      <c r="BR43" s="1317"/>
      <c r="BS43" s="1317"/>
      <c r="BT43" s="1317"/>
      <c r="BU43" s="1317"/>
      <c r="BV43" s="1317"/>
      <c r="BW43" s="1317"/>
      <c r="BX43" s="1317"/>
      <c r="BY43" s="1317"/>
      <c r="BZ43" s="1317"/>
      <c r="CA43" s="1317"/>
      <c r="CB43" s="1317">
        <v>3</v>
      </c>
      <c r="CC43" s="1714"/>
      <c r="CD43" s="1718"/>
      <c r="CE43" s="1713"/>
      <c r="CF43" s="1317"/>
      <c r="CG43" s="1317"/>
      <c r="CH43" s="1317"/>
      <c r="CI43" s="1317"/>
      <c r="CJ43" s="1714">
        <v>37</v>
      </c>
      <c r="CK43" s="1713"/>
      <c r="CL43" s="1317">
        <v>40</v>
      </c>
      <c r="CM43" s="1317"/>
      <c r="CN43" s="1317"/>
      <c r="CO43" s="1317"/>
      <c r="CP43" s="1317"/>
      <c r="CQ43" s="1317"/>
      <c r="CR43" s="1317"/>
      <c r="CS43" s="1317"/>
      <c r="CT43" s="1714"/>
      <c r="CU43" s="262"/>
      <c r="CV43" s="262"/>
    </row>
    <row r="44" spans="1:100" hidden="1">
      <c r="A44" s="1309">
        <v>44348</v>
      </c>
      <c r="B44" s="1310">
        <f t="shared" si="2"/>
        <v>0</v>
      </c>
      <c r="C44" s="1310">
        <f t="shared" si="3"/>
        <v>27</v>
      </c>
      <c r="D44" s="1310">
        <f t="shared" si="4"/>
        <v>0</v>
      </c>
      <c r="E44" s="1310">
        <f t="shared" si="5"/>
        <v>0</v>
      </c>
      <c r="F44" s="1310">
        <f t="shared" si="6"/>
        <v>0</v>
      </c>
      <c r="G44" s="1310">
        <f t="shared" si="7"/>
        <v>2</v>
      </c>
      <c r="H44" s="1310">
        <f t="shared" si="8"/>
        <v>0</v>
      </c>
      <c r="I44" s="1310">
        <f t="shared" si="9"/>
        <v>2</v>
      </c>
      <c r="J44" s="1310">
        <f t="shared" si="10"/>
        <v>0</v>
      </c>
      <c r="K44" s="1310">
        <f t="shared" si="11"/>
        <v>0</v>
      </c>
      <c r="L44" s="1310">
        <f t="shared" si="12"/>
        <v>0</v>
      </c>
      <c r="M44" s="1310">
        <f t="shared" si="13"/>
        <v>0</v>
      </c>
      <c r="N44" s="1310">
        <f t="shared" si="14"/>
        <v>0</v>
      </c>
      <c r="O44" s="1310">
        <f t="shared" si="15"/>
        <v>0</v>
      </c>
      <c r="P44" s="1310">
        <f t="shared" si="37"/>
        <v>0</v>
      </c>
      <c r="Q44" s="1310">
        <f t="shared" si="38"/>
        <v>8</v>
      </c>
      <c r="R44" s="1310"/>
      <c r="S44" s="1310">
        <f t="shared" si="17"/>
        <v>10</v>
      </c>
      <c r="T44" s="1310">
        <f t="shared" si="18"/>
        <v>3</v>
      </c>
      <c r="U44" s="1310">
        <f t="shared" si="19"/>
        <v>7</v>
      </c>
      <c r="V44" s="1310">
        <f t="shared" si="20"/>
        <v>0</v>
      </c>
      <c r="W44" s="1310">
        <f t="shared" si="21"/>
        <v>40</v>
      </c>
      <c r="X44" s="1310">
        <f t="shared" si="22"/>
        <v>77</v>
      </c>
      <c r="Y44" s="1310">
        <f t="shared" si="23"/>
        <v>0</v>
      </c>
      <c r="Z44" s="1310">
        <f t="shared" si="24"/>
        <v>0</v>
      </c>
      <c r="AA44" s="1310">
        <f t="shared" si="25"/>
        <v>20</v>
      </c>
      <c r="AB44" s="1310">
        <f t="shared" si="26"/>
        <v>20</v>
      </c>
      <c r="AC44" s="1310">
        <f t="shared" si="27"/>
        <v>0</v>
      </c>
      <c r="AD44" s="1310">
        <f t="shared" si="28"/>
        <v>4</v>
      </c>
      <c r="AE44" s="1310">
        <f t="shared" si="29"/>
        <v>0</v>
      </c>
      <c r="AF44" s="1310">
        <f t="shared" si="30"/>
        <v>0</v>
      </c>
      <c r="AG44" s="1310">
        <f t="shared" si="31"/>
        <v>0</v>
      </c>
      <c r="AH44" s="1701">
        <f t="shared" si="32"/>
        <v>0</v>
      </c>
      <c r="AI44" s="1712"/>
      <c r="AJ44" s="1712">
        <v>27</v>
      </c>
      <c r="AK44" s="1712"/>
      <c r="AL44" s="1712">
        <v>0</v>
      </c>
      <c r="AM44" s="1712"/>
      <c r="AN44" s="1712">
        <v>2</v>
      </c>
      <c r="AO44" s="1712"/>
      <c r="AP44" s="1712">
        <v>2</v>
      </c>
      <c r="AQ44" s="1712"/>
      <c r="AR44" s="1712"/>
      <c r="AS44" s="1712"/>
      <c r="AT44" s="1712"/>
      <c r="AU44" s="1712"/>
      <c r="AV44" s="1712"/>
      <c r="AW44" s="1712"/>
      <c r="AX44" s="1712">
        <v>8</v>
      </c>
      <c r="AY44" s="1712">
        <v>10</v>
      </c>
      <c r="AZ44" s="1712"/>
      <c r="BA44" s="1712">
        <v>7</v>
      </c>
      <c r="BB44" s="1712"/>
      <c r="BC44" s="1712">
        <v>40</v>
      </c>
      <c r="BD44" s="1712">
        <v>11</v>
      </c>
      <c r="BE44" s="1712"/>
      <c r="BF44" s="1712"/>
      <c r="BG44" s="1712">
        <v>20</v>
      </c>
      <c r="BH44" s="1712"/>
      <c r="BI44" s="1712"/>
      <c r="BJ44" s="1712"/>
      <c r="BK44" s="1712"/>
      <c r="BL44" s="1712"/>
      <c r="BM44" s="1712"/>
      <c r="BN44" s="1712"/>
      <c r="BO44" s="1713"/>
      <c r="BP44" s="1317"/>
      <c r="BQ44" s="1317"/>
      <c r="BR44" s="1317">
        <v>0</v>
      </c>
      <c r="BS44" s="1317"/>
      <c r="BT44" s="1317"/>
      <c r="BU44" s="1317"/>
      <c r="BV44" s="1317"/>
      <c r="BW44" s="1317"/>
      <c r="BX44" s="1317"/>
      <c r="BY44" s="1317"/>
      <c r="BZ44" s="1317"/>
      <c r="CA44" s="1317"/>
      <c r="CB44" s="1317"/>
      <c r="CC44" s="1714"/>
      <c r="CD44" s="1718"/>
      <c r="CE44" s="1713"/>
      <c r="CF44" s="1317">
        <v>3</v>
      </c>
      <c r="CG44" s="1317"/>
      <c r="CH44" s="1317"/>
      <c r="CI44" s="1317"/>
      <c r="CJ44" s="1714">
        <v>66</v>
      </c>
      <c r="CK44" s="1713"/>
      <c r="CL44" s="1317"/>
      <c r="CM44" s="1317"/>
      <c r="CN44" s="1317">
        <v>20</v>
      </c>
      <c r="CO44" s="1317"/>
      <c r="CP44" s="1317">
        <v>4</v>
      </c>
      <c r="CQ44" s="1317"/>
      <c r="CR44" s="1317"/>
      <c r="CS44" s="1317"/>
      <c r="CT44" s="1714"/>
      <c r="CU44" s="262"/>
      <c r="CV44" s="262"/>
    </row>
    <row r="45" spans="1:100" hidden="1">
      <c r="A45" s="1309">
        <v>44378</v>
      </c>
      <c r="B45" s="1310">
        <f t="shared" si="2"/>
        <v>5</v>
      </c>
      <c r="C45" s="1310">
        <f t="shared" si="3"/>
        <v>0</v>
      </c>
      <c r="D45" s="1310">
        <f t="shared" si="4"/>
        <v>20</v>
      </c>
      <c r="E45" s="1310">
        <f t="shared" si="5"/>
        <v>16</v>
      </c>
      <c r="F45" s="1310">
        <f t="shared" si="6"/>
        <v>0</v>
      </c>
      <c r="G45" s="1310">
        <f t="shared" si="7"/>
        <v>10</v>
      </c>
      <c r="H45" s="1310">
        <f t="shared" si="8"/>
        <v>0</v>
      </c>
      <c r="I45" s="1310">
        <f t="shared" si="9"/>
        <v>0</v>
      </c>
      <c r="J45" s="1310">
        <f t="shared" si="10"/>
        <v>0</v>
      </c>
      <c r="K45" s="1310">
        <f t="shared" si="11"/>
        <v>0</v>
      </c>
      <c r="L45" s="1310">
        <f t="shared" si="12"/>
        <v>0</v>
      </c>
      <c r="M45" s="1310">
        <f t="shared" si="13"/>
        <v>0</v>
      </c>
      <c r="N45" s="1310">
        <f t="shared" si="14"/>
        <v>8</v>
      </c>
      <c r="O45" s="1310">
        <f t="shared" si="15"/>
        <v>4</v>
      </c>
      <c r="P45" s="1310">
        <f t="shared" si="37"/>
        <v>0</v>
      </c>
      <c r="Q45" s="1310">
        <f t="shared" si="38"/>
        <v>0</v>
      </c>
      <c r="R45" s="1310"/>
      <c r="S45" s="1310">
        <f t="shared" si="17"/>
        <v>0</v>
      </c>
      <c r="T45" s="1310">
        <f t="shared" si="18"/>
        <v>0</v>
      </c>
      <c r="U45" s="1310">
        <f t="shared" si="19"/>
        <v>0</v>
      </c>
      <c r="V45" s="1310">
        <f t="shared" si="20"/>
        <v>0</v>
      </c>
      <c r="W45" s="1310">
        <f t="shared" si="21"/>
        <v>0</v>
      </c>
      <c r="X45" s="1310">
        <f t="shared" si="22"/>
        <v>392</v>
      </c>
      <c r="Y45" s="1310">
        <f t="shared" si="23"/>
        <v>0</v>
      </c>
      <c r="Z45" s="1310">
        <f t="shared" si="24"/>
        <v>0</v>
      </c>
      <c r="AA45" s="1310">
        <f t="shared" si="25"/>
        <v>0</v>
      </c>
      <c r="AB45" s="1310">
        <f t="shared" si="26"/>
        <v>0</v>
      </c>
      <c r="AC45" s="1310">
        <f t="shared" si="27"/>
        <v>0</v>
      </c>
      <c r="AD45" s="1310">
        <f t="shared" si="28"/>
        <v>4</v>
      </c>
      <c r="AE45" s="1310">
        <f t="shared" si="29"/>
        <v>0</v>
      </c>
      <c r="AF45" s="1310">
        <f t="shared" si="30"/>
        <v>0</v>
      </c>
      <c r="AG45" s="1310">
        <f t="shared" si="31"/>
        <v>12</v>
      </c>
      <c r="AH45" s="1701">
        <f t="shared" si="32"/>
        <v>0</v>
      </c>
      <c r="AI45" s="1712">
        <v>5</v>
      </c>
      <c r="AJ45" s="1712"/>
      <c r="AK45" s="1712">
        <v>20</v>
      </c>
      <c r="AL45" s="1712">
        <v>16</v>
      </c>
      <c r="AM45" s="1712"/>
      <c r="AN45" s="1712">
        <v>10</v>
      </c>
      <c r="AO45" s="1712"/>
      <c r="AP45" s="1712"/>
      <c r="AQ45" s="1712"/>
      <c r="AR45" s="1712"/>
      <c r="AS45" s="1712"/>
      <c r="AT45" s="1712"/>
      <c r="AU45" s="1712"/>
      <c r="AV45" s="1712"/>
      <c r="AW45" s="1712"/>
      <c r="AX45" s="1712"/>
      <c r="AY45" s="1712"/>
      <c r="AZ45" s="1712"/>
      <c r="BA45" s="1712"/>
      <c r="BB45" s="1712"/>
      <c r="BC45" s="1712"/>
      <c r="BD45" s="1712">
        <v>36</v>
      </c>
      <c r="BE45" s="1712"/>
      <c r="BF45" s="1712"/>
      <c r="BG45" s="1712"/>
      <c r="BH45" s="1712"/>
      <c r="BI45" s="1712"/>
      <c r="BJ45" s="1712">
        <v>4</v>
      </c>
      <c r="BK45" s="1712"/>
      <c r="BL45" s="1712"/>
      <c r="BM45" s="1712"/>
      <c r="BN45" s="1712"/>
      <c r="BO45" s="1713"/>
      <c r="BP45" s="1317"/>
      <c r="BQ45" s="1317"/>
      <c r="BR45" s="1317"/>
      <c r="BS45" s="1317"/>
      <c r="BT45" s="1317"/>
      <c r="BU45" s="1317"/>
      <c r="BV45" s="1317"/>
      <c r="BW45" s="1317"/>
      <c r="BX45" s="1317"/>
      <c r="BY45" s="1317"/>
      <c r="BZ45" s="1317"/>
      <c r="CA45" s="1317">
        <v>8</v>
      </c>
      <c r="CB45" s="1317">
        <v>4</v>
      </c>
      <c r="CC45" s="1714"/>
      <c r="CD45" s="1718"/>
      <c r="CE45" s="1713"/>
      <c r="CF45" s="1317"/>
      <c r="CG45" s="1317"/>
      <c r="CH45" s="1317"/>
      <c r="CI45" s="1317"/>
      <c r="CJ45" s="1714">
        <v>356</v>
      </c>
      <c r="CK45" s="1713"/>
      <c r="CL45" s="1317"/>
      <c r="CM45" s="1317"/>
      <c r="CN45" s="1317"/>
      <c r="CO45" s="1317"/>
      <c r="CP45" s="1317"/>
      <c r="CQ45" s="1317"/>
      <c r="CR45" s="1317"/>
      <c r="CS45" s="1317">
        <v>12</v>
      </c>
      <c r="CT45" s="1714"/>
      <c r="CU45" s="262"/>
      <c r="CV45" s="262"/>
    </row>
    <row r="46" spans="1:100" hidden="1">
      <c r="A46" s="1309">
        <v>44409</v>
      </c>
      <c r="B46" s="1310">
        <f t="shared" si="2"/>
        <v>0</v>
      </c>
      <c r="C46" s="1310">
        <f t="shared" si="3"/>
        <v>0</v>
      </c>
      <c r="D46" s="1310">
        <f t="shared" si="4"/>
        <v>0</v>
      </c>
      <c r="E46" s="1310">
        <f t="shared" si="5"/>
        <v>14</v>
      </c>
      <c r="F46" s="1310">
        <f t="shared" si="6"/>
        <v>0</v>
      </c>
      <c r="G46" s="1310">
        <f t="shared" si="7"/>
        <v>0</v>
      </c>
      <c r="H46" s="1310">
        <f t="shared" si="8"/>
        <v>0</v>
      </c>
      <c r="I46" s="1310">
        <f t="shared" si="9"/>
        <v>0</v>
      </c>
      <c r="J46" s="1310">
        <f t="shared" si="10"/>
        <v>0</v>
      </c>
      <c r="K46" s="1310">
        <f t="shared" si="11"/>
        <v>20</v>
      </c>
      <c r="L46" s="1310">
        <f t="shared" si="12"/>
        <v>0</v>
      </c>
      <c r="M46" s="1310">
        <f t="shared" si="13"/>
        <v>0</v>
      </c>
      <c r="N46" s="1310">
        <f t="shared" si="14"/>
        <v>0</v>
      </c>
      <c r="O46" s="1310">
        <f t="shared" si="15"/>
        <v>0</v>
      </c>
      <c r="P46" s="1310">
        <f t="shared" si="37"/>
        <v>0</v>
      </c>
      <c r="Q46" s="1310">
        <f t="shared" si="38"/>
        <v>33</v>
      </c>
      <c r="R46" s="1310"/>
      <c r="S46" s="1310">
        <f t="shared" si="17"/>
        <v>0</v>
      </c>
      <c r="T46" s="1310">
        <f t="shared" si="18"/>
        <v>128</v>
      </c>
      <c r="U46" s="1310">
        <f t="shared" si="19"/>
        <v>0</v>
      </c>
      <c r="V46" s="1310">
        <f t="shared" si="20"/>
        <v>2</v>
      </c>
      <c r="W46" s="1310">
        <f t="shared" si="21"/>
        <v>0</v>
      </c>
      <c r="X46" s="1310">
        <f t="shared" si="22"/>
        <v>32</v>
      </c>
      <c r="Y46" s="1310">
        <f t="shared" si="23"/>
        <v>0</v>
      </c>
      <c r="Z46" s="1310">
        <f t="shared" si="24"/>
        <v>0</v>
      </c>
      <c r="AA46" s="1310">
        <f t="shared" si="25"/>
        <v>0</v>
      </c>
      <c r="AB46" s="1310">
        <f t="shared" si="26"/>
        <v>0</v>
      </c>
      <c r="AC46" s="1310">
        <f t="shared" si="27"/>
        <v>0</v>
      </c>
      <c r="AD46" s="1310">
        <f t="shared" si="28"/>
        <v>0</v>
      </c>
      <c r="AE46" s="1310">
        <f t="shared" si="29"/>
        <v>29</v>
      </c>
      <c r="AF46" s="1310">
        <f t="shared" si="30"/>
        <v>2</v>
      </c>
      <c r="AG46" s="1310">
        <f t="shared" si="31"/>
        <v>0</v>
      </c>
      <c r="AH46" s="1701">
        <f t="shared" si="32"/>
        <v>0</v>
      </c>
      <c r="AI46" s="1712"/>
      <c r="AJ46" s="1712"/>
      <c r="AK46" s="1712"/>
      <c r="AL46" s="1712">
        <v>14</v>
      </c>
      <c r="AM46" s="1712"/>
      <c r="AN46" s="1712"/>
      <c r="AO46" s="1712"/>
      <c r="AP46" s="1712"/>
      <c r="AQ46" s="1712"/>
      <c r="AR46" s="1712">
        <v>20</v>
      </c>
      <c r="AS46" s="1712"/>
      <c r="AT46" s="1712"/>
      <c r="AU46" s="1712"/>
      <c r="AV46" s="1712"/>
      <c r="AW46" s="1712"/>
      <c r="AX46" s="1712">
        <v>30</v>
      </c>
      <c r="AY46" s="1712"/>
      <c r="AZ46" s="1712">
        <v>128</v>
      </c>
      <c r="BA46" s="1712"/>
      <c r="BB46" s="1712">
        <v>2</v>
      </c>
      <c r="BC46" s="1712"/>
      <c r="BD46" s="1712"/>
      <c r="BE46" s="1712"/>
      <c r="BF46" s="1712"/>
      <c r="BG46" s="1712"/>
      <c r="BH46" s="1712"/>
      <c r="BI46" s="1712"/>
      <c r="BJ46" s="1712"/>
      <c r="BK46" s="1712">
        <v>29</v>
      </c>
      <c r="BL46" s="1712"/>
      <c r="BM46" s="1712"/>
      <c r="BN46" s="1712"/>
      <c r="BO46" s="1713"/>
      <c r="BP46" s="1317"/>
      <c r="BQ46" s="1317"/>
      <c r="BR46" s="1317"/>
      <c r="BS46" s="1317"/>
      <c r="BT46" s="1317"/>
      <c r="BU46" s="1317"/>
      <c r="BV46" s="1317"/>
      <c r="BW46" s="1317"/>
      <c r="BX46" s="1317"/>
      <c r="BY46" s="1317"/>
      <c r="BZ46" s="1317"/>
      <c r="CA46" s="1317"/>
      <c r="CB46" s="1317"/>
      <c r="CC46" s="1714"/>
      <c r="CD46" s="1718">
        <v>3</v>
      </c>
      <c r="CE46" s="1713"/>
      <c r="CF46" s="1317"/>
      <c r="CG46" s="1317"/>
      <c r="CH46" s="1317"/>
      <c r="CI46" s="1317"/>
      <c r="CJ46" s="1714">
        <v>32</v>
      </c>
      <c r="CK46" s="1713"/>
      <c r="CL46" s="1317"/>
      <c r="CM46" s="1317"/>
      <c r="CN46" s="1317"/>
      <c r="CO46" s="1317"/>
      <c r="CP46" s="1317"/>
      <c r="CQ46" s="1317"/>
      <c r="CR46" s="1317">
        <v>2</v>
      </c>
      <c r="CS46" s="1317"/>
      <c r="CT46" s="1714"/>
      <c r="CU46" s="262"/>
      <c r="CV46" s="262"/>
    </row>
    <row r="47" spans="1:100" hidden="1">
      <c r="A47" s="1309">
        <v>44440</v>
      </c>
      <c r="B47" s="1310">
        <f t="shared" si="2"/>
        <v>0</v>
      </c>
      <c r="C47" s="1310">
        <f t="shared" si="3"/>
        <v>0</v>
      </c>
      <c r="D47" s="1310">
        <f t="shared" si="4"/>
        <v>8</v>
      </c>
      <c r="E47" s="1310">
        <f t="shared" si="5"/>
        <v>0</v>
      </c>
      <c r="F47" s="1310">
        <f t="shared" si="6"/>
        <v>0</v>
      </c>
      <c r="G47" s="1310">
        <f t="shared" si="7"/>
        <v>14</v>
      </c>
      <c r="H47" s="1310">
        <f t="shared" si="8"/>
        <v>20</v>
      </c>
      <c r="I47" s="1310">
        <f t="shared" si="9"/>
        <v>0</v>
      </c>
      <c r="J47" s="1310">
        <f t="shared" si="10"/>
        <v>115</v>
      </c>
      <c r="K47" s="1310">
        <f t="shared" si="11"/>
        <v>0</v>
      </c>
      <c r="L47" s="1310">
        <f t="shared" si="12"/>
        <v>0</v>
      </c>
      <c r="M47" s="1310">
        <f t="shared" si="13"/>
        <v>0</v>
      </c>
      <c r="N47" s="1310">
        <f t="shared" si="14"/>
        <v>0</v>
      </c>
      <c r="O47" s="1310">
        <f t="shared" si="15"/>
        <v>0</v>
      </c>
      <c r="P47" s="1310">
        <f t="shared" si="37"/>
        <v>0</v>
      </c>
      <c r="Q47" s="1310">
        <f t="shared" si="38"/>
        <v>0</v>
      </c>
      <c r="R47" s="1310"/>
      <c r="S47" s="1310">
        <f t="shared" si="17"/>
        <v>0</v>
      </c>
      <c r="T47" s="1310">
        <f t="shared" si="18"/>
        <v>8</v>
      </c>
      <c r="U47" s="1310">
        <f t="shared" si="19"/>
        <v>0</v>
      </c>
      <c r="V47" s="1310">
        <f t="shared" si="20"/>
        <v>0</v>
      </c>
      <c r="W47" s="1310">
        <f t="shared" si="21"/>
        <v>0</v>
      </c>
      <c r="X47" s="1310">
        <f t="shared" si="22"/>
        <v>84</v>
      </c>
      <c r="Y47" s="1310">
        <f t="shared" si="23"/>
        <v>0</v>
      </c>
      <c r="Z47" s="1310">
        <f t="shared" si="24"/>
        <v>0</v>
      </c>
      <c r="AA47" s="1310">
        <f t="shared" si="25"/>
        <v>0</v>
      </c>
      <c r="AB47" s="1310">
        <f t="shared" si="26"/>
        <v>0</v>
      </c>
      <c r="AC47" s="1310">
        <f t="shared" si="27"/>
        <v>0</v>
      </c>
      <c r="AD47" s="1310">
        <f t="shared" si="28"/>
        <v>0</v>
      </c>
      <c r="AE47" s="1310">
        <f t="shared" si="29"/>
        <v>0</v>
      </c>
      <c r="AF47" s="1310">
        <f t="shared" si="30"/>
        <v>0</v>
      </c>
      <c r="AG47" s="1310">
        <f t="shared" si="31"/>
        <v>0</v>
      </c>
      <c r="AH47" s="1701">
        <f t="shared" si="32"/>
        <v>0</v>
      </c>
      <c r="AI47" s="1712"/>
      <c r="AJ47" s="1712"/>
      <c r="AK47" s="1712">
        <v>8</v>
      </c>
      <c r="AL47" s="1712"/>
      <c r="AM47" s="1712"/>
      <c r="AN47" s="1712">
        <v>14</v>
      </c>
      <c r="AO47" s="1712">
        <v>20</v>
      </c>
      <c r="AP47" s="1712"/>
      <c r="AQ47" s="1712">
        <v>115</v>
      </c>
      <c r="AR47" s="1712"/>
      <c r="AS47" s="1712"/>
      <c r="AT47" s="1712"/>
      <c r="AU47" s="1712"/>
      <c r="AV47" s="1712"/>
      <c r="AW47" s="1712"/>
      <c r="AX47" s="1712"/>
      <c r="AY47" s="1712"/>
      <c r="AZ47" s="1712">
        <v>8</v>
      </c>
      <c r="BA47" s="1712"/>
      <c r="BB47" s="1712"/>
      <c r="BC47" s="1712"/>
      <c r="BD47" s="1712">
        <v>52</v>
      </c>
      <c r="BE47" s="1712"/>
      <c r="BF47" s="1712"/>
      <c r="BG47" s="1712"/>
      <c r="BH47" s="1712"/>
      <c r="BI47" s="1712"/>
      <c r="BJ47" s="1712"/>
      <c r="BK47" s="1712"/>
      <c r="BL47" s="1712"/>
      <c r="BM47" s="1712"/>
      <c r="BN47" s="1712"/>
      <c r="BO47" s="1713"/>
      <c r="BP47" s="1317"/>
      <c r="BQ47" s="1317"/>
      <c r="BR47" s="1317"/>
      <c r="BS47" s="1317"/>
      <c r="BT47" s="1317"/>
      <c r="BU47" s="1317"/>
      <c r="BV47" s="1317"/>
      <c r="BW47" s="1317"/>
      <c r="BX47" s="1317"/>
      <c r="BY47" s="1317"/>
      <c r="BZ47" s="1317"/>
      <c r="CA47" s="1317"/>
      <c r="CB47" s="1317"/>
      <c r="CC47" s="1714"/>
      <c r="CD47" s="1718"/>
      <c r="CE47" s="1713"/>
      <c r="CF47" s="1317"/>
      <c r="CG47" s="1317"/>
      <c r="CH47" s="1317"/>
      <c r="CI47" s="1317"/>
      <c r="CJ47" s="1714">
        <v>32</v>
      </c>
      <c r="CK47" s="1713"/>
      <c r="CL47" s="1317"/>
      <c r="CM47" s="1317"/>
      <c r="CN47" s="1317"/>
      <c r="CO47" s="1317"/>
      <c r="CP47" s="1317"/>
      <c r="CQ47" s="1317"/>
      <c r="CR47" s="1317"/>
      <c r="CS47" s="1317"/>
      <c r="CT47" s="1714"/>
      <c r="CU47" s="262"/>
      <c r="CV47" s="262"/>
    </row>
    <row r="48" spans="1:100" hidden="1">
      <c r="A48" s="1309">
        <v>44470</v>
      </c>
      <c r="B48" s="1310">
        <f t="shared" si="2"/>
        <v>21</v>
      </c>
      <c r="C48" s="1310">
        <f t="shared" si="3"/>
        <v>0</v>
      </c>
      <c r="D48" s="1310">
        <f t="shared" si="4"/>
        <v>0</v>
      </c>
      <c r="E48" s="1310">
        <f t="shared" si="5"/>
        <v>0</v>
      </c>
      <c r="F48" s="1310">
        <f t="shared" si="6"/>
        <v>0</v>
      </c>
      <c r="G48" s="1310">
        <f t="shared" si="7"/>
        <v>4</v>
      </c>
      <c r="H48" s="1310">
        <f t="shared" si="8"/>
        <v>0</v>
      </c>
      <c r="I48" s="1310">
        <f t="shared" si="9"/>
        <v>0</v>
      </c>
      <c r="J48" s="1310">
        <f t="shared" si="10"/>
        <v>0</v>
      </c>
      <c r="K48" s="1310">
        <f t="shared" si="11"/>
        <v>0</v>
      </c>
      <c r="L48" s="1310">
        <f t="shared" si="12"/>
        <v>0</v>
      </c>
      <c r="M48" s="1310">
        <f t="shared" si="13"/>
        <v>29</v>
      </c>
      <c r="N48" s="1310">
        <f t="shared" si="14"/>
        <v>0</v>
      </c>
      <c r="O48" s="1310">
        <f t="shared" si="15"/>
        <v>0</v>
      </c>
      <c r="P48" s="1310">
        <f t="shared" si="37"/>
        <v>0</v>
      </c>
      <c r="Q48" s="1310">
        <f t="shared" si="38"/>
        <v>29</v>
      </c>
      <c r="R48" s="1310"/>
      <c r="S48" s="1310">
        <f t="shared" si="17"/>
        <v>0</v>
      </c>
      <c r="T48" s="1310">
        <f t="shared" si="18"/>
        <v>0</v>
      </c>
      <c r="U48" s="1310">
        <f t="shared" si="19"/>
        <v>0</v>
      </c>
      <c r="V48" s="1310">
        <f t="shared" si="20"/>
        <v>12</v>
      </c>
      <c r="W48" s="1310">
        <f t="shared" si="21"/>
        <v>0</v>
      </c>
      <c r="X48" s="1310">
        <f t="shared" si="22"/>
        <v>218</v>
      </c>
      <c r="Y48" s="1310">
        <f t="shared" si="23"/>
        <v>0</v>
      </c>
      <c r="Z48" s="1310">
        <f t="shared" si="24"/>
        <v>0</v>
      </c>
      <c r="AA48" s="1310">
        <f t="shared" si="25"/>
        <v>0</v>
      </c>
      <c r="AB48" s="1310">
        <f t="shared" si="26"/>
        <v>0</v>
      </c>
      <c r="AC48" s="1310">
        <f t="shared" si="27"/>
        <v>0</v>
      </c>
      <c r="AD48" s="1310">
        <f t="shared" si="28"/>
        <v>7</v>
      </c>
      <c r="AE48" s="1310">
        <f t="shared" si="29"/>
        <v>0</v>
      </c>
      <c r="AF48" s="1310">
        <f t="shared" si="30"/>
        <v>7</v>
      </c>
      <c r="AG48" s="1310">
        <f t="shared" si="31"/>
        <v>0</v>
      </c>
      <c r="AH48" s="1701">
        <f t="shared" si="32"/>
        <v>0</v>
      </c>
      <c r="AI48" s="1712">
        <v>21</v>
      </c>
      <c r="AJ48" s="1712"/>
      <c r="AK48" s="1712"/>
      <c r="AL48" s="1712"/>
      <c r="AM48" s="1712"/>
      <c r="AN48" s="1712">
        <v>4</v>
      </c>
      <c r="AO48" s="1712"/>
      <c r="AP48" s="1712"/>
      <c r="AQ48" s="1712"/>
      <c r="AR48" s="1712"/>
      <c r="AS48" s="1712"/>
      <c r="AT48" s="1712">
        <v>29</v>
      </c>
      <c r="AU48" s="1712"/>
      <c r="AV48" s="1712"/>
      <c r="AW48" s="1712"/>
      <c r="AX48" s="1712"/>
      <c r="AY48" s="1712"/>
      <c r="AZ48" s="1712"/>
      <c r="BA48" s="1712"/>
      <c r="BB48" s="1712">
        <v>12</v>
      </c>
      <c r="BC48" s="1712"/>
      <c r="BD48" s="1712">
        <v>16</v>
      </c>
      <c r="BE48" s="1712"/>
      <c r="BF48" s="1712"/>
      <c r="BG48" s="1712"/>
      <c r="BH48" s="1712"/>
      <c r="BI48" s="1712"/>
      <c r="BJ48" s="1712"/>
      <c r="BK48" s="1712"/>
      <c r="BL48" s="1712"/>
      <c r="BM48" s="1712"/>
      <c r="BN48" s="1712"/>
      <c r="BO48" s="1713"/>
      <c r="BP48" s="1317"/>
      <c r="BQ48" s="1317"/>
      <c r="BR48" s="1317"/>
      <c r="BS48" s="1317"/>
      <c r="BT48" s="1317"/>
      <c r="BU48" s="1317"/>
      <c r="BV48" s="1317"/>
      <c r="BW48" s="1317"/>
      <c r="BX48" s="1317"/>
      <c r="BY48" s="1317"/>
      <c r="BZ48" s="1317"/>
      <c r="CA48" s="1317"/>
      <c r="CB48" s="1317"/>
      <c r="CC48" s="1714"/>
      <c r="CD48" s="1718">
        <v>29</v>
      </c>
      <c r="CE48" s="1713"/>
      <c r="CF48" s="1317"/>
      <c r="CG48" s="1317"/>
      <c r="CH48" s="1317"/>
      <c r="CI48" s="1317"/>
      <c r="CJ48" s="1714">
        <v>202</v>
      </c>
      <c r="CK48" s="1713"/>
      <c r="CL48" s="1317"/>
      <c r="CM48" s="1317"/>
      <c r="CN48" s="1317"/>
      <c r="CO48" s="1317"/>
      <c r="CP48" s="1317">
        <v>7</v>
      </c>
      <c r="CQ48" s="1317"/>
      <c r="CR48" s="1317">
        <v>7</v>
      </c>
      <c r="CS48" s="1317"/>
      <c r="CT48" s="1714"/>
      <c r="CU48" s="262"/>
      <c r="CV48" s="262"/>
    </row>
    <row r="49" spans="1:102" hidden="1">
      <c r="A49" s="1309">
        <v>44501</v>
      </c>
      <c r="B49" s="1310">
        <f t="shared" si="2"/>
        <v>0</v>
      </c>
      <c r="C49" s="1310">
        <f t="shared" si="3"/>
        <v>0</v>
      </c>
      <c r="D49" s="1310">
        <f t="shared" si="4"/>
        <v>8</v>
      </c>
      <c r="E49" s="1310">
        <f t="shared" si="5"/>
        <v>0</v>
      </c>
      <c r="F49" s="1310">
        <f t="shared" si="6"/>
        <v>5</v>
      </c>
      <c r="G49" s="1310">
        <f t="shared" si="7"/>
        <v>0</v>
      </c>
      <c r="H49" s="1310">
        <f t="shared" si="8"/>
        <v>0</v>
      </c>
      <c r="I49" s="1310">
        <f t="shared" si="9"/>
        <v>0</v>
      </c>
      <c r="J49" s="1310">
        <f t="shared" si="10"/>
        <v>0</v>
      </c>
      <c r="K49" s="1310">
        <f t="shared" si="11"/>
        <v>5</v>
      </c>
      <c r="L49" s="1310">
        <f t="shared" si="12"/>
        <v>0</v>
      </c>
      <c r="M49" s="1310">
        <f t="shared" si="13"/>
        <v>0</v>
      </c>
      <c r="N49" s="1310">
        <f t="shared" si="14"/>
        <v>0</v>
      </c>
      <c r="O49" s="1310">
        <f t="shared" si="15"/>
        <v>0</v>
      </c>
      <c r="P49" s="1310">
        <f t="shared" si="37"/>
        <v>0</v>
      </c>
      <c r="Q49" s="1310">
        <f t="shared" si="38"/>
        <v>0</v>
      </c>
      <c r="R49" s="1310"/>
      <c r="S49" s="1310">
        <f t="shared" si="17"/>
        <v>0</v>
      </c>
      <c r="T49" s="1310">
        <f t="shared" si="18"/>
        <v>0</v>
      </c>
      <c r="U49" s="1310">
        <f t="shared" si="19"/>
        <v>5</v>
      </c>
      <c r="V49" s="1310">
        <f t="shared" si="20"/>
        <v>2</v>
      </c>
      <c r="W49" s="1310">
        <f t="shared" si="21"/>
        <v>0</v>
      </c>
      <c r="X49" s="1310">
        <f t="shared" si="22"/>
        <v>46</v>
      </c>
      <c r="Y49" s="1310">
        <f t="shared" si="23"/>
        <v>0</v>
      </c>
      <c r="Z49" s="1310">
        <f t="shared" si="24"/>
        <v>0</v>
      </c>
      <c r="AA49" s="1310">
        <f t="shared" si="25"/>
        <v>7</v>
      </c>
      <c r="AB49" s="1310">
        <f t="shared" si="26"/>
        <v>0</v>
      </c>
      <c r="AC49" s="1310">
        <f t="shared" si="27"/>
        <v>0</v>
      </c>
      <c r="AD49" s="1310">
        <f t="shared" si="28"/>
        <v>0</v>
      </c>
      <c r="AE49" s="1310">
        <f t="shared" si="29"/>
        <v>0</v>
      </c>
      <c r="AF49" s="1310">
        <f t="shared" si="30"/>
        <v>7</v>
      </c>
      <c r="AG49" s="1310">
        <f t="shared" si="31"/>
        <v>0</v>
      </c>
      <c r="AH49" s="1701">
        <f t="shared" si="32"/>
        <v>0</v>
      </c>
      <c r="AI49" s="1712"/>
      <c r="AJ49" s="1712"/>
      <c r="AK49" s="1712">
        <v>8</v>
      </c>
      <c r="AL49" s="1712"/>
      <c r="AM49" s="1712"/>
      <c r="AN49" s="1712"/>
      <c r="AO49" s="1712"/>
      <c r="AP49" s="1712"/>
      <c r="AQ49" s="1712"/>
      <c r="AR49" s="1712"/>
      <c r="AS49" s="1712"/>
      <c r="AT49" s="1712"/>
      <c r="AU49" s="1712"/>
      <c r="AV49" s="1712"/>
      <c r="AW49" s="1712"/>
      <c r="AX49" s="1712"/>
      <c r="AY49" s="1712"/>
      <c r="AZ49" s="1712"/>
      <c r="BA49" s="1712">
        <v>5</v>
      </c>
      <c r="BB49" s="1712">
        <v>2</v>
      </c>
      <c r="BC49" s="1712"/>
      <c r="BD49" s="1712"/>
      <c r="BE49" s="1712"/>
      <c r="BF49" s="1712"/>
      <c r="BG49" s="1712">
        <v>7</v>
      </c>
      <c r="BH49" s="1712"/>
      <c r="BI49" s="1712"/>
      <c r="BJ49" s="1712"/>
      <c r="BK49" s="1712"/>
      <c r="BL49" s="1712">
        <v>7</v>
      </c>
      <c r="BM49" s="1712"/>
      <c r="BN49" s="1712"/>
      <c r="BO49" s="1713"/>
      <c r="BP49" s="1317"/>
      <c r="BQ49" s="1317"/>
      <c r="BR49" s="1317"/>
      <c r="BS49" s="1317">
        <v>5</v>
      </c>
      <c r="BT49" s="1317"/>
      <c r="BU49" s="1317"/>
      <c r="BV49" s="1317"/>
      <c r="BW49" s="1317"/>
      <c r="BX49" s="1317">
        <v>5</v>
      </c>
      <c r="BY49" s="1317"/>
      <c r="BZ49" s="1317"/>
      <c r="CA49" s="1317"/>
      <c r="CB49" s="1317"/>
      <c r="CC49" s="1714"/>
      <c r="CD49" s="1718"/>
      <c r="CE49" s="1713"/>
      <c r="CF49" s="1317"/>
      <c r="CG49" s="1317"/>
      <c r="CH49" s="1317"/>
      <c r="CI49" s="1317"/>
      <c r="CJ49" s="1714">
        <v>46</v>
      </c>
      <c r="CK49" s="1713"/>
      <c r="CL49" s="1317"/>
      <c r="CM49" s="1317"/>
      <c r="CN49" s="1317"/>
      <c r="CO49" s="1317"/>
      <c r="CP49" s="1317"/>
      <c r="CQ49" s="1317"/>
      <c r="CR49" s="1317"/>
      <c r="CS49" s="1317"/>
      <c r="CT49" s="1714"/>
      <c r="CU49" s="262"/>
      <c r="CV49" s="262"/>
    </row>
    <row r="50" spans="1:102" hidden="1">
      <c r="A50" s="1309">
        <v>44531</v>
      </c>
      <c r="B50" s="1310">
        <f t="shared" si="2"/>
        <v>0</v>
      </c>
      <c r="C50" s="1310">
        <f t="shared" si="3"/>
        <v>0</v>
      </c>
      <c r="D50" s="1310">
        <f t="shared" si="4"/>
        <v>0</v>
      </c>
      <c r="E50" s="1310">
        <f t="shared" si="5"/>
        <v>0</v>
      </c>
      <c r="F50" s="1310">
        <f t="shared" si="6"/>
        <v>3</v>
      </c>
      <c r="G50" s="1310">
        <f t="shared" si="7"/>
        <v>0</v>
      </c>
      <c r="H50" s="1310">
        <f t="shared" si="8"/>
        <v>0</v>
      </c>
      <c r="I50" s="1310">
        <f t="shared" si="9"/>
        <v>0</v>
      </c>
      <c r="J50" s="1310">
        <f t="shared" si="10"/>
        <v>0</v>
      </c>
      <c r="K50" s="1310">
        <f t="shared" si="11"/>
        <v>0</v>
      </c>
      <c r="L50" s="1310">
        <f t="shared" si="12"/>
        <v>0</v>
      </c>
      <c r="M50" s="1310">
        <f t="shared" si="13"/>
        <v>0</v>
      </c>
      <c r="N50" s="1310">
        <f t="shared" si="14"/>
        <v>0</v>
      </c>
      <c r="O50" s="1310">
        <f t="shared" si="15"/>
        <v>0</v>
      </c>
      <c r="P50" s="1310">
        <f t="shared" si="37"/>
        <v>0</v>
      </c>
      <c r="Q50" s="1310">
        <f t="shared" si="38"/>
        <v>0</v>
      </c>
      <c r="R50" s="1310"/>
      <c r="S50" s="1310">
        <f t="shared" si="17"/>
        <v>0</v>
      </c>
      <c r="T50" s="1310">
        <f t="shared" si="18"/>
        <v>0</v>
      </c>
      <c r="U50" s="1310">
        <f t="shared" si="19"/>
        <v>0</v>
      </c>
      <c r="V50" s="1310">
        <f t="shared" si="20"/>
        <v>22</v>
      </c>
      <c r="W50" s="1310">
        <f t="shared" si="21"/>
        <v>0</v>
      </c>
      <c r="X50" s="1310">
        <f t="shared" si="22"/>
        <v>51</v>
      </c>
      <c r="Y50" s="1310">
        <f t="shared" si="23"/>
        <v>0</v>
      </c>
      <c r="Z50" s="1310">
        <f t="shared" si="24"/>
        <v>0</v>
      </c>
      <c r="AA50" s="1310">
        <f t="shared" si="25"/>
        <v>0</v>
      </c>
      <c r="AB50" s="1310">
        <f t="shared" si="26"/>
        <v>0</v>
      </c>
      <c r="AC50" s="1310">
        <f t="shared" si="27"/>
        <v>0</v>
      </c>
      <c r="AD50" s="1310">
        <f t="shared" si="28"/>
        <v>13</v>
      </c>
      <c r="AE50" s="1310">
        <f t="shared" si="29"/>
        <v>0</v>
      </c>
      <c r="AF50" s="1310">
        <f t="shared" si="30"/>
        <v>3</v>
      </c>
      <c r="AG50" s="1310">
        <f t="shared" si="31"/>
        <v>0</v>
      </c>
      <c r="AH50" s="1701">
        <f t="shared" si="32"/>
        <v>0</v>
      </c>
      <c r="AI50" s="2264"/>
      <c r="AJ50" s="2264"/>
      <c r="AK50" s="2264"/>
      <c r="AL50" s="2264"/>
      <c r="AM50" s="2264">
        <v>3</v>
      </c>
      <c r="AN50" s="2264"/>
      <c r="AO50" s="2264"/>
      <c r="AP50" s="2264"/>
      <c r="AQ50" s="2264"/>
      <c r="AR50" s="2264"/>
      <c r="AS50" s="2264"/>
      <c r="AT50" s="2264"/>
      <c r="AU50" s="2264"/>
      <c r="AV50" s="2264"/>
      <c r="AW50" s="2264"/>
      <c r="AX50" s="2264"/>
      <c r="AY50" s="2264"/>
      <c r="AZ50" s="2264"/>
      <c r="BA50" s="2264"/>
      <c r="BB50" s="2264">
        <v>22</v>
      </c>
      <c r="BC50" s="2264"/>
      <c r="BD50" s="2264">
        <v>5</v>
      </c>
      <c r="BE50" s="2264"/>
      <c r="BF50" s="2264"/>
      <c r="BG50" s="2264"/>
      <c r="BH50" s="2264"/>
      <c r="BI50" s="2264"/>
      <c r="BJ50" s="2264">
        <v>7</v>
      </c>
      <c r="BK50" s="2264"/>
      <c r="BL50" s="2264">
        <v>3</v>
      </c>
      <c r="BM50" s="2264"/>
      <c r="BN50" s="2264"/>
      <c r="BO50" s="1894"/>
      <c r="BP50" s="1895"/>
      <c r="BQ50" s="1895"/>
      <c r="BR50" s="1895"/>
      <c r="BS50" s="1895"/>
      <c r="BT50" s="1895"/>
      <c r="BU50" s="1895"/>
      <c r="BV50" s="1895"/>
      <c r="BW50" s="1895"/>
      <c r="BX50" s="1895"/>
      <c r="BY50" s="1895"/>
      <c r="BZ50" s="1895"/>
      <c r="CA50" s="1895"/>
      <c r="CB50" s="1895"/>
      <c r="CC50" s="1914"/>
      <c r="CD50" s="1915"/>
      <c r="CE50" s="1713"/>
      <c r="CF50" s="1317"/>
      <c r="CG50" s="1317"/>
      <c r="CH50" s="1317"/>
      <c r="CI50" s="1317"/>
      <c r="CJ50" s="1714">
        <v>46</v>
      </c>
      <c r="CK50" s="1713"/>
      <c r="CL50" s="1317"/>
      <c r="CM50" s="1317"/>
      <c r="CN50" s="1317"/>
      <c r="CO50" s="1317"/>
      <c r="CP50" s="1317">
        <v>6</v>
      </c>
      <c r="CQ50" s="1317"/>
      <c r="CR50" s="1317"/>
      <c r="CS50" s="1317"/>
      <c r="CT50" s="1714"/>
      <c r="CU50" s="262"/>
      <c r="CV50" s="262"/>
    </row>
    <row r="51" spans="1:102" hidden="1">
      <c r="A51" s="1309">
        <v>44562</v>
      </c>
      <c r="B51" s="1310">
        <f t="shared" ref="B51:B62" si="39">+AI51+BO51</f>
        <v>0</v>
      </c>
      <c r="C51" s="1310">
        <f t="shared" ref="C51:C62" si="40">+AJ51+BP51</f>
        <v>14</v>
      </c>
      <c r="D51" s="1310">
        <f t="shared" ref="D51:D62" si="41">+AK51+BQ51</f>
        <v>0</v>
      </c>
      <c r="E51" s="1310">
        <f t="shared" ref="E51:E62" si="42">+AL51+BR51</f>
        <v>0</v>
      </c>
      <c r="F51" s="1310">
        <f t="shared" ref="F51:F62" si="43">+AM51+BS51</f>
        <v>0</v>
      </c>
      <c r="G51" s="1310">
        <f t="shared" ref="G51:G62" si="44">+AN51+BT51</f>
        <v>0</v>
      </c>
      <c r="H51" s="1310">
        <f t="shared" ref="H51:H62" si="45">+AO51+BU51</f>
        <v>0</v>
      </c>
      <c r="I51" s="1310">
        <f t="shared" ref="I51:I62" si="46">+AP51+BV51</f>
        <v>0</v>
      </c>
      <c r="J51" s="1310">
        <f t="shared" ref="J51:J62" si="47">+AQ51+BW51</f>
        <v>0</v>
      </c>
      <c r="K51" s="1310">
        <f t="shared" ref="K51:K62" si="48">+AR51+BX51</f>
        <v>0</v>
      </c>
      <c r="L51" s="1310">
        <f t="shared" ref="L51:L62" si="49">+AS51+BY51</f>
        <v>0</v>
      </c>
      <c r="M51" s="1310">
        <f t="shared" ref="M51:M62" si="50">+AT51+BZ51</f>
        <v>0</v>
      </c>
      <c r="N51" s="1310">
        <f t="shared" ref="N51:N62" si="51">+AU51+CA51</f>
        <v>0</v>
      </c>
      <c r="O51" s="1310">
        <f t="shared" ref="O51:O62" si="52">+AV51+CB51</f>
        <v>0</v>
      </c>
      <c r="P51" s="1310">
        <f t="shared" ref="P51:P62" si="53">+AW51+CC51</f>
        <v>0</v>
      </c>
      <c r="Q51" s="1310">
        <f t="shared" ref="Q51:Q62" si="54">+AX51+CD51</f>
        <v>0</v>
      </c>
      <c r="R51" s="1310"/>
      <c r="S51" s="1310">
        <f t="shared" ref="S51:S62" si="55">+AY51+CE51</f>
        <v>0</v>
      </c>
      <c r="T51" s="1310">
        <f t="shared" ref="T51:T62" si="56">+AZ51+CF51</f>
        <v>0</v>
      </c>
      <c r="U51" s="1310">
        <f t="shared" ref="U51:U62" si="57">+BA51+CG51</f>
        <v>2</v>
      </c>
      <c r="V51" s="1310">
        <f t="shared" ref="V51:V62" si="58">+BB51+CH51</f>
        <v>0</v>
      </c>
      <c r="W51" s="1310">
        <f t="shared" ref="W51:W62" si="59">+BC51+CI51</f>
        <v>0</v>
      </c>
      <c r="X51" s="1310">
        <f t="shared" ref="X51:X62" si="60">+BD51+CJ51</f>
        <v>20</v>
      </c>
      <c r="Y51" s="1310">
        <f t="shared" ref="Y51:Y62" si="61">+BE51+CK51</f>
        <v>5</v>
      </c>
      <c r="Z51" s="1310">
        <f t="shared" ref="Z51:Z62" si="62">+BF51+CL51</f>
        <v>0</v>
      </c>
      <c r="AA51" s="1310">
        <f t="shared" ref="AA51:AA62" si="63">+BG51+CM51</f>
        <v>0</v>
      </c>
      <c r="AB51" s="1310">
        <f t="shared" ref="AB51:AB62" si="64">+BH51+CN51</f>
        <v>0</v>
      </c>
      <c r="AC51" s="1310">
        <f t="shared" ref="AC51:AC62" si="65">+BI51+CO51</f>
        <v>0</v>
      </c>
      <c r="AD51" s="1310">
        <f t="shared" ref="AD51:AD62" si="66">+BJ51+CP51</f>
        <v>0</v>
      </c>
      <c r="AE51" s="1310">
        <f t="shared" ref="AE51:AE62" si="67">+BK51+CQ51</f>
        <v>0</v>
      </c>
      <c r="AF51" s="1310">
        <f t="shared" ref="AF51:AF62" si="68">+BL51+CR51</f>
        <v>42</v>
      </c>
      <c r="AG51" s="1310">
        <f t="shared" ref="AG51:AG62" si="69">+BM51+CS51</f>
        <v>0</v>
      </c>
      <c r="AH51" s="1701">
        <f t="shared" ref="AH51:AH62" si="70">+BN51+CT51</f>
        <v>0</v>
      </c>
      <c r="AI51" s="1869"/>
      <c r="AJ51" s="1869">
        <v>14</v>
      </c>
      <c r="AK51" s="1869"/>
      <c r="AL51" s="1869"/>
      <c r="AM51" s="1869"/>
      <c r="AN51" s="1869"/>
      <c r="AO51" s="1869"/>
      <c r="AP51" s="1869"/>
      <c r="AQ51" s="1869"/>
      <c r="AR51" s="1869"/>
      <c r="AS51" s="1869"/>
      <c r="AT51" s="1869"/>
      <c r="AU51" s="1869"/>
      <c r="AV51" s="1869"/>
      <c r="AW51" s="1869"/>
      <c r="AX51" s="1869"/>
      <c r="AY51" s="1869"/>
      <c r="AZ51" s="1869"/>
      <c r="BA51" s="1869">
        <v>2</v>
      </c>
      <c r="BB51" s="1869"/>
      <c r="BC51" s="1869"/>
      <c r="BD51" s="1869"/>
      <c r="BE51" s="1869">
        <v>5</v>
      </c>
      <c r="BF51" s="1869"/>
      <c r="BG51" s="1869"/>
      <c r="BH51" s="1869"/>
      <c r="BI51" s="1869"/>
      <c r="BJ51" s="1869"/>
      <c r="BK51" s="1869"/>
      <c r="BL51" s="1869"/>
      <c r="BM51" s="1869"/>
      <c r="BN51" s="1869"/>
      <c r="BO51" s="1317"/>
      <c r="BP51" s="1317"/>
      <c r="BQ51" s="1317"/>
      <c r="BR51" s="1317"/>
      <c r="BS51" s="1317"/>
      <c r="BT51" s="1317"/>
      <c r="BU51" s="1317"/>
      <c r="BV51" s="1317"/>
      <c r="BW51" s="1317"/>
      <c r="BX51" s="1317"/>
      <c r="BY51" s="1317"/>
      <c r="BZ51" s="1317"/>
      <c r="CA51" s="1317"/>
      <c r="CB51" s="1317"/>
      <c r="CC51" s="1317"/>
      <c r="CD51" s="1317"/>
      <c r="CE51" s="1868"/>
      <c r="CF51" s="1317"/>
      <c r="CG51" s="1317"/>
      <c r="CH51" s="1317"/>
      <c r="CI51" s="1317"/>
      <c r="CJ51" s="1714">
        <v>20</v>
      </c>
      <c r="CK51" s="1713"/>
      <c r="CL51" s="1317"/>
      <c r="CM51" s="1317"/>
      <c r="CN51" s="1317"/>
      <c r="CO51" s="1317"/>
      <c r="CP51" s="1317"/>
      <c r="CQ51" s="1317"/>
      <c r="CR51" s="1317">
        <v>42</v>
      </c>
      <c r="CS51" s="1317"/>
      <c r="CT51" s="1714"/>
      <c r="CU51" s="262"/>
      <c r="CV51" s="262"/>
    </row>
    <row r="52" spans="1:102" hidden="1">
      <c r="A52" s="1309">
        <v>44593</v>
      </c>
      <c r="B52" s="1310">
        <f t="shared" si="39"/>
        <v>11</v>
      </c>
      <c r="C52" s="1310">
        <f t="shared" si="40"/>
        <v>0</v>
      </c>
      <c r="D52" s="1310">
        <f t="shared" si="41"/>
        <v>0</v>
      </c>
      <c r="E52" s="1310">
        <f t="shared" si="42"/>
        <v>39</v>
      </c>
      <c r="F52" s="1310">
        <f t="shared" si="43"/>
        <v>0</v>
      </c>
      <c r="G52" s="1310">
        <f t="shared" si="44"/>
        <v>0</v>
      </c>
      <c r="H52" s="1310">
        <f t="shared" si="45"/>
        <v>0</v>
      </c>
      <c r="I52" s="1310">
        <f t="shared" si="46"/>
        <v>0</v>
      </c>
      <c r="J52" s="1310">
        <f t="shared" si="47"/>
        <v>0</v>
      </c>
      <c r="K52" s="1310">
        <f t="shared" si="48"/>
        <v>3</v>
      </c>
      <c r="L52" s="1310">
        <f t="shared" si="49"/>
        <v>30</v>
      </c>
      <c r="M52" s="1310">
        <f t="shared" si="50"/>
        <v>0</v>
      </c>
      <c r="N52" s="1310">
        <f t="shared" si="51"/>
        <v>0</v>
      </c>
      <c r="O52" s="1310">
        <f t="shared" si="52"/>
        <v>0</v>
      </c>
      <c r="P52" s="1310">
        <f t="shared" si="53"/>
        <v>0</v>
      </c>
      <c r="Q52" s="1310">
        <f t="shared" si="54"/>
        <v>0</v>
      </c>
      <c r="R52" s="1310"/>
      <c r="S52" s="1310">
        <f t="shared" si="55"/>
        <v>0</v>
      </c>
      <c r="T52" s="1310">
        <f t="shared" si="56"/>
        <v>0</v>
      </c>
      <c r="U52" s="1310">
        <f t="shared" si="57"/>
        <v>0</v>
      </c>
      <c r="V52" s="1310">
        <f t="shared" si="58"/>
        <v>0</v>
      </c>
      <c r="W52" s="1310">
        <f t="shared" si="59"/>
        <v>0</v>
      </c>
      <c r="X52" s="1310">
        <f t="shared" si="60"/>
        <v>166</v>
      </c>
      <c r="Y52" s="1310">
        <f t="shared" si="61"/>
        <v>0</v>
      </c>
      <c r="Z52" s="1310">
        <f t="shared" si="62"/>
        <v>0</v>
      </c>
      <c r="AA52" s="1310">
        <f t="shared" si="63"/>
        <v>0</v>
      </c>
      <c r="AB52" s="1310">
        <f t="shared" si="64"/>
        <v>0</v>
      </c>
      <c r="AC52" s="1310">
        <f t="shared" si="65"/>
        <v>0</v>
      </c>
      <c r="AD52" s="1310">
        <f t="shared" si="66"/>
        <v>0</v>
      </c>
      <c r="AE52" s="1310">
        <f t="shared" si="67"/>
        <v>0</v>
      </c>
      <c r="AF52" s="1310">
        <f t="shared" si="68"/>
        <v>0</v>
      </c>
      <c r="AG52" s="1310">
        <f t="shared" si="69"/>
        <v>24</v>
      </c>
      <c r="AH52" s="1701">
        <f t="shared" si="70"/>
        <v>0</v>
      </c>
      <c r="AI52" s="1869">
        <v>11</v>
      </c>
      <c r="AJ52" s="1869"/>
      <c r="AK52" s="1869"/>
      <c r="AL52" s="1869">
        <v>39</v>
      </c>
      <c r="AM52" s="1869"/>
      <c r="AN52" s="1869"/>
      <c r="AO52" s="1869"/>
      <c r="AP52" s="1869"/>
      <c r="AQ52" s="1869"/>
      <c r="AR52" s="1869">
        <v>3</v>
      </c>
      <c r="AS52" s="1869">
        <v>30</v>
      </c>
      <c r="AT52" s="1869"/>
      <c r="AU52" s="1869"/>
      <c r="AV52" s="1869"/>
      <c r="AW52" s="1869"/>
      <c r="AX52" s="1869"/>
      <c r="AY52" s="1869"/>
      <c r="AZ52" s="1869"/>
      <c r="BA52" s="1869"/>
      <c r="BB52" s="1869"/>
      <c r="BC52" s="1869"/>
      <c r="BD52" s="1869">
        <v>164</v>
      </c>
      <c r="BE52" s="1869"/>
      <c r="BF52" s="1869"/>
      <c r="BG52" s="1869"/>
      <c r="BH52" s="1869"/>
      <c r="BI52" s="1869"/>
      <c r="BJ52" s="1869"/>
      <c r="BK52" s="1869"/>
      <c r="BL52" s="1869"/>
      <c r="BM52" s="1869">
        <v>24</v>
      </c>
      <c r="BN52" s="1869"/>
      <c r="BO52" s="1317"/>
      <c r="BP52" s="1317"/>
      <c r="BQ52" s="1317"/>
      <c r="BR52" s="1317"/>
      <c r="BS52" s="1317"/>
      <c r="BT52" s="1317"/>
      <c r="BU52" s="1317"/>
      <c r="BV52" s="1317"/>
      <c r="BW52" s="1317"/>
      <c r="BX52" s="1317"/>
      <c r="BY52" s="1317"/>
      <c r="BZ52" s="1317"/>
      <c r="CA52" s="1317"/>
      <c r="CB52" s="1317"/>
      <c r="CC52" s="1317"/>
      <c r="CD52" s="1317"/>
      <c r="CE52" s="1868"/>
      <c r="CF52" s="1317"/>
      <c r="CG52" s="1317"/>
      <c r="CH52" s="1317"/>
      <c r="CI52" s="1317"/>
      <c r="CJ52" s="1714">
        <v>2</v>
      </c>
      <c r="CK52" s="1713"/>
      <c r="CL52" s="1317"/>
      <c r="CM52" s="1317"/>
      <c r="CN52" s="1317"/>
      <c r="CO52" s="1317"/>
      <c r="CP52" s="1317"/>
      <c r="CQ52" s="1317"/>
      <c r="CR52" s="1317"/>
      <c r="CS52" s="1317"/>
      <c r="CT52" s="1714"/>
      <c r="CU52" s="262"/>
      <c r="CV52" s="262"/>
    </row>
    <row r="53" spans="1:102" hidden="1">
      <c r="A53" s="1309">
        <v>44621</v>
      </c>
      <c r="B53" s="1310">
        <f t="shared" si="39"/>
        <v>0</v>
      </c>
      <c r="C53" s="1310">
        <f t="shared" si="40"/>
        <v>0</v>
      </c>
      <c r="D53" s="1310">
        <f t="shared" si="41"/>
        <v>36</v>
      </c>
      <c r="E53" s="1310">
        <f t="shared" si="42"/>
        <v>0</v>
      </c>
      <c r="F53" s="1310">
        <f t="shared" si="43"/>
        <v>0</v>
      </c>
      <c r="G53" s="1310">
        <f t="shared" si="44"/>
        <v>0</v>
      </c>
      <c r="H53" s="1310">
        <f t="shared" si="45"/>
        <v>0</v>
      </c>
      <c r="I53" s="1310">
        <f t="shared" si="46"/>
        <v>0</v>
      </c>
      <c r="J53" s="1310">
        <f t="shared" si="47"/>
        <v>0</v>
      </c>
      <c r="K53" s="1310">
        <f t="shared" si="48"/>
        <v>347</v>
      </c>
      <c r="L53" s="1310">
        <f t="shared" si="49"/>
        <v>0</v>
      </c>
      <c r="M53" s="1310">
        <f t="shared" si="50"/>
        <v>0</v>
      </c>
      <c r="N53" s="1310">
        <f t="shared" si="51"/>
        <v>0</v>
      </c>
      <c r="O53" s="1310">
        <f t="shared" si="52"/>
        <v>0</v>
      </c>
      <c r="P53" s="1310">
        <f t="shared" si="53"/>
        <v>0</v>
      </c>
      <c r="Q53" s="1310">
        <f t="shared" si="54"/>
        <v>0</v>
      </c>
      <c r="R53" s="1310"/>
      <c r="S53" s="1310">
        <f t="shared" si="55"/>
        <v>7</v>
      </c>
      <c r="T53" s="1310">
        <f t="shared" si="56"/>
        <v>0</v>
      </c>
      <c r="U53" s="1310">
        <f t="shared" si="57"/>
        <v>0</v>
      </c>
      <c r="V53" s="1310">
        <f t="shared" si="58"/>
        <v>0</v>
      </c>
      <c r="W53" s="1310">
        <f t="shared" si="59"/>
        <v>0</v>
      </c>
      <c r="X53" s="1310">
        <f t="shared" si="60"/>
        <v>389</v>
      </c>
      <c r="Y53" s="1310">
        <f t="shared" si="61"/>
        <v>3</v>
      </c>
      <c r="Z53" s="1310">
        <f t="shared" si="62"/>
        <v>0</v>
      </c>
      <c r="AA53" s="1310">
        <f t="shared" si="63"/>
        <v>0</v>
      </c>
      <c r="AB53" s="1310">
        <f t="shared" si="64"/>
        <v>0</v>
      </c>
      <c r="AC53" s="1310">
        <f t="shared" si="65"/>
        <v>0</v>
      </c>
      <c r="AD53" s="1310">
        <f t="shared" si="66"/>
        <v>7</v>
      </c>
      <c r="AE53" s="1310">
        <f t="shared" si="67"/>
        <v>0</v>
      </c>
      <c r="AF53" s="1310">
        <f t="shared" si="68"/>
        <v>0</v>
      </c>
      <c r="AG53" s="1310">
        <f t="shared" si="69"/>
        <v>502</v>
      </c>
      <c r="AH53" s="1701">
        <f t="shared" si="70"/>
        <v>21</v>
      </c>
      <c r="AI53" s="1869"/>
      <c r="AJ53" s="1869"/>
      <c r="AK53" s="1869">
        <v>36</v>
      </c>
      <c r="AL53" s="1869"/>
      <c r="AM53" s="1869"/>
      <c r="AN53" s="1869"/>
      <c r="AO53" s="1869"/>
      <c r="AP53" s="1869"/>
      <c r="AQ53" s="1869"/>
      <c r="AR53" s="1869">
        <v>14</v>
      </c>
      <c r="AS53" s="1869"/>
      <c r="AT53" s="1869"/>
      <c r="AU53" s="1869"/>
      <c r="AV53" s="1869"/>
      <c r="AW53" s="1869"/>
      <c r="AX53" s="1869"/>
      <c r="AY53" s="1869">
        <v>7</v>
      </c>
      <c r="AZ53" s="1869"/>
      <c r="BA53" s="1869"/>
      <c r="BB53" s="1869"/>
      <c r="BC53" s="1869"/>
      <c r="BD53" s="1869">
        <v>71</v>
      </c>
      <c r="BE53" s="1869"/>
      <c r="BF53" s="1869"/>
      <c r="BG53" s="1869"/>
      <c r="BH53" s="1869"/>
      <c r="BI53" s="1869"/>
      <c r="BJ53" s="1869"/>
      <c r="BK53" s="1869"/>
      <c r="BL53" s="1869"/>
      <c r="BM53" s="1869"/>
      <c r="BN53" s="1869"/>
      <c r="BO53" s="1317"/>
      <c r="BP53" s="1317"/>
      <c r="BQ53" s="1317"/>
      <c r="BR53" s="1317"/>
      <c r="BS53" s="1317"/>
      <c r="BT53" s="1317"/>
      <c r="BU53" s="1317"/>
      <c r="BV53" s="1317"/>
      <c r="BW53" s="1317"/>
      <c r="BX53" s="1317">
        <v>333</v>
      </c>
      <c r="BY53" s="1317"/>
      <c r="BZ53" s="1317"/>
      <c r="CA53" s="1317"/>
      <c r="CB53" s="1317"/>
      <c r="CC53" s="1317"/>
      <c r="CD53" s="1317"/>
      <c r="CE53" s="1868"/>
      <c r="CF53" s="1317"/>
      <c r="CG53" s="1317"/>
      <c r="CH53" s="1317"/>
      <c r="CI53" s="1317"/>
      <c r="CJ53" s="1714">
        <v>318</v>
      </c>
      <c r="CK53" s="1713">
        <v>3</v>
      </c>
      <c r="CL53" s="1317"/>
      <c r="CM53" s="1317"/>
      <c r="CN53" s="1317"/>
      <c r="CO53" s="1317"/>
      <c r="CP53" s="1317">
        <v>7</v>
      </c>
      <c r="CQ53" s="1317"/>
      <c r="CR53" s="1317"/>
      <c r="CS53" s="1317">
        <v>502</v>
      </c>
      <c r="CT53" s="1714">
        <v>21</v>
      </c>
      <c r="CU53" s="262"/>
      <c r="CV53" s="262"/>
    </row>
    <row r="54" spans="1:102" hidden="1">
      <c r="A54" s="1309">
        <v>44652</v>
      </c>
      <c r="B54" s="1310">
        <f t="shared" si="39"/>
        <v>0</v>
      </c>
      <c r="C54" s="1310">
        <f t="shared" si="40"/>
        <v>0</v>
      </c>
      <c r="D54" s="1310">
        <f t="shared" si="41"/>
        <v>0</v>
      </c>
      <c r="E54" s="1310">
        <f t="shared" si="42"/>
        <v>0</v>
      </c>
      <c r="F54" s="1310">
        <f t="shared" si="43"/>
        <v>0</v>
      </c>
      <c r="G54" s="1310">
        <f t="shared" si="44"/>
        <v>11</v>
      </c>
      <c r="H54" s="1310">
        <f t="shared" si="45"/>
        <v>0</v>
      </c>
      <c r="I54" s="1310">
        <f t="shared" si="46"/>
        <v>0</v>
      </c>
      <c r="J54" s="1310">
        <f t="shared" si="47"/>
        <v>0</v>
      </c>
      <c r="K54" s="1310">
        <f t="shared" si="48"/>
        <v>3</v>
      </c>
      <c r="L54" s="1310">
        <f t="shared" si="49"/>
        <v>0</v>
      </c>
      <c r="M54" s="1310">
        <f t="shared" si="50"/>
        <v>0</v>
      </c>
      <c r="N54" s="1310">
        <f t="shared" si="51"/>
        <v>0</v>
      </c>
      <c r="O54" s="1310">
        <f t="shared" si="52"/>
        <v>0</v>
      </c>
      <c r="P54" s="1310">
        <f t="shared" si="53"/>
        <v>0</v>
      </c>
      <c r="Q54" s="1310">
        <f t="shared" si="54"/>
        <v>0</v>
      </c>
      <c r="R54" s="1310"/>
      <c r="S54" s="1310">
        <f t="shared" si="55"/>
        <v>0</v>
      </c>
      <c r="T54" s="1310">
        <f t="shared" si="56"/>
        <v>12</v>
      </c>
      <c r="U54" s="1310">
        <f t="shared" si="57"/>
        <v>19</v>
      </c>
      <c r="V54" s="1310">
        <f t="shared" si="58"/>
        <v>0</v>
      </c>
      <c r="W54" s="1310">
        <f t="shared" si="59"/>
        <v>10</v>
      </c>
      <c r="X54" s="1310">
        <f t="shared" si="60"/>
        <v>38</v>
      </c>
      <c r="Y54" s="1310">
        <f t="shared" si="61"/>
        <v>0</v>
      </c>
      <c r="Z54" s="1310">
        <f t="shared" si="62"/>
        <v>0</v>
      </c>
      <c r="AA54" s="1310">
        <f t="shared" si="63"/>
        <v>0</v>
      </c>
      <c r="AB54" s="1310">
        <f t="shared" si="64"/>
        <v>0</v>
      </c>
      <c r="AC54" s="1310">
        <f t="shared" si="65"/>
        <v>0</v>
      </c>
      <c r="AD54" s="1310">
        <f t="shared" si="66"/>
        <v>0</v>
      </c>
      <c r="AE54" s="1310">
        <f t="shared" si="67"/>
        <v>0</v>
      </c>
      <c r="AF54" s="1310">
        <f t="shared" si="68"/>
        <v>0</v>
      </c>
      <c r="AG54" s="1310">
        <f t="shared" si="69"/>
        <v>0</v>
      </c>
      <c r="AH54" s="1701">
        <f t="shared" si="70"/>
        <v>0</v>
      </c>
      <c r="AI54" s="1869"/>
      <c r="AJ54" s="1869"/>
      <c r="AK54" s="1869"/>
      <c r="AL54" s="1869"/>
      <c r="AM54" s="1869"/>
      <c r="AN54" s="1869">
        <v>11</v>
      </c>
      <c r="AO54" s="1869"/>
      <c r="AP54" s="1869"/>
      <c r="AQ54" s="1869"/>
      <c r="AR54" s="1869"/>
      <c r="AS54" s="1869"/>
      <c r="AT54" s="1869"/>
      <c r="AU54" s="1869"/>
      <c r="AV54" s="1869"/>
      <c r="AW54" s="1869"/>
      <c r="AX54" s="1869"/>
      <c r="AY54" s="1869"/>
      <c r="AZ54" s="1869">
        <v>12</v>
      </c>
      <c r="BA54" s="1869">
        <v>19</v>
      </c>
      <c r="BB54" s="1869"/>
      <c r="BC54" s="1869">
        <v>10</v>
      </c>
      <c r="BD54" s="1869">
        <v>38</v>
      </c>
      <c r="BE54" s="1869"/>
      <c r="BF54" s="1869"/>
      <c r="BG54" s="1869"/>
      <c r="BH54" s="1869"/>
      <c r="BI54" s="1869"/>
      <c r="BJ54" s="1869"/>
      <c r="BK54" s="1869"/>
      <c r="BL54" s="1869"/>
      <c r="BM54" s="1869"/>
      <c r="BN54" s="1869"/>
      <c r="BO54" s="1317"/>
      <c r="BP54" s="1317"/>
      <c r="BQ54" s="1317"/>
      <c r="BR54" s="1317"/>
      <c r="BS54" s="1317"/>
      <c r="BT54" s="1317"/>
      <c r="BU54" s="1317"/>
      <c r="BV54" s="1317"/>
      <c r="BW54" s="1317"/>
      <c r="BX54" s="1317">
        <v>3</v>
      </c>
      <c r="BY54" s="1317"/>
      <c r="BZ54" s="1317"/>
      <c r="CA54" s="1317"/>
      <c r="CB54" s="1317"/>
      <c r="CC54" s="1317"/>
      <c r="CD54" s="1317"/>
      <c r="CE54" s="1868"/>
      <c r="CF54" s="1317"/>
      <c r="CG54" s="1317"/>
      <c r="CH54" s="1317"/>
      <c r="CI54" s="1317"/>
      <c r="CJ54" s="1714"/>
      <c r="CK54" s="1713"/>
      <c r="CL54" s="1317"/>
      <c r="CM54" s="1317"/>
      <c r="CN54" s="1317"/>
      <c r="CO54" s="1317"/>
      <c r="CP54" s="1317"/>
      <c r="CQ54" s="1317"/>
      <c r="CR54" s="1317"/>
      <c r="CS54" s="1317"/>
      <c r="CT54" s="1714"/>
      <c r="CU54" s="262"/>
      <c r="CV54" s="262"/>
    </row>
    <row r="55" spans="1:102" hidden="1">
      <c r="A55" s="1309">
        <v>44682</v>
      </c>
      <c r="B55" s="1310">
        <f t="shared" si="39"/>
        <v>0</v>
      </c>
      <c r="C55" s="1310">
        <f t="shared" si="40"/>
        <v>0</v>
      </c>
      <c r="D55" s="1310">
        <f t="shared" si="41"/>
        <v>0</v>
      </c>
      <c r="E55" s="1310">
        <f t="shared" si="42"/>
        <v>0</v>
      </c>
      <c r="F55" s="1310">
        <f t="shared" si="43"/>
        <v>0</v>
      </c>
      <c r="G55" s="1310">
        <f t="shared" si="44"/>
        <v>0</v>
      </c>
      <c r="H55" s="1310">
        <f t="shared" si="45"/>
        <v>0</v>
      </c>
      <c r="I55" s="1310">
        <f t="shared" si="46"/>
        <v>0</v>
      </c>
      <c r="J55" s="1310">
        <f t="shared" si="47"/>
        <v>0</v>
      </c>
      <c r="K55" s="1310">
        <f t="shared" si="48"/>
        <v>0</v>
      </c>
      <c r="L55" s="1310">
        <f t="shared" si="49"/>
        <v>0</v>
      </c>
      <c r="M55" s="1310">
        <f t="shared" si="50"/>
        <v>0</v>
      </c>
      <c r="N55" s="1310">
        <f t="shared" si="51"/>
        <v>0</v>
      </c>
      <c r="O55" s="1310">
        <f t="shared" si="52"/>
        <v>0</v>
      </c>
      <c r="P55" s="1310">
        <f t="shared" si="53"/>
        <v>0</v>
      </c>
      <c r="Q55" s="1310">
        <f t="shared" si="54"/>
        <v>0</v>
      </c>
      <c r="R55" s="1310"/>
      <c r="S55" s="1310">
        <f t="shared" si="55"/>
        <v>0</v>
      </c>
      <c r="T55" s="1310">
        <f t="shared" si="56"/>
        <v>0</v>
      </c>
      <c r="U55" s="1310">
        <f t="shared" si="57"/>
        <v>0</v>
      </c>
      <c r="V55" s="1310">
        <f t="shared" si="58"/>
        <v>0</v>
      </c>
      <c r="W55" s="1310">
        <f t="shared" si="59"/>
        <v>12</v>
      </c>
      <c r="X55" s="1310">
        <f t="shared" si="60"/>
        <v>2</v>
      </c>
      <c r="Y55" s="1310">
        <f t="shared" si="61"/>
        <v>0</v>
      </c>
      <c r="Z55" s="1310">
        <f t="shared" si="62"/>
        <v>0</v>
      </c>
      <c r="AA55" s="1310">
        <f t="shared" si="63"/>
        <v>0</v>
      </c>
      <c r="AB55" s="1310">
        <f t="shared" si="64"/>
        <v>0</v>
      </c>
      <c r="AC55" s="1310">
        <f t="shared" si="65"/>
        <v>0</v>
      </c>
      <c r="AD55" s="1310">
        <f t="shared" si="66"/>
        <v>0</v>
      </c>
      <c r="AE55" s="1310">
        <f t="shared" si="67"/>
        <v>0</v>
      </c>
      <c r="AF55" s="1310">
        <f t="shared" si="68"/>
        <v>0</v>
      </c>
      <c r="AG55" s="1310">
        <f t="shared" si="69"/>
        <v>0</v>
      </c>
      <c r="AH55" s="1701">
        <f t="shared" si="70"/>
        <v>0</v>
      </c>
      <c r="AI55" s="1869"/>
      <c r="AJ55" s="1869"/>
      <c r="AK55" s="1869"/>
      <c r="AL55" s="1869"/>
      <c r="AM55" s="1869"/>
      <c r="AN55" s="1869"/>
      <c r="AO55" s="1869"/>
      <c r="AP55" s="1869"/>
      <c r="AQ55" s="1869"/>
      <c r="AR55" s="1869"/>
      <c r="AS55" s="1869"/>
      <c r="AT55" s="1869"/>
      <c r="AU55" s="1869"/>
      <c r="AV55" s="1869"/>
      <c r="AW55" s="1869"/>
      <c r="AX55" s="1869"/>
      <c r="AY55" s="1869"/>
      <c r="AZ55" s="1869"/>
      <c r="BA55" s="1869"/>
      <c r="BB55" s="1869"/>
      <c r="BC55" s="1869">
        <v>12</v>
      </c>
      <c r="BD55" s="1869"/>
      <c r="BE55" s="1869"/>
      <c r="BF55" s="1869"/>
      <c r="BG55" s="1869"/>
      <c r="BH55" s="1869"/>
      <c r="BI55" s="1869"/>
      <c r="BJ55" s="1869"/>
      <c r="BK55" s="1869"/>
      <c r="BL55" s="1869"/>
      <c r="BM55" s="1869"/>
      <c r="BN55" s="1869"/>
      <c r="BO55" s="1317"/>
      <c r="BP55" s="1317"/>
      <c r="BQ55" s="1317"/>
      <c r="BR55" s="1317"/>
      <c r="BS55" s="1317"/>
      <c r="BT55" s="1317"/>
      <c r="BU55" s="1317"/>
      <c r="BV55" s="1317"/>
      <c r="BW55" s="1317"/>
      <c r="BX55" s="1317"/>
      <c r="BY55" s="1317"/>
      <c r="BZ55" s="1317"/>
      <c r="CA55" s="1317"/>
      <c r="CB55" s="1317"/>
      <c r="CC55" s="1317"/>
      <c r="CD55" s="1317"/>
      <c r="CE55" s="1868"/>
      <c r="CF55" s="1317"/>
      <c r="CG55" s="1317"/>
      <c r="CH55" s="1317"/>
      <c r="CI55" s="1317"/>
      <c r="CJ55" s="1714">
        <v>2</v>
      </c>
      <c r="CK55" s="1713"/>
      <c r="CL55" s="1317"/>
      <c r="CM55" s="1317"/>
      <c r="CN55" s="1317"/>
      <c r="CO55" s="1317"/>
      <c r="CP55" s="1317"/>
      <c r="CQ55" s="1317"/>
      <c r="CR55" s="1317"/>
      <c r="CS55" s="1317"/>
      <c r="CT55" s="1714"/>
      <c r="CU55" s="262"/>
      <c r="CV55" s="262"/>
    </row>
    <row r="56" spans="1:102" hidden="1">
      <c r="A56" s="1309">
        <v>44713</v>
      </c>
      <c r="B56" s="1310">
        <f t="shared" si="39"/>
        <v>0</v>
      </c>
      <c r="C56" s="1310">
        <f t="shared" si="40"/>
        <v>0</v>
      </c>
      <c r="D56" s="1310">
        <f t="shared" si="41"/>
        <v>0</v>
      </c>
      <c r="E56" s="1310">
        <f t="shared" si="42"/>
        <v>0</v>
      </c>
      <c r="F56" s="1310">
        <f t="shared" si="43"/>
        <v>0</v>
      </c>
      <c r="G56" s="1310">
        <f t="shared" si="44"/>
        <v>0</v>
      </c>
      <c r="H56" s="1310">
        <f t="shared" si="45"/>
        <v>0</v>
      </c>
      <c r="I56" s="1310">
        <f t="shared" si="46"/>
        <v>0</v>
      </c>
      <c r="J56" s="1310">
        <f t="shared" si="47"/>
        <v>0</v>
      </c>
      <c r="K56" s="1310">
        <f t="shared" si="48"/>
        <v>0</v>
      </c>
      <c r="L56" s="1310">
        <f t="shared" si="49"/>
        <v>0</v>
      </c>
      <c r="M56" s="1310">
        <f t="shared" si="50"/>
        <v>0</v>
      </c>
      <c r="N56" s="1310">
        <f t="shared" si="51"/>
        <v>0</v>
      </c>
      <c r="O56" s="1310">
        <f t="shared" si="52"/>
        <v>0</v>
      </c>
      <c r="P56" s="1310">
        <f t="shared" si="53"/>
        <v>0</v>
      </c>
      <c r="Q56" s="1310">
        <f t="shared" si="54"/>
        <v>0</v>
      </c>
      <c r="R56" s="1310"/>
      <c r="S56" s="1310">
        <f t="shared" si="55"/>
        <v>0</v>
      </c>
      <c r="T56" s="1310">
        <f t="shared" si="56"/>
        <v>0</v>
      </c>
      <c r="U56" s="1310">
        <f t="shared" si="57"/>
        <v>0</v>
      </c>
      <c r="V56" s="1310">
        <f t="shared" si="58"/>
        <v>3</v>
      </c>
      <c r="W56" s="1310">
        <f t="shared" si="59"/>
        <v>0</v>
      </c>
      <c r="X56" s="1310">
        <f t="shared" si="60"/>
        <v>59</v>
      </c>
      <c r="Y56" s="1310">
        <f t="shared" si="61"/>
        <v>0</v>
      </c>
      <c r="Z56" s="1310">
        <f t="shared" si="62"/>
        <v>0</v>
      </c>
      <c r="AA56" s="1310">
        <f t="shared" si="63"/>
        <v>0</v>
      </c>
      <c r="AB56" s="1310">
        <f t="shared" si="64"/>
        <v>0</v>
      </c>
      <c r="AC56" s="1310">
        <f t="shared" si="65"/>
        <v>0</v>
      </c>
      <c r="AD56" s="1310">
        <f t="shared" si="66"/>
        <v>0</v>
      </c>
      <c r="AE56" s="1310">
        <f t="shared" si="67"/>
        <v>0</v>
      </c>
      <c r="AF56" s="1310">
        <f t="shared" si="68"/>
        <v>0</v>
      </c>
      <c r="AG56" s="1310">
        <f t="shared" si="69"/>
        <v>0</v>
      </c>
      <c r="AH56" s="1701">
        <f t="shared" si="70"/>
        <v>0</v>
      </c>
      <c r="AI56" s="1869"/>
      <c r="AJ56" s="1869"/>
      <c r="AK56" s="1869"/>
      <c r="AL56" s="1869"/>
      <c r="AM56" s="1869"/>
      <c r="AN56" s="1869"/>
      <c r="AO56" s="1869"/>
      <c r="AP56" s="1869"/>
      <c r="AQ56" s="1869"/>
      <c r="AR56" s="1869"/>
      <c r="AS56" s="1869"/>
      <c r="AT56" s="1869"/>
      <c r="AU56" s="1869"/>
      <c r="AV56" s="1869"/>
      <c r="AW56" s="1869"/>
      <c r="AX56" s="1869"/>
      <c r="AY56" s="1869"/>
      <c r="AZ56" s="1869"/>
      <c r="BA56" s="1869"/>
      <c r="BB56" s="1869">
        <v>3</v>
      </c>
      <c r="BC56" s="1869"/>
      <c r="BD56" s="1869">
        <v>30</v>
      </c>
      <c r="BE56" s="1869"/>
      <c r="BF56" s="1869"/>
      <c r="BG56" s="1869"/>
      <c r="BH56" s="1869"/>
      <c r="BI56" s="1869"/>
      <c r="BJ56" s="1869"/>
      <c r="BK56" s="1869"/>
      <c r="BL56" s="1869"/>
      <c r="BM56" s="1869"/>
      <c r="BN56" s="1869"/>
      <c r="BO56" s="1317"/>
      <c r="BP56" s="1317"/>
      <c r="BQ56" s="1317"/>
      <c r="BR56" s="1317"/>
      <c r="BS56" s="1317"/>
      <c r="BT56" s="1317"/>
      <c r="BU56" s="1317"/>
      <c r="BV56" s="1317"/>
      <c r="BW56" s="1317"/>
      <c r="BX56" s="1317"/>
      <c r="BY56" s="1317"/>
      <c r="BZ56" s="1317"/>
      <c r="CA56" s="1317"/>
      <c r="CB56" s="1317"/>
      <c r="CC56" s="1317"/>
      <c r="CD56" s="1317"/>
      <c r="CE56" s="1868"/>
      <c r="CF56" s="1317"/>
      <c r="CG56" s="1317"/>
      <c r="CH56" s="1317"/>
      <c r="CI56" s="1317"/>
      <c r="CJ56" s="1714">
        <v>29</v>
      </c>
      <c r="CK56" s="1713"/>
      <c r="CL56" s="1317"/>
      <c r="CM56" s="1317"/>
      <c r="CN56" s="1317"/>
      <c r="CO56" s="1317"/>
      <c r="CP56" s="1317"/>
      <c r="CQ56" s="1317"/>
      <c r="CR56" s="1317"/>
      <c r="CS56" s="1317"/>
      <c r="CT56" s="1714"/>
      <c r="CU56" s="262"/>
      <c r="CV56" s="262"/>
    </row>
    <row r="57" spans="1:102" hidden="1">
      <c r="A57" s="1309">
        <v>44743</v>
      </c>
      <c r="B57" s="1310">
        <f t="shared" si="39"/>
        <v>0</v>
      </c>
      <c r="C57" s="1310">
        <f t="shared" si="40"/>
        <v>0</v>
      </c>
      <c r="D57" s="1310">
        <f t="shared" si="41"/>
        <v>0</v>
      </c>
      <c r="E57" s="1310">
        <f t="shared" si="42"/>
        <v>10</v>
      </c>
      <c r="F57" s="1310">
        <f t="shared" si="43"/>
        <v>0</v>
      </c>
      <c r="G57" s="1310">
        <f t="shared" si="44"/>
        <v>0</v>
      </c>
      <c r="H57" s="1310">
        <f t="shared" si="45"/>
        <v>0</v>
      </c>
      <c r="I57" s="1310">
        <f t="shared" si="46"/>
        <v>0</v>
      </c>
      <c r="J57" s="1310">
        <f t="shared" si="47"/>
        <v>0</v>
      </c>
      <c r="K57" s="1310">
        <f t="shared" si="48"/>
        <v>0</v>
      </c>
      <c r="L57" s="1310">
        <f t="shared" si="49"/>
        <v>4</v>
      </c>
      <c r="M57" s="1310">
        <f t="shared" si="50"/>
        <v>0</v>
      </c>
      <c r="N57" s="1310">
        <f t="shared" si="51"/>
        <v>0</v>
      </c>
      <c r="O57" s="1310">
        <f t="shared" si="52"/>
        <v>0</v>
      </c>
      <c r="P57" s="1310">
        <f t="shared" si="53"/>
        <v>0</v>
      </c>
      <c r="Q57" s="1310">
        <f t="shared" si="54"/>
        <v>0</v>
      </c>
      <c r="R57" s="1310"/>
      <c r="S57" s="1310">
        <f t="shared" si="55"/>
        <v>0</v>
      </c>
      <c r="T57" s="1310">
        <f t="shared" si="56"/>
        <v>0</v>
      </c>
      <c r="U57" s="1310">
        <f t="shared" si="57"/>
        <v>0</v>
      </c>
      <c r="V57" s="1310">
        <f t="shared" si="58"/>
        <v>0</v>
      </c>
      <c r="W57" s="1310">
        <f t="shared" si="59"/>
        <v>55</v>
      </c>
      <c r="X57" s="1310">
        <f t="shared" si="60"/>
        <v>160</v>
      </c>
      <c r="Y57" s="1310">
        <f t="shared" si="61"/>
        <v>10</v>
      </c>
      <c r="Z57" s="1310">
        <f t="shared" si="62"/>
        <v>0</v>
      </c>
      <c r="AA57" s="1310">
        <f t="shared" si="63"/>
        <v>0</v>
      </c>
      <c r="AB57" s="1310">
        <f t="shared" si="64"/>
        <v>0</v>
      </c>
      <c r="AC57" s="1310">
        <f t="shared" si="65"/>
        <v>0</v>
      </c>
      <c r="AD57" s="1310">
        <f t="shared" si="66"/>
        <v>0</v>
      </c>
      <c r="AE57" s="1310">
        <f t="shared" si="67"/>
        <v>0</v>
      </c>
      <c r="AF57" s="1310">
        <f t="shared" si="68"/>
        <v>0</v>
      </c>
      <c r="AG57" s="1310">
        <f t="shared" si="69"/>
        <v>0</v>
      </c>
      <c r="AH57" s="1701">
        <f t="shared" si="70"/>
        <v>0</v>
      </c>
      <c r="AI57" s="1869"/>
      <c r="AJ57" s="1869"/>
      <c r="AK57" s="1869"/>
      <c r="AL57" s="1869">
        <v>10</v>
      </c>
      <c r="AM57" s="1869"/>
      <c r="AN57" s="1869"/>
      <c r="AO57" s="1869"/>
      <c r="AP57" s="1869"/>
      <c r="AQ57" s="1869"/>
      <c r="AR57" s="1869"/>
      <c r="AS57" s="1869"/>
      <c r="AT57" s="1869"/>
      <c r="AU57" s="1869"/>
      <c r="AV57" s="1869"/>
      <c r="AW57" s="1869"/>
      <c r="AX57" s="1869"/>
      <c r="AY57" s="1869"/>
      <c r="AZ57" s="1869"/>
      <c r="BA57" s="1869"/>
      <c r="BB57" s="1869"/>
      <c r="BC57" s="1869"/>
      <c r="BD57" s="1869">
        <v>66</v>
      </c>
      <c r="BE57" s="1869">
        <v>10</v>
      </c>
      <c r="BF57" s="1869"/>
      <c r="BG57" s="1869"/>
      <c r="BH57" s="1869"/>
      <c r="BI57" s="1869"/>
      <c r="BJ57" s="1869"/>
      <c r="BK57" s="1869"/>
      <c r="BL57" s="1869"/>
      <c r="BM57" s="1869"/>
      <c r="BN57" s="1869"/>
      <c r="BO57" s="1317"/>
      <c r="BP57" s="1317"/>
      <c r="BQ57" s="1317"/>
      <c r="BR57" s="1317"/>
      <c r="BS57" s="1317"/>
      <c r="BT57" s="1317"/>
      <c r="BU57" s="1317"/>
      <c r="BV57" s="1317"/>
      <c r="BW57" s="1317"/>
      <c r="BX57" s="1317"/>
      <c r="BY57" s="1317">
        <v>4</v>
      </c>
      <c r="BZ57" s="1317"/>
      <c r="CA57" s="1317"/>
      <c r="CB57" s="1317"/>
      <c r="CC57" s="1317"/>
      <c r="CD57" s="1317"/>
      <c r="CE57" s="1868"/>
      <c r="CF57" s="1317"/>
      <c r="CG57" s="1317"/>
      <c r="CH57" s="1317"/>
      <c r="CI57" s="1317">
        <v>55</v>
      </c>
      <c r="CJ57" s="1714">
        <v>94</v>
      </c>
      <c r="CK57" s="1713"/>
      <c r="CL57" s="1317"/>
      <c r="CM57" s="1317"/>
      <c r="CN57" s="1317"/>
      <c r="CO57" s="1317"/>
      <c r="CP57" s="1317"/>
      <c r="CQ57" s="1317"/>
      <c r="CR57" s="1317"/>
      <c r="CS57" s="1317"/>
      <c r="CT57" s="1714"/>
      <c r="CU57" s="262"/>
      <c r="CV57" s="262"/>
    </row>
    <row r="58" spans="1:102" hidden="1">
      <c r="A58" s="1309">
        <v>44774</v>
      </c>
      <c r="B58" s="1310">
        <f t="shared" si="39"/>
        <v>0</v>
      </c>
      <c r="C58" s="1310">
        <f t="shared" si="40"/>
        <v>0</v>
      </c>
      <c r="D58" s="1310">
        <f t="shared" si="41"/>
        <v>0</v>
      </c>
      <c r="E58" s="1310">
        <f t="shared" si="42"/>
        <v>0</v>
      </c>
      <c r="F58" s="1310">
        <f t="shared" si="43"/>
        <v>0</v>
      </c>
      <c r="G58" s="1310">
        <f t="shared" si="44"/>
        <v>1</v>
      </c>
      <c r="H58" s="1310">
        <f t="shared" si="45"/>
        <v>0</v>
      </c>
      <c r="I58" s="1310">
        <f t="shared" si="46"/>
        <v>0</v>
      </c>
      <c r="J58" s="1310">
        <f t="shared" si="47"/>
        <v>0</v>
      </c>
      <c r="K58" s="1310">
        <f t="shared" si="48"/>
        <v>0</v>
      </c>
      <c r="L58" s="1310">
        <f t="shared" si="49"/>
        <v>0</v>
      </c>
      <c r="M58" s="1310">
        <f t="shared" si="50"/>
        <v>0</v>
      </c>
      <c r="N58" s="1310">
        <f t="shared" si="51"/>
        <v>0</v>
      </c>
      <c r="O58" s="1310">
        <f t="shared" si="52"/>
        <v>0</v>
      </c>
      <c r="P58" s="1310">
        <f t="shared" si="53"/>
        <v>0</v>
      </c>
      <c r="Q58" s="1310">
        <f t="shared" si="54"/>
        <v>0</v>
      </c>
      <c r="R58" s="1310"/>
      <c r="S58" s="1310">
        <f t="shared" si="55"/>
        <v>0</v>
      </c>
      <c r="T58" s="1310">
        <f t="shared" si="56"/>
        <v>0</v>
      </c>
      <c r="U58" s="1310">
        <f t="shared" si="57"/>
        <v>3</v>
      </c>
      <c r="V58" s="1310">
        <f t="shared" si="58"/>
        <v>0</v>
      </c>
      <c r="W58" s="1310">
        <f t="shared" si="59"/>
        <v>0</v>
      </c>
      <c r="X58" s="1310">
        <f t="shared" si="60"/>
        <v>35</v>
      </c>
      <c r="Y58" s="1310">
        <f t="shared" si="61"/>
        <v>0</v>
      </c>
      <c r="Z58" s="1310">
        <f t="shared" si="62"/>
        <v>0</v>
      </c>
      <c r="AA58" s="1310">
        <f t="shared" si="63"/>
        <v>0</v>
      </c>
      <c r="AB58" s="1310">
        <f t="shared" si="64"/>
        <v>0</v>
      </c>
      <c r="AC58" s="1310">
        <f t="shared" si="65"/>
        <v>0</v>
      </c>
      <c r="AD58" s="1310">
        <f t="shared" si="66"/>
        <v>0</v>
      </c>
      <c r="AE58" s="1310">
        <f t="shared" si="67"/>
        <v>0</v>
      </c>
      <c r="AF58" s="1310">
        <f t="shared" si="68"/>
        <v>67</v>
      </c>
      <c r="AG58" s="1310">
        <f t="shared" si="69"/>
        <v>0</v>
      </c>
      <c r="AH58" s="1701">
        <f t="shared" si="70"/>
        <v>0</v>
      </c>
      <c r="AI58" s="1869"/>
      <c r="AJ58" s="1869"/>
      <c r="AK58" s="1869"/>
      <c r="AL58" s="1869"/>
      <c r="AM58" s="1869"/>
      <c r="AN58" s="1869">
        <v>1</v>
      </c>
      <c r="AO58" s="1869"/>
      <c r="AP58" s="1869"/>
      <c r="AQ58" s="1869"/>
      <c r="AR58" s="1869"/>
      <c r="AS58" s="1869"/>
      <c r="AT58" s="1869"/>
      <c r="AU58" s="1869"/>
      <c r="AV58" s="1869"/>
      <c r="AW58" s="1869"/>
      <c r="AX58" s="1869"/>
      <c r="AY58" s="1869"/>
      <c r="AZ58" s="1869"/>
      <c r="BA58" s="1869">
        <v>3</v>
      </c>
      <c r="BB58" s="1869"/>
      <c r="BC58" s="1869"/>
      <c r="BD58" s="1869">
        <v>20</v>
      </c>
      <c r="BE58" s="1869"/>
      <c r="BF58" s="1869"/>
      <c r="BG58" s="1869"/>
      <c r="BH58" s="1869"/>
      <c r="BI58" s="1869"/>
      <c r="BJ58" s="1869"/>
      <c r="BK58" s="1869"/>
      <c r="BL58" s="1869">
        <v>67</v>
      </c>
      <c r="BM58" s="1869"/>
      <c r="BN58" s="1869"/>
      <c r="BO58" s="1317"/>
      <c r="BP58" s="1317"/>
      <c r="BQ58" s="1317"/>
      <c r="BR58" s="1317"/>
      <c r="BS58" s="1317"/>
      <c r="BT58" s="1317"/>
      <c r="BU58" s="1317"/>
      <c r="BV58" s="1317"/>
      <c r="BW58" s="1317"/>
      <c r="BX58" s="1317"/>
      <c r="BY58" s="1317"/>
      <c r="BZ58" s="1317"/>
      <c r="CA58" s="1317"/>
      <c r="CB58" s="1317"/>
      <c r="CC58" s="1317"/>
      <c r="CD58" s="1317"/>
      <c r="CE58" s="1868"/>
      <c r="CF58" s="1317"/>
      <c r="CG58" s="1317"/>
      <c r="CH58" s="1317"/>
      <c r="CI58" s="1317"/>
      <c r="CJ58" s="1714">
        <v>15</v>
      </c>
      <c r="CK58" s="1713"/>
      <c r="CL58" s="1317"/>
      <c r="CM58" s="1317"/>
      <c r="CN58" s="1317"/>
      <c r="CO58" s="1317"/>
      <c r="CP58" s="1317"/>
      <c r="CQ58" s="1317"/>
      <c r="CR58" s="1317"/>
      <c r="CS58" s="1317"/>
      <c r="CT58" s="1714"/>
      <c r="CU58" s="262"/>
      <c r="CV58" s="262"/>
    </row>
    <row r="59" spans="1:102" hidden="1">
      <c r="A59" s="1309">
        <v>44805</v>
      </c>
      <c r="B59" s="1310">
        <f t="shared" si="39"/>
        <v>0</v>
      </c>
      <c r="C59" s="1310">
        <f t="shared" si="40"/>
        <v>0</v>
      </c>
      <c r="D59" s="1310">
        <f t="shared" si="41"/>
        <v>11</v>
      </c>
      <c r="E59" s="1310">
        <f t="shared" si="42"/>
        <v>0</v>
      </c>
      <c r="F59" s="1310">
        <f t="shared" si="43"/>
        <v>0</v>
      </c>
      <c r="G59" s="1310">
        <f t="shared" si="44"/>
        <v>0</v>
      </c>
      <c r="H59" s="1310">
        <f t="shared" si="45"/>
        <v>0</v>
      </c>
      <c r="I59" s="1310">
        <f t="shared" si="46"/>
        <v>0</v>
      </c>
      <c r="J59" s="1310">
        <f t="shared" si="47"/>
        <v>0</v>
      </c>
      <c r="K59" s="1310">
        <f t="shared" si="48"/>
        <v>0</v>
      </c>
      <c r="L59" s="1310">
        <f t="shared" si="49"/>
        <v>0</v>
      </c>
      <c r="M59" s="1310">
        <f t="shared" si="50"/>
        <v>0</v>
      </c>
      <c r="N59" s="1310">
        <f t="shared" si="51"/>
        <v>0</v>
      </c>
      <c r="O59" s="1310">
        <f t="shared" si="52"/>
        <v>0</v>
      </c>
      <c r="P59" s="1310">
        <f t="shared" si="53"/>
        <v>0</v>
      </c>
      <c r="Q59" s="1310">
        <f t="shared" si="54"/>
        <v>0</v>
      </c>
      <c r="R59" s="1310"/>
      <c r="S59" s="1310">
        <f t="shared" si="55"/>
        <v>0</v>
      </c>
      <c r="T59" s="1310">
        <f t="shared" si="56"/>
        <v>0</v>
      </c>
      <c r="U59" s="1310">
        <f t="shared" si="57"/>
        <v>0</v>
      </c>
      <c r="V59" s="1310">
        <f t="shared" si="58"/>
        <v>0</v>
      </c>
      <c r="W59" s="1310">
        <f t="shared" si="59"/>
        <v>0</v>
      </c>
      <c r="X59" s="1310">
        <f t="shared" si="60"/>
        <v>210</v>
      </c>
      <c r="Y59" s="1310">
        <f t="shared" si="61"/>
        <v>0</v>
      </c>
      <c r="Z59" s="1310">
        <f t="shared" si="62"/>
        <v>0</v>
      </c>
      <c r="AA59" s="1310">
        <f t="shared" si="63"/>
        <v>0</v>
      </c>
      <c r="AB59" s="1310">
        <f t="shared" si="64"/>
        <v>0</v>
      </c>
      <c r="AC59" s="1310">
        <f t="shared" si="65"/>
        <v>0</v>
      </c>
      <c r="AD59" s="1310">
        <f t="shared" si="66"/>
        <v>0</v>
      </c>
      <c r="AE59" s="1310">
        <f t="shared" si="67"/>
        <v>0</v>
      </c>
      <c r="AF59" s="1310">
        <f t="shared" si="68"/>
        <v>0</v>
      </c>
      <c r="AG59" s="1310">
        <f t="shared" si="69"/>
        <v>0</v>
      </c>
      <c r="AH59" s="1701">
        <f t="shared" si="70"/>
        <v>0</v>
      </c>
      <c r="AI59" s="1869"/>
      <c r="AJ59" s="1869"/>
      <c r="AK59" s="1869">
        <v>11</v>
      </c>
      <c r="AL59" s="1869"/>
      <c r="AM59" s="1869"/>
      <c r="AN59" s="1869"/>
      <c r="AO59" s="1869"/>
      <c r="AP59" s="1869"/>
      <c r="AQ59" s="1869"/>
      <c r="AR59" s="1869"/>
      <c r="AS59" s="1869"/>
      <c r="AT59" s="1869"/>
      <c r="AU59" s="1869"/>
      <c r="AV59" s="1869"/>
      <c r="AW59" s="1869"/>
      <c r="AX59" s="1869"/>
      <c r="AY59" s="1869"/>
      <c r="AZ59" s="1869"/>
      <c r="BA59" s="1869"/>
      <c r="BB59" s="1869"/>
      <c r="BC59" s="1869"/>
      <c r="BD59" s="1869">
        <v>0</v>
      </c>
      <c r="BE59" s="1869"/>
      <c r="BF59" s="1869"/>
      <c r="BG59" s="1869"/>
      <c r="BH59" s="1869"/>
      <c r="BI59" s="1869"/>
      <c r="BJ59" s="1869"/>
      <c r="BK59" s="1869"/>
      <c r="BL59" s="1869"/>
      <c r="BM59" s="1869"/>
      <c r="BN59" s="1869"/>
      <c r="BO59" s="1317"/>
      <c r="BP59" s="1317"/>
      <c r="BQ59" s="1317"/>
      <c r="BR59" s="1317"/>
      <c r="BS59" s="1317"/>
      <c r="BT59" s="1317"/>
      <c r="BU59" s="1317"/>
      <c r="BV59" s="1317"/>
      <c r="BW59" s="1317"/>
      <c r="BX59" s="1317"/>
      <c r="BY59" s="1317"/>
      <c r="BZ59" s="1317"/>
      <c r="CA59" s="1317"/>
      <c r="CB59" s="1317"/>
      <c r="CC59" s="1317"/>
      <c r="CD59" s="1317"/>
      <c r="CE59" s="1868"/>
      <c r="CF59" s="1317"/>
      <c r="CG59" s="1317"/>
      <c r="CH59" s="1317"/>
      <c r="CI59" s="1317"/>
      <c r="CJ59" s="1714">
        <v>210</v>
      </c>
      <c r="CK59" s="1713"/>
      <c r="CL59" s="1317"/>
      <c r="CM59" s="1317"/>
      <c r="CN59" s="1317"/>
      <c r="CO59" s="1317"/>
      <c r="CP59" s="1317"/>
      <c r="CQ59" s="1317"/>
      <c r="CR59" s="1317"/>
      <c r="CS59" s="1317"/>
      <c r="CT59" s="1714"/>
      <c r="CU59" s="262"/>
      <c r="CV59" s="262"/>
    </row>
    <row r="60" spans="1:102" hidden="1">
      <c r="A60" s="1309">
        <v>44835</v>
      </c>
      <c r="B60" s="1310">
        <f t="shared" si="39"/>
        <v>0</v>
      </c>
      <c r="C60" s="1310">
        <f t="shared" si="40"/>
        <v>13</v>
      </c>
      <c r="D60" s="1310">
        <f t="shared" si="41"/>
        <v>0</v>
      </c>
      <c r="E60" s="1310">
        <f t="shared" si="42"/>
        <v>17</v>
      </c>
      <c r="F60" s="1310">
        <f t="shared" si="43"/>
        <v>0</v>
      </c>
      <c r="G60" s="1310">
        <f t="shared" si="44"/>
        <v>3</v>
      </c>
      <c r="H60" s="1310">
        <f t="shared" si="45"/>
        <v>0</v>
      </c>
      <c r="I60" s="1310">
        <f t="shared" si="46"/>
        <v>0</v>
      </c>
      <c r="J60" s="1310">
        <f t="shared" si="47"/>
        <v>2</v>
      </c>
      <c r="K60" s="1310">
        <f t="shared" si="48"/>
        <v>0</v>
      </c>
      <c r="L60" s="1310">
        <f t="shared" si="49"/>
        <v>0</v>
      </c>
      <c r="M60" s="1310">
        <f t="shared" si="50"/>
        <v>0</v>
      </c>
      <c r="N60" s="1310">
        <f t="shared" si="51"/>
        <v>0</v>
      </c>
      <c r="O60" s="1310">
        <f t="shared" si="52"/>
        <v>0</v>
      </c>
      <c r="P60" s="1310">
        <f t="shared" si="53"/>
        <v>0</v>
      </c>
      <c r="Q60" s="1310">
        <f t="shared" si="54"/>
        <v>0</v>
      </c>
      <c r="R60" s="1310"/>
      <c r="S60" s="1310">
        <f t="shared" si="55"/>
        <v>0</v>
      </c>
      <c r="T60" s="1310">
        <f t="shared" si="56"/>
        <v>99</v>
      </c>
      <c r="U60" s="1310">
        <f t="shared" si="57"/>
        <v>6</v>
      </c>
      <c r="V60" s="1310">
        <f t="shared" si="58"/>
        <v>0</v>
      </c>
      <c r="W60" s="1310">
        <f t="shared" si="59"/>
        <v>0</v>
      </c>
      <c r="X60" s="1310">
        <f t="shared" si="60"/>
        <v>121</v>
      </c>
      <c r="Y60" s="1310">
        <f t="shared" si="61"/>
        <v>3</v>
      </c>
      <c r="Z60" s="1310">
        <f t="shared" si="62"/>
        <v>0</v>
      </c>
      <c r="AA60" s="1310">
        <f t="shared" si="63"/>
        <v>0</v>
      </c>
      <c r="AB60" s="1310">
        <f t="shared" si="64"/>
        <v>0</v>
      </c>
      <c r="AC60" s="1310">
        <f t="shared" si="65"/>
        <v>0</v>
      </c>
      <c r="AD60" s="1310">
        <f t="shared" si="66"/>
        <v>0</v>
      </c>
      <c r="AE60" s="1310">
        <f t="shared" si="67"/>
        <v>0</v>
      </c>
      <c r="AF60" s="1310">
        <f t="shared" si="68"/>
        <v>0</v>
      </c>
      <c r="AG60" s="1310">
        <f t="shared" si="69"/>
        <v>20</v>
      </c>
      <c r="AH60" s="1701">
        <f t="shared" si="70"/>
        <v>0</v>
      </c>
      <c r="AI60" s="1869"/>
      <c r="AJ60" s="1869">
        <v>13</v>
      </c>
      <c r="AK60" s="1869"/>
      <c r="AL60" s="1869">
        <v>17</v>
      </c>
      <c r="AM60" s="1869"/>
      <c r="AN60" s="1869">
        <v>3</v>
      </c>
      <c r="AO60" s="1869"/>
      <c r="AP60" s="1869"/>
      <c r="AQ60" s="1869">
        <v>2</v>
      </c>
      <c r="AR60" s="1869"/>
      <c r="AS60" s="1869"/>
      <c r="AT60" s="1869"/>
      <c r="AU60" s="1869"/>
      <c r="AV60" s="1869"/>
      <c r="AW60" s="1869"/>
      <c r="AX60" s="1869"/>
      <c r="AY60" s="1869"/>
      <c r="AZ60" s="1869">
        <v>99</v>
      </c>
      <c r="BA60" s="1869">
        <v>6</v>
      </c>
      <c r="BB60" s="1869"/>
      <c r="BC60" s="1869"/>
      <c r="BD60" s="1869">
        <v>121</v>
      </c>
      <c r="BE60" s="1869">
        <v>3</v>
      </c>
      <c r="BF60" s="1869"/>
      <c r="BG60" s="1869"/>
      <c r="BH60" s="1869"/>
      <c r="BI60" s="1869"/>
      <c r="BJ60" s="1869"/>
      <c r="BK60" s="1869"/>
      <c r="BL60" s="1869"/>
      <c r="BM60" s="1869"/>
      <c r="BN60" s="1869"/>
      <c r="BO60" s="1317"/>
      <c r="BP60" s="1317"/>
      <c r="BQ60" s="1317"/>
      <c r="BR60" s="1317"/>
      <c r="BS60" s="1317"/>
      <c r="BT60" s="1317"/>
      <c r="BU60" s="1317"/>
      <c r="BV60" s="1317"/>
      <c r="BW60" s="1317"/>
      <c r="BX60" s="1317"/>
      <c r="BY60" s="1317"/>
      <c r="BZ60" s="1317"/>
      <c r="CA60" s="1317"/>
      <c r="CB60" s="1317"/>
      <c r="CC60" s="1317"/>
      <c r="CD60" s="1317"/>
      <c r="CE60" s="1868"/>
      <c r="CF60" s="1317"/>
      <c r="CG60" s="1317"/>
      <c r="CH60" s="1317"/>
      <c r="CI60" s="1317"/>
      <c r="CJ60" s="1714"/>
      <c r="CK60" s="1713"/>
      <c r="CL60" s="1317"/>
      <c r="CM60" s="1317"/>
      <c r="CN60" s="1317"/>
      <c r="CO60" s="1317"/>
      <c r="CP60" s="1317"/>
      <c r="CQ60" s="1317"/>
      <c r="CR60" s="1317"/>
      <c r="CS60" s="1317">
        <v>20</v>
      </c>
      <c r="CT60" s="1714"/>
      <c r="CU60" s="262"/>
      <c r="CV60" s="262"/>
    </row>
    <row r="61" spans="1:102" hidden="1">
      <c r="A61" s="1309">
        <v>44866</v>
      </c>
      <c r="B61" s="1310">
        <f t="shared" si="39"/>
        <v>0</v>
      </c>
      <c r="C61" s="1310">
        <f t="shared" si="40"/>
        <v>0</v>
      </c>
      <c r="D61" s="1310">
        <f t="shared" si="41"/>
        <v>0</v>
      </c>
      <c r="E61" s="1310">
        <f t="shared" si="42"/>
        <v>11</v>
      </c>
      <c r="F61" s="1310">
        <f t="shared" si="43"/>
        <v>0</v>
      </c>
      <c r="G61" s="1310">
        <f t="shared" si="44"/>
        <v>5</v>
      </c>
      <c r="H61" s="1310">
        <f t="shared" si="45"/>
        <v>0</v>
      </c>
      <c r="I61" s="1310">
        <f t="shared" si="46"/>
        <v>5</v>
      </c>
      <c r="J61" s="1310">
        <f t="shared" si="47"/>
        <v>0</v>
      </c>
      <c r="K61" s="1310">
        <f t="shared" si="48"/>
        <v>0</v>
      </c>
      <c r="L61" s="1310">
        <f t="shared" si="49"/>
        <v>0</v>
      </c>
      <c r="M61" s="1310">
        <f t="shared" si="50"/>
        <v>24</v>
      </c>
      <c r="N61" s="1310">
        <f t="shared" si="51"/>
        <v>0</v>
      </c>
      <c r="O61" s="1310">
        <f t="shared" si="52"/>
        <v>0</v>
      </c>
      <c r="P61" s="1310">
        <f t="shared" si="53"/>
        <v>0</v>
      </c>
      <c r="Q61" s="1310">
        <f t="shared" si="54"/>
        <v>0</v>
      </c>
      <c r="R61" s="1310"/>
      <c r="S61" s="1310">
        <f t="shared" si="55"/>
        <v>0</v>
      </c>
      <c r="T61" s="1310">
        <f t="shared" si="56"/>
        <v>9</v>
      </c>
      <c r="U61" s="1310">
        <f t="shared" si="57"/>
        <v>0</v>
      </c>
      <c r="V61" s="1310">
        <f t="shared" si="58"/>
        <v>0</v>
      </c>
      <c r="W61" s="1310">
        <f t="shared" si="59"/>
        <v>0</v>
      </c>
      <c r="X61" s="1310">
        <f t="shared" si="60"/>
        <v>270</v>
      </c>
      <c r="Y61" s="1310">
        <f t="shared" si="61"/>
        <v>0</v>
      </c>
      <c r="Z61" s="1310">
        <f t="shared" si="62"/>
        <v>0</v>
      </c>
      <c r="AA61" s="1310">
        <f t="shared" si="63"/>
        <v>0</v>
      </c>
      <c r="AB61" s="1310">
        <f t="shared" si="64"/>
        <v>0</v>
      </c>
      <c r="AC61" s="1310">
        <f t="shared" si="65"/>
        <v>0</v>
      </c>
      <c r="AD61" s="1310">
        <f t="shared" si="66"/>
        <v>0</v>
      </c>
      <c r="AE61" s="1310">
        <f t="shared" si="67"/>
        <v>0</v>
      </c>
      <c r="AF61" s="1310">
        <f t="shared" si="68"/>
        <v>0</v>
      </c>
      <c r="AG61" s="1310">
        <f t="shared" si="69"/>
        <v>0</v>
      </c>
      <c r="AH61" s="1701">
        <f t="shared" si="70"/>
        <v>0</v>
      </c>
      <c r="AI61" s="1869"/>
      <c r="AJ61" s="1869"/>
      <c r="AK61" s="1869"/>
      <c r="AL61" s="1869">
        <v>11</v>
      </c>
      <c r="AM61" s="1869"/>
      <c r="AN61" s="1869">
        <v>5</v>
      </c>
      <c r="AO61" s="1869"/>
      <c r="AP61" s="1869">
        <v>5</v>
      </c>
      <c r="AQ61" s="1869"/>
      <c r="AR61" s="1869"/>
      <c r="AS61" s="1869"/>
      <c r="AT61" s="1869">
        <v>24</v>
      </c>
      <c r="AU61" s="1869"/>
      <c r="AV61" s="1869"/>
      <c r="AW61" s="1869"/>
      <c r="AX61" s="1869"/>
      <c r="AY61" s="1869"/>
      <c r="AZ61" s="1869">
        <v>9</v>
      </c>
      <c r="BA61" s="1869"/>
      <c r="BB61" s="1869"/>
      <c r="BC61" s="1869"/>
      <c r="BD61" s="1869"/>
      <c r="BE61" s="1869"/>
      <c r="BF61" s="1869"/>
      <c r="BG61" s="1869"/>
      <c r="BH61" s="1869"/>
      <c r="BI61" s="1869"/>
      <c r="BJ61" s="1869"/>
      <c r="BK61" s="1869"/>
      <c r="BL61" s="1869"/>
      <c r="BM61" s="1869"/>
      <c r="BN61" s="1869"/>
      <c r="BO61" s="1317"/>
      <c r="BP61" s="1317"/>
      <c r="BQ61" s="1317"/>
      <c r="BR61" s="1317"/>
      <c r="BS61" s="1317"/>
      <c r="BT61" s="1317"/>
      <c r="BU61" s="1317"/>
      <c r="BV61" s="1317"/>
      <c r="BW61" s="1317"/>
      <c r="BX61" s="1317"/>
      <c r="BY61" s="1317"/>
      <c r="BZ61" s="1317"/>
      <c r="CA61" s="1317"/>
      <c r="CB61" s="1317"/>
      <c r="CC61" s="1317"/>
      <c r="CD61" s="1317"/>
      <c r="CE61" s="1868"/>
      <c r="CF61" s="1317"/>
      <c r="CG61" s="1317"/>
      <c r="CH61" s="1317"/>
      <c r="CI61" s="1317"/>
      <c r="CJ61" s="1714">
        <v>270</v>
      </c>
      <c r="CK61" s="1713"/>
      <c r="CL61" s="1317"/>
      <c r="CM61" s="1317"/>
      <c r="CN61" s="1317"/>
      <c r="CO61" s="1317"/>
      <c r="CP61" s="1317"/>
      <c r="CQ61" s="1317"/>
      <c r="CR61" s="1317"/>
      <c r="CS61" s="1317"/>
      <c r="CT61" s="1714"/>
      <c r="CU61" s="262"/>
      <c r="CV61" s="262"/>
    </row>
    <row r="62" spans="1:102" hidden="1">
      <c r="A62" s="1309">
        <v>44896</v>
      </c>
      <c r="B62" s="1310">
        <f t="shared" si="39"/>
        <v>0</v>
      </c>
      <c r="C62" s="1310">
        <f t="shared" si="40"/>
        <v>0</v>
      </c>
      <c r="D62" s="1310">
        <f t="shared" si="41"/>
        <v>0</v>
      </c>
      <c r="E62" s="1310">
        <f t="shared" si="42"/>
        <v>3</v>
      </c>
      <c r="F62" s="1310">
        <f t="shared" si="43"/>
        <v>0</v>
      </c>
      <c r="G62" s="1310">
        <f t="shared" si="44"/>
        <v>15</v>
      </c>
      <c r="H62" s="1310">
        <f t="shared" si="45"/>
        <v>0</v>
      </c>
      <c r="I62" s="1310">
        <f t="shared" si="46"/>
        <v>0</v>
      </c>
      <c r="J62" s="1310">
        <f t="shared" si="47"/>
        <v>0</v>
      </c>
      <c r="K62" s="1310">
        <f t="shared" si="48"/>
        <v>20</v>
      </c>
      <c r="L62" s="1310">
        <f t="shared" si="49"/>
        <v>0</v>
      </c>
      <c r="M62" s="1310">
        <f t="shared" si="50"/>
        <v>0</v>
      </c>
      <c r="N62" s="1310">
        <f t="shared" si="51"/>
        <v>0</v>
      </c>
      <c r="O62" s="1310">
        <f t="shared" si="52"/>
        <v>120</v>
      </c>
      <c r="P62" s="1310">
        <f t="shared" si="53"/>
        <v>5</v>
      </c>
      <c r="Q62" s="1310">
        <f t="shared" si="54"/>
        <v>0</v>
      </c>
      <c r="R62" s="1310"/>
      <c r="S62" s="1310">
        <f t="shared" si="55"/>
        <v>0</v>
      </c>
      <c r="T62" s="1310">
        <f t="shared" si="56"/>
        <v>0</v>
      </c>
      <c r="U62" s="1310">
        <f t="shared" si="57"/>
        <v>0</v>
      </c>
      <c r="V62" s="1310">
        <f t="shared" si="58"/>
        <v>0</v>
      </c>
      <c r="W62" s="1310">
        <f t="shared" si="59"/>
        <v>0</v>
      </c>
      <c r="X62" s="1310">
        <f t="shared" si="60"/>
        <v>59</v>
      </c>
      <c r="Y62" s="1310">
        <f t="shared" si="61"/>
        <v>0</v>
      </c>
      <c r="Z62" s="1310">
        <f t="shared" si="62"/>
        <v>0</v>
      </c>
      <c r="AA62" s="1310">
        <f t="shared" si="63"/>
        <v>0</v>
      </c>
      <c r="AB62" s="1310">
        <f t="shared" si="64"/>
        <v>0</v>
      </c>
      <c r="AC62" s="1310">
        <f t="shared" si="65"/>
        <v>0</v>
      </c>
      <c r="AD62" s="1310">
        <f t="shared" si="66"/>
        <v>10</v>
      </c>
      <c r="AE62" s="1310">
        <f t="shared" si="67"/>
        <v>0</v>
      </c>
      <c r="AF62" s="1310">
        <f t="shared" si="68"/>
        <v>0</v>
      </c>
      <c r="AG62" s="1310">
        <f t="shared" si="69"/>
        <v>0</v>
      </c>
      <c r="AH62" s="1701">
        <f t="shared" si="70"/>
        <v>0</v>
      </c>
      <c r="AI62" s="1869"/>
      <c r="AJ62" s="1869"/>
      <c r="AK62" s="1869"/>
      <c r="AL62" s="1869">
        <v>3</v>
      </c>
      <c r="AM62" s="1869"/>
      <c r="AN62" s="1869">
        <v>15</v>
      </c>
      <c r="AO62" s="1869"/>
      <c r="AP62" s="1869"/>
      <c r="AQ62" s="1869"/>
      <c r="AR62" s="1869"/>
      <c r="AS62" s="1869"/>
      <c r="AT62" s="1869"/>
      <c r="AU62" s="1869"/>
      <c r="AV62" s="1869"/>
      <c r="AW62" s="1869">
        <v>5</v>
      </c>
      <c r="AX62" s="1869"/>
      <c r="AY62" s="1869"/>
      <c r="AZ62" s="1869"/>
      <c r="BA62" s="1869"/>
      <c r="BB62" s="1869"/>
      <c r="BC62" s="1869"/>
      <c r="BD62" s="1869"/>
      <c r="BE62" s="1869"/>
      <c r="BF62" s="1869"/>
      <c r="BG62" s="1869"/>
      <c r="BH62" s="1869"/>
      <c r="BI62" s="1869"/>
      <c r="BJ62" s="1869">
        <v>10</v>
      </c>
      <c r="BK62" s="1869"/>
      <c r="BL62" s="1869"/>
      <c r="BM62" s="1869"/>
      <c r="BN62" s="1869"/>
      <c r="BO62" s="1317"/>
      <c r="BP62" s="1317"/>
      <c r="BQ62" s="1317"/>
      <c r="BR62" s="1317"/>
      <c r="BS62" s="1317"/>
      <c r="BT62" s="1317"/>
      <c r="BU62" s="1317"/>
      <c r="BV62" s="1317"/>
      <c r="BW62" s="1317"/>
      <c r="BX62" s="1317">
        <v>20</v>
      </c>
      <c r="BY62" s="1317"/>
      <c r="BZ62" s="1317"/>
      <c r="CA62" s="1317"/>
      <c r="CB62" s="1317">
        <v>120</v>
      </c>
      <c r="CC62" s="1317"/>
      <c r="CD62" s="1317"/>
      <c r="CE62" s="1868"/>
      <c r="CF62" s="1317"/>
      <c r="CG62" s="1317"/>
      <c r="CH62" s="1317"/>
      <c r="CI62" s="1317"/>
      <c r="CJ62" s="1714">
        <v>59</v>
      </c>
      <c r="CK62" s="1713"/>
      <c r="CL62" s="1317"/>
      <c r="CM62" s="1317"/>
      <c r="CN62" s="1317"/>
      <c r="CO62" s="1317"/>
      <c r="CP62" s="1317"/>
      <c r="CQ62" s="1317"/>
      <c r="CR62" s="1317"/>
      <c r="CS62" s="1317"/>
      <c r="CT62" s="1714"/>
      <c r="CU62" s="262"/>
      <c r="CV62" s="262"/>
    </row>
    <row r="63" spans="1:102">
      <c r="A63" s="1309">
        <v>44927</v>
      </c>
      <c r="B63" s="1310">
        <f t="shared" ref="B63:B74" si="71">+AI63+BO63</f>
        <v>0</v>
      </c>
      <c r="C63" s="1310">
        <f t="shared" ref="C63:C74" si="72">+AJ63+BP63</f>
        <v>0</v>
      </c>
      <c r="D63" s="1310">
        <f t="shared" ref="D63:D74" si="73">+AK63+BQ63</f>
        <v>24</v>
      </c>
      <c r="E63" s="1310">
        <f t="shared" ref="E63:E74" si="74">+AL63+BR63</f>
        <v>3</v>
      </c>
      <c r="F63" s="1310">
        <f t="shared" ref="F63:F74" si="75">+AM63+BS63</f>
        <v>0</v>
      </c>
      <c r="G63" s="1310">
        <f t="shared" ref="G63:G74" si="76">+AN63+BT63</f>
        <v>9</v>
      </c>
      <c r="H63" s="1310">
        <f t="shared" ref="H63:H74" si="77">+AO63+BU63</f>
        <v>0</v>
      </c>
      <c r="I63" s="1310">
        <f t="shared" ref="I63:I74" si="78">+AP63+BV63</f>
        <v>0</v>
      </c>
      <c r="J63" s="1310">
        <f t="shared" ref="J63:J74" si="79">+AQ63+BW63</f>
        <v>0</v>
      </c>
      <c r="K63" s="1310">
        <f t="shared" ref="K63:K74" si="80">+AR63+BX63</f>
        <v>0</v>
      </c>
      <c r="L63" s="1310">
        <f t="shared" ref="L63:L74" si="81">+AS63+BY63</f>
        <v>0</v>
      </c>
      <c r="M63" s="1310">
        <f t="shared" ref="M63:M74" si="82">+AT63+BZ63</f>
        <v>2</v>
      </c>
      <c r="N63" s="1310">
        <f t="shared" ref="N63:N74" si="83">+AU63+CA63</f>
        <v>0</v>
      </c>
      <c r="O63" s="1310">
        <f t="shared" ref="O63:O74" si="84">+AV63+CB63</f>
        <v>0</v>
      </c>
      <c r="P63" s="1310">
        <f>+AW63+CC63</f>
        <v>0</v>
      </c>
      <c r="Q63" s="1310">
        <f>+AX63+CD63</f>
        <v>0</v>
      </c>
      <c r="R63" s="1310">
        <f>SUM(B63:Q63)</f>
        <v>38</v>
      </c>
      <c r="S63" s="1310">
        <f t="shared" ref="S63:S74" si="85">+AY63+CE63</f>
        <v>0</v>
      </c>
      <c r="T63" s="1310">
        <f t="shared" ref="T63:T74" si="86">+AZ63+CF63</f>
        <v>0</v>
      </c>
      <c r="U63" s="1310">
        <f t="shared" ref="U63:U74" si="87">+BA63+CG63</f>
        <v>0</v>
      </c>
      <c r="V63" s="1310">
        <f t="shared" ref="V63:V74" si="88">+BB63+CH63</f>
        <v>0</v>
      </c>
      <c r="W63" s="1310">
        <f>+BC63+CI63</f>
        <v>0</v>
      </c>
      <c r="X63" s="1310">
        <f t="shared" ref="X63:X74" si="89">+BD63+CJ63</f>
        <v>38</v>
      </c>
      <c r="Y63" s="1310">
        <f t="shared" ref="Y63:Y74" si="90">+BE63+CK63</f>
        <v>20</v>
      </c>
      <c r="Z63" s="1310">
        <f t="shared" ref="Z63:Z74" si="91">+BF63+CL63</f>
        <v>0</v>
      </c>
      <c r="AA63" s="1310">
        <f t="shared" ref="AA63:AA74" si="92">+BG63+CM63</f>
        <v>0</v>
      </c>
      <c r="AB63" s="1310">
        <f t="shared" ref="AB63:AB74" si="93">+BH63+CN63</f>
        <v>0</v>
      </c>
      <c r="AC63" s="1310">
        <f t="shared" ref="AC63:AC74" si="94">+BI63+CO63</f>
        <v>0</v>
      </c>
      <c r="AD63" s="1310">
        <f t="shared" ref="AD63:AD74" si="95">+BJ63+CP63</f>
        <v>0</v>
      </c>
      <c r="AE63" s="1310">
        <f t="shared" ref="AE63:AE74" si="96">+BK63+CQ63</f>
        <v>2</v>
      </c>
      <c r="AF63" s="1310">
        <f t="shared" ref="AF63:AF74" si="97">+BL63+CR63</f>
        <v>0</v>
      </c>
      <c r="AG63" s="1310">
        <f t="shared" ref="AG63:AG74" si="98">+BM63+CS63</f>
        <v>21</v>
      </c>
      <c r="AH63" s="1701">
        <f t="shared" ref="AH63:AH74" si="99">+BN63+CT63</f>
        <v>0</v>
      </c>
      <c r="AI63" s="2265"/>
      <c r="AJ63" s="2266"/>
      <c r="AK63" s="2266">
        <v>24</v>
      </c>
      <c r="AL63" s="2266">
        <v>3</v>
      </c>
      <c r="AM63" s="2266"/>
      <c r="AN63" s="2266">
        <v>9</v>
      </c>
      <c r="AO63" s="2266"/>
      <c r="AP63" s="2266"/>
      <c r="AQ63" s="2266"/>
      <c r="AR63" s="2266"/>
      <c r="AS63" s="2266"/>
      <c r="AT63" s="2266">
        <v>2</v>
      </c>
      <c r="AU63" s="2266"/>
      <c r="AV63" s="2266"/>
      <c r="AW63" s="2266"/>
      <c r="AX63" s="2267"/>
      <c r="AY63" s="2268"/>
      <c r="AZ63" s="2269"/>
      <c r="BA63" s="2269"/>
      <c r="BB63" s="2269"/>
      <c r="BC63" s="2269"/>
      <c r="BD63" s="2270">
        <v>24</v>
      </c>
      <c r="BE63" s="2265">
        <v>20</v>
      </c>
      <c r="BF63" s="2266"/>
      <c r="BG63" s="2266"/>
      <c r="BH63" s="2266"/>
      <c r="BI63" s="2266"/>
      <c r="BJ63" s="2266"/>
      <c r="BK63" s="3010">
        <v>2</v>
      </c>
      <c r="BL63" s="2266"/>
      <c r="BM63" s="2266"/>
      <c r="BN63" s="2267"/>
      <c r="BO63" s="2271"/>
      <c r="BP63" s="2272"/>
      <c r="BQ63" s="2272"/>
      <c r="BR63" s="2272"/>
      <c r="BS63" s="2272"/>
      <c r="BT63" s="2272"/>
      <c r="BU63" s="2272"/>
      <c r="BV63" s="2272"/>
      <c r="BW63" s="2272"/>
      <c r="BX63" s="2273"/>
      <c r="BY63" s="2273"/>
      <c r="BZ63" s="2273"/>
      <c r="CA63" s="2273"/>
      <c r="CB63" s="2273"/>
      <c r="CC63" s="2273"/>
      <c r="CD63" s="2274"/>
      <c r="CE63" s="2056"/>
      <c r="CF63" s="2057"/>
      <c r="CG63" s="2057"/>
      <c r="CH63" s="2057"/>
      <c r="CI63" s="2057"/>
      <c r="CJ63" s="1972">
        <v>14</v>
      </c>
      <c r="CK63" s="2058"/>
      <c r="CL63" s="2033"/>
      <c r="CM63" s="2033"/>
      <c r="CN63" s="2033"/>
      <c r="CO63" s="2033"/>
      <c r="CP63" s="2033"/>
      <c r="CQ63" s="2033"/>
      <c r="CR63" s="2033"/>
      <c r="CS63" s="2033">
        <v>21</v>
      </c>
      <c r="CT63" s="2059"/>
      <c r="CU63" s="262">
        <f>SUM(AI63:BC63)+SUM(BO63:CI63)</f>
        <v>38</v>
      </c>
      <c r="CV63" s="262">
        <f>+CU63+BD63+CJ63</f>
        <v>76</v>
      </c>
      <c r="CW63" s="358">
        <f>SUM(CK63:CT63)+SUM(BE63:BN63)</f>
        <v>43</v>
      </c>
      <c r="CX63">
        <f>+CJ63+BD63</f>
        <v>38</v>
      </c>
    </row>
    <row r="64" spans="1:102">
      <c r="A64" s="1309">
        <v>44958</v>
      </c>
      <c r="B64" s="1310">
        <f t="shared" si="71"/>
        <v>0</v>
      </c>
      <c r="C64" s="1310">
        <f t="shared" si="72"/>
        <v>11</v>
      </c>
      <c r="D64" s="1310">
        <f t="shared" si="73"/>
        <v>0</v>
      </c>
      <c r="E64" s="1310">
        <f t="shared" si="74"/>
        <v>11</v>
      </c>
      <c r="F64" s="1310">
        <f t="shared" si="75"/>
        <v>0</v>
      </c>
      <c r="G64" s="1310">
        <f t="shared" si="76"/>
        <v>42</v>
      </c>
      <c r="H64" s="1310">
        <f t="shared" si="77"/>
        <v>0</v>
      </c>
      <c r="I64" s="1310">
        <f t="shared" si="78"/>
        <v>0</v>
      </c>
      <c r="J64" s="1310">
        <f t="shared" si="79"/>
        <v>2</v>
      </c>
      <c r="K64" s="1310">
        <f t="shared" si="80"/>
        <v>19</v>
      </c>
      <c r="L64" s="1310">
        <f t="shared" si="81"/>
        <v>0</v>
      </c>
      <c r="M64" s="1310">
        <f t="shared" si="82"/>
        <v>3</v>
      </c>
      <c r="N64" s="1310">
        <f t="shared" si="83"/>
        <v>0</v>
      </c>
      <c r="O64" s="1310">
        <f t="shared" si="84"/>
        <v>0</v>
      </c>
      <c r="P64" s="1310">
        <f t="shared" ref="P64:P74" si="100">+AW64+CC64</f>
        <v>0</v>
      </c>
      <c r="Q64" s="1310">
        <f t="shared" ref="Q64:Q74" si="101">+AX64+CD64</f>
        <v>28</v>
      </c>
      <c r="R64" s="1310">
        <f t="shared" ref="R64:R75" si="102">SUM(B64:Q64)</f>
        <v>116</v>
      </c>
      <c r="S64" s="1310">
        <f t="shared" si="85"/>
        <v>0</v>
      </c>
      <c r="T64" s="1310">
        <f t="shared" si="86"/>
        <v>19</v>
      </c>
      <c r="U64" s="1310">
        <f t="shared" si="87"/>
        <v>66</v>
      </c>
      <c r="V64" s="1310">
        <f t="shared" si="88"/>
        <v>0</v>
      </c>
      <c r="W64" s="1310">
        <f t="shared" ref="W64:W74" si="103">+BC64+CI64</f>
        <v>0</v>
      </c>
      <c r="X64" s="1310">
        <f t="shared" si="89"/>
        <v>7</v>
      </c>
      <c r="Y64" s="1310">
        <f t="shared" si="90"/>
        <v>0</v>
      </c>
      <c r="Z64" s="1310">
        <f t="shared" si="91"/>
        <v>0</v>
      </c>
      <c r="AA64" s="1310">
        <f t="shared" si="92"/>
        <v>0</v>
      </c>
      <c r="AB64" s="1310">
        <f t="shared" si="93"/>
        <v>0</v>
      </c>
      <c r="AC64" s="1310">
        <f t="shared" si="94"/>
        <v>0</v>
      </c>
      <c r="AD64" s="1310">
        <f t="shared" si="95"/>
        <v>0</v>
      </c>
      <c r="AE64" s="1310">
        <f t="shared" si="96"/>
        <v>44</v>
      </c>
      <c r="AF64" s="1310">
        <f t="shared" si="97"/>
        <v>0</v>
      </c>
      <c r="AG64" s="1310">
        <f t="shared" si="98"/>
        <v>0</v>
      </c>
      <c r="AH64" s="1701">
        <f t="shared" si="99"/>
        <v>0</v>
      </c>
      <c r="AI64" s="1909"/>
      <c r="AJ64" s="1909">
        <v>11</v>
      </c>
      <c r="AK64" s="1909"/>
      <c r="AL64" s="2009">
        <v>8</v>
      </c>
      <c r="AM64" s="1909"/>
      <c r="AN64" s="1909">
        <v>42</v>
      </c>
      <c r="AO64" s="1909"/>
      <c r="AP64" s="1909"/>
      <c r="AQ64" s="1909"/>
      <c r="AR64" s="2009"/>
      <c r="AS64" s="1971"/>
      <c r="AT64" s="1909"/>
      <c r="AU64" s="1909"/>
      <c r="AV64" s="1909"/>
      <c r="AW64" s="1909"/>
      <c r="AX64" s="1910">
        <v>28</v>
      </c>
      <c r="AY64" s="2054"/>
      <c r="AZ64" s="2014">
        <v>19</v>
      </c>
      <c r="BA64" s="2014">
        <v>66</v>
      </c>
      <c r="BB64" s="2014"/>
      <c r="BC64" s="2014"/>
      <c r="BD64" s="2055">
        <v>7</v>
      </c>
      <c r="BE64" s="1865"/>
      <c r="BF64" s="1909"/>
      <c r="BG64" s="1909"/>
      <c r="BH64" s="1909"/>
      <c r="BI64" s="1909"/>
      <c r="BJ64" s="2009"/>
      <c r="BK64" s="2009">
        <f>10+34</f>
        <v>44</v>
      </c>
      <c r="BL64" s="2009"/>
      <c r="BM64" s="1971"/>
      <c r="BN64" s="3008"/>
      <c r="BO64" s="1896"/>
      <c r="BP64" s="1567"/>
      <c r="BQ64" s="1567"/>
      <c r="BR64" s="1567">
        <v>3</v>
      </c>
      <c r="BS64" s="1567"/>
      <c r="BT64" s="1567"/>
      <c r="BU64" s="1567"/>
      <c r="BV64" s="1567"/>
      <c r="BW64" s="1567">
        <v>2</v>
      </c>
      <c r="BX64" s="2033">
        <v>19</v>
      </c>
      <c r="BY64" s="2033"/>
      <c r="BZ64" s="2033">
        <v>3</v>
      </c>
      <c r="CA64" s="2033"/>
      <c r="CB64" s="2033"/>
      <c r="CC64" s="2033"/>
      <c r="CD64" s="2059"/>
      <c r="CE64" s="2056"/>
      <c r="CF64" s="2057"/>
      <c r="CG64" s="2057"/>
      <c r="CH64" s="2057"/>
      <c r="CI64" s="2057"/>
      <c r="CJ64" s="1972"/>
      <c r="CK64" s="2058"/>
      <c r="CL64" s="2033"/>
      <c r="CM64" s="2033"/>
      <c r="CN64" s="2033"/>
      <c r="CO64" s="2033"/>
      <c r="CP64" s="2033"/>
      <c r="CQ64" s="2033"/>
      <c r="CR64" s="2033"/>
      <c r="CS64" s="2033"/>
      <c r="CT64" s="2059"/>
      <c r="CU64" s="262">
        <f>SUM(AI64:BC64)+SUM(BO64:CI64)</f>
        <v>201</v>
      </c>
      <c r="CV64" s="262">
        <f t="shared" ref="CV64:CV73" si="104">+CU64+BD64+CJ64</f>
        <v>208</v>
      </c>
      <c r="CW64" s="358">
        <f t="shared" ref="CW64:CW75" si="105">SUM(CK64:CT64)+SUM(BE64:BN64)</f>
        <v>44</v>
      </c>
      <c r="CX64">
        <f t="shared" ref="CX64:CX72" si="106">+CJ64+BD64</f>
        <v>7</v>
      </c>
    </row>
    <row r="65" spans="1:102">
      <c r="A65" s="1309">
        <v>44986</v>
      </c>
      <c r="B65" s="1310">
        <f t="shared" si="71"/>
        <v>0</v>
      </c>
      <c r="C65" s="1310">
        <f t="shared" si="72"/>
        <v>8</v>
      </c>
      <c r="D65" s="1310">
        <f t="shared" si="73"/>
        <v>0</v>
      </c>
      <c r="E65" s="1310">
        <f t="shared" si="74"/>
        <v>12</v>
      </c>
      <c r="F65" s="1310">
        <f t="shared" si="75"/>
        <v>0</v>
      </c>
      <c r="G65" s="1310">
        <f t="shared" si="76"/>
        <v>6</v>
      </c>
      <c r="H65" s="1310">
        <f t="shared" si="77"/>
        <v>0</v>
      </c>
      <c r="I65" s="1310">
        <f t="shared" si="78"/>
        <v>0</v>
      </c>
      <c r="J65" s="1310">
        <f t="shared" si="79"/>
        <v>105</v>
      </c>
      <c r="K65" s="1310">
        <f t="shared" si="80"/>
        <v>0</v>
      </c>
      <c r="L65" s="1310">
        <f t="shared" si="81"/>
        <v>0</v>
      </c>
      <c r="M65" s="1310">
        <f t="shared" si="82"/>
        <v>0</v>
      </c>
      <c r="N65" s="1310">
        <f t="shared" si="83"/>
        <v>0</v>
      </c>
      <c r="O65" s="1310">
        <f t="shared" si="84"/>
        <v>0</v>
      </c>
      <c r="P65" s="1310">
        <f t="shared" si="100"/>
        <v>0</v>
      </c>
      <c r="Q65" s="1310">
        <f t="shared" si="101"/>
        <v>0</v>
      </c>
      <c r="R65" s="1310">
        <f t="shared" si="102"/>
        <v>131</v>
      </c>
      <c r="S65" s="1310">
        <f t="shared" si="85"/>
        <v>0</v>
      </c>
      <c r="T65" s="1310">
        <f t="shared" si="86"/>
        <v>0</v>
      </c>
      <c r="U65" s="1310">
        <f t="shared" si="87"/>
        <v>1</v>
      </c>
      <c r="V65" s="1310">
        <f t="shared" si="88"/>
        <v>0</v>
      </c>
      <c r="W65" s="1310">
        <f t="shared" si="103"/>
        <v>0</v>
      </c>
      <c r="X65" s="1310">
        <f t="shared" si="89"/>
        <v>0</v>
      </c>
      <c r="Y65" s="1310">
        <f t="shared" si="90"/>
        <v>0</v>
      </c>
      <c r="Z65" s="1310">
        <f t="shared" si="91"/>
        <v>0</v>
      </c>
      <c r="AA65" s="1310">
        <f t="shared" si="92"/>
        <v>0</v>
      </c>
      <c r="AB65" s="1310">
        <f t="shared" si="93"/>
        <v>0</v>
      </c>
      <c r="AC65" s="1310">
        <f t="shared" si="94"/>
        <v>0</v>
      </c>
      <c r="AD65" s="1310">
        <f t="shared" si="95"/>
        <v>23</v>
      </c>
      <c r="AE65" s="1310">
        <f t="shared" si="96"/>
        <v>0</v>
      </c>
      <c r="AF65" s="1310">
        <f t="shared" si="97"/>
        <v>0</v>
      </c>
      <c r="AG65" s="1310">
        <f t="shared" si="98"/>
        <v>5</v>
      </c>
      <c r="AH65" s="1701">
        <f t="shared" si="99"/>
        <v>0</v>
      </c>
      <c r="AI65" s="2008"/>
      <c r="AJ65" s="2010">
        <v>8</v>
      </c>
      <c r="AK65" s="2010"/>
      <c r="AL65" s="2010">
        <v>12</v>
      </c>
      <c r="AM65" s="2010"/>
      <c r="AN65" s="2010">
        <v>6</v>
      </c>
      <c r="AO65" s="2009"/>
      <c r="AP65" s="2010"/>
      <c r="AQ65" s="2010">
        <f>30+75</f>
        <v>105</v>
      </c>
      <c r="AR65" s="2010"/>
      <c r="AS65" s="2010"/>
      <c r="AT65" s="2010"/>
      <c r="AU65" s="2010"/>
      <c r="AV65" s="2010"/>
      <c r="AW65" s="2010"/>
      <c r="AX65" s="2011"/>
      <c r="AY65" s="2203"/>
      <c r="AZ65" s="2014"/>
      <c r="BA65" s="2014">
        <v>1</v>
      </c>
      <c r="BB65" s="2014"/>
      <c r="BC65" s="2014"/>
      <c r="BD65" s="2061"/>
      <c r="BE65" s="2018"/>
      <c r="BF65" s="2010"/>
      <c r="BG65" s="2010"/>
      <c r="BH65" s="2010"/>
      <c r="BI65" s="2010"/>
      <c r="BJ65" s="2009">
        <f>7+16</f>
        <v>23</v>
      </c>
      <c r="BK65" s="2009"/>
      <c r="BL65" s="2009"/>
      <c r="BM65" s="2009">
        <v>5</v>
      </c>
      <c r="BN65" s="3007"/>
      <c r="BO65" s="2204"/>
      <c r="BP65" s="2205"/>
      <c r="BQ65" s="2205"/>
      <c r="BR65" s="2205"/>
      <c r="BS65" s="2205"/>
      <c r="BT65" s="2205"/>
      <c r="BU65" s="2205"/>
      <c r="BV65" s="2205"/>
      <c r="BW65" s="2205"/>
      <c r="BX65" s="2033"/>
      <c r="BY65" s="2033"/>
      <c r="BZ65" s="2033"/>
      <c r="CA65" s="2033"/>
      <c r="CB65" s="2033"/>
      <c r="CC65" s="2033"/>
      <c r="CD65" s="2059"/>
      <c r="CE65" s="2060"/>
      <c r="CF65" s="2057"/>
      <c r="CG65" s="2057"/>
      <c r="CH65" s="2057"/>
      <c r="CI65" s="2057"/>
      <c r="CJ65" s="1972"/>
      <c r="CK65" s="2058"/>
      <c r="CL65" s="2033"/>
      <c r="CM65" s="2033"/>
      <c r="CN65" s="2033"/>
      <c r="CO65" s="2033"/>
      <c r="CP65" s="2033"/>
      <c r="CQ65" s="2033"/>
      <c r="CR65" s="2033"/>
      <c r="CS65" s="2033"/>
      <c r="CT65" s="2059"/>
      <c r="CU65" s="262">
        <f>SUM(AI65:BC65)+SUM(BO65:CI65)</f>
        <v>132</v>
      </c>
      <c r="CV65" s="262">
        <f t="shared" si="104"/>
        <v>132</v>
      </c>
      <c r="CW65" s="358">
        <f t="shared" si="105"/>
        <v>28</v>
      </c>
      <c r="CX65">
        <f t="shared" si="106"/>
        <v>0</v>
      </c>
    </row>
    <row r="66" spans="1:102">
      <c r="A66" s="1309">
        <v>45017</v>
      </c>
      <c r="B66" s="1310">
        <f t="shared" si="71"/>
        <v>0</v>
      </c>
      <c r="C66" s="1310">
        <f t="shared" si="72"/>
        <v>0</v>
      </c>
      <c r="D66" s="1310">
        <f t="shared" si="73"/>
        <v>5</v>
      </c>
      <c r="E66" s="1310">
        <f t="shared" si="74"/>
        <v>2</v>
      </c>
      <c r="F66" s="1310">
        <f t="shared" si="75"/>
        <v>0</v>
      </c>
      <c r="G66" s="1310">
        <f t="shared" si="76"/>
        <v>0</v>
      </c>
      <c r="H66" s="1310">
        <f t="shared" si="77"/>
        <v>0</v>
      </c>
      <c r="I66" s="1310">
        <f t="shared" si="78"/>
        <v>0</v>
      </c>
      <c r="J66" s="1310">
        <f t="shared" si="79"/>
        <v>0</v>
      </c>
      <c r="K66" s="1310">
        <f t="shared" si="80"/>
        <v>1</v>
      </c>
      <c r="L66" s="1310">
        <f t="shared" si="81"/>
        <v>0</v>
      </c>
      <c r="M66" s="1310">
        <f t="shared" si="82"/>
        <v>14</v>
      </c>
      <c r="N66" s="1310">
        <f t="shared" si="83"/>
        <v>0</v>
      </c>
      <c r="O66" s="1310">
        <f t="shared" si="84"/>
        <v>0</v>
      </c>
      <c r="P66" s="1310">
        <f t="shared" si="100"/>
        <v>0</v>
      </c>
      <c r="Q66" s="1310">
        <f t="shared" si="101"/>
        <v>0</v>
      </c>
      <c r="R66" s="1310">
        <f t="shared" si="102"/>
        <v>22</v>
      </c>
      <c r="S66" s="1310">
        <f t="shared" si="85"/>
        <v>0</v>
      </c>
      <c r="T66" s="1310">
        <f t="shared" si="86"/>
        <v>0</v>
      </c>
      <c r="U66" s="1310">
        <f t="shared" si="87"/>
        <v>3</v>
      </c>
      <c r="V66" s="1310">
        <f t="shared" si="88"/>
        <v>0</v>
      </c>
      <c r="W66" s="1310">
        <f t="shared" si="103"/>
        <v>0</v>
      </c>
      <c r="X66" s="1310">
        <f t="shared" si="89"/>
        <v>0</v>
      </c>
      <c r="Y66" s="1310">
        <f t="shared" si="90"/>
        <v>0</v>
      </c>
      <c r="Z66" s="1310">
        <f t="shared" si="91"/>
        <v>0</v>
      </c>
      <c r="AA66" s="1310">
        <f t="shared" si="92"/>
        <v>0</v>
      </c>
      <c r="AB66" s="1310">
        <f t="shared" si="93"/>
        <v>0</v>
      </c>
      <c r="AC66" s="1310">
        <f t="shared" si="94"/>
        <v>0</v>
      </c>
      <c r="AD66" s="1310">
        <f t="shared" si="95"/>
        <v>0</v>
      </c>
      <c r="AE66" s="1310">
        <f t="shared" si="96"/>
        <v>0</v>
      </c>
      <c r="AF66" s="1310">
        <f t="shared" si="97"/>
        <v>16</v>
      </c>
      <c r="AG66" s="1310">
        <f t="shared" si="98"/>
        <v>0</v>
      </c>
      <c r="AH66" s="1701">
        <f t="shared" si="99"/>
        <v>0</v>
      </c>
      <c r="AI66" s="1865"/>
      <c r="AJ66" s="1909"/>
      <c r="AK66" s="1909">
        <v>5</v>
      </c>
      <c r="AL66" s="1909">
        <v>2</v>
      </c>
      <c r="AM66" s="1909"/>
      <c r="AN66" s="1971"/>
      <c r="AO66" s="1909"/>
      <c r="AP66" s="1909"/>
      <c r="AQ66" s="1909"/>
      <c r="AR66" s="1909">
        <v>1</v>
      </c>
      <c r="AS66" s="1909"/>
      <c r="AT66" s="1909">
        <v>14</v>
      </c>
      <c r="AU66" s="1909"/>
      <c r="AV66" s="1909"/>
      <c r="AW66" s="1909"/>
      <c r="AX66" s="1910"/>
      <c r="AY66" s="1911"/>
      <c r="AZ66" s="2014"/>
      <c r="BA66" s="2014">
        <v>3</v>
      </c>
      <c r="BB66" s="1912"/>
      <c r="BC66" s="2014"/>
      <c r="BD66" s="2055"/>
      <c r="BE66" s="1865"/>
      <c r="BF66" s="1909"/>
      <c r="BG66" s="1909"/>
      <c r="BH66" s="1909"/>
      <c r="BI66" s="1909"/>
      <c r="BJ66" s="2009"/>
      <c r="BK66" s="2009"/>
      <c r="BL66" s="2009">
        <v>16</v>
      </c>
      <c r="BM66" s="2009"/>
      <c r="BN66" s="3008"/>
      <c r="BO66" s="1896"/>
      <c r="BP66" s="1567"/>
      <c r="BQ66" s="1567"/>
      <c r="BR66" s="1567"/>
      <c r="BS66" s="1567"/>
      <c r="BT66" s="1567"/>
      <c r="BU66" s="1567"/>
      <c r="BV66" s="1567"/>
      <c r="BW66" s="1567"/>
      <c r="BX66" s="2033"/>
      <c r="BY66" s="2033"/>
      <c r="BZ66" s="2033"/>
      <c r="CA66" s="2033"/>
      <c r="CB66" s="2033"/>
      <c r="CC66" s="2033"/>
      <c r="CD66" s="2059"/>
      <c r="CE66" s="2056"/>
      <c r="CF66" s="2057"/>
      <c r="CG66" s="2057"/>
      <c r="CH66" s="2057"/>
      <c r="CI66" s="2057"/>
      <c r="CJ66" s="1972"/>
      <c r="CK66" s="2058"/>
      <c r="CL66" s="2033"/>
      <c r="CM66" s="2033"/>
      <c r="CN66" s="2033"/>
      <c r="CO66" s="2033"/>
      <c r="CP66" s="2033"/>
      <c r="CQ66" s="2033"/>
      <c r="CR66" s="2033"/>
      <c r="CS66" s="2033"/>
      <c r="CT66" s="2059"/>
      <c r="CU66" s="262">
        <f t="shared" ref="CU66:CU74" si="107">SUM(AI66:BC66)+SUM(BO66:CI66)</f>
        <v>25</v>
      </c>
      <c r="CV66" s="262">
        <f t="shared" si="104"/>
        <v>25</v>
      </c>
      <c r="CW66" s="358">
        <f t="shared" si="105"/>
        <v>16</v>
      </c>
      <c r="CX66">
        <f t="shared" si="106"/>
        <v>0</v>
      </c>
    </row>
    <row r="67" spans="1:102">
      <c r="A67" s="1309">
        <v>45047</v>
      </c>
      <c r="B67" s="1310">
        <f t="shared" si="71"/>
        <v>0</v>
      </c>
      <c r="C67" s="1310">
        <f t="shared" si="72"/>
        <v>0</v>
      </c>
      <c r="D67" s="1310">
        <f t="shared" si="73"/>
        <v>10</v>
      </c>
      <c r="E67" s="1310">
        <f t="shared" si="74"/>
        <v>0</v>
      </c>
      <c r="F67" s="1310">
        <f t="shared" si="75"/>
        <v>0</v>
      </c>
      <c r="G67" s="1310">
        <f t="shared" si="76"/>
        <v>0</v>
      </c>
      <c r="H67" s="1310">
        <f t="shared" si="77"/>
        <v>0</v>
      </c>
      <c r="I67" s="1310">
        <f t="shared" si="78"/>
        <v>0</v>
      </c>
      <c r="J67" s="1310">
        <f t="shared" si="79"/>
        <v>0</v>
      </c>
      <c r="K67" s="1310">
        <f t="shared" si="80"/>
        <v>0</v>
      </c>
      <c r="L67" s="1310">
        <f t="shared" si="81"/>
        <v>0</v>
      </c>
      <c r="M67" s="1310">
        <f t="shared" si="82"/>
        <v>17</v>
      </c>
      <c r="N67" s="1310">
        <f t="shared" si="83"/>
        <v>0</v>
      </c>
      <c r="O67" s="1310">
        <f t="shared" si="84"/>
        <v>0</v>
      </c>
      <c r="P67" s="1310">
        <f t="shared" si="100"/>
        <v>0</v>
      </c>
      <c r="Q67" s="1310">
        <f t="shared" si="101"/>
        <v>20</v>
      </c>
      <c r="R67" s="1310">
        <f t="shared" si="102"/>
        <v>47</v>
      </c>
      <c r="S67" s="1310">
        <f t="shared" si="85"/>
        <v>0</v>
      </c>
      <c r="T67" s="1310">
        <f t="shared" si="86"/>
        <v>0</v>
      </c>
      <c r="U67" s="1310">
        <f t="shared" si="87"/>
        <v>6</v>
      </c>
      <c r="V67" s="1310">
        <f t="shared" si="88"/>
        <v>0</v>
      </c>
      <c r="W67" s="1310">
        <f t="shared" si="103"/>
        <v>0</v>
      </c>
      <c r="X67" s="1310">
        <f t="shared" si="89"/>
        <v>8</v>
      </c>
      <c r="Y67" s="1310">
        <f t="shared" si="90"/>
        <v>0</v>
      </c>
      <c r="Z67" s="1310">
        <f t="shared" si="91"/>
        <v>0</v>
      </c>
      <c r="AA67" s="1310">
        <f t="shared" si="92"/>
        <v>0</v>
      </c>
      <c r="AB67" s="1310">
        <f t="shared" si="93"/>
        <v>0</v>
      </c>
      <c r="AC67" s="1310">
        <f t="shared" si="94"/>
        <v>0</v>
      </c>
      <c r="AD67" s="1310">
        <f t="shared" si="95"/>
        <v>0</v>
      </c>
      <c r="AE67" s="1310">
        <f t="shared" si="96"/>
        <v>0</v>
      </c>
      <c r="AF67" s="1310">
        <f t="shared" si="97"/>
        <v>0</v>
      </c>
      <c r="AG67" s="1310">
        <f t="shared" si="98"/>
        <v>0</v>
      </c>
      <c r="AH67" s="1701">
        <f t="shared" si="99"/>
        <v>0</v>
      </c>
      <c r="AI67" s="1865"/>
      <c r="AJ67" s="1909"/>
      <c r="AK67" s="1909">
        <v>10</v>
      </c>
      <c r="AL67" s="1909"/>
      <c r="AM67" s="1909"/>
      <c r="AN67" s="1909"/>
      <c r="AO67" s="1909"/>
      <c r="AP67" s="1909"/>
      <c r="AQ67" s="1909"/>
      <c r="AR67" s="1909"/>
      <c r="AS67" s="1909"/>
      <c r="AT67" s="1909"/>
      <c r="AU67" s="1909"/>
      <c r="AV67" s="1909"/>
      <c r="AW67" s="1909"/>
      <c r="AX67" s="1910">
        <v>20</v>
      </c>
      <c r="AY67" s="1911"/>
      <c r="AZ67" s="1912"/>
      <c r="BA67" s="1912">
        <v>6</v>
      </c>
      <c r="BB67" s="1912"/>
      <c r="BC67" s="2014"/>
      <c r="BD67" s="1913">
        <v>8</v>
      </c>
      <c r="BE67" s="1865"/>
      <c r="BF67" s="1909"/>
      <c r="BG67" s="1909"/>
      <c r="BH67" s="1909"/>
      <c r="BI67" s="1909"/>
      <c r="BJ67" s="2009"/>
      <c r="BK67" s="2009"/>
      <c r="BL67" s="2009"/>
      <c r="BM67" s="2009"/>
      <c r="BN67" s="3008"/>
      <c r="BO67" s="1896"/>
      <c r="BP67" s="1567"/>
      <c r="BQ67" s="1567"/>
      <c r="BR67" s="1567"/>
      <c r="BS67" s="1567"/>
      <c r="BT67" s="1567"/>
      <c r="BU67" s="1567"/>
      <c r="BV67" s="1567"/>
      <c r="BW67" s="1567"/>
      <c r="BX67" s="1567"/>
      <c r="BY67" s="1567"/>
      <c r="BZ67" s="1567">
        <v>17</v>
      </c>
      <c r="CA67" s="1567"/>
      <c r="CB67" s="1567"/>
      <c r="CC67" s="1567"/>
      <c r="CD67" s="1897"/>
      <c r="CE67" s="1893"/>
      <c r="CF67" s="1867"/>
      <c r="CG67" s="1867"/>
      <c r="CH67" s="1867"/>
      <c r="CI67" s="1867"/>
      <c r="CJ67" s="1972"/>
      <c r="CK67" s="1896"/>
      <c r="CL67" s="1567"/>
      <c r="CM67" s="1567"/>
      <c r="CN67" s="1567"/>
      <c r="CO67" s="1567"/>
      <c r="CP67" s="1567"/>
      <c r="CQ67" s="1567"/>
      <c r="CR67" s="1567"/>
      <c r="CS67" s="1567"/>
      <c r="CT67" s="1897"/>
      <c r="CU67" s="262">
        <f t="shared" si="107"/>
        <v>53</v>
      </c>
      <c r="CV67" s="262">
        <f t="shared" si="104"/>
        <v>61</v>
      </c>
      <c r="CW67" s="358">
        <f t="shared" si="105"/>
        <v>0</v>
      </c>
      <c r="CX67">
        <f t="shared" si="106"/>
        <v>8</v>
      </c>
    </row>
    <row r="68" spans="1:102">
      <c r="A68" s="1309">
        <v>45078</v>
      </c>
      <c r="B68" s="1310">
        <f t="shared" si="71"/>
        <v>0</v>
      </c>
      <c r="C68" s="1310">
        <f t="shared" si="72"/>
        <v>0</v>
      </c>
      <c r="D68" s="1310">
        <f t="shared" si="73"/>
        <v>34</v>
      </c>
      <c r="E68" s="1310">
        <f t="shared" si="74"/>
        <v>0</v>
      </c>
      <c r="F68" s="1310">
        <f t="shared" si="75"/>
        <v>0</v>
      </c>
      <c r="G68" s="1310">
        <f t="shared" si="76"/>
        <v>3</v>
      </c>
      <c r="H68" s="1310">
        <f t="shared" si="77"/>
        <v>0</v>
      </c>
      <c r="I68" s="1310">
        <f t="shared" si="78"/>
        <v>0</v>
      </c>
      <c r="J68" s="1310">
        <f t="shared" si="79"/>
        <v>0</v>
      </c>
      <c r="K68" s="1310">
        <f t="shared" si="80"/>
        <v>10</v>
      </c>
      <c r="L68" s="1310">
        <f t="shared" si="81"/>
        <v>0</v>
      </c>
      <c r="M68" s="1310">
        <f t="shared" si="82"/>
        <v>0</v>
      </c>
      <c r="N68" s="1310">
        <f t="shared" si="83"/>
        <v>10</v>
      </c>
      <c r="O68" s="1310">
        <f t="shared" si="84"/>
        <v>51</v>
      </c>
      <c r="P68" s="1310">
        <f t="shared" si="100"/>
        <v>0</v>
      </c>
      <c r="Q68" s="1310">
        <f t="shared" si="101"/>
        <v>0</v>
      </c>
      <c r="R68" s="1310">
        <f t="shared" si="102"/>
        <v>108</v>
      </c>
      <c r="S68" s="1310">
        <f t="shared" si="85"/>
        <v>0</v>
      </c>
      <c r="T68" s="1310">
        <f t="shared" si="86"/>
        <v>0</v>
      </c>
      <c r="U68" s="1310">
        <f t="shared" si="87"/>
        <v>0</v>
      </c>
      <c r="V68" s="1310">
        <f t="shared" si="88"/>
        <v>0</v>
      </c>
      <c r="W68" s="1310">
        <f t="shared" si="103"/>
        <v>0</v>
      </c>
      <c r="X68" s="1310">
        <f t="shared" si="89"/>
        <v>0</v>
      </c>
      <c r="Y68" s="1310">
        <f t="shared" si="90"/>
        <v>2</v>
      </c>
      <c r="Z68" s="1310">
        <f t="shared" si="91"/>
        <v>0</v>
      </c>
      <c r="AA68" s="1310">
        <f t="shared" si="92"/>
        <v>0</v>
      </c>
      <c r="AB68" s="1310">
        <f t="shared" si="93"/>
        <v>0</v>
      </c>
      <c r="AC68" s="1310">
        <f t="shared" si="94"/>
        <v>0</v>
      </c>
      <c r="AD68" s="1310">
        <f t="shared" si="95"/>
        <v>0</v>
      </c>
      <c r="AE68" s="1310">
        <f t="shared" si="96"/>
        <v>0</v>
      </c>
      <c r="AF68" s="1310">
        <f t="shared" si="97"/>
        <v>7</v>
      </c>
      <c r="AG68" s="1310">
        <f t="shared" si="98"/>
        <v>0</v>
      </c>
      <c r="AH68" s="1701">
        <f t="shared" si="99"/>
        <v>72</v>
      </c>
      <c r="AI68" s="1865"/>
      <c r="AJ68" s="1909"/>
      <c r="AK68" s="1909">
        <v>34</v>
      </c>
      <c r="AL68" s="1909"/>
      <c r="AM68" s="1909"/>
      <c r="AN68" s="1909">
        <v>3</v>
      </c>
      <c r="AO68" s="1909"/>
      <c r="AP68" s="1909"/>
      <c r="AQ68" s="1909"/>
      <c r="AR68" s="1909">
        <v>10</v>
      </c>
      <c r="AS68" s="1909"/>
      <c r="AT68" s="1909"/>
      <c r="AU68" s="1909"/>
      <c r="AV68" s="1909"/>
      <c r="AW68" s="1909"/>
      <c r="AX68" s="1910"/>
      <c r="AY68" s="1911"/>
      <c r="AZ68" s="1912"/>
      <c r="BA68" s="1912"/>
      <c r="BB68" s="2014"/>
      <c r="BC68" s="1912"/>
      <c r="BD68" s="2055"/>
      <c r="BE68" s="1865"/>
      <c r="BF68" s="1909"/>
      <c r="BG68" s="1909"/>
      <c r="BH68" s="1909"/>
      <c r="BI68" s="1909"/>
      <c r="BJ68" s="2009"/>
      <c r="BK68" s="2009"/>
      <c r="BL68" s="2009"/>
      <c r="BM68" s="2009"/>
      <c r="BN68" s="3008">
        <v>72</v>
      </c>
      <c r="BO68" s="1896"/>
      <c r="BP68" s="1567"/>
      <c r="BQ68" s="1567"/>
      <c r="BR68" s="1567"/>
      <c r="BS68" s="1567"/>
      <c r="BT68" s="1567"/>
      <c r="BU68" s="1567"/>
      <c r="BV68" s="1567"/>
      <c r="BW68" s="1567"/>
      <c r="BX68" s="1567"/>
      <c r="BY68" s="1567"/>
      <c r="BZ68" s="1567"/>
      <c r="CA68" s="1567">
        <v>10</v>
      </c>
      <c r="CB68" s="1567">
        <v>51</v>
      </c>
      <c r="CC68" s="1567"/>
      <c r="CD68" s="1897"/>
      <c r="CE68" s="1893"/>
      <c r="CF68" s="1867"/>
      <c r="CG68" s="1867"/>
      <c r="CH68" s="1867"/>
      <c r="CI68" s="1867"/>
      <c r="CJ68" s="1902"/>
      <c r="CK68" s="1896">
        <v>2</v>
      </c>
      <c r="CL68" s="1567"/>
      <c r="CM68" s="1567"/>
      <c r="CN68" s="1567"/>
      <c r="CO68" s="1567"/>
      <c r="CP68" s="1567"/>
      <c r="CQ68" s="1567"/>
      <c r="CR68" s="1567">
        <v>7</v>
      </c>
      <c r="CS68" s="1567"/>
      <c r="CT68" s="1897"/>
      <c r="CU68" s="262">
        <f t="shared" si="107"/>
        <v>108</v>
      </c>
      <c r="CV68" s="262">
        <f t="shared" si="104"/>
        <v>108</v>
      </c>
      <c r="CW68" s="358">
        <f t="shared" si="105"/>
        <v>81</v>
      </c>
      <c r="CX68">
        <f t="shared" si="106"/>
        <v>0</v>
      </c>
    </row>
    <row r="69" spans="1:102">
      <c r="A69" s="1309">
        <v>45108</v>
      </c>
      <c r="B69" s="1310">
        <f t="shared" si="71"/>
        <v>0</v>
      </c>
      <c r="C69" s="1310">
        <f t="shared" si="72"/>
        <v>30</v>
      </c>
      <c r="D69" s="1310">
        <f t="shared" si="73"/>
        <v>56</v>
      </c>
      <c r="E69" s="1310">
        <f t="shared" si="74"/>
        <v>17</v>
      </c>
      <c r="F69" s="1310">
        <f t="shared" si="75"/>
        <v>0</v>
      </c>
      <c r="G69" s="1310">
        <f t="shared" si="76"/>
        <v>0</v>
      </c>
      <c r="H69" s="1310">
        <f t="shared" si="77"/>
        <v>0</v>
      </c>
      <c r="I69" s="1310">
        <f t="shared" si="78"/>
        <v>5</v>
      </c>
      <c r="J69" s="1310">
        <f t="shared" si="79"/>
        <v>0</v>
      </c>
      <c r="K69" s="1310">
        <f t="shared" si="80"/>
        <v>9</v>
      </c>
      <c r="L69" s="1310">
        <f t="shared" si="81"/>
        <v>0</v>
      </c>
      <c r="M69" s="1310">
        <f t="shared" si="82"/>
        <v>0</v>
      </c>
      <c r="N69" s="1310">
        <f t="shared" si="83"/>
        <v>0</v>
      </c>
      <c r="O69" s="1310">
        <f t="shared" si="84"/>
        <v>0</v>
      </c>
      <c r="P69" s="1310">
        <f t="shared" si="100"/>
        <v>0</v>
      </c>
      <c r="Q69" s="1310">
        <f t="shared" si="101"/>
        <v>0</v>
      </c>
      <c r="R69" s="1310">
        <f t="shared" si="102"/>
        <v>117</v>
      </c>
      <c r="S69" s="1310">
        <f t="shared" si="85"/>
        <v>0</v>
      </c>
      <c r="T69" s="1310">
        <f t="shared" si="86"/>
        <v>0</v>
      </c>
      <c r="U69" s="1310">
        <f t="shared" si="87"/>
        <v>11</v>
      </c>
      <c r="V69" s="1310">
        <f t="shared" si="88"/>
        <v>0</v>
      </c>
      <c r="W69" s="1310">
        <f t="shared" si="103"/>
        <v>0</v>
      </c>
      <c r="X69" s="1310">
        <f t="shared" si="89"/>
        <v>27</v>
      </c>
      <c r="Y69" s="1310">
        <f t="shared" si="90"/>
        <v>0</v>
      </c>
      <c r="Z69" s="1310">
        <f t="shared" si="91"/>
        <v>0</v>
      </c>
      <c r="AA69" s="1310">
        <f t="shared" si="92"/>
        <v>0</v>
      </c>
      <c r="AB69" s="1310">
        <f t="shared" si="93"/>
        <v>0</v>
      </c>
      <c r="AC69" s="1310">
        <f t="shared" si="94"/>
        <v>0</v>
      </c>
      <c r="AD69" s="1310">
        <f t="shared" si="95"/>
        <v>0</v>
      </c>
      <c r="AE69" s="1310">
        <f t="shared" si="96"/>
        <v>0</v>
      </c>
      <c r="AF69" s="1310">
        <f t="shared" si="97"/>
        <v>0</v>
      </c>
      <c r="AG69" s="1310">
        <f t="shared" si="98"/>
        <v>0</v>
      </c>
      <c r="AH69" s="1701">
        <f t="shared" si="99"/>
        <v>0</v>
      </c>
      <c r="AI69" s="1865"/>
      <c r="AJ69" s="1909">
        <v>30</v>
      </c>
      <c r="AK69" s="1909">
        <v>7</v>
      </c>
      <c r="AL69" s="1909">
        <f>2+8+7</f>
        <v>17</v>
      </c>
      <c r="AM69" s="1909"/>
      <c r="AN69" s="1909"/>
      <c r="AO69" s="1909"/>
      <c r="AP69" s="1909">
        <v>5</v>
      </c>
      <c r="AQ69" s="1909"/>
      <c r="AR69" s="1971"/>
      <c r="AS69" s="1971"/>
      <c r="AT69" s="1909"/>
      <c r="AU69" s="1909"/>
      <c r="AV69" s="1909"/>
      <c r="AW69" s="1909"/>
      <c r="AX69" s="1910"/>
      <c r="AY69" s="1911"/>
      <c r="AZ69" s="1912"/>
      <c r="BA69" s="1912">
        <v>11</v>
      </c>
      <c r="BB69" s="1912"/>
      <c r="BC69" s="1912"/>
      <c r="BD69" s="2055">
        <v>27</v>
      </c>
      <c r="BE69" s="2078"/>
      <c r="BF69" s="1909"/>
      <c r="BG69" s="1909"/>
      <c r="BH69" s="1909"/>
      <c r="BI69" s="1909"/>
      <c r="BJ69" s="2009"/>
      <c r="BK69" s="2009"/>
      <c r="BL69" s="2009"/>
      <c r="BM69" s="2009"/>
      <c r="BN69" s="3008"/>
      <c r="BO69" s="1896"/>
      <c r="BP69" s="1567"/>
      <c r="BQ69" s="1040">
        <v>49</v>
      </c>
      <c r="BR69" s="1567"/>
      <c r="BS69" s="1567"/>
      <c r="BT69" s="1567"/>
      <c r="BU69" s="1567"/>
      <c r="BV69" s="1567"/>
      <c r="BW69" s="1567"/>
      <c r="BX69" s="1567">
        <v>9</v>
      </c>
      <c r="BY69" s="1567"/>
      <c r="BZ69" s="1567"/>
      <c r="CA69" s="1567"/>
      <c r="CB69" s="1567"/>
      <c r="CC69" s="1567"/>
      <c r="CD69" s="1897"/>
      <c r="CE69" s="1893"/>
      <c r="CF69" s="1867"/>
      <c r="CG69" s="1867"/>
      <c r="CH69" s="1867"/>
      <c r="CI69" s="1867"/>
      <c r="CJ69" s="1902"/>
      <c r="CK69" s="1896"/>
      <c r="CL69" s="1567"/>
      <c r="CM69" s="1567"/>
      <c r="CN69" s="1567"/>
      <c r="CO69" s="1567"/>
      <c r="CP69" s="1567"/>
      <c r="CQ69" s="1567"/>
      <c r="CR69" s="1567"/>
      <c r="CS69" s="1567"/>
      <c r="CT69" s="1897"/>
      <c r="CU69" s="262">
        <f t="shared" si="107"/>
        <v>128</v>
      </c>
      <c r="CV69" s="262">
        <f t="shared" si="104"/>
        <v>155</v>
      </c>
      <c r="CW69" s="358">
        <f t="shared" si="105"/>
        <v>0</v>
      </c>
      <c r="CX69">
        <f t="shared" si="106"/>
        <v>27</v>
      </c>
    </row>
    <row r="70" spans="1:102">
      <c r="A70" s="1309">
        <v>45139</v>
      </c>
      <c r="B70" s="1310">
        <f t="shared" si="71"/>
        <v>0</v>
      </c>
      <c r="C70" s="1310">
        <f t="shared" si="72"/>
        <v>1140</v>
      </c>
      <c r="D70" s="1310">
        <f t="shared" si="73"/>
        <v>7</v>
      </c>
      <c r="E70" s="1310">
        <f t="shared" si="74"/>
        <v>9</v>
      </c>
      <c r="F70" s="1310">
        <f t="shared" si="75"/>
        <v>0</v>
      </c>
      <c r="G70" s="1310">
        <f t="shared" si="76"/>
        <v>0</v>
      </c>
      <c r="H70" s="1310">
        <f t="shared" si="77"/>
        <v>0</v>
      </c>
      <c r="I70" s="1310">
        <f t="shared" si="78"/>
        <v>0</v>
      </c>
      <c r="J70" s="1310">
        <f t="shared" si="79"/>
        <v>0</v>
      </c>
      <c r="K70" s="1310">
        <f t="shared" si="80"/>
        <v>0</v>
      </c>
      <c r="L70" s="1310">
        <f t="shared" si="81"/>
        <v>0</v>
      </c>
      <c r="M70" s="1310">
        <f t="shared" si="82"/>
        <v>0</v>
      </c>
      <c r="N70" s="1310">
        <f t="shared" si="83"/>
        <v>0</v>
      </c>
      <c r="O70" s="1310">
        <f t="shared" si="84"/>
        <v>0</v>
      </c>
      <c r="P70" s="1310">
        <f t="shared" si="100"/>
        <v>0</v>
      </c>
      <c r="Q70" s="1310">
        <f t="shared" si="101"/>
        <v>0</v>
      </c>
      <c r="R70" s="1310">
        <f t="shared" si="102"/>
        <v>1156</v>
      </c>
      <c r="S70" s="1310">
        <f t="shared" si="85"/>
        <v>0</v>
      </c>
      <c r="T70" s="1310">
        <f t="shared" si="86"/>
        <v>0</v>
      </c>
      <c r="U70" s="1310">
        <f t="shared" si="87"/>
        <v>0</v>
      </c>
      <c r="V70" s="1310">
        <f t="shared" si="88"/>
        <v>0</v>
      </c>
      <c r="W70" s="1310">
        <f t="shared" si="103"/>
        <v>0</v>
      </c>
      <c r="X70" s="1310">
        <f t="shared" si="89"/>
        <v>1053</v>
      </c>
      <c r="Y70" s="1310">
        <f t="shared" si="90"/>
        <v>16</v>
      </c>
      <c r="Z70" s="1310">
        <f t="shared" si="91"/>
        <v>0</v>
      </c>
      <c r="AA70" s="1310">
        <f t="shared" si="92"/>
        <v>0</v>
      </c>
      <c r="AB70" s="1310">
        <f t="shared" si="93"/>
        <v>0</v>
      </c>
      <c r="AC70" s="1310">
        <f t="shared" si="94"/>
        <v>0</v>
      </c>
      <c r="AD70" s="1310">
        <f t="shared" si="95"/>
        <v>0</v>
      </c>
      <c r="AE70" s="1310">
        <f t="shared" si="96"/>
        <v>55</v>
      </c>
      <c r="AF70" s="1310">
        <f t="shared" si="97"/>
        <v>0</v>
      </c>
      <c r="AG70" s="1310">
        <f t="shared" si="98"/>
        <v>0</v>
      </c>
      <c r="AH70" s="1701">
        <f t="shared" si="99"/>
        <v>0</v>
      </c>
      <c r="AI70" s="1865"/>
      <c r="AJ70" s="1040">
        <v>1140</v>
      </c>
      <c r="AK70" s="1909">
        <v>7</v>
      </c>
      <c r="AL70" s="1909">
        <f>6+3</f>
        <v>9</v>
      </c>
      <c r="AM70" s="1909"/>
      <c r="AN70" s="1971"/>
      <c r="AO70" s="1909"/>
      <c r="AP70" s="1909"/>
      <c r="AQ70" s="1909"/>
      <c r="AR70" s="1909"/>
      <c r="AS70" s="1909"/>
      <c r="AT70" s="1909"/>
      <c r="AU70" s="1909"/>
      <c r="AV70" s="1909"/>
      <c r="AW70" s="1909"/>
      <c r="AX70" s="1910"/>
      <c r="AY70" s="1911"/>
      <c r="AZ70" s="1912"/>
      <c r="BA70" s="2014"/>
      <c r="BB70" s="1912"/>
      <c r="BC70" s="1912"/>
      <c r="BD70" s="2291">
        <v>30</v>
      </c>
      <c r="BE70" s="1865"/>
      <c r="BF70" s="1909"/>
      <c r="BG70" s="1909"/>
      <c r="BH70" s="1909"/>
      <c r="BI70" s="1909"/>
      <c r="BJ70" s="2009"/>
      <c r="BK70" s="2009">
        <v>55</v>
      </c>
      <c r="BL70" s="1971"/>
      <c r="BM70" s="2009"/>
      <c r="BN70" s="3008"/>
      <c r="BO70" s="1896"/>
      <c r="BP70" s="1567"/>
      <c r="BQ70" s="1567"/>
      <c r="BR70" s="1567"/>
      <c r="BS70" s="1567"/>
      <c r="BT70" s="1567"/>
      <c r="BU70" s="1567"/>
      <c r="BV70" s="1567"/>
      <c r="BW70" s="1567"/>
      <c r="BX70" s="1567"/>
      <c r="BY70" s="1567"/>
      <c r="BZ70" s="1567"/>
      <c r="CA70" s="1567"/>
      <c r="CB70" s="1567"/>
      <c r="CC70" s="1567"/>
      <c r="CD70" s="1897"/>
      <c r="CE70" s="1893"/>
      <c r="CF70" s="1867"/>
      <c r="CG70" s="1867"/>
      <c r="CH70" s="1867"/>
      <c r="CI70" s="1867"/>
      <c r="CJ70" s="2290">
        <f>59+845+119</f>
        <v>1023</v>
      </c>
      <c r="CK70" s="1896">
        <v>16</v>
      </c>
      <c r="CL70" s="1567"/>
      <c r="CM70" s="1567"/>
      <c r="CN70" s="1567"/>
      <c r="CO70" s="1567"/>
      <c r="CP70" s="1567"/>
      <c r="CQ70" s="1567"/>
      <c r="CR70" s="1567"/>
      <c r="CS70" s="1567"/>
      <c r="CT70" s="1897"/>
      <c r="CU70" s="262">
        <f t="shared" si="107"/>
        <v>1156</v>
      </c>
      <c r="CV70" s="262">
        <f t="shared" si="104"/>
        <v>2209</v>
      </c>
      <c r="CW70" s="358">
        <f t="shared" si="105"/>
        <v>71</v>
      </c>
      <c r="CX70">
        <f t="shared" si="106"/>
        <v>1053</v>
      </c>
    </row>
    <row r="71" spans="1:102">
      <c r="A71" s="1309">
        <v>45170</v>
      </c>
      <c r="B71" s="1310">
        <f t="shared" si="71"/>
        <v>0</v>
      </c>
      <c r="C71" s="1310">
        <f t="shared" si="72"/>
        <v>0</v>
      </c>
      <c r="D71" s="1310">
        <f t="shared" si="73"/>
        <v>0</v>
      </c>
      <c r="E71" s="1310">
        <f t="shared" si="74"/>
        <v>4</v>
      </c>
      <c r="F71" s="1310">
        <f t="shared" si="75"/>
        <v>0</v>
      </c>
      <c r="G71" s="1310">
        <f t="shared" si="76"/>
        <v>3</v>
      </c>
      <c r="H71" s="1310">
        <f t="shared" si="77"/>
        <v>0</v>
      </c>
      <c r="I71" s="1310">
        <f t="shared" si="78"/>
        <v>32</v>
      </c>
      <c r="J71" s="1310">
        <f t="shared" si="79"/>
        <v>30</v>
      </c>
      <c r="K71" s="1310">
        <f t="shared" si="80"/>
        <v>0</v>
      </c>
      <c r="L71" s="1310">
        <f t="shared" si="81"/>
        <v>5</v>
      </c>
      <c r="M71" s="1310">
        <f t="shared" si="82"/>
        <v>0</v>
      </c>
      <c r="N71" s="1310">
        <f t="shared" si="83"/>
        <v>0</v>
      </c>
      <c r="O71" s="1310">
        <f t="shared" si="84"/>
        <v>0</v>
      </c>
      <c r="P71" s="1310">
        <f t="shared" si="100"/>
        <v>0</v>
      </c>
      <c r="Q71" s="1310">
        <f t="shared" si="101"/>
        <v>0</v>
      </c>
      <c r="R71" s="1310">
        <f t="shared" si="102"/>
        <v>74</v>
      </c>
      <c r="S71" s="1310">
        <f t="shared" si="85"/>
        <v>0</v>
      </c>
      <c r="T71" s="1310">
        <f t="shared" si="86"/>
        <v>0</v>
      </c>
      <c r="U71" s="1310">
        <f t="shared" si="87"/>
        <v>0</v>
      </c>
      <c r="V71" s="1310">
        <f t="shared" si="88"/>
        <v>0</v>
      </c>
      <c r="W71" s="1310">
        <f t="shared" si="103"/>
        <v>0</v>
      </c>
      <c r="X71" s="1310">
        <f t="shared" si="89"/>
        <v>76</v>
      </c>
      <c r="Y71" s="1310">
        <f t="shared" si="90"/>
        <v>0</v>
      </c>
      <c r="Z71" s="1310">
        <f t="shared" si="91"/>
        <v>0</v>
      </c>
      <c r="AA71" s="1310">
        <f t="shared" si="92"/>
        <v>0</v>
      </c>
      <c r="AB71" s="1310">
        <f t="shared" si="93"/>
        <v>0</v>
      </c>
      <c r="AC71" s="1310">
        <f t="shared" si="94"/>
        <v>0</v>
      </c>
      <c r="AD71" s="1310">
        <f t="shared" si="95"/>
        <v>8</v>
      </c>
      <c r="AE71" s="1310">
        <f t="shared" si="96"/>
        <v>0</v>
      </c>
      <c r="AF71" s="1310">
        <f t="shared" si="97"/>
        <v>0</v>
      </c>
      <c r="AG71" s="1310">
        <f t="shared" si="98"/>
        <v>0</v>
      </c>
      <c r="AH71" s="1701">
        <f t="shared" si="99"/>
        <v>0</v>
      </c>
      <c r="AI71" s="1865"/>
      <c r="AJ71" s="1909"/>
      <c r="AK71" s="1971"/>
      <c r="AL71" s="1909">
        <v>4</v>
      </c>
      <c r="AM71" s="1909"/>
      <c r="AN71" s="1909">
        <v>3</v>
      </c>
      <c r="AO71" s="1909"/>
      <c r="AP71" s="1909">
        <v>32</v>
      </c>
      <c r="AQ71" s="1909">
        <v>30</v>
      </c>
      <c r="AR71" s="1909"/>
      <c r="AS71" s="1909"/>
      <c r="AT71" s="1909"/>
      <c r="AU71" s="1909"/>
      <c r="AV71" s="1909"/>
      <c r="AW71" s="1909"/>
      <c r="AX71" s="1910"/>
      <c r="AY71" s="1911"/>
      <c r="AZ71" s="1912"/>
      <c r="BA71" s="1912"/>
      <c r="BB71" s="1912"/>
      <c r="BC71" s="1912"/>
      <c r="BD71" s="2055">
        <v>50</v>
      </c>
      <c r="BE71" s="1865"/>
      <c r="BF71" s="1909"/>
      <c r="BG71" s="1909"/>
      <c r="BH71" s="1909"/>
      <c r="BI71" s="1909"/>
      <c r="BJ71" s="2009">
        <v>8</v>
      </c>
      <c r="BK71" s="2009"/>
      <c r="BL71" s="2009"/>
      <c r="BM71" s="2009"/>
      <c r="BN71" s="3008"/>
      <c r="BO71" s="1896"/>
      <c r="BP71" s="1567"/>
      <c r="BQ71" s="1567"/>
      <c r="BR71" s="1567"/>
      <c r="BS71" s="1567"/>
      <c r="BT71" s="1567"/>
      <c r="BU71" s="1567"/>
      <c r="BV71" s="1567"/>
      <c r="BW71" s="1567"/>
      <c r="BX71" s="1567"/>
      <c r="BY71" s="1567">
        <v>5</v>
      </c>
      <c r="BZ71" s="1567"/>
      <c r="CA71" s="1567"/>
      <c r="CB71" s="1567"/>
      <c r="CC71" s="1567"/>
      <c r="CD71" s="1897"/>
      <c r="CE71" s="1893"/>
      <c r="CF71" s="1867"/>
      <c r="CG71" s="1867"/>
      <c r="CH71" s="1867"/>
      <c r="CI71" s="1867"/>
      <c r="CJ71" s="1902">
        <v>26</v>
      </c>
      <c r="CK71" s="1896"/>
      <c r="CL71" s="1567"/>
      <c r="CM71" s="1567"/>
      <c r="CN71" s="1567"/>
      <c r="CO71" s="1567"/>
      <c r="CP71" s="1567"/>
      <c r="CQ71" s="1567"/>
      <c r="CR71" s="1567"/>
      <c r="CS71" s="1567"/>
      <c r="CT71" s="1897"/>
      <c r="CU71" s="262">
        <f t="shared" si="107"/>
        <v>74</v>
      </c>
      <c r="CV71" s="262">
        <f t="shared" si="104"/>
        <v>150</v>
      </c>
      <c r="CW71" s="358">
        <f t="shared" si="105"/>
        <v>8</v>
      </c>
      <c r="CX71">
        <f t="shared" si="106"/>
        <v>76</v>
      </c>
    </row>
    <row r="72" spans="1:102">
      <c r="A72" s="1309">
        <v>45200</v>
      </c>
      <c r="B72" s="1310">
        <f t="shared" si="71"/>
        <v>0</v>
      </c>
      <c r="C72" s="1310">
        <f t="shared" si="72"/>
        <v>0</v>
      </c>
      <c r="D72" s="1310">
        <f t="shared" si="73"/>
        <v>9</v>
      </c>
      <c r="E72" s="1310">
        <f t="shared" si="74"/>
        <v>5</v>
      </c>
      <c r="F72" s="1310">
        <f t="shared" si="75"/>
        <v>0</v>
      </c>
      <c r="G72" s="1310">
        <f t="shared" si="76"/>
        <v>0</v>
      </c>
      <c r="H72" s="1310">
        <f t="shared" si="77"/>
        <v>0</v>
      </c>
      <c r="I72" s="1310">
        <f t="shared" si="78"/>
        <v>3</v>
      </c>
      <c r="J72" s="1310">
        <f t="shared" si="79"/>
        <v>4</v>
      </c>
      <c r="K72" s="1310">
        <f t="shared" si="80"/>
        <v>2</v>
      </c>
      <c r="L72" s="1310">
        <f t="shared" si="81"/>
        <v>0</v>
      </c>
      <c r="M72" s="1310">
        <f t="shared" si="82"/>
        <v>0</v>
      </c>
      <c r="N72" s="1310">
        <f t="shared" si="83"/>
        <v>0</v>
      </c>
      <c r="O72" s="1310">
        <f t="shared" si="84"/>
        <v>0</v>
      </c>
      <c r="P72" s="1310">
        <f t="shared" si="100"/>
        <v>0</v>
      </c>
      <c r="Q72" s="1310">
        <f t="shared" si="101"/>
        <v>0</v>
      </c>
      <c r="R72" s="1310">
        <f t="shared" si="102"/>
        <v>23</v>
      </c>
      <c r="S72" s="1310">
        <f t="shared" si="85"/>
        <v>0</v>
      </c>
      <c r="T72" s="1310">
        <f t="shared" si="86"/>
        <v>0</v>
      </c>
      <c r="U72" s="1310">
        <f t="shared" si="87"/>
        <v>8</v>
      </c>
      <c r="V72" s="1310">
        <f t="shared" si="88"/>
        <v>0</v>
      </c>
      <c r="W72" s="1310">
        <f t="shared" si="103"/>
        <v>0</v>
      </c>
      <c r="X72" s="1310">
        <f t="shared" si="89"/>
        <v>10</v>
      </c>
      <c r="Y72" s="1310">
        <f t="shared" si="90"/>
        <v>30</v>
      </c>
      <c r="Z72" s="1310">
        <f t="shared" si="91"/>
        <v>0</v>
      </c>
      <c r="AA72" s="1310">
        <f t="shared" si="92"/>
        <v>0</v>
      </c>
      <c r="AB72" s="1310">
        <f t="shared" si="93"/>
        <v>0</v>
      </c>
      <c r="AC72" s="1310">
        <f t="shared" si="94"/>
        <v>0</v>
      </c>
      <c r="AD72" s="1310">
        <f t="shared" si="95"/>
        <v>0</v>
      </c>
      <c r="AE72" s="1310">
        <f t="shared" si="96"/>
        <v>0</v>
      </c>
      <c r="AF72" s="1310">
        <f t="shared" si="97"/>
        <v>0</v>
      </c>
      <c r="AG72" s="1310">
        <f t="shared" si="98"/>
        <v>0</v>
      </c>
      <c r="AH72" s="1701">
        <f t="shared" si="99"/>
        <v>0</v>
      </c>
      <c r="AI72" s="1866"/>
      <c r="AJ72" s="1971"/>
      <c r="AK72" s="2009">
        <v>9</v>
      </c>
      <c r="AL72" s="2009">
        <v>5</v>
      </c>
      <c r="AM72" s="1870"/>
      <c r="AN72" s="1971"/>
      <c r="AO72" s="1870"/>
      <c r="AP72" s="2009">
        <v>3</v>
      </c>
      <c r="AQ72" s="2009">
        <v>4</v>
      </c>
      <c r="AR72" s="2009">
        <v>2</v>
      </c>
      <c r="AS72" s="1870"/>
      <c r="AT72" s="1870"/>
      <c r="AU72" s="1870"/>
      <c r="AV72" s="1870"/>
      <c r="AW72" s="1870"/>
      <c r="AX72" s="2105"/>
      <c r="AY72" s="2106"/>
      <c r="AZ72" s="2108"/>
      <c r="BA72" s="2108">
        <v>8</v>
      </c>
      <c r="BB72" s="2108"/>
      <c r="BC72" s="2108"/>
      <c r="BD72" s="2109"/>
      <c r="BE72" s="2078"/>
      <c r="BF72" s="1870"/>
      <c r="BG72" s="1870"/>
      <c r="BH72" s="1870"/>
      <c r="BI72" s="1870"/>
      <c r="BJ72" s="1971"/>
      <c r="BK72" s="1971"/>
      <c r="BL72" s="1971"/>
      <c r="BM72" s="1971"/>
      <c r="BN72" s="3009"/>
      <c r="BO72" s="1896"/>
      <c r="BP72" s="1567"/>
      <c r="BQ72" s="1567"/>
      <c r="BR72" s="1567"/>
      <c r="BS72" s="1567"/>
      <c r="BT72" s="1567"/>
      <c r="BU72" s="1567"/>
      <c r="BV72" s="1567"/>
      <c r="BW72" s="1567"/>
      <c r="BX72" s="1567"/>
      <c r="BY72" s="1567"/>
      <c r="BZ72" s="1567"/>
      <c r="CA72" s="1567"/>
      <c r="CB72" s="1567"/>
      <c r="CC72" s="1567"/>
      <c r="CD72" s="1897"/>
      <c r="CE72" s="1893"/>
      <c r="CF72" s="1867"/>
      <c r="CG72" s="1867"/>
      <c r="CH72" s="1867"/>
      <c r="CI72" s="1867"/>
      <c r="CJ72" s="1972">
        <v>10</v>
      </c>
      <c r="CK72" s="2991">
        <v>30</v>
      </c>
      <c r="CL72" s="1567"/>
      <c r="CM72" s="1567"/>
      <c r="CN72" s="1567"/>
      <c r="CO72" s="1567"/>
      <c r="CP72" s="1567"/>
      <c r="CQ72" s="2033"/>
      <c r="CR72" s="1567"/>
      <c r="CS72" s="1567"/>
      <c r="CT72" s="1897"/>
      <c r="CU72" s="262">
        <f t="shared" si="107"/>
        <v>31</v>
      </c>
      <c r="CV72" s="262">
        <f t="shared" si="104"/>
        <v>41</v>
      </c>
      <c r="CW72" s="358">
        <f t="shared" si="105"/>
        <v>30</v>
      </c>
      <c r="CX72">
        <f t="shared" si="106"/>
        <v>10</v>
      </c>
    </row>
    <row r="73" spans="1:102">
      <c r="A73" s="1309">
        <v>45231</v>
      </c>
      <c r="B73" s="1310">
        <f t="shared" si="71"/>
        <v>0</v>
      </c>
      <c r="C73" s="1310">
        <f t="shared" si="72"/>
        <v>0</v>
      </c>
      <c r="D73" s="1310">
        <f t="shared" si="73"/>
        <v>0</v>
      </c>
      <c r="E73" s="1310">
        <f t="shared" si="74"/>
        <v>0</v>
      </c>
      <c r="F73" s="1310">
        <f t="shared" si="75"/>
        <v>0</v>
      </c>
      <c r="G73" s="1310">
        <f t="shared" si="76"/>
        <v>6</v>
      </c>
      <c r="H73" s="1310">
        <f t="shared" si="77"/>
        <v>0</v>
      </c>
      <c r="I73" s="1310">
        <f t="shared" si="78"/>
        <v>0</v>
      </c>
      <c r="J73" s="1310">
        <f t="shared" si="79"/>
        <v>0</v>
      </c>
      <c r="K73" s="1310">
        <f t="shared" si="80"/>
        <v>5</v>
      </c>
      <c r="L73" s="1310">
        <f t="shared" si="81"/>
        <v>0</v>
      </c>
      <c r="M73" s="1310">
        <f t="shared" si="82"/>
        <v>2</v>
      </c>
      <c r="N73" s="1310">
        <f t="shared" si="83"/>
        <v>0</v>
      </c>
      <c r="O73" s="1310">
        <f t="shared" si="84"/>
        <v>0</v>
      </c>
      <c r="P73" s="1310">
        <f t="shared" si="100"/>
        <v>0</v>
      </c>
      <c r="Q73" s="1310">
        <f t="shared" si="101"/>
        <v>0</v>
      </c>
      <c r="R73" s="1310">
        <f t="shared" si="102"/>
        <v>13</v>
      </c>
      <c r="S73" s="1310">
        <f t="shared" si="85"/>
        <v>0</v>
      </c>
      <c r="T73" s="1310">
        <f t="shared" si="86"/>
        <v>0</v>
      </c>
      <c r="U73" s="1310">
        <f t="shared" si="87"/>
        <v>0</v>
      </c>
      <c r="V73" s="1310">
        <f t="shared" si="88"/>
        <v>0</v>
      </c>
      <c r="W73" s="1310">
        <f t="shared" si="103"/>
        <v>0</v>
      </c>
      <c r="X73" s="1310">
        <f t="shared" si="89"/>
        <v>28</v>
      </c>
      <c r="Y73" s="1310">
        <f t="shared" si="90"/>
        <v>0</v>
      </c>
      <c r="Z73" s="1310">
        <f t="shared" si="91"/>
        <v>0</v>
      </c>
      <c r="AA73" s="1310">
        <f t="shared" si="92"/>
        <v>0</v>
      </c>
      <c r="AB73" s="1310">
        <f t="shared" si="93"/>
        <v>0</v>
      </c>
      <c r="AC73" s="1310">
        <f t="shared" si="94"/>
        <v>0</v>
      </c>
      <c r="AD73" s="1310">
        <f t="shared" si="95"/>
        <v>0</v>
      </c>
      <c r="AE73" s="1310">
        <f t="shared" si="96"/>
        <v>0</v>
      </c>
      <c r="AF73" s="1310">
        <f t="shared" si="97"/>
        <v>0</v>
      </c>
      <c r="AG73" s="1310">
        <f t="shared" si="98"/>
        <v>0</v>
      </c>
      <c r="AH73" s="1701">
        <f t="shared" si="99"/>
        <v>10</v>
      </c>
      <c r="AI73" s="1866"/>
      <c r="AJ73" s="1870"/>
      <c r="AK73" s="1870"/>
      <c r="AL73" s="1870"/>
      <c r="AM73" s="1870"/>
      <c r="AN73" s="1870"/>
      <c r="AO73" s="1870"/>
      <c r="AP73" s="1870"/>
      <c r="AQ73" s="1870"/>
      <c r="AR73" s="2009">
        <v>5</v>
      </c>
      <c r="AS73" s="1870"/>
      <c r="AT73" s="1870"/>
      <c r="AU73" s="1870"/>
      <c r="AV73" s="1870"/>
      <c r="AW73" s="1870"/>
      <c r="AX73" s="1872"/>
      <c r="AY73" s="2107"/>
      <c r="AZ73" s="2110"/>
      <c r="BA73" s="2110"/>
      <c r="BB73" s="2110"/>
      <c r="BC73" s="2110"/>
      <c r="BD73" s="2108">
        <v>2</v>
      </c>
      <c r="BE73" s="1874"/>
      <c r="BF73" s="1870"/>
      <c r="BG73" s="1870"/>
      <c r="BH73" s="1870"/>
      <c r="BI73" s="1870"/>
      <c r="BJ73" s="1870"/>
      <c r="BK73" s="1870"/>
      <c r="BL73" s="1870"/>
      <c r="BM73" s="1870"/>
      <c r="BN73" s="2009">
        <v>10</v>
      </c>
      <c r="BO73" s="1896"/>
      <c r="BP73" s="1567"/>
      <c r="BQ73" s="1567"/>
      <c r="BR73" s="1567"/>
      <c r="BS73" s="1567"/>
      <c r="BT73" s="2033">
        <v>6</v>
      </c>
      <c r="BU73" s="1567"/>
      <c r="BV73" s="1567"/>
      <c r="BW73" s="1567"/>
      <c r="BX73" s="1567"/>
      <c r="BY73" s="1567"/>
      <c r="BZ73" s="2033">
        <v>2</v>
      </c>
      <c r="CA73" s="1567"/>
      <c r="CB73" s="1567"/>
      <c r="CC73" s="1567"/>
      <c r="CD73" s="1897"/>
      <c r="CE73" s="1901"/>
      <c r="CF73" s="1867"/>
      <c r="CG73" s="1867"/>
      <c r="CH73" s="1867"/>
      <c r="CI73" s="1867"/>
      <c r="CJ73" s="1972">
        <v>26</v>
      </c>
      <c r="CK73" s="1896"/>
      <c r="CL73" s="1567"/>
      <c r="CM73" s="1567"/>
      <c r="CN73" s="1567"/>
      <c r="CO73" s="1567"/>
      <c r="CP73" s="1567"/>
      <c r="CQ73" s="1567"/>
      <c r="CR73" s="1567"/>
      <c r="CS73" s="1567"/>
      <c r="CT73" s="1897"/>
      <c r="CU73" s="262">
        <f t="shared" si="107"/>
        <v>13</v>
      </c>
      <c r="CV73" s="262">
        <f t="shared" si="104"/>
        <v>41</v>
      </c>
      <c r="CW73" s="358">
        <f t="shared" si="105"/>
        <v>10</v>
      </c>
    </row>
    <row r="74" spans="1:102" ht="13.8" thickBot="1">
      <c r="A74" s="1309">
        <v>45261</v>
      </c>
      <c r="B74" s="1310">
        <f t="shared" si="71"/>
        <v>0</v>
      </c>
      <c r="C74" s="1310">
        <f t="shared" si="72"/>
        <v>0</v>
      </c>
      <c r="D74" s="1310">
        <f t="shared" si="73"/>
        <v>33</v>
      </c>
      <c r="E74" s="1310">
        <f t="shared" si="74"/>
        <v>0</v>
      </c>
      <c r="F74" s="1310">
        <f t="shared" si="75"/>
        <v>0</v>
      </c>
      <c r="G74" s="1310">
        <f t="shared" si="76"/>
        <v>0</v>
      </c>
      <c r="H74" s="1310">
        <f t="shared" si="77"/>
        <v>0</v>
      </c>
      <c r="I74" s="1310">
        <f t="shared" si="78"/>
        <v>0</v>
      </c>
      <c r="J74" s="1310">
        <f t="shared" si="79"/>
        <v>0</v>
      </c>
      <c r="K74" s="1310">
        <f t="shared" si="80"/>
        <v>4</v>
      </c>
      <c r="L74" s="1310">
        <f t="shared" si="81"/>
        <v>0</v>
      </c>
      <c r="M74" s="1310">
        <f t="shared" si="82"/>
        <v>28</v>
      </c>
      <c r="N74" s="1310">
        <f t="shared" si="83"/>
        <v>0</v>
      </c>
      <c r="O74" s="1310">
        <f t="shared" si="84"/>
        <v>30</v>
      </c>
      <c r="P74" s="1310">
        <f t="shared" si="100"/>
        <v>0</v>
      </c>
      <c r="Q74" s="1310">
        <f t="shared" si="101"/>
        <v>0</v>
      </c>
      <c r="R74" s="1310">
        <f t="shared" si="102"/>
        <v>95</v>
      </c>
      <c r="S74" s="1310">
        <f t="shared" si="85"/>
        <v>0</v>
      </c>
      <c r="T74" s="1310">
        <f t="shared" si="86"/>
        <v>0</v>
      </c>
      <c r="U74" s="1310">
        <f t="shared" si="87"/>
        <v>0</v>
      </c>
      <c r="V74" s="1310">
        <f t="shared" si="88"/>
        <v>0</v>
      </c>
      <c r="W74" s="1310">
        <f t="shared" si="103"/>
        <v>0</v>
      </c>
      <c r="X74" s="1310">
        <f t="shared" si="89"/>
        <v>12</v>
      </c>
      <c r="Y74" s="1310">
        <f t="shared" si="90"/>
        <v>0</v>
      </c>
      <c r="Z74" s="1310">
        <f t="shared" si="91"/>
        <v>0</v>
      </c>
      <c r="AA74" s="1310">
        <f t="shared" si="92"/>
        <v>0</v>
      </c>
      <c r="AB74" s="1310">
        <f t="shared" si="93"/>
        <v>0</v>
      </c>
      <c r="AC74" s="1310">
        <f t="shared" si="94"/>
        <v>0</v>
      </c>
      <c r="AD74" s="1310">
        <f t="shared" si="95"/>
        <v>0</v>
      </c>
      <c r="AE74" s="1310">
        <f t="shared" si="96"/>
        <v>0</v>
      </c>
      <c r="AF74" s="1310">
        <f t="shared" si="97"/>
        <v>84</v>
      </c>
      <c r="AG74" s="1310">
        <f t="shared" si="98"/>
        <v>0</v>
      </c>
      <c r="AH74" s="1701">
        <f t="shared" si="99"/>
        <v>0</v>
      </c>
      <c r="AI74" s="2019"/>
      <c r="AJ74" s="2020"/>
      <c r="AK74" s="2020">
        <v>33</v>
      </c>
      <c r="AL74" s="2114"/>
      <c r="AM74" s="2114"/>
      <c r="AN74" s="2114"/>
      <c r="AO74" s="2020"/>
      <c r="AP74" s="2020"/>
      <c r="AQ74" s="2020"/>
      <c r="AR74" s="2114"/>
      <c r="AS74" s="2020"/>
      <c r="AT74" s="2020"/>
      <c r="AU74" s="2020"/>
      <c r="AV74" s="2020"/>
      <c r="AW74" s="2125"/>
      <c r="AX74" s="2021"/>
      <c r="AY74" s="2022"/>
      <c r="AZ74" s="2111"/>
      <c r="BA74" s="2111"/>
      <c r="BB74" s="2111"/>
      <c r="BC74" s="2111"/>
      <c r="BD74" s="2112">
        <v>12</v>
      </c>
      <c r="BE74" s="2025"/>
      <c r="BF74" s="2020"/>
      <c r="BG74" s="2020"/>
      <c r="BH74" s="2020"/>
      <c r="BI74" s="2020"/>
      <c r="BJ74" s="2114"/>
      <c r="BK74" s="2020"/>
      <c r="BL74" s="2020"/>
      <c r="BM74" s="2020"/>
      <c r="BN74" s="2021"/>
      <c r="BO74" s="1898"/>
      <c r="BP74" s="1899"/>
      <c r="BQ74" s="1899"/>
      <c r="BR74" s="1899"/>
      <c r="BS74" s="1899"/>
      <c r="BT74" s="1899"/>
      <c r="BU74" s="1899"/>
      <c r="BV74" s="1899"/>
      <c r="BW74" s="1899"/>
      <c r="BX74" s="1899">
        <v>4</v>
      </c>
      <c r="BY74" s="1899"/>
      <c r="BZ74" s="1044">
        <v>28</v>
      </c>
      <c r="CA74" s="1899"/>
      <c r="CB74" s="1899">
        <v>30</v>
      </c>
      <c r="CC74" s="1899"/>
      <c r="CD74" s="1900"/>
      <c r="CE74" s="1903"/>
      <c r="CF74" s="1904"/>
      <c r="CG74" s="1904"/>
      <c r="CH74" s="1904"/>
      <c r="CI74" s="1904"/>
      <c r="CJ74" s="1905"/>
      <c r="CK74" s="1898"/>
      <c r="CL74" s="1899"/>
      <c r="CM74" s="1899"/>
      <c r="CN74" s="1899"/>
      <c r="CO74" s="1899"/>
      <c r="CP74" s="1899"/>
      <c r="CQ74" s="1899"/>
      <c r="CR74" s="1899">
        <v>84</v>
      </c>
      <c r="CS74" s="1899"/>
      <c r="CT74" s="1900"/>
      <c r="CU74" s="262">
        <f t="shared" si="107"/>
        <v>95</v>
      </c>
      <c r="CV74" s="262">
        <f>+CU74+BD74+CJ74</f>
        <v>107</v>
      </c>
      <c r="CW74" s="358">
        <f t="shared" si="105"/>
        <v>84</v>
      </c>
    </row>
    <row r="75" spans="1:102">
      <c r="A75" s="1315" t="s">
        <v>6072</v>
      </c>
      <c r="B75" s="262">
        <f>SUM(B63:B74)</f>
        <v>0</v>
      </c>
      <c r="C75" s="262">
        <f t="shared" ref="C75:AH75" si="108">SUM(C63:C74)</f>
        <v>1189</v>
      </c>
      <c r="D75" s="262">
        <f t="shared" si="108"/>
        <v>178</v>
      </c>
      <c r="E75" s="262">
        <f t="shared" si="108"/>
        <v>63</v>
      </c>
      <c r="F75" s="262">
        <f t="shared" si="108"/>
        <v>0</v>
      </c>
      <c r="G75" s="262">
        <f t="shared" si="108"/>
        <v>69</v>
      </c>
      <c r="H75" s="262">
        <f t="shared" si="108"/>
        <v>0</v>
      </c>
      <c r="I75" s="262">
        <f t="shared" si="108"/>
        <v>40</v>
      </c>
      <c r="J75" s="262">
        <f t="shared" si="108"/>
        <v>141</v>
      </c>
      <c r="K75" s="262">
        <f t="shared" si="108"/>
        <v>50</v>
      </c>
      <c r="L75" s="262">
        <f t="shared" si="108"/>
        <v>5</v>
      </c>
      <c r="M75" s="262">
        <f t="shared" si="108"/>
        <v>66</v>
      </c>
      <c r="N75" s="262">
        <f t="shared" si="108"/>
        <v>10</v>
      </c>
      <c r="O75" s="262">
        <f t="shared" si="108"/>
        <v>81</v>
      </c>
      <c r="P75" s="262">
        <f>SUM(P63:P74)</f>
        <v>0</v>
      </c>
      <c r="Q75" s="262">
        <f t="shared" si="108"/>
        <v>48</v>
      </c>
      <c r="R75" s="1310">
        <f t="shared" si="102"/>
        <v>1940</v>
      </c>
      <c r="S75" s="262">
        <f t="shared" si="108"/>
        <v>0</v>
      </c>
      <c r="T75" s="262">
        <f t="shared" si="108"/>
        <v>19</v>
      </c>
      <c r="U75" s="262">
        <f t="shared" si="108"/>
        <v>95</v>
      </c>
      <c r="V75" s="262">
        <f t="shared" si="108"/>
        <v>0</v>
      </c>
      <c r="W75" s="262">
        <f t="shared" si="108"/>
        <v>0</v>
      </c>
      <c r="X75" s="262">
        <f t="shared" si="108"/>
        <v>1259</v>
      </c>
      <c r="Y75" s="262">
        <f t="shared" si="108"/>
        <v>68</v>
      </c>
      <c r="Z75" s="262">
        <f t="shared" si="108"/>
        <v>0</v>
      </c>
      <c r="AA75" s="262">
        <f t="shared" si="108"/>
        <v>0</v>
      </c>
      <c r="AB75" s="262">
        <f t="shared" si="108"/>
        <v>0</v>
      </c>
      <c r="AC75" s="262">
        <f t="shared" si="108"/>
        <v>0</v>
      </c>
      <c r="AD75" s="262">
        <f t="shared" si="108"/>
        <v>31</v>
      </c>
      <c r="AE75" s="262">
        <f t="shared" si="108"/>
        <v>101</v>
      </c>
      <c r="AF75" s="262">
        <f t="shared" si="108"/>
        <v>107</v>
      </c>
      <c r="AG75" s="262">
        <f t="shared" si="108"/>
        <v>26</v>
      </c>
      <c r="AH75" s="262">
        <f t="shared" si="108"/>
        <v>82</v>
      </c>
      <c r="AI75" s="358"/>
      <c r="AJ75" s="358"/>
      <c r="AK75" s="358"/>
      <c r="AL75" s="358"/>
      <c r="AM75" s="358"/>
      <c r="AN75" s="358"/>
      <c r="AO75" s="358"/>
      <c r="AP75" s="358"/>
      <c r="AQ75" s="358"/>
      <c r="AR75" s="358"/>
      <c r="AS75" s="358"/>
      <c r="AT75" s="358"/>
      <c r="AU75" s="358"/>
      <c r="AV75" s="358"/>
      <c r="AW75" s="358"/>
      <c r="AX75" s="358"/>
      <c r="AY75" s="358"/>
      <c r="AZ75" s="358"/>
      <c r="BA75" s="358"/>
      <c r="BB75" s="358"/>
      <c r="BC75" s="358"/>
      <c r="BD75" s="358">
        <f>SUM(BD63:BD73)</f>
        <v>148</v>
      </c>
      <c r="BE75" s="358"/>
      <c r="BF75" s="358"/>
      <c r="BG75" s="358"/>
      <c r="BH75" s="358"/>
      <c r="BI75" s="358"/>
      <c r="BJ75" s="358"/>
      <c r="BK75" s="358"/>
      <c r="BL75" s="358"/>
      <c r="BM75" s="358"/>
      <c r="BN75" s="358"/>
      <c r="BO75" s="358"/>
      <c r="BP75" s="358"/>
      <c r="BQ75" s="358"/>
      <c r="BR75" s="358"/>
      <c r="BS75" s="358"/>
      <c r="BT75" s="358"/>
      <c r="BU75" s="358"/>
      <c r="BV75" s="358"/>
      <c r="BW75" s="358"/>
      <c r="BX75" s="358"/>
      <c r="BY75" s="358"/>
      <c r="BZ75" s="358"/>
      <c r="CA75" s="358"/>
      <c r="CB75" s="358"/>
      <c r="CC75" s="358"/>
      <c r="CD75" s="358"/>
      <c r="CE75" s="358"/>
      <c r="CF75" s="358"/>
      <c r="CG75" s="358"/>
      <c r="CH75" s="358"/>
      <c r="CI75" s="358"/>
      <c r="CJ75" s="358">
        <f>SUM(CJ63:CJ73)</f>
        <v>1099</v>
      </c>
      <c r="CK75" s="358"/>
      <c r="CL75" s="358"/>
      <c r="CM75" s="358"/>
      <c r="CN75" s="358"/>
      <c r="CO75" s="358"/>
      <c r="CP75" s="358"/>
      <c r="CQ75" s="358"/>
      <c r="CR75" s="358"/>
      <c r="CS75" s="358"/>
      <c r="CT75" s="358"/>
      <c r="CW75" s="358">
        <f t="shared" si="105"/>
        <v>0</v>
      </c>
    </row>
    <row r="76" spans="1:102">
      <c r="A76" s="1309" t="s">
        <v>2914</v>
      </c>
      <c r="B76" s="262">
        <f>SUM(B40:B63)</f>
        <v>47</v>
      </c>
      <c r="C76" s="262">
        <f t="shared" ref="C76:AH76" si="109">SUM(C40:C63)</f>
        <v>54</v>
      </c>
      <c r="D76" s="262">
        <f t="shared" si="109"/>
        <v>117</v>
      </c>
      <c r="E76" s="262">
        <f t="shared" si="109"/>
        <v>121</v>
      </c>
      <c r="F76" s="262">
        <f t="shared" si="109"/>
        <v>44</v>
      </c>
      <c r="G76" s="262">
        <f t="shared" si="109"/>
        <v>163</v>
      </c>
      <c r="H76" s="262">
        <f t="shared" si="109"/>
        <v>20</v>
      </c>
      <c r="I76" s="262">
        <f t="shared" si="109"/>
        <v>32</v>
      </c>
      <c r="J76" s="262">
        <f t="shared" si="109"/>
        <v>124</v>
      </c>
      <c r="K76" s="262">
        <f t="shared" si="109"/>
        <v>417</v>
      </c>
      <c r="L76" s="262">
        <f t="shared" si="109"/>
        <v>34</v>
      </c>
      <c r="M76" s="262">
        <f t="shared" si="109"/>
        <v>69</v>
      </c>
      <c r="N76" s="262">
        <f t="shared" si="109"/>
        <v>8</v>
      </c>
      <c r="O76" s="262">
        <f t="shared" si="109"/>
        <v>129</v>
      </c>
      <c r="P76" s="262">
        <f t="shared" si="109"/>
        <v>5</v>
      </c>
      <c r="Q76" s="262">
        <f t="shared" si="109"/>
        <v>70</v>
      </c>
      <c r="R76" s="262"/>
      <c r="S76" s="262">
        <f t="shared" si="109"/>
        <v>17</v>
      </c>
      <c r="T76" s="262">
        <f t="shared" si="109"/>
        <v>259</v>
      </c>
      <c r="U76" s="262">
        <f t="shared" si="109"/>
        <v>102</v>
      </c>
      <c r="V76" s="262">
        <f t="shared" si="109"/>
        <v>58</v>
      </c>
      <c r="W76" s="262">
        <f t="shared" si="109"/>
        <v>117</v>
      </c>
      <c r="X76" s="262">
        <f t="shared" si="109"/>
        <v>2713</v>
      </c>
      <c r="Y76" s="262">
        <f t="shared" si="109"/>
        <v>87</v>
      </c>
      <c r="Z76" s="262">
        <f t="shared" si="109"/>
        <v>130</v>
      </c>
      <c r="AA76" s="262">
        <f t="shared" si="109"/>
        <v>32</v>
      </c>
      <c r="AB76" s="262">
        <f t="shared" si="109"/>
        <v>20</v>
      </c>
      <c r="AC76" s="262">
        <f t="shared" si="109"/>
        <v>15</v>
      </c>
      <c r="AD76" s="262">
        <f t="shared" si="109"/>
        <v>45</v>
      </c>
      <c r="AE76" s="262">
        <f t="shared" si="109"/>
        <v>38</v>
      </c>
      <c r="AF76" s="262">
        <f t="shared" si="109"/>
        <v>128</v>
      </c>
      <c r="AG76" s="262">
        <f t="shared" si="109"/>
        <v>590</v>
      </c>
      <c r="AH76" s="262">
        <f t="shared" si="109"/>
        <v>21</v>
      </c>
      <c r="AI76" s="358"/>
      <c r="AJ76" s="358"/>
      <c r="AK76" s="358"/>
      <c r="AL76" s="358"/>
      <c r="AM76" s="358"/>
      <c r="AN76" s="358"/>
      <c r="AO76" s="358"/>
      <c r="AP76" s="358"/>
      <c r="AQ76" s="358"/>
      <c r="AR76" s="358"/>
      <c r="AS76" s="358"/>
      <c r="AT76" s="358"/>
      <c r="AU76" s="358"/>
      <c r="AV76" s="358"/>
      <c r="AW76" s="358"/>
      <c r="AX76" s="358"/>
      <c r="AY76" s="358"/>
      <c r="AZ76" s="358"/>
      <c r="BA76" s="358"/>
      <c r="BB76" s="358"/>
      <c r="BC76" s="358"/>
      <c r="BD76" s="358">
        <f>+BD75+CJ75</f>
        <v>1247</v>
      </c>
      <c r="BE76" s="358"/>
      <c r="BF76" s="358"/>
      <c r="BG76" s="358"/>
      <c r="BH76" s="358"/>
      <c r="BI76" s="358"/>
      <c r="BJ76" s="358"/>
      <c r="BK76" s="358"/>
      <c r="BL76" s="358"/>
      <c r="BM76" s="358"/>
      <c r="BN76" s="358"/>
      <c r="BO76" s="358"/>
      <c r="BP76" s="358"/>
      <c r="BQ76" s="358"/>
      <c r="BR76" s="358"/>
      <c r="BS76" s="358"/>
      <c r="BT76" s="358"/>
      <c r="BU76" s="358"/>
      <c r="BV76" s="358"/>
      <c r="BW76" s="358"/>
      <c r="BX76" s="358"/>
      <c r="BY76" s="358"/>
      <c r="BZ76" s="358"/>
      <c r="CA76" s="358"/>
      <c r="CB76" s="358"/>
      <c r="CC76" s="358"/>
      <c r="CD76" s="358"/>
      <c r="CE76" s="358"/>
      <c r="CF76" s="358"/>
      <c r="CG76" s="358"/>
      <c r="CH76" s="358"/>
      <c r="CI76" s="358"/>
      <c r="CJ76" s="358"/>
      <c r="CK76" s="358"/>
      <c r="CL76" s="358"/>
      <c r="CM76" s="358"/>
      <c r="CN76" s="358"/>
      <c r="CO76" s="358"/>
      <c r="CP76" s="358"/>
      <c r="CQ76" s="358"/>
      <c r="CR76" s="358"/>
      <c r="CS76" s="358"/>
      <c r="CT76" s="358"/>
    </row>
    <row r="77" spans="1:102">
      <c r="A77" s="1309"/>
      <c r="BB77" s="358"/>
      <c r="BC77" s="358"/>
      <c r="BD77" s="358"/>
      <c r="BE77" s="358"/>
      <c r="BF77" s="358"/>
      <c r="BG77" s="358"/>
    </row>
    <row r="78" spans="1:102">
      <c r="A78" s="1309"/>
      <c r="BB78" s="358"/>
      <c r="BC78" s="358"/>
      <c r="BD78" s="358"/>
      <c r="BE78" s="358"/>
      <c r="BF78" s="358"/>
      <c r="BG78" s="358"/>
      <c r="CJ78"/>
    </row>
    <row r="79" spans="1:102">
      <c r="A79" s="1309"/>
      <c r="BB79" s="358"/>
      <c r="BC79" s="358"/>
      <c r="BD79" s="358"/>
      <c r="BE79" s="358"/>
      <c r="BF79" s="358"/>
      <c r="BG79" s="358"/>
      <c r="CJ79"/>
    </row>
    <row r="80" spans="1:102">
      <c r="A80" s="1309"/>
      <c r="BB80" s="358"/>
      <c r="BC80" s="358"/>
      <c r="BD80" s="358"/>
      <c r="BE80" s="358"/>
      <c r="BF80" s="358"/>
      <c r="BG80" s="358"/>
      <c r="CJ80"/>
    </row>
    <row r="81" spans="1:88">
      <c r="A81" s="1309"/>
      <c r="BB81" s="358"/>
      <c r="BC81" s="358"/>
      <c r="BD81" s="358"/>
      <c r="BE81" s="358"/>
      <c r="BF81" s="358"/>
      <c r="BG81" s="358"/>
      <c r="CJ81"/>
    </row>
    <row r="82" spans="1:88">
      <c r="A82" s="1309"/>
      <c r="BB82" s="358"/>
      <c r="BC82" s="358"/>
      <c r="BD82" s="358"/>
      <c r="BE82" s="358"/>
      <c r="BF82" s="358"/>
      <c r="BG82" s="358"/>
      <c r="CJ82"/>
    </row>
    <row r="83" spans="1:88">
      <c r="A83" s="1309"/>
      <c r="BB83" s="358"/>
      <c r="BC83" s="358"/>
      <c r="BD83" s="358"/>
      <c r="BE83" s="358"/>
      <c r="BF83" s="358"/>
      <c r="BG83" s="358"/>
      <c r="CJ83"/>
    </row>
    <row r="84" spans="1:88">
      <c r="A84" s="1309"/>
      <c r="BB84" s="358"/>
      <c r="BC84" s="358"/>
      <c r="BD84" s="358"/>
      <c r="BE84" s="358"/>
      <c r="BF84" s="358"/>
      <c r="BG84" s="358"/>
      <c r="CJ84"/>
    </row>
    <row r="85" spans="1:88">
      <c r="A85" s="1309"/>
      <c r="BB85" s="358"/>
      <c r="BC85" s="358"/>
      <c r="BD85" s="358"/>
      <c r="BE85" s="358"/>
      <c r="BF85" s="358"/>
      <c r="BG85" s="358"/>
      <c r="CJ85"/>
    </row>
    <row r="86" spans="1:88">
      <c r="A86" s="1309"/>
      <c r="BB86" s="358"/>
      <c r="BC86" s="358"/>
      <c r="BD86" s="358"/>
      <c r="BE86" s="358"/>
      <c r="BF86" s="358"/>
      <c r="BG86" s="358"/>
    </row>
    <row r="87" spans="1:88">
      <c r="A87" s="1309"/>
      <c r="BB87" s="358"/>
      <c r="BC87" s="358"/>
      <c r="BD87" s="358"/>
      <c r="BE87" s="358"/>
      <c r="BF87" s="358"/>
      <c r="BG87" s="358"/>
    </row>
    <row r="88" spans="1:88">
      <c r="A88" s="1309"/>
      <c r="BB88" s="358"/>
      <c r="BC88" s="358"/>
      <c r="BD88" s="358"/>
      <c r="BE88" s="358"/>
      <c r="BF88" s="358"/>
      <c r="BG88" s="358"/>
    </row>
    <row r="89" spans="1:88">
      <c r="A89" s="1309"/>
    </row>
    <row r="90" spans="1:88">
      <c r="A90" s="1309"/>
    </row>
    <row r="91" spans="1:88">
      <c r="A91" s="1309"/>
    </row>
    <row r="92" spans="1:88">
      <c r="A92" s="1309"/>
    </row>
    <row r="93" spans="1:88">
      <c r="A93" s="1309"/>
    </row>
    <row r="94" spans="1:88">
      <c r="A94" s="1309"/>
    </row>
    <row r="95" spans="1:88">
      <c r="A95" s="1309"/>
    </row>
    <row r="96" spans="1:88">
      <c r="A96" s="1309"/>
    </row>
    <row r="97" spans="1:1">
      <c r="A97" s="1309"/>
    </row>
    <row r="98" spans="1:1">
      <c r="A98" s="1309"/>
    </row>
    <row r="99" spans="1:1">
      <c r="A99" s="1309"/>
    </row>
    <row r="100" spans="1:1">
      <c r="A100" s="1309"/>
    </row>
    <row r="101" spans="1:1">
      <c r="A101" s="1309"/>
    </row>
    <row r="102" spans="1:1">
      <c r="A102" s="1309"/>
    </row>
    <row r="103" spans="1:1">
      <c r="A103" s="1309"/>
    </row>
    <row r="104" spans="1:1">
      <c r="A104" s="1309"/>
    </row>
    <row r="105" spans="1:1">
      <c r="A105" s="1309"/>
    </row>
    <row r="106" spans="1:1">
      <c r="A106" s="1309"/>
    </row>
    <row r="107" spans="1:1">
      <c r="A107" s="1309"/>
    </row>
    <row r="108" spans="1:1">
      <c r="A108" s="1309"/>
    </row>
    <row r="109" spans="1:1">
      <c r="A109" s="1309"/>
    </row>
    <row r="110" spans="1:1">
      <c r="A110" s="1309"/>
    </row>
    <row r="111" spans="1:1">
      <c r="A111" s="1309"/>
    </row>
    <row r="112" spans="1:1">
      <c r="A112" s="1309"/>
    </row>
    <row r="113" spans="1:1">
      <c r="A113" s="1309"/>
    </row>
    <row r="114" spans="1:1">
      <c r="A114" s="1309"/>
    </row>
    <row r="115" spans="1:1">
      <c r="A115" s="1309"/>
    </row>
    <row r="116" spans="1:1">
      <c r="A116" s="1309"/>
    </row>
    <row r="117" spans="1:1">
      <c r="A117" s="1309"/>
    </row>
    <row r="118" spans="1:1">
      <c r="A118" s="1309"/>
    </row>
    <row r="119" spans="1:1">
      <c r="A119" s="1309"/>
    </row>
    <row r="120" spans="1:1">
      <c r="A120" s="1309"/>
    </row>
    <row r="121" spans="1:1">
      <c r="A121" s="1309"/>
    </row>
    <row r="122" spans="1:1">
      <c r="A122" s="1309"/>
    </row>
    <row r="123" spans="1:1">
      <c r="A123" s="1309"/>
    </row>
    <row r="124" spans="1:1">
      <c r="A124" s="1309"/>
    </row>
    <row r="125" spans="1:1">
      <c r="A125" s="1309"/>
    </row>
    <row r="126" spans="1:1">
      <c r="A126" s="1309"/>
    </row>
    <row r="127" spans="1:1">
      <c r="A127" s="1309"/>
    </row>
    <row r="128" spans="1:1">
      <c r="A128" s="1309"/>
    </row>
    <row r="129" spans="1:1">
      <c r="A129" s="1309"/>
    </row>
    <row r="130" spans="1:1">
      <c r="A130" s="1309"/>
    </row>
    <row r="131" spans="1:1">
      <c r="A131" s="1309"/>
    </row>
    <row r="132" spans="1:1">
      <c r="A132" s="1309"/>
    </row>
    <row r="133" spans="1:1">
      <c r="A133" s="1309"/>
    </row>
    <row r="134" spans="1:1">
      <c r="A134" s="1309"/>
    </row>
    <row r="135" spans="1:1">
      <c r="A135" s="1309"/>
    </row>
    <row r="136" spans="1:1">
      <c r="A136" s="1309"/>
    </row>
    <row r="137" spans="1:1">
      <c r="A137" s="1309"/>
    </row>
    <row r="138" spans="1:1">
      <c r="A138" s="1309"/>
    </row>
    <row r="139" spans="1:1">
      <c r="A139" s="1309"/>
    </row>
    <row r="140" spans="1:1">
      <c r="A140" s="1309"/>
    </row>
    <row r="141" spans="1:1">
      <c r="A141" s="1309"/>
    </row>
    <row r="142" spans="1:1">
      <c r="A142" s="1309"/>
    </row>
    <row r="143" spans="1:1">
      <c r="A143" s="1309"/>
    </row>
    <row r="144" spans="1:1">
      <c r="A144" s="1309"/>
    </row>
    <row r="145" spans="1:1">
      <c r="A145" s="1309"/>
    </row>
    <row r="146" spans="1:1">
      <c r="A146" s="1309"/>
    </row>
    <row r="147" spans="1:1">
      <c r="A147" s="1309"/>
    </row>
    <row r="148" spans="1:1">
      <c r="A148" s="1309"/>
    </row>
    <row r="149" spans="1:1">
      <c r="A149" s="1309"/>
    </row>
    <row r="150" spans="1:1">
      <c r="A150" s="1309"/>
    </row>
    <row r="151" spans="1:1">
      <c r="A151" s="1309"/>
    </row>
    <row r="152" spans="1:1">
      <c r="A152" s="1309"/>
    </row>
    <row r="153" spans="1:1">
      <c r="A153" s="1309"/>
    </row>
    <row r="154" spans="1:1">
      <c r="A154" s="1309"/>
    </row>
  </sheetData>
  <mergeCells count="3">
    <mergeCell ref="B1:AH1"/>
    <mergeCell ref="AI1:BN1"/>
    <mergeCell ref="BO1:CT1"/>
  </mergeCells>
  <pageMargins left="0.7" right="0.7" top="0.75" bottom="0.75" header="0.3" footer="0.3"/>
  <customProperties>
    <customPr name="_pios_id" r:id="rId1"/>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Q214"/>
  <sheetViews>
    <sheetView showGridLines="0" zoomScale="80" zoomScaleNormal="80" workbookViewId="0">
      <pane xSplit="1" ySplit="2" topLeftCell="B3" activePane="bottomRight" state="frozen"/>
      <selection pane="topRight" activeCell="B1" sqref="B1"/>
      <selection pane="bottomLeft" activeCell="A3" sqref="A3"/>
      <selection pane="bottomRight" activeCell="W1" sqref="W1"/>
    </sheetView>
  </sheetViews>
  <sheetFormatPr baseColWidth="10" defaultRowHeight="13.2"/>
  <cols>
    <col min="2" max="13" width="9.21875" style="8" customWidth="1"/>
    <col min="14" max="14" width="3.5546875" customWidth="1"/>
    <col min="15" max="15" width="13" customWidth="1"/>
    <col min="16" max="26" width="17.21875" bestFit="1" customWidth="1"/>
    <col min="27" max="27" width="14.21875" customWidth="1"/>
    <col min="28" max="28" width="13.21875" customWidth="1"/>
    <col min="29" max="31" width="17.77734375" bestFit="1" customWidth="1"/>
    <col min="41" max="41" width="9.21875" customWidth="1"/>
    <col min="42" max="42" width="16.5546875" style="556" customWidth="1"/>
    <col min="43" max="43" width="11.5546875" style="1732" customWidth="1"/>
    <col min="44" max="44" width="11.5546875" customWidth="1"/>
    <col min="45" max="45" width="0.77734375" customWidth="1"/>
    <col min="46" max="46" width="9.5546875" customWidth="1"/>
    <col min="47" max="47" width="14.77734375" customWidth="1"/>
    <col min="48" max="48" width="1" customWidth="1"/>
    <col min="49" max="50" width="11.5546875" customWidth="1"/>
    <col min="51" max="51" width="0.77734375" customWidth="1"/>
    <col min="52" max="52" width="9" customWidth="1"/>
    <col min="53" max="53" width="10.21875" bestFit="1" customWidth="1"/>
    <col min="54" max="54" width="0.77734375" customWidth="1"/>
    <col min="55" max="55" width="8.44140625" bestFit="1" customWidth="1"/>
    <col min="56" max="56" width="8.44140625" customWidth="1"/>
    <col min="57" max="57" width="1.44140625" customWidth="1"/>
    <col min="58" max="58" width="11" customWidth="1"/>
    <col min="59" max="59" width="10.77734375" customWidth="1"/>
    <col min="60" max="60" width="0.44140625" customWidth="1"/>
    <col min="61" max="62" width="7.77734375" customWidth="1"/>
    <col min="63" max="64" width="0.77734375" customWidth="1"/>
    <col min="65" max="65" width="6.5546875" customWidth="1"/>
    <col min="66" max="66" width="9.21875" customWidth="1"/>
  </cols>
  <sheetData>
    <row r="1" spans="1:69" ht="13.35" customHeight="1">
      <c r="AO1" s="859"/>
      <c r="AP1" s="1013"/>
      <c r="AQ1" s="3229" t="s">
        <v>67</v>
      </c>
      <c r="AR1" s="3230"/>
      <c r="AS1" s="2993"/>
      <c r="AT1" s="2989" t="s">
        <v>4733</v>
      </c>
      <c r="AU1" s="2990"/>
      <c r="AV1" s="2993"/>
      <c r="AW1" s="3229" t="s">
        <v>2915</v>
      </c>
      <c r="AX1" s="3230"/>
      <c r="AY1" s="2993"/>
      <c r="AZ1" s="3229" t="s">
        <v>627</v>
      </c>
      <c r="BA1" s="3230"/>
      <c r="BB1" s="2993"/>
      <c r="BC1" s="3233" t="s">
        <v>6340</v>
      </c>
      <c r="BD1" s="3234"/>
      <c r="BE1" s="859"/>
      <c r="BF1" s="3228" t="s">
        <v>5849</v>
      </c>
      <c r="BG1" s="3228"/>
      <c r="BH1" s="2993"/>
      <c r="BI1" s="3232" t="s">
        <v>6343</v>
      </c>
      <c r="BJ1" s="3232"/>
      <c r="BK1" s="2993"/>
      <c r="BL1" s="2993"/>
      <c r="BM1" s="3232" t="s">
        <v>5785</v>
      </c>
      <c r="BN1" s="3232"/>
      <c r="BO1" s="859"/>
    </row>
    <row r="2" spans="1:69">
      <c r="A2" s="150" t="s">
        <v>951</v>
      </c>
      <c r="B2" s="675" t="s">
        <v>4714</v>
      </c>
      <c r="C2" s="675" t="s">
        <v>4715</v>
      </c>
      <c r="D2" s="675" t="s">
        <v>4716</v>
      </c>
      <c r="E2" s="675" t="s">
        <v>4717</v>
      </c>
      <c r="F2" s="675" t="s">
        <v>4718</v>
      </c>
      <c r="G2" s="675" t="s">
        <v>4719</v>
      </c>
      <c r="H2" s="675" t="s">
        <v>4720</v>
      </c>
      <c r="I2" s="675" t="s">
        <v>4721</v>
      </c>
      <c r="J2" s="675" t="s">
        <v>4722</v>
      </c>
      <c r="K2" s="675" t="s">
        <v>4723</v>
      </c>
      <c r="L2" s="675" t="s">
        <v>4724</v>
      </c>
      <c r="M2" s="675" t="s">
        <v>4725</v>
      </c>
      <c r="N2" s="242"/>
      <c r="O2" s="675" t="s">
        <v>4714</v>
      </c>
      <c r="P2" s="675" t="s">
        <v>4715</v>
      </c>
      <c r="Q2" s="675" t="s">
        <v>4716</v>
      </c>
      <c r="R2" s="675" t="s">
        <v>4717</v>
      </c>
      <c r="S2" s="675" t="s">
        <v>4718</v>
      </c>
      <c r="T2" s="675" t="s">
        <v>4719</v>
      </c>
      <c r="U2" s="675" t="s">
        <v>4720</v>
      </c>
      <c r="V2" s="675" t="s">
        <v>4721</v>
      </c>
      <c r="W2" s="675" t="s">
        <v>4722</v>
      </c>
      <c r="X2" s="675" t="s">
        <v>4723</v>
      </c>
      <c r="Y2" s="675" t="s">
        <v>4724</v>
      </c>
      <c r="Z2" s="675" t="s">
        <v>4725</v>
      </c>
      <c r="AO2" s="859"/>
      <c r="AP2" s="2254"/>
      <c r="AQ2" s="2994" t="s">
        <v>4732</v>
      </c>
      <c r="AR2" s="2995" t="s">
        <v>583</v>
      </c>
      <c r="AS2" s="2996"/>
      <c r="AT2" s="2997" t="s">
        <v>4732</v>
      </c>
      <c r="AU2" s="2998" t="s">
        <v>583</v>
      </c>
      <c r="AV2" s="2996"/>
      <c r="AW2" s="2997" t="s">
        <v>4732</v>
      </c>
      <c r="AX2" s="2992" t="s">
        <v>583</v>
      </c>
      <c r="AY2" s="2996"/>
      <c r="AZ2" s="2997" t="s">
        <v>4732</v>
      </c>
      <c r="BA2" s="2998" t="s">
        <v>583</v>
      </c>
      <c r="BB2" s="2996"/>
      <c r="BC2" s="2999" t="s">
        <v>264</v>
      </c>
      <c r="BD2" s="2992" t="s">
        <v>265</v>
      </c>
      <c r="BE2" s="1725"/>
      <c r="BF2" s="3000" t="s">
        <v>264</v>
      </c>
      <c r="BG2" s="3000" t="s">
        <v>265</v>
      </c>
      <c r="BH2" s="2996"/>
      <c r="BI2" s="3001" t="s">
        <v>264</v>
      </c>
      <c r="BJ2" s="3001" t="s">
        <v>265</v>
      </c>
      <c r="BK2" s="2996"/>
      <c r="BL2" s="2996"/>
      <c r="BM2" s="3001" t="s">
        <v>264</v>
      </c>
      <c r="BN2" s="3001" t="s">
        <v>265</v>
      </c>
      <c r="BO2" s="859"/>
    </row>
    <row r="3" spans="1:69" ht="17.7" customHeight="1" thickBot="1">
      <c r="A3" s="242" t="s">
        <v>297</v>
      </c>
      <c r="B3" s="1668">
        <f>+Graphics!B29</f>
        <v>11</v>
      </c>
      <c r="C3" s="1668">
        <f>+Graphics!C29</f>
        <v>11</v>
      </c>
      <c r="D3" s="1668">
        <f>+Graphics!D29</f>
        <v>5</v>
      </c>
      <c r="E3" s="1668">
        <f>+Graphics!E29</f>
        <v>5</v>
      </c>
      <c r="F3" s="1668">
        <f>+Graphics!F29</f>
        <v>5</v>
      </c>
      <c r="G3" s="1668">
        <f>+Graphics!G29</f>
        <v>5</v>
      </c>
      <c r="H3" s="1668">
        <f>+Graphics!H29</f>
        <v>10</v>
      </c>
      <c r="I3" s="1668">
        <f>+Graphics!I29</f>
        <v>7</v>
      </c>
      <c r="J3" s="1668">
        <f>+Graphics!J29</f>
        <v>8</v>
      </c>
      <c r="K3" s="1668">
        <f>+Graphics!K29</f>
        <v>7</v>
      </c>
      <c r="L3" s="1668">
        <f>+Graphics!L29</f>
        <v>6</v>
      </c>
      <c r="M3" s="1668">
        <f>+Graphics!M29</f>
        <v>7</v>
      </c>
      <c r="N3" s="242"/>
      <c r="O3" s="262">
        <f>+B3</f>
        <v>11</v>
      </c>
      <c r="P3" s="262">
        <f t="shared" ref="P3:Z3" si="0">+C3+O3</f>
        <v>22</v>
      </c>
      <c r="Q3" s="262">
        <f t="shared" si="0"/>
        <v>27</v>
      </c>
      <c r="R3" s="262">
        <f t="shared" si="0"/>
        <v>32</v>
      </c>
      <c r="S3" s="262">
        <f t="shared" si="0"/>
        <v>37</v>
      </c>
      <c r="T3" s="262">
        <f t="shared" si="0"/>
        <v>42</v>
      </c>
      <c r="U3" s="262">
        <f t="shared" si="0"/>
        <v>52</v>
      </c>
      <c r="V3" s="262">
        <f t="shared" si="0"/>
        <v>59</v>
      </c>
      <c r="W3" s="262">
        <f t="shared" si="0"/>
        <v>67</v>
      </c>
      <c r="X3" s="262">
        <f t="shared" si="0"/>
        <v>74</v>
      </c>
      <c r="Y3" s="262">
        <f t="shared" si="0"/>
        <v>80</v>
      </c>
      <c r="Z3" s="262">
        <f t="shared" si="0"/>
        <v>87</v>
      </c>
      <c r="AO3" s="859"/>
      <c r="AP3" s="2256" t="s">
        <v>951</v>
      </c>
      <c r="AQ3" s="2035">
        <f>+M5</f>
        <v>1972700.4300000002</v>
      </c>
      <c r="AR3" s="2036">
        <f>+INDICADORES!M39</f>
        <v>24521767.146916673</v>
      </c>
      <c r="AS3" s="2037"/>
      <c r="AT3" s="2038">
        <f>+'INCIDENTE MATERIAL'!CT74</f>
        <v>2</v>
      </c>
      <c r="AU3" s="2039">
        <f>+INDICADORES!N39</f>
        <v>30</v>
      </c>
      <c r="AV3" s="1725"/>
      <c r="AW3" s="2040">
        <f>+M3</f>
        <v>7</v>
      </c>
      <c r="AX3" s="2039">
        <f>+INDICADORES!P39</f>
        <v>87</v>
      </c>
      <c r="AY3" s="2037"/>
      <c r="AZ3" s="2038">
        <f>+M4</f>
        <v>107</v>
      </c>
      <c r="BA3" s="2041">
        <f>+INDICADORES!O39</f>
        <v>3313</v>
      </c>
      <c r="BB3" s="1725"/>
      <c r="BC3" s="3021">
        <f>+Z6</f>
        <v>3.5482711284843993</v>
      </c>
      <c r="BD3" s="2295">
        <f>+Z7</f>
        <v>135.11979596171051</v>
      </c>
      <c r="BE3" s="1725"/>
      <c r="BF3" s="2043" t="s">
        <v>5977</v>
      </c>
      <c r="BG3" s="2044" t="s">
        <v>5976</v>
      </c>
      <c r="BH3" s="1725"/>
      <c r="BI3" s="2045">
        <f>+Z8</f>
        <v>3.5529831881946592</v>
      </c>
      <c r="BJ3" s="2046">
        <f>+Z9</f>
        <v>102</v>
      </c>
      <c r="BK3" s="1725"/>
      <c r="BL3" s="1725"/>
      <c r="BM3" s="2045">
        <f>+Z8</f>
        <v>3.5529831881946592</v>
      </c>
      <c r="BN3" s="2046">
        <f>+Z9</f>
        <v>102</v>
      </c>
      <c r="BO3" s="859"/>
    </row>
    <row r="4" spans="1:69" ht="17.7" customHeight="1">
      <c r="A4" s="242" t="s">
        <v>635</v>
      </c>
      <c r="B4" s="1199">
        <f>+Graphics!B59</f>
        <v>76</v>
      </c>
      <c r="C4" s="1199">
        <f>+Graphics!C59</f>
        <v>208</v>
      </c>
      <c r="D4" s="1199">
        <f>+Graphics!D59</f>
        <v>132</v>
      </c>
      <c r="E4" s="1199">
        <f>+Graphics!E59</f>
        <v>25</v>
      </c>
      <c r="F4" s="1199">
        <f>+Graphics!F59</f>
        <v>61</v>
      </c>
      <c r="G4" s="1199">
        <f>+Graphics!G59</f>
        <v>108</v>
      </c>
      <c r="H4" s="1199">
        <f>+Graphics!H59</f>
        <v>155</v>
      </c>
      <c r="I4" s="1199">
        <f>+Graphics!I59</f>
        <v>2209</v>
      </c>
      <c r="J4" s="1199">
        <f>+Graphics!J59</f>
        <v>150</v>
      </c>
      <c r="K4" s="1199">
        <f>+Graphics!K59</f>
        <v>41</v>
      </c>
      <c r="L4" s="1199">
        <f>+Graphics!L59</f>
        <v>41</v>
      </c>
      <c r="M4" s="1199">
        <f>+Graphics!M59</f>
        <v>107</v>
      </c>
      <c r="N4" s="242"/>
      <c r="O4" s="262">
        <f>+B4</f>
        <v>76</v>
      </c>
      <c r="P4" s="262">
        <f t="shared" ref="P4:Z4" si="1">+C4+O4</f>
        <v>284</v>
      </c>
      <c r="Q4" s="262">
        <f t="shared" si="1"/>
        <v>416</v>
      </c>
      <c r="R4" s="262">
        <f t="shared" si="1"/>
        <v>441</v>
      </c>
      <c r="S4" s="262">
        <f t="shared" si="1"/>
        <v>502</v>
      </c>
      <c r="T4" s="262">
        <f t="shared" si="1"/>
        <v>610</v>
      </c>
      <c r="U4" s="262">
        <f t="shared" si="1"/>
        <v>765</v>
      </c>
      <c r="V4" s="262">
        <f t="shared" si="1"/>
        <v>2974</v>
      </c>
      <c r="W4" s="262">
        <f t="shared" si="1"/>
        <v>3124</v>
      </c>
      <c r="X4" s="262">
        <f t="shared" si="1"/>
        <v>3165</v>
      </c>
      <c r="Y4" s="262">
        <f t="shared" si="1"/>
        <v>3206</v>
      </c>
      <c r="Z4" s="262">
        <f t="shared" si="1"/>
        <v>3313</v>
      </c>
      <c r="AO4" s="859"/>
      <c r="AP4" s="2261" t="s">
        <v>5940</v>
      </c>
      <c r="AQ4" s="1738">
        <f>+M21</f>
        <v>253547.7</v>
      </c>
      <c r="AR4" s="1739">
        <f>+INDICADORES!M43</f>
        <v>2401924.533655914</v>
      </c>
      <c r="AS4" s="1725"/>
      <c r="AT4" s="1745">
        <f>+'INCIDENTE MATERIAL'!BD74</f>
        <v>3</v>
      </c>
      <c r="AU4" s="1746">
        <f>+INDICADORES!N43</f>
        <v>5</v>
      </c>
      <c r="AV4" s="1725"/>
      <c r="AW4" s="1745">
        <f>+M19</f>
        <v>0</v>
      </c>
      <c r="AX4" s="1746">
        <f>+INDICADORES!P43</f>
        <v>4</v>
      </c>
      <c r="AY4" s="1725"/>
      <c r="AZ4" s="1745">
        <f>+M20</f>
        <v>0</v>
      </c>
      <c r="BA4" s="1735">
        <f>+INDICADORES!O43</f>
        <v>68</v>
      </c>
      <c r="BB4" s="1725"/>
      <c r="BC4" s="2234">
        <f>+Z22</f>
        <v>1.6653312558124764</v>
      </c>
      <c r="BD4" s="3002">
        <f>+Z23</f>
        <v>28.310631348812098</v>
      </c>
      <c r="BE4" s="1725"/>
      <c r="BF4" s="1745" t="s">
        <v>5941</v>
      </c>
      <c r="BG4" s="1977" t="s">
        <v>5942</v>
      </c>
      <c r="BH4" s="1725"/>
      <c r="BI4" s="1734">
        <f>+Z24</f>
        <v>3.8692527493246258</v>
      </c>
      <c r="BJ4" s="1735">
        <f>+Z25</f>
        <v>16.250861547163428</v>
      </c>
      <c r="BK4" s="1725"/>
      <c r="BL4" s="1725"/>
      <c r="BM4" s="1734">
        <f>+Z24</f>
        <v>3.8692527493246258</v>
      </c>
      <c r="BN4" s="1735">
        <f>+Z25</f>
        <v>16.250861547163428</v>
      </c>
      <c r="BO4" s="859"/>
      <c r="BQ4" s="53"/>
    </row>
    <row r="5" spans="1:69" ht="17.7" hidden="1" customHeight="1">
      <c r="A5" s="242" t="s">
        <v>302</v>
      </c>
      <c r="B5" s="1199">
        <f>+Graphics!B104</f>
        <v>2144908.17</v>
      </c>
      <c r="C5" s="1199">
        <f>+Graphics!C104</f>
        <v>2009389.91</v>
      </c>
      <c r="D5" s="1199">
        <f>+Graphics!D104</f>
        <v>2054587.08</v>
      </c>
      <c r="E5" s="1199">
        <f>+Graphics!E104</f>
        <v>1999519.1099999999</v>
      </c>
      <c r="F5" s="1199">
        <f>+Graphics!F104</f>
        <v>2154830.96</v>
      </c>
      <c r="G5" s="1199">
        <f>+Graphics!G104</f>
        <v>2126391.6749999998</v>
      </c>
      <c r="H5" s="1199">
        <f>+Graphics!H104</f>
        <v>2083661.95</v>
      </c>
      <c r="I5" s="1199">
        <f>+Graphics!I104</f>
        <v>2128751.6100000073</v>
      </c>
      <c r="J5" s="1199">
        <f>+Graphics!J104</f>
        <v>2117046.21</v>
      </c>
      <c r="K5" s="1199">
        <f>+Graphics!K104</f>
        <v>2029158.1719166667</v>
      </c>
      <c r="L5" s="1199">
        <f>+Graphics!L104</f>
        <v>1698037.8699999999</v>
      </c>
      <c r="M5" s="1199">
        <f>+Graphics!M104</f>
        <v>1972700.4300000002</v>
      </c>
      <c r="N5" s="242"/>
      <c r="O5" s="262">
        <f>+B5</f>
        <v>2144908.17</v>
      </c>
      <c r="P5" s="262">
        <f t="shared" ref="P5:Z5" si="2">+C5+O5</f>
        <v>4154298.08</v>
      </c>
      <c r="Q5" s="262">
        <f t="shared" si="2"/>
        <v>6208885.1600000001</v>
      </c>
      <c r="R5" s="262">
        <f t="shared" si="2"/>
        <v>8208404.2699999996</v>
      </c>
      <c r="S5" s="262">
        <f t="shared" si="2"/>
        <v>10363235.23</v>
      </c>
      <c r="T5" s="262">
        <f t="shared" si="2"/>
        <v>12489626.905000001</v>
      </c>
      <c r="U5" s="262">
        <f t="shared" si="2"/>
        <v>14573288.855</v>
      </c>
      <c r="V5" s="262">
        <f t="shared" si="2"/>
        <v>16702040.465000007</v>
      </c>
      <c r="W5" s="262">
        <f t="shared" si="2"/>
        <v>18819086.675000008</v>
      </c>
      <c r="X5" s="262">
        <f t="shared" si="2"/>
        <v>20848244.846916676</v>
      </c>
      <c r="Y5" s="262">
        <f t="shared" si="2"/>
        <v>22546282.716916677</v>
      </c>
      <c r="Z5" s="262">
        <f t="shared" si="2"/>
        <v>24518983.146916676</v>
      </c>
      <c r="AO5" s="859"/>
      <c r="AP5" s="1507" t="s">
        <v>952</v>
      </c>
      <c r="AQ5" s="1738">
        <f>+G35</f>
        <v>0</v>
      </c>
      <c r="AR5" s="1740">
        <f>+INDICADORES!M44</f>
        <v>0</v>
      </c>
      <c r="AS5" s="1725"/>
      <c r="AT5" s="1745">
        <v>0</v>
      </c>
      <c r="AU5" s="1746">
        <f>+INDICADORES!N44</f>
        <v>0</v>
      </c>
      <c r="AV5" s="1725"/>
      <c r="AW5" s="1745">
        <f>+G33</f>
        <v>0</v>
      </c>
      <c r="AX5" s="1746">
        <f>+INDICADORES!P44</f>
        <v>0</v>
      </c>
      <c r="AY5" s="1725"/>
      <c r="AZ5" s="1745">
        <f>+G34</f>
        <v>0</v>
      </c>
      <c r="BA5" s="1735">
        <f>+INDICADORES!O44</f>
        <v>0</v>
      </c>
      <c r="BB5" s="1725"/>
      <c r="BC5" s="1976"/>
      <c r="BD5" s="2162"/>
      <c r="BE5" s="1725"/>
      <c r="BF5" s="1745"/>
      <c r="BG5" s="1977"/>
      <c r="BH5" s="1725"/>
      <c r="BI5" s="1734">
        <f>+O38</f>
        <v>0</v>
      </c>
      <c r="BJ5" s="1735">
        <f>+O39</f>
        <v>0</v>
      </c>
      <c r="BK5" s="1725"/>
      <c r="BL5" s="1725"/>
      <c r="BM5" s="1734">
        <f>+Z38</f>
        <v>1.2875787917746893</v>
      </c>
      <c r="BN5" s="1735">
        <f>+Z39</f>
        <v>83.69262146535479</v>
      </c>
      <c r="BO5" s="1726"/>
      <c r="BQ5" s="53"/>
    </row>
    <row r="6" spans="1:69" ht="17.7" hidden="1" customHeight="1">
      <c r="A6" s="242" t="s">
        <v>5728</v>
      </c>
      <c r="B6" s="1723"/>
      <c r="C6" s="1723"/>
      <c r="D6" s="1723"/>
      <c r="E6" s="1723"/>
      <c r="F6" s="1723"/>
      <c r="G6" s="1723"/>
      <c r="H6" s="1723"/>
      <c r="I6" s="1723"/>
      <c r="J6" s="1723"/>
      <c r="K6" s="1723"/>
      <c r="L6" s="1723"/>
      <c r="M6" s="1723"/>
      <c r="N6" s="242"/>
      <c r="O6" s="571">
        <f>+O3*1000000/O5</f>
        <v>5.1284246821625006</v>
      </c>
      <c r="P6" s="571">
        <f t="shared" ref="P6:Z6" si="3">+P3*1000000/P5</f>
        <v>5.2957201376363443</v>
      </c>
      <c r="Q6" s="571">
        <f t="shared" si="3"/>
        <v>4.3486067634080703</v>
      </c>
      <c r="R6" s="571">
        <f t="shared" si="3"/>
        <v>3.8984434668932311</v>
      </c>
      <c r="S6" s="571">
        <f t="shared" si="3"/>
        <v>3.5703136307174219</v>
      </c>
      <c r="T6" s="571">
        <f t="shared" si="3"/>
        <v>3.3627906037117925</v>
      </c>
      <c r="U6" s="571">
        <f t="shared" si="3"/>
        <v>3.5681719148906557</v>
      </c>
      <c r="V6" s="571">
        <f t="shared" si="3"/>
        <v>3.5325025180987653</v>
      </c>
      <c r="W6" s="571">
        <f t="shared" si="3"/>
        <v>3.5602152834018961</v>
      </c>
      <c r="X6" s="571">
        <f t="shared" si="3"/>
        <v>3.5494594649747762</v>
      </c>
      <c r="Y6" s="571">
        <f t="shared" si="3"/>
        <v>3.5482567571981738</v>
      </c>
      <c r="Z6" s="571">
        <f t="shared" si="3"/>
        <v>3.5482711284843993</v>
      </c>
      <c r="AO6" s="859"/>
      <c r="AP6" s="2261" t="s">
        <v>788</v>
      </c>
      <c r="AQ6" s="1738">
        <f>+G47</f>
        <v>0</v>
      </c>
      <c r="AR6" s="1739">
        <f>+INDICADORES!M45</f>
        <v>0</v>
      </c>
      <c r="AS6" s="1725"/>
      <c r="AT6" s="1745">
        <v>0</v>
      </c>
      <c r="AU6" s="1746">
        <f>+INDICADORES!N45</f>
        <v>0</v>
      </c>
      <c r="AV6" s="1725"/>
      <c r="AW6" s="1745">
        <f>+G45</f>
        <v>0</v>
      </c>
      <c r="AX6" s="1746">
        <f>+INDICADORES!P45</f>
        <v>0</v>
      </c>
      <c r="AY6" s="1725"/>
      <c r="AZ6" s="1745">
        <f>+G46</f>
        <v>0</v>
      </c>
      <c r="BA6" s="1735">
        <f>+INDICADORES!O45</f>
        <v>0</v>
      </c>
      <c r="BB6" s="1725"/>
      <c r="BC6" s="1976"/>
      <c r="BD6" s="2162"/>
      <c r="BE6" s="1725"/>
      <c r="BF6" s="1745"/>
      <c r="BG6" s="1977"/>
      <c r="BH6" s="1725"/>
      <c r="BI6" s="1734">
        <f>+O50</f>
        <v>0</v>
      </c>
      <c r="BJ6" s="1735">
        <f>+O51</f>
        <v>0</v>
      </c>
      <c r="BK6" s="1725"/>
      <c r="BL6" s="1725"/>
      <c r="BM6" s="1734">
        <f>+Z50</f>
        <v>3.6405778810623208</v>
      </c>
      <c r="BN6" s="1735">
        <f>+Z51</f>
        <v>40.653119671862584</v>
      </c>
      <c r="BO6" s="859"/>
      <c r="BQ6" s="53"/>
    </row>
    <row r="7" spans="1:69" ht="17.7" customHeight="1">
      <c r="A7" s="242" t="s">
        <v>5729</v>
      </c>
      <c r="B7" s="1723"/>
      <c r="C7" s="1723"/>
      <c r="D7" s="1723"/>
      <c r="E7" s="1723"/>
      <c r="F7" s="1723"/>
      <c r="G7" s="1723"/>
      <c r="H7" s="1723"/>
      <c r="I7" s="1723"/>
      <c r="J7" s="1723"/>
      <c r="K7" s="1723"/>
      <c r="L7" s="1723"/>
      <c r="M7" s="1723"/>
      <c r="N7" s="242"/>
      <c r="O7" s="63">
        <f>+O4*1000000/O5</f>
        <v>35.432752349486364</v>
      </c>
      <c r="P7" s="63">
        <f t="shared" ref="P7:Z7" si="4">+P4*1000000/P5</f>
        <v>68.362932685850993</v>
      </c>
      <c r="Q7" s="63">
        <f t="shared" si="4"/>
        <v>67.000756058435456</v>
      </c>
      <c r="R7" s="63">
        <f t="shared" si="4"/>
        <v>53.72542402812234</v>
      </c>
      <c r="S7" s="63">
        <f t="shared" si="4"/>
        <v>48.440471422166105</v>
      </c>
      <c r="T7" s="63">
        <f t="shared" si="4"/>
        <v>48.840530196766508</v>
      </c>
      <c r="U7" s="63">
        <f t="shared" si="4"/>
        <v>52.493298363295217</v>
      </c>
      <c r="V7" s="63">
        <f t="shared" si="4"/>
        <v>178.06207608179201</v>
      </c>
      <c r="W7" s="63">
        <f t="shared" si="4"/>
        <v>166.00167978130631</v>
      </c>
      <c r="X7" s="63">
        <f t="shared" si="4"/>
        <v>151.81134063034008</v>
      </c>
      <c r="Y7" s="63">
        <f t="shared" si="4"/>
        <v>142.19638954471682</v>
      </c>
      <c r="Z7" s="63">
        <f t="shared" si="4"/>
        <v>135.11979596171051</v>
      </c>
      <c r="AO7" s="859"/>
      <c r="AP7" s="2261" t="s">
        <v>790</v>
      </c>
      <c r="AQ7" s="1738">
        <f>+M59</f>
        <v>72511</v>
      </c>
      <c r="AR7" s="1739">
        <f>+INDICADORES!M52</f>
        <v>948630</v>
      </c>
      <c r="AS7" s="1725"/>
      <c r="AT7" s="1745">
        <f>+'INCIDENTE MATERIAL'!BI74</f>
        <v>0</v>
      </c>
      <c r="AU7" s="1746">
        <f>+INDICADORES!N52</f>
        <v>3</v>
      </c>
      <c r="AV7" s="1725"/>
      <c r="AW7" s="1745">
        <f>+M57</f>
        <v>0</v>
      </c>
      <c r="AX7" s="1746">
        <f>+INDICADORES!P52</f>
        <v>3</v>
      </c>
      <c r="AY7" s="1725"/>
      <c r="AZ7" s="1745">
        <f>+M58</f>
        <v>0</v>
      </c>
      <c r="BA7" s="1735">
        <f>+INDICADORES!O52</f>
        <v>31</v>
      </c>
      <c r="BB7" s="1725"/>
      <c r="BC7" s="2259">
        <f>+Z60</f>
        <v>3.1624553303184593</v>
      </c>
      <c r="BD7" s="2251">
        <f>+Z61</f>
        <v>32.67870507995741</v>
      </c>
      <c r="BE7" s="1725"/>
      <c r="BF7" s="1745" t="s">
        <v>5935</v>
      </c>
      <c r="BG7" s="1977" t="s">
        <v>5936</v>
      </c>
      <c r="BH7" s="1725"/>
      <c r="BI7" s="1734">
        <f>+Z62</f>
        <v>2.1220271725579445</v>
      </c>
      <c r="BJ7" s="1735">
        <f>Z63</f>
        <v>18.037230966742531</v>
      </c>
      <c r="BK7" s="1725"/>
      <c r="BL7" s="1725"/>
      <c r="BM7" s="1734">
        <f>+Z62</f>
        <v>2.1220271725579445</v>
      </c>
      <c r="BN7" s="1735">
        <f>+Z63</f>
        <v>18.037230966742531</v>
      </c>
      <c r="BO7" s="859"/>
    </row>
    <row r="8" spans="1:69" ht="17.7" hidden="1" customHeight="1">
      <c r="A8" s="242" t="s">
        <v>5179</v>
      </c>
      <c r="B8" s="1723"/>
      <c r="C8" s="1723"/>
      <c r="D8" s="1723"/>
      <c r="E8" s="1723"/>
      <c r="F8" s="1723"/>
      <c r="G8" s="1723"/>
      <c r="H8" s="1723"/>
      <c r="I8" s="1723"/>
      <c r="J8" s="1723"/>
      <c r="K8" s="1723"/>
      <c r="L8" s="1723"/>
      <c r="M8" s="1723"/>
      <c r="N8" s="242"/>
      <c r="O8" s="571">
        <f>+Graphics!O$122</f>
        <v>2.5856681503023662</v>
      </c>
      <c r="P8" s="571">
        <f>+Graphics!P$122</f>
        <v>3.0819520482265501</v>
      </c>
      <c r="Q8" s="571">
        <f>+Graphics!Q$122</f>
        <v>4.5663758483219459</v>
      </c>
      <c r="R8" s="571">
        <f>+Graphics!R$122</f>
        <v>4.3225207613252525</v>
      </c>
      <c r="S8" s="571">
        <f>+Graphics!S$122</f>
        <v>3.6388363535254187</v>
      </c>
      <c r="T8" s="571">
        <f>+Graphics!T$122</f>
        <v>3.553836378222496</v>
      </c>
      <c r="U8" s="571">
        <f>+Graphics!U$122</f>
        <v>3.6271988533735557</v>
      </c>
      <c r="V8" s="571">
        <f>+Graphics!V$122</f>
        <v>3.4291901060852084</v>
      </c>
      <c r="W8" s="571">
        <f>+Graphics!W$122</f>
        <v>3.1930669508128373</v>
      </c>
      <c r="X8" s="571">
        <f>+Graphics!X$122</f>
        <v>3.3413961678921202</v>
      </c>
      <c r="Y8" s="571">
        <f>+Graphics!Y$122</f>
        <v>3.5629363272283623</v>
      </c>
      <c r="Z8" s="571">
        <f>+Graphics!Z$122</f>
        <v>3.5529831881946592</v>
      </c>
      <c r="AO8" s="859"/>
      <c r="AP8" s="2261"/>
      <c r="AQ8" s="1738"/>
      <c r="AR8" s="1739"/>
      <c r="AS8" s="1725"/>
      <c r="AT8" s="1745"/>
      <c r="AU8" s="1746"/>
      <c r="AV8" s="1725"/>
      <c r="AW8" s="1745"/>
      <c r="AX8" s="1746"/>
      <c r="AY8" s="1725"/>
      <c r="AZ8" s="1745"/>
      <c r="BA8" s="1735"/>
      <c r="BB8" s="1725"/>
      <c r="BC8" s="1976"/>
      <c r="BD8" s="2162"/>
      <c r="BE8" s="1725"/>
      <c r="BF8" s="1745"/>
      <c r="BG8" s="1977"/>
      <c r="BH8" s="1725"/>
      <c r="BI8" s="1734"/>
      <c r="BJ8" s="1735"/>
      <c r="BK8" s="1725"/>
      <c r="BL8" s="1725"/>
      <c r="BM8" s="1734"/>
      <c r="BN8" s="1735"/>
      <c r="BO8" s="859"/>
    </row>
    <row r="9" spans="1:69" ht="17.7" hidden="1" customHeight="1">
      <c r="A9" s="242" t="s">
        <v>5180</v>
      </c>
      <c r="B9" s="1723"/>
      <c r="C9" s="1723"/>
      <c r="D9" s="1723"/>
      <c r="E9" s="1723"/>
      <c r="F9" s="1723"/>
      <c r="G9" s="1723"/>
      <c r="H9" s="1723"/>
      <c r="I9" s="1723"/>
      <c r="J9" s="1723"/>
      <c r="K9" s="1723"/>
      <c r="L9" s="1723"/>
      <c r="M9" s="1723"/>
      <c r="N9" s="242"/>
      <c r="O9" s="63">
        <f>+Graphics!O$141</f>
        <v>19</v>
      </c>
      <c r="P9" s="63">
        <f>+Graphics!P$141</f>
        <v>73</v>
      </c>
      <c r="Q9" s="63">
        <f>+Graphics!Q$141</f>
        <v>180</v>
      </c>
      <c r="R9" s="63">
        <f>+Graphics!R$141</f>
        <v>147</v>
      </c>
      <c r="S9" s="63">
        <f>+Graphics!S$141</f>
        <v>118</v>
      </c>
      <c r="T9" s="63">
        <f>+Graphics!T$141</f>
        <v>102</v>
      </c>
      <c r="U9" s="63">
        <f>+Graphics!U$141</f>
        <v>104</v>
      </c>
      <c r="V9" s="63">
        <f>+Graphics!V$141</f>
        <v>92</v>
      </c>
      <c r="W9" s="63">
        <f>+Graphics!W$141</f>
        <v>93</v>
      </c>
      <c r="X9" s="63">
        <f>+Graphics!X$141</f>
        <v>96</v>
      </c>
      <c r="Y9" s="63">
        <f>+Graphics!Y$141</f>
        <v>101</v>
      </c>
      <c r="Z9" s="63">
        <f>+Graphics!Z$141</f>
        <v>102</v>
      </c>
      <c r="AO9" s="859"/>
      <c r="AP9" s="2261"/>
      <c r="AQ9" s="1738"/>
      <c r="AR9" s="1739"/>
      <c r="AS9" s="1725"/>
      <c r="AT9" s="1745"/>
      <c r="AU9" s="1746"/>
      <c r="AV9" s="1725"/>
      <c r="AW9" s="1745"/>
      <c r="AX9" s="1746"/>
      <c r="AY9" s="1725"/>
      <c r="AZ9" s="1745"/>
      <c r="BA9" s="1735"/>
      <c r="BB9" s="1725"/>
      <c r="BC9" s="1976"/>
      <c r="BD9" s="2162"/>
      <c r="BE9" s="1725"/>
      <c r="BF9" s="1745"/>
      <c r="BG9" s="1977"/>
      <c r="BH9" s="1725"/>
      <c r="BI9" s="1734"/>
      <c r="BJ9" s="1735"/>
      <c r="BK9" s="1725"/>
      <c r="BL9" s="1725"/>
      <c r="BM9" s="1734"/>
      <c r="BN9" s="1735"/>
      <c r="BO9" s="859"/>
    </row>
    <row r="10" spans="1:69" ht="17.7" customHeight="1">
      <c r="A10" s="242" t="s">
        <v>4728</v>
      </c>
      <c r="B10" s="1723"/>
      <c r="C10" s="1723"/>
      <c r="D10" s="1723"/>
      <c r="E10" s="1723"/>
      <c r="F10" s="1723"/>
      <c r="G10" s="1723"/>
      <c r="H10" s="1723"/>
      <c r="I10" s="1723"/>
      <c r="J10" s="1723"/>
      <c r="K10" s="1723"/>
      <c r="L10" s="1723"/>
      <c r="M10" s="1723"/>
      <c r="N10" s="242"/>
      <c r="O10" s="571">
        <f>+Graphics!O121</f>
        <v>7.6263961615206988</v>
      </c>
      <c r="P10" s="571">
        <f>+Graphics!P121</f>
        <v>5.6107908380984943</v>
      </c>
      <c r="Q10" s="571">
        <f>+Graphics!Q121</f>
        <v>5.7786191062999288</v>
      </c>
      <c r="R10" s="571">
        <f>+Graphics!R121</f>
        <v>5.1113343482443776</v>
      </c>
      <c r="S10" s="571">
        <f>+Graphics!S121</f>
        <v>5.2810006505448914</v>
      </c>
      <c r="T10" s="571">
        <f>+Graphics!T121</f>
        <v>5.2985020852253779</v>
      </c>
      <c r="U10" s="571">
        <f>+Graphics!U121</f>
        <v>5.4574093298681801</v>
      </c>
      <c r="V10" s="571">
        <f>+Graphics!V121</f>
        <v>5.4340880155819153</v>
      </c>
      <c r="W10" s="571">
        <f>+Graphics!W121</f>
        <v>5.3398539629276112</v>
      </c>
      <c r="X10" s="571">
        <f>+Graphics!X121</f>
        <v>5.6183356634014325</v>
      </c>
      <c r="Y10" s="571">
        <f>+Graphics!Y121</f>
        <v>5.5823193404480147</v>
      </c>
      <c r="Z10" s="571">
        <f>+Graphics!Z121</f>
        <v>5.4638211453493009</v>
      </c>
      <c r="AO10" s="859"/>
      <c r="AP10" s="2261" t="s">
        <v>2943</v>
      </c>
      <c r="AQ10" s="1738">
        <f>+M73</f>
        <v>248451</v>
      </c>
      <c r="AR10" s="1739">
        <f>+INDICADORES!M58</f>
        <v>3573800.1958333384</v>
      </c>
      <c r="AS10" s="1725"/>
      <c r="AT10" s="1745">
        <f>+'INCIDENTE MATERIAL'!BJ74+'INCIDENTE MATERIAL'!BK74+'INCIDENTE MATERIAL'!BL74</f>
        <v>1</v>
      </c>
      <c r="AU10" s="1746">
        <f>+INDICADORES!N58</f>
        <v>4</v>
      </c>
      <c r="AV10" s="1725"/>
      <c r="AW10" s="1745">
        <f>+M71</f>
        <v>1</v>
      </c>
      <c r="AX10" s="1746">
        <f>+INDICADORES!P58</f>
        <v>9</v>
      </c>
      <c r="AY10" s="1725"/>
      <c r="AZ10" s="1745">
        <f>+M72</f>
        <v>84</v>
      </c>
      <c r="BA10" s="1735">
        <f>+INDICADORES!O58</f>
        <v>234</v>
      </c>
      <c r="BB10" s="1725"/>
      <c r="BC10" s="2259">
        <f>+Z74</f>
        <v>2.5183276923239917</v>
      </c>
      <c r="BD10" s="2162">
        <f>+Z75</f>
        <v>65.476520000423776</v>
      </c>
      <c r="BE10" s="1725"/>
      <c r="BF10" s="1745" t="s">
        <v>5850</v>
      </c>
      <c r="BG10" s="1977" t="s">
        <v>5937</v>
      </c>
      <c r="BH10" s="1725"/>
      <c r="BI10" s="1734">
        <f>+Z76</f>
        <v>1.9810344382218723</v>
      </c>
      <c r="BJ10" s="1735">
        <f>+Z77</f>
        <v>216.26292617255439</v>
      </c>
      <c r="BK10" s="1725"/>
      <c r="BL10" s="1725"/>
      <c r="BM10" s="1734">
        <f>+Z76</f>
        <v>1.9810344382218723</v>
      </c>
      <c r="BN10" s="1735">
        <f>+Z77</f>
        <v>216.26292617255439</v>
      </c>
      <c r="BO10" s="859"/>
    </row>
    <row r="11" spans="1:69" ht="17.7" customHeight="1" thickBot="1">
      <c r="A11" s="242" t="s">
        <v>4729</v>
      </c>
      <c r="B11" s="1723"/>
      <c r="C11" s="1723"/>
      <c r="D11" s="1723"/>
      <c r="E11" s="1723"/>
      <c r="F11" s="1723"/>
      <c r="G11" s="1723"/>
      <c r="H11" s="1723"/>
      <c r="I11" s="1723"/>
      <c r="J11" s="1723"/>
      <c r="K11" s="1723"/>
      <c r="L11" s="1723"/>
      <c r="M11" s="1723"/>
      <c r="N11" s="242"/>
      <c r="O11" s="262">
        <f>+Graphics!O140</f>
        <v>2722.1997409872492</v>
      </c>
      <c r="P11" s="262">
        <f>+Graphics!P140</f>
        <v>1427.7304686484476</v>
      </c>
      <c r="Q11" s="262">
        <f>+Graphics!Q140</f>
        <v>957.84135235156873</v>
      </c>
      <c r="R11" s="262">
        <f>+Graphics!R140</f>
        <v>734.64782642787418</v>
      </c>
      <c r="S11" s="262">
        <f>+Graphics!S140</f>
        <v>593.7718634669103</v>
      </c>
      <c r="T11" s="262">
        <f>+Graphics!T140</f>
        <v>504.9119253747437</v>
      </c>
      <c r="U11" s="262">
        <f>+Graphics!U140</f>
        <v>460.96917472953231</v>
      </c>
      <c r="V11" s="262">
        <f>+Graphics!V140</f>
        <v>417.19944362766648</v>
      </c>
      <c r="W11" s="262">
        <f>+Graphics!W140</f>
        <v>385.2323216112062</v>
      </c>
      <c r="X11" s="262">
        <f>+Graphics!X140</f>
        <v>362.72839402252481</v>
      </c>
      <c r="Y11" s="262">
        <f>+Graphics!Y140</f>
        <v>335.09752409611343</v>
      </c>
      <c r="Z11" s="262">
        <f>+Graphics!Z140</f>
        <v>313.1612924918324</v>
      </c>
      <c r="AO11" s="859"/>
      <c r="AP11" s="2262" t="s">
        <v>2906</v>
      </c>
      <c r="AQ11" s="1741">
        <f>+M87</f>
        <v>24918.41</v>
      </c>
      <c r="AR11" s="1742">
        <f>+INDICADORES!M59</f>
        <v>343702.41</v>
      </c>
      <c r="AS11" s="1727"/>
      <c r="AT11" s="1747">
        <f>+'INCIDENTE MATERIAL'!BM74</f>
        <v>0</v>
      </c>
      <c r="AU11" s="1748">
        <f>+INDICADORES!N59</f>
        <v>0</v>
      </c>
      <c r="AV11" s="1727"/>
      <c r="AW11" s="1747">
        <f>+M85</f>
        <v>0</v>
      </c>
      <c r="AX11" s="1748">
        <f>+INDICADORES!P59</f>
        <v>2</v>
      </c>
      <c r="AY11" s="1727"/>
      <c r="AZ11" s="1747">
        <f>+M86</f>
        <v>0</v>
      </c>
      <c r="BA11" s="1751">
        <f>+INDICADORES!O59</f>
        <v>82</v>
      </c>
      <c r="BB11" s="1727"/>
      <c r="BC11" s="2263">
        <f>+Z88</f>
        <v>5.8189874199601919</v>
      </c>
      <c r="BD11" s="3003">
        <f>+Z89</f>
        <v>238.57848421836789</v>
      </c>
      <c r="BE11" s="1727"/>
      <c r="BF11" s="1747" t="s">
        <v>5851</v>
      </c>
      <c r="BG11" s="1978" t="s">
        <v>5852</v>
      </c>
      <c r="BH11" s="1727"/>
      <c r="BI11" s="1736">
        <f>+Z90</f>
        <v>3.2084981318506789</v>
      </c>
      <c r="BJ11" s="1751">
        <f>+Z91</f>
        <v>67.378460768864258</v>
      </c>
      <c r="BK11" s="1727"/>
      <c r="BL11" s="1727"/>
      <c r="BM11" s="1736">
        <f>+Z90</f>
        <v>3.2084981318506789</v>
      </c>
      <c r="BN11" s="1751">
        <f>+Z91</f>
        <v>67.378460768864258</v>
      </c>
      <c r="BO11" s="859"/>
    </row>
    <row r="12" spans="1:69" s="1112" customFormat="1" ht="17.7" customHeight="1" thickBot="1">
      <c r="A12" s="2163" t="s">
        <v>4726</v>
      </c>
      <c r="B12" s="2164"/>
      <c r="C12" s="2164"/>
      <c r="D12" s="2164"/>
      <c r="E12" s="2164"/>
      <c r="F12" s="2164"/>
      <c r="G12" s="2164"/>
      <c r="H12" s="2164"/>
      <c r="I12" s="2164"/>
      <c r="J12" s="2164"/>
      <c r="K12" s="2164"/>
      <c r="L12" s="2164"/>
      <c r="M12" s="2164"/>
      <c r="N12" s="2163"/>
      <c r="O12" s="1188">
        <f>+Graphics!O120</f>
        <v>5.1913370041346507</v>
      </c>
      <c r="P12" s="1188">
        <f>+Graphics!P120</f>
        <v>6.0922930614315867</v>
      </c>
      <c r="Q12" s="1188">
        <f>+Graphics!Q120</f>
        <v>8.0046603882152656</v>
      </c>
      <c r="R12" s="1188">
        <f>+Graphics!R120</f>
        <v>6.9827547446247369</v>
      </c>
      <c r="S12" s="1188">
        <f>+Graphics!S120</f>
        <v>6.8907364623390972</v>
      </c>
      <c r="T12" s="1188">
        <f>+Graphics!T120</f>
        <v>6.2692477548964005</v>
      </c>
      <c r="U12" s="1188">
        <f>+Graphics!U120</f>
        <v>6.8856206148556245</v>
      </c>
      <c r="V12" s="1188">
        <f>+Graphics!V120</f>
        <v>6.5910924340114594</v>
      </c>
      <c r="W12" s="1188">
        <f>+Graphics!W120</f>
        <v>6.6276288601750526</v>
      </c>
      <c r="X12" s="1188">
        <f>+Graphics!X120</f>
        <v>6.8734328838359584</v>
      </c>
      <c r="Y12" s="1188">
        <f>+Graphics!Y120</f>
        <v>6.967025688116796</v>
      </c>
      <c r="Z12" s="1188">
        <f>+Graphics!Z120</f>
        <v>6.593753853477736</v>
      </c>
      <c r="AO12" s="2171"/>
      <c r="AP12" s="2257" t="s">
        <v>5370</v>
      </c>
      <c r="AQ12" s="2165">
        <f>+M102</f>
        <v>599428.11</v>
      </c>
      <c r="AR12" s="2166">
        <f>+INDICADORES!M61</f>
        <v>7268057.1394892521</v>
      </c>
      <c r="AS12" s="2167"/>
      <c r="AT12" s="2168">
        <f>+'INCIDENTE MATERIAL'!CU74</f>
        <v>4</v>
      </c>
      <c r="AU12" s="2169">
        <f>+INDICADORES!N61</f>
        <v>12</v>
      </c>
      <c r="AV12" s="1725"/>
      <c r="AW12" s="2168">
        <f>+M100</f>
        <v>1</v>
      </c>
      <c r="AX12" s="2169">
        <f>+INDICADORES!P61</f>
        <v>18</v>
      </c>
      <c r="AY12" s="2167"/>
      <c r="AZ12" s="2168">
        <f>+M101</f>
        <v>84</v>
      </c>
      <c r="BA12" s="2170">
        <f>+INDICADORES!O61</f>
        <v>415</v>
      </c>
      <c r="BB12" s="1725"/>
      <c r="BC12" s="3022">
        <f>+INDICADORES!S61</f>
        <v>2.4765903259347399</v>
      </c>
      <c r="BD12" s="2169">
        <f>+INDICADORES!T61</f>
        <v>57.099165847939837</v>
      </c>
      <c r="BE12" s="2167"/>
      <c r="BF12" s="2047" t="s">
        <v>5853</v>
      </c>
      <c r="BG12" s="2048" t="s">
        <v>5933</v>
      </c>
      <c r="BH12" s="2167"/>
      <c r="BI12" s="2042">
        <f>+Z105</f>
        <v>2.5111534777986058</v>
      </c>
      <c r="BJ12" s="2041">
        <f>+Z106</f>
        <v>128.06882736772891</v>
      </c>
      <c r="BK12" s="2167"/>
      <c r="BL12" s="2167"/>
      <c r="BM12" s="2042">
        <f>+Z105</f>
        <v>2.5111534777986058</v>
      </c>
      <c r="BN12" s="2041">
        <f>+Z106</f>
        <v>128.06882736772891</v>
      </c>
      <c r="BO12" s="2171"/>
    </row>
    <row r="13" spans="1:69" ht="16.2" customHeight="1">
      <c r="A13" s="242" t="s">
        <v>4727</v>
      </c>
      <c r="B13" s="1723"/>
      <c r="C13" s="1723"/>
      <c r="D13" s="1723"/>
      <c r="E13" s="1723"/>
      <c r="F13" s="1723"/>
      <c r="G13" s="1723"/>
      <c r="H13" s="1723"/>
      <c r="I13" s="1723"/>
      <c r="J13" s="1723"/>
      <c r="K13" s="1723"/>
      <c r="L13" s="1723"/>
      <c r="M13" s="1723"/>
      <c r="N13" s="242"/>
      <c r="O13" s="262">
        <f>+Graphics!O139</f>
        <v>210.24914866745334</v>
      </c>
      <c r="P13" s="262">
        <f>+Graphics!P139</f>
        <v>141.39196813405806</v>
      </c>
      <c r="Q13" s="262">
        <f>+Graphics!Q139</f>
        <v>656.89308760311235</v>
      </c>
      <c r="R13" s="262">
        <f>+Graphics!R139</f>
        <v>514.7475997594122</v>
      </c>
      <c r="S13" s="262">
        <f>+Graphics!S139</f>
        <v>448.9745476242818</v>
      </c>
      <c r="T13" s="262">
        <f>+Graphics!T139</f>
        <v>376.15486529378404</v>
      </c>
      <c r="U13" s="262">
        <f>+Graphics!U139</f>
        <v>333.08243897356544</v>
      </c>
      <c r="V13" s="262">
        <f>+Graphics!V139</f>
        <v>314.75697300068447</v>
      </c>
      <c r="W13" s="262">
        <f>+Graphics!W139</f>
        <v>287.99030021478603</v>
      </c>
      <c r="X13" s="262">
        <f>+Graphics!X139</f>
        <v>264.82932581838543</v>
      </c>
      <c r="Y13" s="262">
        <f>+Graphics!Y139</f>
        <v>251.85345458276754</v>
      </c>
      <c r="Z13" s="262">
        <f>+Graphics!Z139</f>
        <v>260.71621831695711</v>
      </c>
      <c r="AO13" s="859"/>
      <c r="AP13" s="2258" t="s">
        <v>55</v>
      </c>
      <c r="AQ13" s="1743">
        <f>+M117</f>
        <v>2572128.54</v>
      </c>
      <c r="AR13" s="1744">
        <f>+INDICADORES!M65</f>
        <v>31789824.286405925</v>
      </c>
      <c r="AS13" s="1753"/>
      <c r="AT13" s="2034">
        <f>+'INCIDENTE MATERIAL'!CV74</f>
        <v>6</v>
      </c>
      <c r="AU13" s="1749">
        <f>+INDICADORES!N65</f>
        <v>42</v>
      </c>
      <c r="AV13" s="1753"/>
      <c r="AW13" s="1750">
        <f>+M115</f>
        <v>8</v>
      </c>
      <c r="AX13" s="1749">
        <f>+INDICADORES!P65</f>
        <v>105</v>
      </c>
      <c r="AY13" s="1753"/>
      <c r="AZ13" s="1750">
        <f>+M116</f>
        <v>191</v>
      </c>
      <c r="BA13" s="1752">
        <f>+INDICADORES!O65</f>
        <v>3728</v>
      </c>
      <c r="BB13" s="1753"/>
      <c r="BC13" s="3023">
        <f>+Z118</f>
        <v>3.3032329859569969</v>
      </c>
      <c r="BD13" s="2294">
        <f>+Z119</f>
        <v>117.28050068235891</v>
      </c>
      <c r="BE13" s="1753"/>
      <c r="BF13" s="2049" t="s">
        <v>5945</v>
      </c>
      <c r="BG13" s="2050" t="s">
        <v>5934</v>
      </c>
      <c r="BH13" s="1753"/>
      <c r="BI13" s="1737">
        <f>+Z120</f>
        <v>3.3615609727581166</v>
      </c>
      <c r="BJ13" s="1752">
        <f>+Z121</f>
        <v>106.87786504563306</v>
      </c>
      <c r="BK13" s="1753"/>
      <c r="BL13" s="1753"/>
      <c r="BM13" s="1737">
        <f>+Z120</f>
        <v>3.3615609727581166</v>
      </c>
      <c r="BN13" s="1752">
        <f>+Z121</f>
        <v>106.87786504563306</v>
      </c>
      <c r="BO13" s="859"/>
    </row>
    <row r="14" spans="1:69" ht="16.2" customHeight="1">
      <c r="A14" s="242" t="s">
        <v>5978</v>
      </c>
      <c r="B14" s="1723"/>
      <c r="C14" s="1723"/>
      <c r="D14" s="1723"/>
      <c r="E14" s="1723"/>
      <c r="F14" s="1723"/>
      <c r="G14" s="1723"/>
      <c r="H14" s="1723"/>
      <c r="I14" s="1723"/>
      <c r="J14" s="1723"/>
      <c r="K14" s="1723"/>
      <c r="L14" s="1723"/>
      <c r="M14" s="1723"/>
      <c r="N14" s="242"/>
      <c r="O14" s="479">
        <v>3.6</v>
      </c>
      <c r="P14" s="479">
        <v>3.6</v>
      </c>
      <c r="Q14" s="479">
        <v>3.6</v>
      </c>
      <c r="R14" s="479">
        <v>3.6</v>
      </c>
      <c r="S14" s="479">
        <v>3.6</v>
      </c>
      <c r="T14" s="479">
        <v>3.6</v>
      </c>
      <c r="U14" s="479">
        <v>3.6</v>
      </c>
      <c r="V14" s="479">
        <v>3.6</v>
      </c>
      <c r="W14" s="479">
        <v>3.6</v>
      </c>
      <c r="X14" s="479">
        <v>3.6</v>
      </c>
      <c r="Y14" s="479">
        <v>3.6</v>
      </c>
      <c r="Z14" s="479">
        <v>3.6</v>
      </c>
      <c r="AO14" s="859"/>
      <c r="AP14" s="2062" t="s">
        <v>4735</v>
      </c>
      <c r="AQ14" s="2841" t="s">
        <v>6182</v>
      </c>
      <c r="AR14" s="1755">
        <v>30443678</v>
      </c>
      <c r="AS14" s="1754"/>
      <c r="AT14" s="2841" t="s">
        <v>6183</v>
      </c>
      <c r="AU14" s="1754"/>
      <c r="AV14" s="1754"/>
      <c r="AW14" s="2841" t="s">
        <v>6182</v>
      </c>
      <c r="AX14" s="1754" t="s">
        <v>5985</v>
      </c>
      <c r="AY14" s="1754"/>
      <c r="AZ14" s="2841" t="s">
        <v>6182</v>
      </c>
      <c r="BA14" s="1754" t="s">
        <v>5986</v>
      </c>
      <c r="BB14" s="1753"/>
      <c r="BC14" s="3231" t="s">
        <v>6184</v>
      </c>
      <c r="BD14" s="3231"/>
      <c r="BE14" s="1753"/>
      <c r="BF14" s="2232"/>
      <c r="BG14" s="2232"/>
      <c r="BH14" s="1753"/>
      <c r="BI14" s="3231" t="s">
        <v>6182</v>
      </c>
      <c r="BJ14" s="3231"/>
      <c r="BK14" s="2301"/>
      <c r="BL14" s="2301"/>
      <c r="BM14" s="2233"/>
      <c r="BN14" s="2231"/>
      <c r="BO14" s="859"/>
    </row>
    <row r="15" spans="1:69" ht="31.2">
      <c r="A15" s="242" t="s">
        <v>5979</v>
      </c>
      <c r="B15" s="1723"/>
      <c r="C15" s="1723"/>
      <c r="D15" s="1723"/>
      <c r="E15" s="1723"/>
      <c r="F15" s="1723"/>
      <c r="G15" s="1723"/>
      <c r="H15" s="1723"/>
      <c r="I15" s="1723"/>
      <c r="J15" s="1723"/>
      <c r="K15" s="1723"/>
      <c r="L15" s="1723"/>
      <c r="M15" s="1723"/>
      <c r="N15" s="242"/>
      <c r="O15" s="571" t="str">
        <f>+INDICADORES!$AJ$39</f>
        <v>3.4</v>
      </c>
      <c r="P15" s="571" t="str">
        <f>+INDICADORES!$AJ$39</f>
        <v>3.4</v>
      </c>
      <c r="Q15" s="571" t="str">
        <f>+INDICADORES!$AJ$39</f>
        <v>3.4</v>
      </c>
      <c r="R15" s="571" t="str">
        <f>+INDICADORES!$AJ$39</f>
        <v>3.4</v>
      </c>
      <c r="S15" s="571" t="str">
        <f>+INDICADORES!$AJ$39</f>
        <v>3.4</v>
      </c>
      <c r="T15" s="571" t="str">
        <f>+INDICADORES!$AJ$39</f>
        <v>3.4</v>
      </c>
      <c r="U15" s="571" t="str">
        <f>+INDICADORES!$AJ$39</f>
        <v>3.4</v>
      </c>
      <c r="V15" s="571" t="str">
        <f>+INDICADORES!$AJ$39</f>
        <v>3.4</v>
      </c>
      <c r="W15" s="571" t="str">
        <f>+INDICADORES!$AJ$39</f>
        <v>3.4</v>
      </c>
      <c r="X15" s="571" t="str">
        <f>+INDICADORES!$AJ$39</f>
        <v>3.4</v>
      </c>
      <c r="Y15" s="571" t="str">
        <f>+INDICADORES!$AJ$39</f>
        <v>3.4</v>
      </c>
      <c r="Z15" s="571" t="str">
        <f>+INDICADORES!$AJ$39</f>
        <v>3.4</v>
      </c>
      <c r="AP15" s="859"/>
      <c r="AQ15" s="3020" t="s">
        <v>6342</v>
      </c>
      <c r="AR15" s="859"/>
      <c r="AS15" s="859"/>
      <c r="AT15" s="3020" t="s">
        <v>6341</v>
      </c>
      <c r="AU15" s="859"/>
      <c r="AV15" s="859"/>
      <c r="AW15" s="3020" t="s">
        <v>6342</v>
      </c>
      <c r="AX15" s="859"/>
      <c r="AY15" s="859"/>
      <c r="AZ15" s="3020" t="s">
        <v>6342</v>
      </c>
      <c r="BA15" s="859"/>
      <c r="BB15" s="859"/>
      <c r="BC15" s="859"/>
      <c r="BD15" s="859"/>
      <c r="BE15" s="859"/>
      <c r="BF15" s="859"/>
      <c r="BG15" s="859"/>
      <c r="BH15" s="859"/>
      <c r="BI15" s="3020" t="s">
        <v>6342</v>
      </c>
      <c r="BJ15" s="3020" t="s">
        <v>6342</v>
      </c>
      <c r="BK15" s="859"/>
      <c r="BL15" s="859"/>
      <c r="BM15" s="859"/>
      <c r="BN15" s="859"/>
      <c r="BO15" s="859"/>
    </row>
    <row r="16" spans="1:69">
      <c r="A16" s="242" t="s">
        <v>5980</v>
      </c>
      <c r="B16" s="1723"/>
      <c r="C16" s="1723"/>
      <c r="D16" s="1723"/>
      <c r="E16" s="1723"/>
      <c r="F16" s="1723"/>
      <c r="G16" s="1723"/>
      <c r="H16" s="1723"/>
      <c r="I16" s="1723"/>
      <c r="J16" s="1723"/>
      <c r="K16" s="1723"/>
      <c r="L16" s="1723"/>
      <c r="M16" s="1723"/>
      <c r="N16" s="242"/>
      <c r="O16" s="63">
        <v>98</v>
      </c>
      <c r="P16" s="63">
        <v>98</v>
      </c>
      <c r="Q16" s="63">
        <v>98</v>
      </c>
      <c r="R16" s="63">
        <v>98</v>
      </c>
      <c r="S16" s="63">
        <v>98</v>
      </c>
      <c r="T16" s="63">
        <v>98</v>
      </c>
      <c r="U16" s="63">
        <v>98</v>
      </c>
      <c r="V16" s="63">
        <v>98</v>
      </c>
      <c r="W16" s="63">
        <v>98</v>
      </c>
      <c r="X16" s="63">
        <v>98</v>
      </c>
      <c r="Y16" s="63">
        <v>98</v>
      </c>
      <c r="Z16" s="63">
        <v>98</v>
      </c>
      <c r="AC16" s="708" t="s">
        <v>6190</v>
      </c>
      <c r="AP16" s="2062"/>
      <c r="AQ16" s="1754"/>
      <c r="AR16" s="1755"/>
      <c r="AS16" s="1754"/>
      <c r="AT16" s="1754"/>
      <c r="AU16" s="1754"/>
      <c r="AV16" s="1754"/>
      <c r="AW16" s="1754"/>
      <c r="AX16" s="1754"/>
      <c r="AY16" s="1754"/>
      <c r="AZ16" s="1754"/>
      <c r="BA16" s="1754"/>
      <c r="BB16" s="1727"/>
      <c r="BC16" s="1725"/>
      <c r="BD16" s="1725"/>
      <c r="BE16" s="1727"/>
      <c r="BF16" s="1727"/>
      <c r="BG16" s="1727"/>
      <c r="BH16" s="1727"/>
      <c r="BI16" s="1725"/>
      <c r="BJ16" s="1725"/>
      <c r="BK16" s="1727"/>
      <c r="BL16" s="1727"/>
      <c r="BM16" s="1725"/>
      <c r="BN16" s="859"/>
      <c r="BO16" s="859"/>
    </row>
    <row r="17" spans="1:67" ht="13.8" thickBot="1">
      <c r="A17" s="1720" t="s">
        <v>4731</v>
      </c>
      <c r="B17" s="1724"/>
      <c r="C17" s="1724"/>
      <c r="D17" s="1724"/>
      <c r="E17" s="1724"/>
      <c r="F17" s="1724"/>
      <c r="G17" s="1724"/>
      <c r="H17" s="1724"/>
      <c r="I17" s="1724"/>
      <c r="J17" s="1724"/>
      <c r="K17" s="1724"/>
      <c r="L17" s="1724"/>
      <c r="M17" s="1724"/>
      <c r="N17" s="1720"/>
      <c r="O17" s="1721">
        <f>+INDICADORES!$AN$39</f>
        <v>91</v>
      </c>
      <c r="P17" s="1721">
        <f>+INDICADORES!$AN$39</f>
        <v>91</v>
      </c>
      <c r="Q17" s="1721">
        <f>+INDICADORES!$AN$39</f>
        <v>91</v>
      </c>
      <c r="R17" s="1721">
        <f>+INDICADORES!$AN$39</f>
        <v>91</v>
      </c>
      <c r="S17" s="1721">
        <f>+INDICADORES!$AN$39</f>
        <v>91</v>
      </c>
      <c r="T17" s="1721">
        <f>+INDICADORES!$AN$39</f>
        <v>91</v>
      </c>
      <c r="U17" s="1721">
        <f>+INDICADORES!$AN$39</f>
        <v>91</v>
      </c>
      <c r="V17" s="1721">
        <f>+INDICADORES!$AN$39</f>
        <v>91</v>
      </c>
      <c r="W17" s="1721">
        <f>+INDICADORES!$AN$39</f>
        <v>91</v>
      </c>
      <c r="X17" s="1721">
        <f>+INDICADORES!$AN$39</f>
        <v>91</v>
      </c>
      <c r="Y17" s="1721">
        <f>+INDICADORES!$AN$39</f>
        <v>91</v>
      </c>
      <c r="Z17" s="1721">
        <f>+INDICADORES!$AN$39</f>
        <v>91</v>
      </c>
      <c r="AP17" s="859"/>
      <c r="AQ17" s="859"/>
      <c r="AR17" s="859"/>
      <c r="AS17" s="859"/>
      <c r="AT17" s="859"/>
      <c r="AU17" s="859"/>
      <c r="AV17" s="859"/>
      <c r="AW17" s="859"/>
      <c r="AX17" s="1308" t="s">
        <v>5987</v>
      </c>
      <c r="AY17" s="1725"/>
      <c r="AZ17" s="859"/>
      <c r="BA17" s="859"/>
      <c r="BB17" s="859"/>
      <c r="BC17" s="859"/>
      <c r="BD17" s="859"/>
      <c r="BE17" s="859"/>
      <c r="BF17" s="859"/>
      <c r="BG17" s="859"/>
      <c r="BH17" s="859"/>
      <c r="BI17" s="859"/>
      <c r="BJ17" s="859"/>
      <c r="BK17" s="859"/>
      <c r="BL17" s="859"/>
      <c r="BM17" s="859"/>
      <c r="BN17" s="859"/>
      <c r="BO17" s="859"/>
    </row>
    <row r="18" spans="1:67" ht="21" thickTop="1">
      <c r="A18" s="150" t="s">
        <v>789</v>
      </c>
      <c r="B18" s="675"/>
      <c r="C18" s="675"/>
      <c r="D18" s="675"/>
      <c r="E18" s="675"/>
      <c r="F18" s="675"/>
      <c r="G18" s="675"/>
      <c r="H18" s="675"/>
      <c r="I18" s="675"/>
      <c r="J18" s="675"/>
      <c r="K18" s="675"/>
      <c r="L18" s="675"/>
      <c r="M18" s="675"/>
      <c r="N18" s="242"/>
      <c r="AP18" s="3227"/>
      <c r="AQ18" s="3227"/>
      <c r="AR18" s="3227"/>
      <c r="AS18" s="3227"/>
      <c r="AT18" s="3227"/>
      <c r="AU18" s="3227"/>
      <c r="AX18" s="2062" t="s">
        <v>5848</v>
      </c>
      <c r="AZ18" s="859"/>
      <c r="BA18" s="859"/>
      <c r="BB18" s="859"/>
      <c r="BC18" s="859"/>
      <c r="BD18" s="859"/>
      <c r="BE18" s="859"/>
      <c r="BF18" s="859"/>
      <c r="BG18" s="859"/>
      <c r="BH18" s="859"/>
      <c r="BI18" s="859"/>
      <c r="BJ18" s="859"/>
      <c r="BK18" s="859"/>
      <c r="BL18" s="859"/>
      <c r="BM18" s="859"/>
      <c r="BN18" s="859"/>
      <c r="BO18" s="859"/>
    </row>
    <row r="19" spans="1:67" ht="18.600000000000001" customHeight="1">
      <c r="A19" s="242" t="s">
        <v>297</v>
      </c>
      <c r="B19" s="8">
        <f>+'ACCIDENTES INCAPACITANTES'!$Y63</f>
        <v>1</v>
      </c>
      <c r="C19" s="8">
        <f>+'ACCIDENTES INCAPACITANTES'!$Y64</f>
        <v>0</v>
      </c>
      <c r="D19" s="8">
        <f>+'ACCIDENTES INCAPACITANTES'!$Y65</f>
        <v>0</v>
      </c>
      <c r="E19" s="8">
        <f>+'ACCIDENTES INCAPACITANTES'!$Y66</f>
        <v>0</v>
      </c>
      <c r="F19" s="8">
        <f>+'ACCIDENTES INCAPACITANTES'!$Y67</f>
        <v>0</v>
      </c>
      <c r="G19" s="8">
        <f>+'ACCIDENTES INCAPACITANTES'!$Y68</f>
        <v>1</v>
      </c>
      <c r="H19" s="8">
        <f>+'ACCIDENTES INCAPACITANTES'!$Y69</f>
        <v>0</v>
      </c>
      <c r="I19" s="8">
        <f>+'ACCIDENTES INCAPACITANTES'!$Y70</f>
        <v>1</v>
      </c>
      <c r="J19" s="8">
        <f>+'ACCIDENTES INCAPACITANTES'!$Y71</f>
        <v>0</v>
      </c>
      <c r="K19" s="8">
        <f>+'ACCIDENTES INCAPACITANTES'!$Y72</f>
        <v>1</v>
      </c>
      <c r="L19" s="8">
        <f>+'ACCIDENTES INCAPACITANTES'!$Y73</f>
        <v>0</v>
      </c>
      <c r="M19" s="8">
        <f>+'ACCIDENTES INCAPACITANTES'!$Y74</f>
        <v>0</v>
      </c>
      <c r="O19" s="262">
        <f>+B19</f>
        <v>1</v>
      </c>
      <c r="P19" s="262">
        <f t="shared" ref="P19:Z19" si="5">+C19+O19</f>
        <v>1</v>
      </c>
      <c r="Q19" s="262">
        <f t="shared" si="5"/>
        <v>1</v>
      </c>
      <c r="R19" s="262">
        <f t="shared" si="5"/>
        <v>1</v>
      </c>
      <c r="S19" s="262">
        <f t="shared" si="5"/>
        <v>1</v>
      </c>
      <c r="T19" s="262">
        <f t="shared" si="5"/>
        <v>2</v>
      </c>
      <c r="U19" s="262">
        <f t="shared" si="5"/>
        <v>2</v>
      </c>
      <c r="V19" s="262">
        <f t="shared" si="5"/>
        <v>3</v>
      </c>
      <c r="W19" s="262">
        <f t="shared" si="5"/>
        <v>3</v>
      </c>
      <c r="X19" s="262">
        <f t="shared" si="5"/>
        <v>4</v>
      </c>
      <c r="Y19" s="262">
        <f t="shared" si="5"/>
        <v>4</v>
      </c>
      <c r="Z19" s="262">
        <f t="shared" si="5"/>
        <v>4</v>
      </c>
      <c r="AP19" s="859"/>
      <c r="AQ19" s="859"/>
      <c r="AR19" s="859"/>
      <c r="AS19" s="859"/>
      <c r="AT19" s="859"/>
      <c r="AU19" s="859"/>
      <c r="AV19" s="859"/>
      <c r="AW19" s="859"/>
      <c r="AX19" s="859"/>
      <c r="AY19" s="859"/>
      <c r="AZ19" s="859"/>
      <c r="BA19" s="859"/>
      <c r="BB19" s="859"/>
      <c r="BC19" s="859"/>
      <c r="BD19" s="859"/>
      <c r="BE19" s="859"/>
      <c r="BF19" s="859"/>
      <c r="BG19" s="859"/>
      <c r="BH19" s="859"/>
      <c r="BI19" s="859"/>
      <c r="BJ19" s="859"/>
      <c r="BK19" s="859"/>
      <c r="BL19" s="859"/>
      <c r="BM19" s="859"/>
      <c r="BN19" s="859"/>
      <c r="BO19" s="859"/>
    </row>
    <row r="20" spans="1:67">
      <c r="A20" s="242" t="s">
        <v>635</v>
      </c>
      <c r="B20" s="8">
        <f>+'DIAS PERDIDOS'!Y63</f>
        <v>20</v>
      </c>
      <c r="C20" s="8">
        <f>+'DIAS PERDIDOS'!Y64</f>
        <v>0</v>
      </c>
      <c r="D20" s="8">
        <f>+'DIAS PERDIDOS'!Y65</f>
        <v>0</v>
      </c>
      <c r="E20" s="8">
        <f>+'DIAS PERDIDOS'!Y66</f>
        <v>0</v>
      </c>
      <c r="F20" s="8">
        <f>+'DIAS PERDIDOS'!Y67</f>
        <v>0</v>
      </c>
      <c r="G20" s="8">
        <f>+'DIAS PERDIDOS'!Y68</f>
        <v>2</v>
      </c>
      <c r="H20" s="8">
        <f>+'DIAS PERDIDOS'!Y69</f>
        <v>0</v>
      </c>
      <c r="I20" s="8">
        <f>+'DIAS PERDIDOS'!Y70</f>
        <v>16</v>
      </c>
      <c r="J20" s="8">
        <f>+'DIAS PERDIDOS'!Y71</f>
        <v>0</v>
      </c>
      <c r="K20" s="8">
        <f>+'DIAS PERDIDOS'!Y72</f>
        <v>30</v>
      </c>
      <c r="L20" s="8">
        <f>+'DIAS PERDIDOS'!Y73</f>
        <v>0</v>
      </c>
      <c r="M20" s="8">
        <f>+'DIAS PERDIDOS'!Y74</f>
        <v>0</v>
      </c>
      <c r="O20" s="262">
        <f>+B20</f>
        <v>20</v>
      </c>
      <c r="P20" s="262">
        <f t="shared" ref="P20:Z21" si="6">+C20+O20</f>
        <v>20</v>
      </c>
      <c r="Q20" s="262">
        <f t="shared" si="6"/>
        <v>20</v>
      </c>
      <c r="R20" s="262">
        <f t="shared" si="6"/>
        <v>20</v>
      </c>
      <c r="S20" s="262">
        <f t="shared" si="6"/>
        <v>20</v>
      </c>
      <c r="T20" s="262">
        <f t="shared" si="6"/>
        <v>22</v>
      </c>
      <c r="U20" s="262">
        <f t="shared" si="6"/>
        <v>22</v>
      </c>
      <c r="V20" s="262">
        <f t="shared" si="6"/>
        <v>38</v>
      </c>
      <c r="W20" s="262">
        <f t="shared" si="6"/>
        <v>38</v>
      </c>
      <c r="X20" s="262">
        <f t="shared" si="6"/>
        <v>68</v>
      </c>
      <c r="Y20" s="262">
        <f t="shared" si="6"/>
        <v>68</v>
      </c>
      <c r="Z20" s="262">
        <f t="shared" si="6"/>
        <v>68</v>
      </c>
      <c r="AP20" s="1727"/>
      <c r="AQ20" s="1729"/>
      <c r="AR20" s="1727"/>
      <c r="AS20" s="1727"/>
      <c r="AT20" s="1725"/>
      <c r="AU20" s="1725"/>
      <c r="AV20" s="1725"/>
      <c r="AW20" s="859"/>
      <c r="AX20" s="859"/>
      <c r="AY20" s="859"/>
      <c r="AZ20" s="859"/>
      <c r="BA20" s="3226"/>
      <c r="BB20" s="3226"/>
      <c r="BC20" s="3226"/>
      <c r="BD20" s="3226"/>
      <c r="BE20" s="3226"/>
      <c r="BF20" s="1725"/>
      <c r="BG20" s="1725"/>
      <c r="BH20" s="1725"/>
      <c r="BI20" s="1725"/>
      <c r="BJ20" s="1725"/>
      <c r="BK20" s="1725"/>
      <c r="BL20" s="1725"/>
      <c r="BM20" s="1725"/>
      <c r="BN20" s="859"/>
      <c r="BO20" s="859"/>
    </row>
    <row r="21" spans="1:67">
      <c r="A21" s="242" t="s">
        <v>302</v>
      </c>
      <c r="B21" s="262">
        <f>+'HORAS HOMBRE'!Y63</f>
        <v>126690.75032258066</v>
      </c>
      <c r="C21" s="262">
        <f>+'HORAS HOMBRE'!Y64</f>
        <v>110690.05</v>
      </c>
      <c r="D21" s="262">
        <f>+'HORAS HOMBRE'!Y65</f>
        <v>157439.18</v>
      </c>
      <c r="E21" s="262">
        <f>+'HORAS HOMBRE'!Y66</f>
        <v>159704.16</v>
      </c>
      <c r="F21" s="262">
        <f>+'HORAS HOMBRE'!Y67</f>
        <v>210196.79</v>
      </c>
      <c r="G21" s="262">
        <f>+'HORAS HOMBRE'!Y68</f>
        <v>210366.41</v>
      </c>
      <c r="H21" s="262">
        <f>+'HORAS HOMBRE'!Y69</f>
        <v>224405.52000000002</v>
      </c>
      <c r="I21" s="262">
        <f>+'HORAS HOMBRE'!Y70</f>
        <v>224451.9</v>
      </c>
      <c r="J21" s="262">
        <f>+'HORAS HOMBRE'!Y71</f>
        <v>232148.53333333333</v>
      </c>
      <c r="K21" s="262">
        <f>+'HORAS HOMBRE'!Y72</f>
        <v>224830.6</v>
      </c>
      <c r="L21" s="262">
        <f>+'HORAS HOMBRE'!Y73</f>
        <v>267452.94</v>
      </c>
      <c r="M21" s="262">
        <f>+'HORAS HOMBRE'!Y74</f>
        <v>253547.7</v>
      </c>
      <c r="O21" s="262">
        <f>+B21</f>
        <v>126690.75032258066</v>
      </c>
      <c r="P21" s="262">
        <f t="shared" si="6"/>
        <v>237380.80032258068</v>
      </c>
      <c r="Q21" s="262">
        <f t="shared" si="6"/>
        <v>394819.98032258067</v>
      </c>
      <c r="R21" s="262">
        <f t="shared" si="6"/>
        <v>554524.1403225807</v>
      </c>
      <c r="S21" s="262">
        <f t="shared" si="6"/>
        <v>764720.93032258074</v>
      </c>
      <c r="T21" s="262">
        <f t="shared" si="6"/>
        <v>975087.34032258077</v>
      </c>
      <c r="U21" s="262">
        <f t="shared" si="6"/>
        <v>1199492.8603225807</v>
      </c>
      <c r="V21" s="262">
        <f t="shared" si="6"/>
        <v>1423944.7603225806</v>
      </c>
      <c r="W21" s="262">
        <f t="shared" si="6"/>
        <v>1656093.2936559138</v>
      </c>
      <c r="X21" s="262">
        <f t="shared" si="6"/>
        <v>1880923.8936559139</v>
      </c>
      <c r="Y21" s="262">
        <f t="shared" si="6"/>
        <v>2148376.8336559138</v>
      </c>
      <c r="Z21" s="262">
        <f t="shared" si="6"/>
        <v>2401924.533655914</v>
      </c>
      <c r="AP21" s="1727"/>
      <c r="AQ21" s="1729"/>
      <c r="AR21" s="1727"/>
      <c r="AS21" s="1727"/>
      <c r="AT21" s="1725"/>
      <c r="AU21" s="1725"/>
      <c r="AV21" s="1725"/>
      <c r="AW21" s="859"/>
      <c r="AX21" s="859"/>
      <c r="AY21" s="859"/>
      <c r="AZ21" s="859"/>
      <c r="BA21" s="3226"/>
      <c r="BB21" s="3226"/>
      <c r="BC21" s="3226"/>
      <c r="BD21" s="3226"/>
      <c r="BE21" s="3226"/>
      <c r="BF21" s="1725"/>
      <c r="BG21" s="1725"/>
      <c r="BH21" s="1725"/>
      <c r="BI21" s="1725"/>
      <c r="BJ21" s="1725"/>
      <c r="BK21" s="1725"/>
      <c r="BL21" s="1725"/>
      <c r="BM21" s="1725"/>
      <c r="BN21" s="859"/>
      <c r="BO21" s="859"/>
    </row>
    <row r="22" spans="1:67">
      <c r="A22" s="242" t="s">
        <v>5728</v>
      </c>
      <c r="B22" s="1532"/>
      <c r="C22" s="1532"/>
      <c r="D22" s="1532"/>
      <c r="E22" s="1532"/>
      <c r="F22" s="1532"/>
      <c r="G22" s="1532"/>
      <c r="H22" s="1532"/>
      <c r="I22" s="1532"/>
      <c r="J22" s="1532"/>
      <c r="K22" s="1532"/>
      <c r="L22" s="1532"/>
      <c r="M22" s="1532"/>
      <c r="O22" s="571">
        <f t="shared" ref="O22:Z22" si="7">+O19*1000000/O21</f>
        <v>7.8932360685669218</v>
      </c>
      <c r="P22" s="571">
        <f t="shared" si="7"/>
        <v>4.2126406122192002</v>
      </c>
      <c r="Q22" s="571">
        <f t="shared" si="7"/>
        <v>2.5327998830833427</v>
      </c>
      <c r="R22" s="571">
        <f t="shared" si="7"/>
        <v>1.8033480010775991</v>
      </c>
      <c r="S22" s="571">
        <f t="shared" si="7"/>
        <v>1.307666575280177</v>
      </c>
      <c r="T22" s="571">
        <f t="shared" si="7"/>
        <v>2.0510983142682941</v>
      </c>
      <c r="U22" s="571">
        <f t="shared" si="7"/>
        <v>1.6673713251299704</v>
      </c>
      <c r="V22" s="571">
        <f t="shared" si="7"/>
        <v>2.1068233007299946</v>
      </c>
      <c r="W22" s="571">
        <f t="shared" si="7"/>
        <v>1.8114921493204896</v>
      </c>
      <c r="X22" s="571">
        <f t="shared" si="7"/>
        <v>2.1266144863656766</v>
      </c>
      <c r="Y22" s="571">
        <f t="shared" si="7"/>
        <v>1.8618707562551589</v>
      </c>
      <c r="Z22" s="571">
        <f t="shared" si="7"/>
        <v>1.6653312558124764</v>
      </c>
      <c r="AP22" s="1727"/>
      <c r="AQ22" s="1733"/>
      <c r="AR22" s="1733"/>
      <c r="AS22" s="1727"/>
      <c r="AT22" s="1725"/>
      <c r="AU22" s="1725"/>
      <c r="AV22" s="1725"/>
      <c r="AW22" s="859"/>
      <c r="AX22" s="859"/>
      <c r="AY22" s="859"/>
      <c r="AZ22" s="859"/>
      <c r="BA22" s="1725"/>
      <c r="BB22" s="1725"/>
      <c r="BC22" s="1725"/>
      <c r="BD22" s="1725"/>
      <c r="BE22" s="1725"/>
      <c r="BF22" s="1725"/>
      <c r="BG22" s="1725"/>
      <c r="BH22" s="1725"/>
      <c r="BI22" s="1725"/>
      <c r="BJ22" s="1725"/>
      <c r="BK22" s="1725"/>
      <c r="BL22" s="1725"/>
      <c r="BM22" s="1725"/>
      <c r="BN22" s="859"/>
      <c r="BO22" s="859"/>
    </row>
    <row r="23" spans="1:67">
      <c r="A23" s="242" t="s">
        <v>5729</v>
      </c>
      <c r="B23" s="1532"/>
      <c r="C23" s="1532"/>
      <c r="D23" s="1532"/>
      <c r="E23" s="1532"/>
      <c r="F23" s="1532"/>
      <c r="G23" s="1532"/>
      <c r="H23" s="1532"/>
      <c r="I23" s="1532"/>
      <c r="J23" s="1532"/>
      <c r="K23" s="1532"/>
      <c r="L23" s="1532"/>
      <c r="M23" s="1532"/>
      <c r="O23" s="63">
        <f>+O20*1000000/O21</f>
        <v>157.86472137133842</v>
      </c>
      <c r="P23" s="63">
        <f t="shared" ref="P23:Z23" si="8">+P20*1000000/P21</f>
        <v>84.252812244384003</v>
      </c>
      <c r="Q23" s="63">
        <f t="shared" si="8"/>
        <v>50.655997661666852</v>
      </c>
      <c r="R23" s="63">
        <f t="shared" si="8"/>
        <v>36.066960021551985</v>
      </c>
      <c r="S23" s="63">
        <f t="shared" si="8"/>
        <v>26.153331505603539</v>
      </c>
      <c r="T23" s="63">
        <f t="shared" si="8"/>
        <v>22.562081456951237</v>
      </c>
      <c r="U23" s="63">
        <f t="shared" si="8"/>
        <v>18.341084576429676</v>
      </c>
      <c r="V23" s="63">
        <f t="shared" si="8"/>
        <v>26.686428475913264</v>
      </c>
      <c r="W23" s="63">
        <f t="shared" si="8"/>
        <v>22.945567224726201</v>
      </c>
      <c r="X23" s="63">
        <f t="shared" si="8"/>
        <v>36.152446268216501</v>
      </c>
      <c r="Y23" s="63">
        <f t="shared" si="8"/>
        <v>31.651802856337703</v>
      </c>
      <c r="Z23" s="63">
        <f t="shared" si="8"/>
        <v>28.310631348812098</v>
      </c>
      <c r="AP23" s="2255"/>
      <c r="AQ23" s="1730"/>
      <c r="AR23" s="1728"/>
      <c r="AS23" s="1728"/>
      <c r="AT23" s="1728"/>
      <c r="AU23" s="1728"/>
      <c r="AV23" s="859"/>
      <c r="AW23" s="859"/>
      <c r="AX23" s="859"/>
      <c r="AY23" s="859"/>
      <c r="AZ23" s="859"/>
      <c r="BA23" s="859"/>
      <c r="BB23" s="859"/>
      <c r="BC23" s="859"/>
      <c r="BD23" s="859"/>
      <c r="BE23" s="859"/>
      <c r="BF23" s="859"/>
      <c r="BG23" s="859"/>
      <c r="BH23" s="859"/>
      <c r="BI23" s="859"/>
      <c r="BJ23" s="859"/>
      <c r="BK23" s="859"/>
      <c r="BL23" s="859"/>
      <c r="BM23" s="859"/>
      <c r="BN23" s="859"/>
      <c r="BO23" s="859"/>
    </row>
    <row r="24" spans="1:67">
      <c r="A24" s="242" t="s">
        <v>5179</v>
      </c>
      <c r="B24" s="1532"/>
      <c r="C24" s="1532"/>
      <c r="D24" s="1532"/>
      <c r="E24" s="1532"/>
      <c r="F24" s="1532"/>
      <c r="G24" s="1532"/>
      <c r="H24" s="1532"/>
      <c r="I24" s="1532"/>
      <c r="J24" s="1532"/>
      <c r="K24" s="1532"/>
      <c r="L24" s="1532"/>
      <c r="M24" s="1532"/>
      <c r="O24" s="571">
        <v>9.7102462518449464</v>
      </c>
      <c r="P24" s="571">
        <v>4.9061454377753577</v>
      </c>
      <c r="Q24" s="571">
        <v>6.5437199837519433</v>
      </c>
      <c r="R24" s="571">
        <v>4.9304430353128685</v>
      </c>
      <c r="S24" s="571">
        <v>3.9424747982719421</v>
      </c>
      <c r="T24" s="571">
        <v>3.2587553591250242</v>
      </c>
      <c r="U24" s="571">
        <v>5.515568070073086</v>
      </c>
      <c r="V24" s="571">
        <v>4.7616400373931596</v>
      </c>
      <c r="W24" s="571">
        <v>4.1981859911214459</v>
      </c>
      <c r="X24" s="571">
        <v>4.6874166225768263</v>
      </c>
      <c r="Y24" s="571">
        <v>4.2248973709055146</v>
      </c>
      <c r="Z24" s="571">
        <v>3.8692527493246258</v>
      </c>
      <c r="AP24" s="2255"/>
      <c r="AQ24" s="1730"/>
      <c r="AR24" s="1728"/>
      <c r="AS24" s="1728"/>
      <c r="AT24" s="1728"/>
      <c r="AU24" s="1728"/>
      <c r="AV24" s="859"/>
      <c r="AW24" s="859"/>
      <c r="AX24" s="859"/>
      <c r="AY24" s="859"/>
      <c r="AZ24" s="859"/>
      <c r="BA24" s="859"/>
      <c r="BB24" s="859"/>
      <c r="BC24" s="859"/>
      <c r="BD24" s="859"/>
      <c r="BE24" s="859"/>
      <c r="BF24" s="859"/>
      <c r="BG24" s="859"/>
      <c r="BH24" s="859"/>
      <c r="BI24" s="859"/>
      <c r="BJ24" s="859"/>
      <c r="BK24" s="859"/>
      <c r="BL24" s="859"/>
      <c r="BM24" s="859"/>
      <c r="BN24" s="859"/>
      <c r="BO24" s="859"/>
    </row>
    <row r="25" spans="1:67">
      <c r="A25" s="242" t="s">
        <v>5180</v>
      </c>
      <c r="B25" s="1532"/>
      <c r="C25" s="1532"/>
      <c r="D25" s="1532"/>
      <c r="E25" s="1532"/>
      <c r="F25" s="1532"/>
      <c r="G25" s="1532"/>
      <c r="H25" s="1532"/>
      <c r="I25" s="1532"/>
      <c r="J25" s="1532"/>
      <c r="K25" s="1532"/>
      <c r="L25" s="1532"/>
      <c r="M25" s="1532"/>
      <c r="O25" s="63">
        <v>48.551231259224735</v>
      </c>
      <c r="P25" s="63">
        <v>24.530727188876789</v>
      </c>
      <c r="Q25" s="63">
        <v>26.174879935007773</v>
      </c>
      <c r="R25" s="63">
        <v>19.721772141251474</v>
      </c>
      <c r="S25" s="63">
        <v>15.769899193087769</v>
      </c>
      <c r="T25" s="63">
        <v>13.035021436500097</v>
      </c>
      <c r="U25" s="63">
        <v>24.820056315328888</v>
      </c>
      <c r="V25" s="63">
        <v>21.427380168269217</v>
      </c>
      <c r="W25" s="63">
        <v>18.891836960046504</v>
      </c>
      <c r="X25" s="63">
        <v>19.687149814822671</v>
      </c>
      <c r="Y25" s="63">
        <v>17.74456895780316</v>
      </c>
      <c r="Z25" s="63">
        <v>16.250861547163428</v>
      </c>
      <c r="AP25" s="2255"/>
      <c r="AQ25" s="1730"/>
      <c r="AR25" s="1728"/>
      <c r="AS25" s="1728"/>
      <c r="AT25" s="1728"/>
      <c r="AU25" s="1728"/>
      <c r="AV25" s="859"/>
      <c r="AW25" s="859"/>
      <c r="AX25" s="859"/>
      <c r="AY25" s="859"/>
      <c r="AZ25" s="859"/>
      <c r="BA25" s="859"/>
      <c r="BB25" s="859"/>
      <c r="BC25" s="859"/>
      <c r="BD25" s="859"/>
      <c r="BE25" s="859"/>
      <c r="BF25" s="859"/>
      <c r="BG25" s="859"/>
      <c r="BH25" s="859"/>
      <c r="BI25" s="859"/>
      <c r="BJ25" s="859"/>
      <c r="BK25" s="859"/>
      <c r="BL25" s="859"/>
      <c r="BM25" s="859"/>
      <c r="BN25" s="859"/>
      <c r="BO25" s="859"/>
    </row>
    <row r="26" spans="1:67">
      <c r="A26" s="242" t="s">
        <v>4728</v>
      </c>
      <c r="B26" s="1532"/>
      <c r="C26" s="1532"/>
      <c r="D26" s="1532"/>
      <c r="E26" s="1532"/>
      <c r="F26" s="1532"/>
      <c r="G26" s="1532"/>
      <c r="H26" s="1532"/>
      <c r="I26" s="1532"/>
      <c r="J26" s="1532"/>
      <c r="K26" s="1532"/>
      <c r="L26" s="1532"/>
      <c r="M26" s="1532"/>
      <c r="O26" s="571">
        <v>0</v>
      </c>
      <c r="P26" s="571">
        <v>10.676040514933192</v>
      </c>
      <c r="Q26" s="571">
        <v>6.4924008882253652</v>
      </c>
      <c r="R26" s="571">
        <v>6.983818144169053</v>
      </c>
      <c r="S26" s="571">
        <v>5.4842325025013583</v>
      </c>
      <c r="T26" s="571">
        <v>4.477316303771226</v>
      </c>
      <c r="U26" s="571">
        <v>3.7929179091949661</v>
      </c>
      <c r="V26" s="571">
        <v>3.210494292517017</v>
      </c>
      <c r="W26" s="571">
        <v>2.8084377264741733</v>
      </c>
      <c r="X26" s="571">
        <v>2.5123877254751785</v>
      </c>
      <c r="Y26" s="571">
        <v>2.2719637207986207</v>
      </c>
      <c r="Z26" s="571">
        <v>2.0889737074109616</v>
      </c>
      <c r="AP26" s="2255"/>
      <c r="AQ26" s="1730"/>
      <c r="AR26" s="1728"/>
      <c r="AS26" s="1728"/>
      <c r="AT26" s="1728"/>
      <c r="AU26" s="1728"/>
      <c r="AV26" s="859"/>
      <c r="AW26" s="859"/>
      <c r="AX26" s="859"/>
      <c r="AY26" s="859"/>
      <c r="AZ26" s="859"/>
      <c r="BA26" s="859"/>
      <c r="BB26" s="859"/>
      <c r="BC26" s="859"/>
      <c r="BD26" s="859"/>
      <c r="BE26" s="859"/>
      <c r="BF26" s="859"/>
      <c r="BG26" s="859"/>
      <c r="BH26" s="859"/>
      <c r="BI26" s="859"/>
      <c r="BJ26" s="859"/>
      <c r="BK26" s="859"/>
      <c r="BL26" s="859"/>
      <c r="BM26" s="859"/>
      <c r="BN26" s="859"/>
      <c r="BO26" s="859"/>
    </row>
    <row r="27" spans="1:67">
      <c r="A27" s="242" t="s">
        <v>4729</v>
      </c>
      <c r="B27" s="1532"/>
      <c r="C27" s="1532"/>
      <c r="D27" s="1532"/>
      <c r="E27" s="1532"/>
      <c r="F27" s="1532"/>
      <c r="G27" s="1532"/>
      <c r="H27" s="1532"/>
      <c r="I27" s="1532"/>
      <c r="J27" s="1532"/>
      <c r="K27" s="1532"/>
      <c r="L27" s="1532"/>
      <c r="M27" s="1532"/>
      <c r="O27" s="63">
        <v>0</v>
      </c>
      <c r="P27" s="63">
        <v>128.1124861791983</v>
      </c>
      <c r="Q27" s="63">
        <v>77.908810658704382</v>
      </c>
      <c r="R27" s="63">
        <v>107.08521154392548</v>
      </c>
      <c r="S27" s="63">
        <v>84.091565038354162</v>
      </c>
      <c r="T27" s="63">
        <v>68.652183324492128</v>
      </c>
      <c r="U27" s="63">
        <v>58.158074607656147</v>
      </c>
      <c r="V27" s="63">
        <v>49.2275791519276</v>
      </c>
      <c r="W27" s="63">
        <v>43.062711805937326</v>
      </c>
      <c r="X27" s="63">
        <v>38.523278457286075</v>
      </c>
      <c r="Y27" s="63">
        <v>34.836777052245523</v>
      </c>
      <c r="Z27" s="63">
        <v>32.030930180301411</v>
      </c>
      <c r="AP27" s="2255"/>
      <c r="AQ27" s="1730"/>
      <c r="AR27" s="1728"/>
      <c r="AS27" s="1728"/>
      <c r="AT27" s="1728"/>
      <c r="AU27" s="1728"/>
      <c r="AV27" s="859"/>
      <c r="AW27" s="859"/>
      <c r="AX27" s="859"/>
      <c r="AY27" s="859"/>
      <c r="AZ27" s="859"/>
      <c r="BA27" s="859"/>
      <c r="BB27" s="859"/>
      <c r="BC27" s="859"/>
      <c r="BD27" s="859"/>
      <c r="BE27" s="859"/>
      <c r="BF27" s="859"/>
      <c r="BG27" s="859"/>
      <c r="BH27" s="859"/>
      <c r="BI27" s="859"/>
      <c r="BJ27" s="859"/>
      <c r="BK27" s="859"/>
      <c r="BL27" s="859"/>
      <c r="BM27" s="859"/>
      <c r="BN27" s="859"/>
      <c r="BO27" s="859"/>
    </row>
    <row r="28" spans="1:67">
      <c r="A28" s="242" t="s">
        <v>4726</v>
      </c>
      <c r="B28" s="1532"/>
      <c r="C28" s="1532"/>
      <c r="D28" s="1532"/>
      <c r="E28" s="1532"/>
      <c r="F28" s="1532"/>
      <c r="G28" s="1532"/>
      <c r="H28" s="1532"/>
      <c r="I28" s="1532"/>
      <c r="J28" s="1532"/>
      <c r="K28" s="1532"/>
      <c r="L28" s="1532"/>
      <c r="M28" s="1532"/>
      <c r="O28" s="571">
        <v>0</v>
      </c>
      <c r="P28" s="571">
        <v>0</v>
      </c>
      <c r="Q28" s="571">
        <v>0</v>
      </c>
      <c r="R28" s="571">
        <v>0</v>
      </c>
      <c r="S28" s="571">
        <v>0</v>
      </c>
      <c r="T28" s="571">
        <v>0</v>
      </c>
      <c r="U28" s="571">
        <v>0</v>
      </c>
      <c r="V28" s="571">
        <v>0</v>
      </c>
      <c r="W28" s="571">
        <v>0</v>
      </c>
      <c r="X28" s="571">
        <v>0</v>
      </c>
      <c r="Y28" s="571">
        <v>0</v>
      </c>
      <c r="Z28" s="571">
        <v>0</v>
      </c>
      <c r="AA28" s="8"/>
      <c r="AP28" s="2255"/>
      <c r="AQ28" s="1730"/>
      <c r="AR28" s="1728"/>
      <c r="AS28" s="1728"/>
      <c r="AT28" s="1728"/>
      <c r="AU28" s="1728"/>
      <c r="AV28" s="859"/>
      <c r="AW28" s="859"/>
      <c r="AX28" s="859"/>
      <c r="AY28" s="859"/>
      <c r="AZ28" s="859"/>
      <c r="BA28" s="859"/>
      <c r="BB28" s="859"/>
      <c r="BC28" s="859"/>
      <c r="BD28" s="859"/>
      <c r="BE28" s="859"/>
      <c r="BF28" s="859"/>
      <c r="BG28" s="859"/>
      <c r="BH28" s="859"/>
      <c r="BI28" s="859"/>
      <c r="BJ28" s="859"/>
      <c r="BK28" s="859"/>
      <c r="BL28" s="859"/>
      <c r="BM28" s="859"/>
      <c r="BN28" s="859"/>
      <c r="BO28" s="859"/>
    </row>
    <row r="29" spans="1:67">
      <c r="A29" s="242" t="s">
        <v>4727</v>
      </c>
      <c r="B29" s="1532"/>
      <c r="C29" s="1532"/>
      <c r="D29" s="1532"/>
      <c r="E29" s="1532"/>
      <c r="F29" s="1532"/>
      <c r="G29" s="1532"/>
      <c r="H29" s="1532"/>
      <c r="I29" s="1532"/>
      <c r="J29" s="1532"/>
      <c r="K29" s="1532"/>
      <c r="L29" s="1532"/>
      <c r="M29" s="1532"/>
      <c r="O29" s="8">
        <v>0</v>
      </c>
      <c r="P29" s="8">
        <v>0</v>
      </c>
      <c r="Q29" s="8">
        <v>0</v>
      </c>
      <c r="R29" s="8">
        <v>0</v>
      </c>
      <c r="S29" s="8">
        <v>0</v>
      </c>
      <c r="T29" s="8">
        <v>0</v>
      </c>
      <c r="U29" s="8">
        <v>0</v>
      </c>
      <c r="V29" s="8">
        <v>0</v>
      </c>
      <c r="W29" s="8">
        <v>0</v>
      </c>
      <c r="X29" s="8">
        <v>0</v>
      </c>
      <c r="Y29" s="8">
        <v>0</v>
      </c>
      <c r="Z29" s="8">
        <v>0</v>
      </c>
      <c r="AA29" s="8"/>
      <c r="AP29" s="2255"/>
      <c r="AQ29" s="1730"/>
      <c r="AR29" s="1728"/>
      <c r="AS29" s="1728"/>
      <c r="AT29" s="1728"/>
      <c r="AU29" s="1728"/>
      <c r="AV29" s="859"/>
      <c r="AW29" s="859"/>
      <c r="AX29" s="859"/>
      <c r="AY29" s="859"/>
      <c r="AZ29" s="859"/>
      <c r="BA29" s="859"/>
      <c r="BB29" s="859"/>
      <c r="BC29" s="859"/>
      <c r="BD29" s="859"/>
      <c r="BE29" s="859"/>
      <c r="BF29" s="859"/>
      <c r="BG29" s="859"/>
      <c r="BH29" s="859"/>
      <c r="BI29" s="859"/>
      <c r="BJ29" s="859"/>
      <c r="BK29" s="859"/>
      <c r="BL29" s="859"/>
      <c r="BM29" s="859"/>
      <c r="BN29" s="859"/>
      <c r="BO29" s="859"/>
    </row>
    <row r="30" spans="1:67">
      <c r="A30" s="242" t="s">
        <v>4730</v>
      </c>
      <c r="B30" s="1532"/>
      <c r="C30" s="1532"/>
      <c r="D30" s="1532"/>
      <c r="E30" s="1532"/>
      <c r="F30" s="1532"/>
      <c r="G30" s="1532"/>
      <c r="H30" s="1532"/>
      <c r="I30" s="1532"/>
      <c r="J30" s="1532"/>
      <c r="K30" s="1532"/>
      <c r="L30" s="1532"/>
      <c r="M30" s="1532"/>
      <c r="O30" s="8">
        <v>1.5</v>
      </c>
      <c r="P30" s="8">
        <v>1.5</v>
      </c>
      <c r="Q30" s="8">
        <v>1.5</v>
      </c>
      <c r="R30" s="8">
        <v>1.5</v>
      </c>
      <c r="S30" s="8">
        <v>1.5</v>
      </c>
      <c r="T30" s="8">
        <v>1.5</v>
      </c>
      <c r="U30" s="8">
        <v>1.5</v>
      </c>
      <c r="V30" s="8">
        <v>1.5</v>
      </c>
      <c r="W30" s="8">
        <v>1.5</v>
      </c>
      <c r="X30" s="8">
        <v>1.5</v>
      </c>
      <c r="Y30" s="8">
        <v>1.5</v>
      </c>
      <c r="Z30" s="8">
        <v>1.5</v>
      </c>
      <c r="AP30" s="2255"/>
      <c r="AQ30" s="1730"/>
      <c r="AR30" s="1728"/>
      <c r="AS30" s="1728"/>
      <c r="AT30" s="1728"/>
      <c r="AU30" s="1728"/>
      <c r="AV30" s="859"/>
      <c r="AW30" s="859"/>
      <c r="AX30" s="859"/>
      <c r="AY30" s="859"/>
      <c r="AZ30" s="859"/>
      <c r="BA30" s="859"/>
      <c r="BB30" s="859"/>
      <c r="BC30" s="859"/>
      <c r="BD30" s="859"/>
      <c r="BE30" s="859"/>
      <c r="BF30" s="859"/>
      <c r="BG30" s="859"/>
      <c r="BH30" s="859"/>
      <c r="BI30" s="859"/>
      <c r="BJ30" s="859"/>
      <c r="BK30" s="859"/>
      <c r="BL30" s="859"/>
      <c r="BM30" s="859"/>
      <c r="BN30" s="859"/>
      <c r="BO30" s="859"/>
    </row>
    <row r="31" spans="1:67" ht="13.8" thickBot="1">
      <c r="A31" s="1722" t="s">
        <v>4731</v>
      </c>
      <c r="B31" s="1534"/>
      <c r="C31" s="1534"/>
      <c r="D31" s="1534"/>
      <c r="E31" s="1534"/>
      <c r="F31" s="1534"/>
      <c r="G31" s="1534"/>
      <c r="H31" s="1534"/>
      <c r="I31" s="1534"/>
      <c r="J31" s="1534"/>
      <c r="K31" s="1534"/>
      <c r="L31" s="1534"/>
      <c r="M31" s="1534"/>
      <c r="N31" s="270"/>
      <c r="O31" s="1973">
        <v>23</v>
      </c>
      <c r="P31" s="1973">
        <v>23</v>
      </c>
      <c r="Q31" s="1973">
        <v>23</v>
      </c>
      <c r="R31" s="1973">
        <v>23</v>
      </c>
      <c r="S31" s="1973">
        <v>23</v>
      </c>
      <c r="T31" s="1973">
        <v>23</v>
      </c>
      <c r="U31" s="1973">
        <v>23</v>
      </c>
      <c r="V31" s="1973">
        <v>23</v>
      </c>
      <c r="W31" s="1973">
        <v>23</v>
      </c>
      <c r="X31" s="1973">
        <v>23</v>
      </c>
      <c r="Y31" s="1973">
        <v>23</v>
      </c>
      <c r="Z31" s="1973">
        <v>23</v>
      </c>
      <c r="AP31" s="2255"/>
      <c r="AQ31" s="1730"/>
      <c r="AR31" s="1728"/>
      <c r="AS31" s="1728"/>
      <c r="AT31" s="1728"/>
      <c r="AU31" s="1728"/>
      <c r="AV31" s="859"/>
      <c r="AW31" s="859"/>
      <c r="AX31" s="859"/>
      <c r="AY31" s="859"/>
      <c r="AZ31" s="859"/>
      <c r="BA31" s="859"/>
      <c r="BB31" s="859"/>
      <c r="BC31" s="859"/>
      <c r="BD31" s="859"/>
      <c r="BE31" s="859"/>
      <c r="BF31" s="859"/>
      <c r="BG31" s="859"/>
      <c r="BH31" s="859"/>
      <c r="BI31" s="859"/>
      <c r="BJ31" s="859"/>
      <c r="BK31" s="859"/>
      <c r="BL31" s="859"/>
      <c r="BM31" s="859"/>
      <c r="BN31" s="859"/>
      <c r="BO31" s="859"/>
    </row>
    <row r="32" spans="1:67">
      <c r="A32" s="150" t="s">
        <v>952</v>
      </c>
      <c r="AP32" s="2255"/>
      <c r="AQ32" s="1730"/>
      <c r="AR32" s="1728"/>
      <c r="AS32" s="1728"/>
      <c r="AT32" s="1728"/>
      <c r="AU32" s="1728"/>
      <c r="AV32" s="859"/>
      <c r="AW32" s="859"/>
      <c r="AX32" s="859"/>
      <c r="AY32" s="859"/>
      <c r="AZ32" s="859"/>
      <c r="BA32" s="859"/>
      <c r="BB32" s="859"/>
      <c r="BC32" s="859"/>
      <c r="BD32" s="859"/>
      <c r="BE32" s="859"/>
      <c r="BF32" s="859"/>
      <c r="BG32" s="859"/>
      <c r="BH32" s="859"/>
      <c r="BI32" s="859"/>
      <c r="BJ32" s="859"/>
      <c r="BK32" s="859"/>
      <c r="BL32" s="859"/>
      <c r="BM32" s="859"/>
      <c r="BN32" s="859"/>
      <c r="BO32" s="859"/>
    </row>
    <row r="33" spans="1:67">
      <c r="A33" s="242" t="s">
        <v>297</v>
      </c>
      <c r="B33" s="8">
        <f>+'ACCIDENTES INCAPACITANTES'!$Z63</f>
        <v>0</v>
      </c>
      <c r="C33" s="8">
        <f>+'ACCIDENTES INCAPACITANTES'!$Z64</f>
        <v>0</v>
      </c>
      <c r="D33" s="8">
        <f>+'ACCIDENTES INCAPACITANTES'!$Z65</f>
        <v>0</v>
      </c>
      <c r="E33" s="8">
        <f>+'ACCIDENTES INCAPACITANTES'!$Z66</f>
        <v>0</v>
      </c>
      <c r="F33" s="8">
        <f>+'ACCIDENTES INCAPACITANTES'!$Z67</f>
        <v>0</v>
      </c>
      <c r="G33" s="8">
        <f>+'ACCIDENTES INCAPACITANTES'!$Z68</f>
        <v>0</v>
      </c>
      <c r="H33" s="8">
        <f>+'ACCIDENTES INCAPACITANTES'!$Z69</f>
        <v>0</v>
      </c>
      <c r="I33" s="8">
        <f>+'ACCIDENTES INCAPACITANTES'!$Z70</f>
        <v>0</v>
      </c>
      <c r="J33" s="8">
        <f>+'ACCIDENTES INCAPACITANTES'!$Z71</f>
        <v>0</v>
      </c>
      <c r="K33" s="8">
        <f>+'ACCIDENTES INCAPACITANTES'!$Z72</f>
        <v>0</v>
      </c>
      <c r="L33" s="8">
        <f>+'ACCIDENTES INCAPACITANTES'!$Z73</f>
        <v>0</v>
      </c>
      <c r="M33" s="8">
        <f>+'ACCIDENTES INCAPACITANTES'!$Z74</f>
        <v>0</v>
      </c>
      <c r="O33" s="262">
        <f>+B33</f>
        <v>0</v>
      </c>
      <c r="P33" s="262">
        <f t="shared" ref="P33:Z33" si="9">+C33+O33</f>
        <v>0</v>
      </c>
      <c r="Q33" s="262">
        <f t="shared" si="9"/>
        <v>0</v>
      </c>
      <c r="R33" s="262">
        <f t="shared" si="9"/>
        <v>0</v>
      </c>
      <c r="S33" s="262">
        <f t="shared" si="9"/>
        <v>0</v>
      </c>
      <c r="T33" s="262">
        <f t="shared" si="9"/>
        <v>0</v>
      </c>
      <c r="U33" s="262">
        <f t="shared" si="9"/>
        <v>0</v>
      </c>
      <c r="V33" s="262">
        <f t="shared" si="9"/>
        <v>0</v>
      </c>
      <c r="W33" s="262">
        <f t="shared" si="9"/>
        <v>0</v>
      </c>
      <c r="X33" s="262">
        <f t="shared" si="9"/>
        <v>0</v>
      </c>
      <c r="Y33" s="262">
        <f t="shared" si="9"/>
        <v>0</v>
      </c>
      <c r="Z33" s="262">
        <f t="shared" si="9"/>
        <v>0</v>
      </c>
      <c r="AP33" s="2255"/>
      <c r="AQ33" s="1730"/>
      <c r="AR33" s="1728"/>
      <c r="AS33" s="1728"/>
      <c r="AT33" s="1728"/>
      <c r="AU33" s="1728"/>
      <c r="AV33" s="859"/>
      <c r="AW33" s="859"/>
      <c r="AX33" s="859"/>
      <c r="AY33" s="859"/>
      <c r="AZ33" s="859"/>
      <c r="BA33" s="859"/>
      <c r="BB33" s="859"/>
      <c r="BC33" s="859"/>
      <c r="BD33" s="859"/>
      <c r="BE33" s="859"/>
      <c r="BF33" s="859"/>
      <c r="BG33" s="859"/>
      <c r="BH33" s="859"/>
      <c r="BI33" s="859"/>
      <c r="BJ33" s="859"/>
      <c r="BK33" s="859"/>
      <c r="BL33" s="859"/>
      <c r="BM33" s="859"/>
      <c r="BN33" s="859"/>
      <c r="BO33" s="859"/>
    </row>
    <row r="34" spans="1:67">
      <c r="A34" s="242" t="s">
        <v>635</v>
      </c>
      <c r="B34" s="8">
        <f>+'DIAS PERDIDOS'!Z63</f>
        <v>0</v>
      </c>
      <c r="C34" s="8">
        <f>+'DIAS PERDIDOS'!Z64</f>
        <v>0</v>
      </c>
      <c r="D34" s="8">
        <f>+'DIAS PERDIDOS'!Z65</f>
        <v>0</v>
      </c>
      <c r="E34" s="8">
        <f>+'DIAS PERDIDOS'!Z66</f>
        <v>0</v>
      </c>
      <c r="F34" s="8">
        <f>+'DIAS PERDIDOS'!Z67</f>
        <v>0</v>
      </c>
      <c r="G34" s="8">
        <f>+'DIAS PERDIDOS'!Z68</f>
        <v>0</v>
      </c>
      <c r="H34" s="8">
        <f>+'DIAS PERDIDOS'!Z69</f>
        <v>0</v>
      </c>
      <c r="I34" s="8">
        <f>+'DIAS PERDIDOS'!Z70</f>
        <v>0</v>
      </c>
      <c r="J34" s="8">
        <f>+'DIAS PERDIDOS'!Z71</f>
        <v>0</v>
      </c>
      <c r="K34" s="8">
        <f>+'DIAS PERDIDOS'!Z72</f>
        <v>0</v>
      </c>
      <c r="L34" s="8">
        <f>+'DIAS PERDIDOS'!Z73</f>
        <v>0</v>
      </c>
      <c r="M34" s="8">
        <f>+'DIAS PERDIDOS'!Z74</f>
        <v>0</v>
      </c>
      <c r="O34" s="262">
        <f>+B34</f>
        <v>0</v>
      </c>
      <c r="P34" s="262">
        <f t="shared" ref="P34:Z35" si="10">+C34+O34</f>
        <v>0</v>
      </c>
      <c r="Q34" s="262">
        <f t="shared" si="10"/>
        <v>0</v>
      </c>
      <c r="R34" s="262">
        <f t="shared" si="10"/>
        <v>0</v>
      </c>
      <c r="S34" s="262">
        <f t="shared" si="10"/>
        <v>0</v>
      </c>
      <c r="T34" s="262">
        <f t="shared" si="10"/>
        <v>0</v>
      </c>
      <c r="U34" s="262">
        <f t="shared" si="10"/>
        <v>0</v>
      </c>
      <c r="V34" s="262">
        <f t="shared" si="10"/>
        <v>0</v>
      </c>
      <c r="W34" s="262">
        <f t="shared" si="10"/>
        <v>0</v>
      </c>
      <c r="X34" s="262">
        <f t="shared" si="10"/>
        <v>0</v>
      </c>
      <c r="Y34" s="262">
        <f t="shared" si="10"/>
        <v>0</v>
      </c>
      <c r="Z34" s="262">
        <f t="shared" si="10"/>
        <v>0</v>
      </c>
      <c r="AP34" s="2255"/>
      <c r="AQ34" s="1730"/>
      <c r="AR34" s="1728"/>
      <c r="AS34" s="1728"/>
      <c r="AT34" s="1728"/>
      <c r="AU34" s="1728"/>
      <c r="AV34" s="859"/>
      <c r="AW34" s="859"/>
      <c r="AX34" s="859"/>
      <c r="AY34" s="859"/>
      <c r="AZ34" s="859"/>
      <c r="BA34" s="859"/>
      <c r="BB34" s="859"/>
      <c r="BC34" s="859"/>
      <c r="BD34" s="859"/>
      <c r="BE34" s="859"/>
      <c r="BF34" s="859"/>
      <c r="BG34" s="859"/>
      <c r="BH34" s="859"/>
      <c r="BI34" s="859"/>
      <c r="BJ34" s="859"/>
      <c r="BK34" s="859"/>
      <c r="BL34" s="859"/>
      <c r="BM34" s="859"/>
      <c r="BN34" s="859"/>
      <c r="BO34" s="859"/>
    </row>
    <row r="35" spans="1:67">
      <c r="A35" s="242" t="s">
        <v>302</v>
      </c>
      <c r="B35" s="262">
        <f>+'HORAS HOMBRE'!Z63</f>
        <v>0</v>
      </c>
      <c r="C35" s="262">
        <f>+'HORAS HOMBRE'!Z64</f>
        <v>0</v>
      </c>
      <c r="D35" s="262">
        <f>+'HORAS HOMBRE'!Z65</f>
        <v>0</v>
      </c>
      <c r="E35" s="262">
        <f>+'HORAS HOMBRE'!Z66</f>
        <v>0</v>
      </c>
      <c r="F35" s="262">
        <f>+'HORAS HOMBRE'!Z67</f>
        <v>0</v>
      </c>
      <c r="G35" s="262">
        <f>+'HORAS HOMBRE'!Z68</f>
        <v>0</v>
      </c>
      <c r="H35" s="262">
        <f>+'HORAS HOMBRE'!Z69</f>
        <v>0</v>
      </c>
      <c r="I35" s="262">
        <f>+'HORAS HOMBRE'!Z70</f>
        <v>0</v>
      </c>
      <c r="J35" s="262">
        <f>+'HORAS HOMBRE'!Z71</f>
        <v>0</v>
      </c>
      <c r="K35" s="262">
        <f>+'HORAS HOMBRE'!Z72</f>
        <v>0</v>
      </c>
      <c r="L35" s="262">
        <f>+'HORAS HOMBRE'!Z73</f>
        <v>0</v>
      </c>
      <c r="M35" s="262">
        <f>+'HORAS HOMBRE'!Z74</f>
        <v>0</v>
      </c>
      <c r="O35" s="262">
        <f>+B35</f>
        <v>0</v>
      </c>
      <c r="P35" s="262">
        <f t="shared" si="10"/>
        <v>0</v>
      </c>
      <c r="Q35" s="262">
        <f t="shared" si="10"/>
        <v>0</v>
      </c>
      <c r="R35" s="262">
        <f t="shared" si="10"/>
        <v>0</v>
      </c>
      <c r="S35" s="262">
        <f t="shared" si="10"/>
        <v>0</v>
      </c>
      <c r="T35" s="262">
        <f t="shared" si="10"/>
        <v>0</v>
      </c>
      <c r="U35" s="262">
        <f t="shared" si="10"/>
        <v>0</v>
      </c>
      <c r="V35" s="262">
        <f t="shared" si="10"/>
        <v>0</v>
      </c>
      <c r="W35" s="262">
        <f t="shared" si="10"/>
        <v>0</v>
      </c>
      <c r="X35" s="262">
        <f t="shared" si="10"/>
        <v>0</v>
      </c>
      <c r="Y35" s="262">
        <f t="shared" si="10"/>
        <v>0</v>
      </c>
      <c r="Z35" s="262">
        <f t="shared" si="10"/>
        <v>0</v>
      </c>
      <c r="AP35" s="2255"/>
      <c r="AQ35" s="1730"/>
      <c r="AR35" s="1728"/>
      <c r="AS35" s="1728"/>
      <c r="AT35" s="1728"/>
      <c r="AU35" s="1728"/>
      <c r="AV35" s="859"/>
      <c r="AW35" s="859"/>
      <c r="AX35" s="859"/>
      <c r="AY35" s="859"/>
      <c r="AZ35" s="859"/>
      <c r="BA35" s="859"/>
      <c r="BB35" s="859"/>
      <c r="BC35" s="859"/>
      <c r="BD35" s="859"/>
      <c r="BE35" s="859"/>
      <c r="BF35" s="859"/>
      <c r="BG35" s="859"/>
      <c r="BH35" s="859"/>
      <c r="BI35" s="859"/>
      <c r="BJ35" s="859"/>
      <c r="BK35" s="859"/>
      <c r="BL35" s="859"/>
      <c r="BM35" s="859"/>
      <c r="BN35" s="859"/>
      <c r="BO35" s="859"/>
    </row>
    <row r="36" spans="1:67">
      <c r="A36" s="242" t="s">
        <v>5179</v>
      </c>
      <c r="B36" s="262"/>
      <c r="C36" s="262"/>
      <c r="D36" s="262"/>
      <c r="E36" s="262"/>
      <c r="F36" s="262"/>
      <c r="G36" s="262"/>
      <c r="H36" s="262"/>
      <c r="I36" s="262"/>
      <c r="J36" s="262"/>
      <c r="K36" s="262"/>
      <c r="L36" s="262"/>
      <c r="M36" s="262"/>
      <c r="O36" s="571" t="e">
        <f>+O33*1000000/O35</f>
        <v>#DIV/0!</v>
      </c>
      <c r="P36" s="571" t="e">
        <f t="shared" ref="P36:Z36" si="11">+P33*1000000/P35</f>
        <v>#DIV/0!</v>
      </c>
      <c r="Q36" s="571" t="e">
        <f t="shared" si="11"/>
        <v>#DIV/0!</v>
      </c>
      <c r="R36" s="571" t="e">
        <f t="shared" si="11"/>
        <v>#DIV/0!</v>
      </c>
      <c r="S36" s="571" t="e">
        <f t="shared" si="11"/>
        <v>#DIV/0!</v>
      </c>
      <c r="T36" s="571" t="e">
        <f t="shared" si="11"/>
        <v>#DIV/0!</v>
      </c>
      <c r="U36" s="571" t="e">
        <f t="shared" si="11"/>
        <v>#DIV/0!</v>
      </c>
      <c r="V36" s="571" t="e">
        <f t="shared" si="11"/>
        <v>#DIV/0!</v>
      </c>
      <c r="W36" s="571" t="e">
        <f t="shared" si="11"/>
        <v>#DIV/0!</v>
      </c>
      <c r="X36" s="571" t="e">
        <f t="shared" si="11"/>
        <v>#DIV/0!</v>
      </c>
      <c r="Y36" s="571" t="e">
        <f t="shared" si="11"/>
        <v>#DIV/0!</v>
      </c>
      <c r="Z36" s="571" t="e">
        <f t="shared" si="11"/>
        <v>#DIV/0!</v>
      </c>
      <c r="AP36" s="2255"/>
      <c r="AQ36" s="1730"/>
      <c r="AR36" s="1728"/>
      <c r="AS36" s="1728"/>
      <c r="AT36" s="1728"/>
      <c r="AU36" s="1728"/>
      <c r="AV36" s="859"/>
      <c r="AW36" s="859"/>
      <c r="AX36" s="859"/>
      <c r="AY36" s="859"/>
      <c r="AZ36" s="859"/>
      <c r="BA36" s="859"/>
      <c r="BB36" s="859"/>
      <c r="BC36" s="859"/>
      <c r="BD36" s="859"/>
      <c r="BE36" s="859"/>
      <c r="BF36" s="859"/>
      <c r="BG36" s="859"/>
      <c r="BH36" s="859"/>
      <c r="BI36" s="859"/>
      <c r="BJ36" s="859"/>
      <c r="BK36" s="859"/>
      <c r="BL36" s="859"/>
      <c r="BM36" s="859"/>
      <c r="BN36" s="859"/>
      <c r="BO36" s="859"/>
    </row>
    <row r="37" spans="1:67">
      <c r="A37" s="242" t="s">
        <v>5180</v>
      </c>
      <c r="B37" s="262"/>
      <c r="C37" s="262"/>
      <c r="D37" s="262"/>
      <c r="E37" s="262"/>
      <c r="F37" s="262"/>
      <c r="G37" s="262"/>
      <c r="H37" s="262"/>
      <c r="I37" s="262"/>
      <c r="J37" s="262"/>
      <c r="K37" s="262"/>
      <c r="L37" s="262"/>
      <c r="M37" s="262"/>
      <c r="O37" s="63" t="e">
        <f>+O34*1000000/O35</f>
        <v>#DIV/0!</v>
      </c>
      <c r="P37" s="63" t="e">
        <f t="shared" ref="P37:Z37" si="12">+P34*1000000/P35</f>
        <v>#DIV/0!</v>
      </c>
      <c r="Q37" s="63" t="e">
        <f t="shared" si="12"/>
        <v>#DIV/0!</v>
      </c>
      <c r="R37" s="63" t="e">
        <f t="shared" si="12"/>
        <v>#DIV/0!</v>
      </c>
      <c r="S37" s="63" t="e">
        <f t="shared" si="12"/>
        <v>#DIV/0!</v>
      </c>
      <c r="T37" s="63" t="e">
        <f t="shared" si="12"/>
        <v>#DIV/0!</v>
      </c>
      <c r="U37" s="63" t="e">
        <f t="shared" si="12"/>
        <v>#DIV/0!</v>
      </c>
      <c r="V37" s="63" t="e">
        <f t="shared" si="12"/>
        <v>#DIV/0!</v>
      </c>
      <c r="W37" s="63" t="e">
        <f t="shared" si="12"/>
        <v>#DIV/0!</v>
      </c>
      <c r="X37" s="63" t="e">
        <f t="shared" si="12"/>
        <v>#DIV/0!</v>
      </c>
      <c r="Y37" s="63" t="e">
        <f t="shared" si="12"/>
        <v>#DIV/0!</v>
      </c>
      <c r="Z37" s="63" t="e">
        <f t="shared" si="12"/>
        <v>#DIV/0!</v>
      </c>
      <c r="AP37" s="2255"/>
      <c r="AQ37" s="1730"/>
      <c r="AR37" s="1728"/>
      <c r="AS37" s="1728"/>
      <c r="AT37" s="1728"/>
      <c r="AU37" s="1728"/>
      <c r="AV37" s="859"/>
      <c r="AW37" s="859"/>
      <c r="AX37" s="859"/>
      <c r="AY37" s="859"/>
      <c r="AZ37" s="859"/>
      <c r="BA37" s="859"/>
      <c r="BB37" s="859"/>
      <c r="BC37" s="859"/>
      <c r="BD37" s="859"/>
      <c r="BE37" s="859"/>
      <c r="BF37" s="859"/>
      <c r="BG37" s="859"/>
      <c r="BH37" s="859"/>
      <c r="BI37" s="859"/>
      <c r="BJ37" s="859"/>
      <c r="BK37" s="859"/>
      <c r="BL37" s="859"/>
      <c r="BM37" s="859"/>
      <c r="BN37" s="859"/>
      <c r="BO37" s="859"/>
    </row>
    <row r="38" spans="1:67">
      <c r="A38" s="242" t="s">
        <v>4728</v>
      </c>
      <c r="B38" s="1532"/>
      <c r="C38" s="1532"/>
      <c r="D38" s="1532"/>
      <c r="E38" s="1532"/>
      <c r="F38" s="1532"/>
      <c r="G38" s="1532"/>
      <c r="H38" s="1532"/>
      <c r="I38" s="1532"/>
      <c r="J38" s="1532"/>
      <c r="K38" s="1532"/>
      <c r="L38" s="1532"/>
      <c r="M38" s="1532"/>
      <c r="O38" s="571">
        <v>0</v>
      </c>
      <c r="P38" s="571">
        <v>0</v>
      </c>
      <c r="Q38" s="571">
        <v>1.8832817314138925</v>
      </c>
      <c r="R38" s="571">
        <v>1.3990220835635891</v>
      </c>
      <c r="S38" s="571">
        <v>2.2893720481409154</v>
      </c>
      <c r="T38" s="571">
        <v>1.9195368541478313</v>
      </c>
      <c r="U38" s="571">
        <v>1.6452604570698075</v>
      </c>
      <c r="V38" s="571">
        <v>1.4458984559973338</v>
      </c>
      <c r="W38" s="571">
        <v>1.2875787917746893</v>
      </c>
      <c r="X38" s="571">
        <v>1.2875787917746893</v>
      </c>
      <c r="Y38" s="571">
        <v>1.2875787917746893</v>
      </c>
      <c r="Z38" s="571">
        <v>1.2875787917746893</v>
      </c>
      <c r="AP38" s="1136"/>
      <c r="AQ38" s="1731"/>
      <c r="AR38" s="1176"/>
      <c r="AS38" s="1176"/>
      <c r="AT38" s="1176"/>
      <c r="AU38" s="1176"/>
    </row>
    <row r="39" spans="1:67">
      <c r="A39" s="242" t="s">
        <v>4729</v>
      </c>
      <c r="B39" s="1532"/>
      <c r="C39" s="1532"/>
      <c r="D39" s="1532"/>
      <c r="E39" s="1532"/>
      <c r="F39" s="1532"/>
      <c r="G39" s="1532"/>
      <c r="H39" s="1532"/>
      <c r="I39" s="1532"/>
      <c r="J39" s="1532"/>
      <c r="K39" s="1532"/>
      <c r="L39" s="1532"/>
      <c r="M39" s="1532"/>
      <c r="O39" s="63">
        <v>0</v>
      </c>
      <c r="P39" s="63">
        <v>0</v>
      </c>
      <c r="Q39" s="63">
        <v>169.49535582725034</v>
      </c>
      <c r="R39" s="63">
        <v>125.91198752072302</v>
      </c>
      <c r="S39" s="63">
        <v>148.80918312915949</v>
      </c>
      <c r="T39" s="63">
        <v>124.76989551960902</v>
      </c>
      <c r="U39" s="63">
        <v>106.94192970953749</v>
      </c>
      <c r="V39" s="63">
        <v>93.9833996398267</v>
      </c>
      <c r="W39" s="63">
        <v>83.69262146535479</v>
      </c>
      <c r="X39" s="63">
        <v>83.69262146535479</v>
      </c>
      <c r="Y39" s="63">
        <v>83.69262146535479</v>
      </c>
      <c r="Z39" s="63">
        <v>83.69262146535479</v>
      </c>
    </row>
    <row r="40" spans="1:67">
      <c r="A40" s="242" t="s">
        <v>4726</v>
      </c>
      <c r="B40" s="1532"/>
      <c r="C40" s="1532"/>
      <c r="D40" s="1532"/>
      <c r="E40" s="1532"/>
      <c r="F40" s="1532"/>
      <c r="G40" s="1532"/>
      <c r="H40" s="1532"/>
      <c r="I40" s="1532"/>
      <c r="J40" s="1532"/>
      <c r="K40" s="1532"/>
      <c r="L40" s="1532"/>
      <c r="M40" s="1532"/>
      <c r="O40" s="571">
        <v>0</v>
      </c>
      <c r="P40" s="571">
        <v>0</v>
      </c>
      <c r="Q40" s="571">
        <v>1.8802894893697835</v>
      </c>
      <c r="R40" s="571">
        <v>2.7371238849641575</v>
      </c>
      <c r="S40" s="571">
        <v>2.1816983867431281</v>
      </c>
      <c r="T40" s="571">
        <v>2.7219970021739681</v>
      </c>
      <c r="U40" s="571">
        <v>3.0856650032360911</v>
      </c>
      <c r="V40" s="571">
        <v>2.6842358852811268</v>
      </c>
      <c r="W40" s="571">
        <v>2.9895741590776326</v>
      </c>
      <c r="X40" s="571">
        <v>2.6996018087332119</v>
      </c>
      <c r="Y40" s="571">
        <v>2.9574511503006251</v>
      </c>
      <c r="Z40" s="571">
        <v>3.1606889760135313</v>
      </c>
    </row>
    <row r="41" spans="1:67">
      <c r="A41" s="242" t="s">
        <v>4727</v>
      </c>
      <c r="B41" s="1532"/>
      <c r="C41" s="1532"/>
      <c r="D41" s="1532"/>
      <c r="E41" s="1532"/>
      <c r="F41" s="1532"/>
      <c r="G41" s="1532"/>
      <c r="H41" s="1532"/>
      <c r="I41" s="1532"/>
      <c r="J41" s="1532"/>
      <c r="K41" s="1532"/>
      <c r="L41" s="1532"/>
      <c r="M41" s="1532"/>
      <c r="O41" s="63">
        <v>0</v>
      </c>
      <c r="P41" s="63">
        <v>0</v>
      </c>
      <c r="Q41" s="63">
        <v>7.5211579574791338</v>
      </c>
      <c r="R41" s="63">
        <v>9.5799335973745503</v>
      </c>
      <c r="S41" s="63">
        <v>7.6359443536009479</v>
      </c>
      <c r="T41" s="63">
        <v>8.1659910065219048</v>
      </c>
      <c r="U41" s="63">
        <v>12.342660012944364</v>
      </c>
      <c r="V41" s="63">
        <v>10.736943541124507</v>
      </c>
      <c r="W41" s="63">
        <v>63.378972172445813</v>
      </c>
      <c r="X41" s="63">
        <v>57.231558345144094</v>
      </c>
      <c r="Y41" s="63">
        <v>67.035559406814158</v>
      </c>
      <c r="Z41" s="63">
        <v>62.762252523697263</v>
      </c>
    </row>
    <row r="42" spans="1:67">
      <c r="A42" s="242" t="s">
        <v>4730</v>
      </c>
      <c r="B42" s="1532"/>
      <c r="C42" s="1532"/>
      <c r="D42" s="1532"/>
      <c r="E42" s="1532"/>
      <c r="F42" s="1532"/>
      <c r="G42" s="1532"/>
      <c r="H42" s="1532"/>
      <c r="I42" s="1532"/>
      <c r="J42" s="1532"/>
      <c r="K42" s="1532"/>
      <c r="L42" s="1532"/>
      <c r="M42" s="1532"/>
      <c r="O42" s="8"/>
      <c r="P42" s="8"/>
      <c r="Q42" s="8"/>
      <c r="R42" s="8"/>
      <c r="S42" s="8"/>
      <c r="T42" s="8"/>
      <c r="U42" s="8"/>
      <c r="V42" s="8"/>
      <c r="W42" s="8"/>
      <c r="X42" s="8"/>
      <c r="Y42" s="8"/>
      <c r="Z42" s="8"/>
    </row>
    <row r="43" spans="1:67" ht="13.8" thickBot="1">
      <c r="A43" s="1722" t="s">
        <v>4731</v>
      </c>
      <c r="B43" s="1534"/>
      <c r="C43" s="1534"/>
      <c r="D43" s="1534"/>
      <c r="E43" s="1534"/>
      <c r="F43" s="1534"/>
      <c r="G43" s="1534"/>
      <c r="H43" s="1534"/>
      <c r="I43" s="1534"/>
      <c r="J43" s="1534"/>
      <c r="K43" s="1534"/>
      <c r="L43" s="1534"/>
      <c r="M43" s="1534"/>
      <c r="N43" s="270"/>
      <c r="O43" s="267"/>
      <c r="P43" s="267"/>
      <c r="Q43" s="267"/>
      <c r="R43" s="267"/>
      <c r="S43" s="267"/>
      <c r="T43" s="267"/>
      <c r="U43" s="267"/>
      <c r="V43" s="267"/>
      <c r="W43" s="267"/>
      <c r="X43" s="267"/>
      <c r="Y43" s="267"/>
      <c r="Z43" s="267"/>
    </row>
    <row r="44" spans="1:67">
      <c r="A44" s="150" t="s">
        <v>788</v>
      </c>
    </row>
    <row r="45" spans="1:67">
      <c r="A45" s="242" t="s">
        <v>297</v>
      </c>
      <c r="B45" s="8">
        <f>+'ACCIDENTES INCAPACITANTES'!$AA63+'ACCIDENTES INCAPACITANTES'!AB63+'ACCIDENTES INCAPACITANTES'!AC63</f>
        <v>0</v>
      </c>
      <c r="C45" s="8">
        <f>+'ACCIDENTES INCAPACITANTES'!$AA64+'ACCIDENTES INCAPACITANTES'!AB64+'ACCIDENTES INCAPACITANTES'!AC64</f>
        <v>0</v>
      </c>
      <c r="D45" s="8">
        <f>+'ACCIDENTES INCAPACITANTES'!$AA65+'ACCIDENTES INCAPACITANTES'!AB65+'ACCIDENTES INCAPACITANTES'!AC65</f>
        <v>0</v>
      </c>
      <c r="E45" s="8">
        <f>+'ACCIDENTES INCAPACITANTES'!$AA66+'ACCIDENTES INCAPACITANTES'!AB66+'ACCIDENTES INCAPACITANTES'!AC66</f>
        <v>0</v>
      </c>
      <c r="F45" s="8">
        <f>+'ACCIDENTES INCAPACITANTES'!$AA67+'ACCIDENTES INCAPACITANTES'!AB67+'ACCIDENTES INCAPACITANTES'!AC67</f>
        <v>0</v>
      </c>
      <c r="G45" s="8">
        <f>+'ACCIDENTES INCAPACITANTES'!$AA68+'ACCIDENTES INCAPACITANTES'!AB68+'ACCIDENTES INCAPACITANTES'!AC68</f>
        <v>0</v>
      </c>
      <c r="H45" s="8">
        <f>+'ACCIDENTES INCAPACITANTES'!$AA69+'ACCIDENTES INCAPACITANTES'!AB69+'ACCIDENTES INCAPACITANTES'!AC69</f>
        <v>0</v>
      </c>
      <c r="I45" s="8">
        <f>+'ACCIDENTES INCAPACITANTES'!$AA71+'ACCIDENTES INCAPACITANTES'!AA71+'ACCIDENTES INCAPACITANTES'!AB71</f>
        <v>0</v>
      </c>
      <c r="J45" s="8">
        <f>+'ACCIDENTES INCAPACITANTES'!$AA71+'ACCIDENTES INCAPACITANTES'!AB71+'ACCIDENTES INCAPACITANTES'!AC71</f>
        <v>0</v>
      </c>
      <c r="K45" s="8">
        <f>+'ACCIDENTES INCAPACITANTES'!$AA72+'ACCIDENTES INCAPACITANTES'!AB72+'ACCIDENTES INCAPACITANTES'!AC72</f>
        <v>0</v>
      </c>
      <c r="L45" s="8">
        <f>+'ACCIDENTES INCAPACITANTES'!$AA73+'ACCIDENTES INCAPACITANTES'!AB73+'ACCIDENTES INCAPACITANTES'!AC73</f>
        <v>0</v>
      </c>
      <c r="M45" s="8">
        <f>+'ACCIDENTES INCAPACITANTES'!$AA74+'ACCIDENTES INCAPACITANTES'!AB74+'ACCIDENTES INCAPACITANTES'!AC74</f>
        <v>0</v>
      </c>
      <c r="O45" s="262">
        <f>+B45</f>
        <v>0</v>
      </c>
      <c r="P45" s="262">
        <f t="shared" ref="P45:Z47" si="13">+C45+O45</f>
        <v>0</v>
      </c>
      <c r="Q45" s="262">
        <f t="shared" si="13"/>
        <v>0</v>
      </c>
      <c r="R45" s="262">
        <f t="shared" si="13"/>
        <v>0</v>
      </c>
      <c r="S45" s="262">
        <f t="shared" si="13"/>
        <v>0</v>
      </c>
      <c r="T45" s="262">
        <f t="shared" si="13"/>
        <v>0</v>
      </c>
      <c r="U45" s="262">
        <f t="shared" si="13"/>
        <v>0</v>
      </c>
      <c r="V45" s="262">
        <f t="shared" si="13"/>
        <v>0</v>
      </c>
      <c r="W45" s="262">
        <f t="shared" si="13"/>
        <v>0</v>
      </c>
      <c r="X45" s="262">
        <f t="shared" si="13"/>
        <v>0</v>
      </c>
      <c r="Y45" s="262">
        <f t="shared" si="13"/>
        <v>0</v>
      </c>
      <c r="Z45" s="262">
        <f t="shared" si="13"/>
        <v>0</v>
      </c>
    </row>
    <row r="46" spans="1:67">
      <c r="A46" s="242" t="s">
        <v>635</v>
      </c>
      <c r="B46" s="8">
        <f>+'DIAS PERDIDOS'!AA63+'DIAS PERDIDOS'!AB63+'DIAS PERDIDOS'!AC63</f>
        <v>0</v>
      </c>
      <c r="C46" s="8">
        <f>+'DIAS PERDIDOS'!AA64+'DIAS PERDIDOS'!AB64+'DIAS PERDIDOS'!AC64</f>
        <v>0</v>
      </c>
      <c r="D46" s="8">
        <f>+'DIAS PERDIDOS'!AA65+'DIAS PERDIDOS'!AB65+'DIAS PERDIDOS'!AC65</f>
        <v>0</v>
      </c>
      <c r="E46" s="8">
        <f>+'DIAS PERDIDOS'!AA66+'DIAS PERDIDOS'!AB66+'DIAS PERDIDOS'!AC66</f>
        <v>0</v>
      </c>
      <c r="F46" s="8">
        <f>+'DIAS PERDIDOS'!AA67+'DIAS PERDIDOS'!AB67+'DIAS PERDIDOS'!AC67</f>
        <v>0</v>
      </c>
      <c r="G46" s="8">
        <f>+'DIAS PERDIDOS'!AA68+'DIAS PERDIDOS'!AB68+'DIAS PERDIDOS'!AC68</f>
        <v>0</v>
      </c>
      <c r="H46" s="8">
        <f>+'DIAS PERDIDOS'!AA69+'DIAS PERDIDOS'!AB69+'DIAS PERDIDOS'!AC69</f>
        <v>0</v>
      </c>
      <c r="I46" s="8">
        <f>+'DIAS PERDIDOS'!AA70+'DIAS PERDIDOS'!AB70+'DIAS PERDIDOS'!AC70</f>
        <v>0</v>
      </c>
      <c r="J46" s="8">
        <f>+'DIAS PERDIDOS'!AA71+'DIAS PERDIDOS'!AB71+'DIAS PERDIDOS'!AC71</f>
        <v>0</v>
      </c>
      <c r="K46" s="8">
        <f>+'DIAS PERDIDOS'!AA72+'DIAS PERDIDOS'!AB72+'DIAS PERDIDOS'!AC72</f>
        <v>0</v>
      </c>
      <c r="L46" s="8">
        <f>+'DIAS PERDIDOS'!AA73+'DIAS PERDIDOS'!AB73+'DIAS PERDIDOS'!AC73</f>
        <v>0</v>
      </c>
      <c r="M46" s="8">
        <f>+'DIAS PERDIDOS'!AA74+'DIAS PERDIDOS'!AB74+'DIAS PERDIDOS'!AC74</f>
        <v>0</v>
      </c>
      <c r="O46" s="262">
        <f>+B46</f>
        <v>0</v>
      </c>
      <c r="P46" s="262">
        <f t="shared" si="13"/>
        <v>0</v>
      </c>
      <c r="Q46" s="262">
        <f t="shared" si="13"/>
        <v>0</v>
      </c>
      <c r="R46" s="262">
        <f t="shared" si="13"/>
        <v>0</v>
      </c>
      <c r="S46" s="262">
        <f t="shared" si="13"/>
        <v>0</v>
      </c>
      <c r="T46" s="262">
        <f t="shared" si="13"/>
        <v>0</v>
      </c>
      <c r="U46" s="262">
        <f t="shared" si="13"/>
        <v>0</v>
      </c>
      <c r="V46" s="262">
        <f t="shared" si="13"/>
        <v>0</v>
      </c>
      <c r="W46" s="262">
        <f t="shared" si="13"/>
        <v>0</v>
      </c>
      <c r="X46" s="262">
        <f t="shared" si="13"/>
        <v>0</v>
      </c>
      <c r="Y46" s="262">
        <f t="shared" si="13"/>
        <v>0</v>
      </c>
      <c r="Z46" s="262">
        <f t="shared" si="13"/>
        <v>0</v>
      </c>
    </row>
    <row r="47" spans="1:67">
      <c r="A47" s="242" t="s">
        <v>302</v>
      </c>
      <c r="B47" s="262">
        <f>+'HORAS HOMBRE'!AA63+'HORAS HOMBRE'!AB63+'HORAS HOMBRE'!AC63</f>
        <v>0</v>
      </c>
      <c r="C47" s="262">
        <f>+'HORAS HOMBRE'!AA64+'HORAS HOMBRE'!AB64+'HORAS HOMBRE'!AC64</f>
        <v>0</v>
      </c>
      <c r="D47" s="262">
        <f>+'HORAS HOMBRE'!AA65+'HORAS HOMBRE'!AB65+'HORAS HOMBRE'!AC65</f>
        <v>0</v>
      </c>
      <c r="E47" s="262">
        <f>+'HORAS HOMBRE'!AA66+'HORAS HOMBRE'!AB66+'HORAS HOMBRE'!AC66</f>
        <v>0</v>
      </c>
      <c r="F47" s="262">
        <f>+'HORAS HOMBRE'!AA67+'HORAS HOMBRE'!AB67+'HORAS HOMBRE'!AC67</f>
        <v>0</v>
      </c>
      <c r="G47" s="262">
        <f>+'HORAS HOMBRE'!AA68+'HORAS HOMBRE'!AB68+'HORAS HOMBRE'!AC68</f>
        <v>0</v>
      </c>
      <c r="H47" s="262">
        <f>+'HORAS HOMBRE'!AA69+'HORAS HOMBRE'!AB69+'HORAS HOMBRE'!AC69</f>
        <v>0</v>
      </c>
      <c r="I47" s="262">
        <f>+'HORAS HOMBRE'!AA70+'HORAS HOMBRE'!AB70+'HORAS HOMBRE'!AC70</f>
        <v>0</v>
      </c>
      <c r="J47" s="262">
        <f>+'HORAS HOMBRE'!AA71+'HORAS HOMBRE'!AB71+'HORAS HOMBRE'!AC71</f>
        <v>0</v>
      </c>
      <c r="K47" s="262">
        <f>+'HORAS HOMBRE'!AA72+'HORAS HOMBRE'!AB72+'HORAS HOMBRE'!AC72</f>
        <v>0</v>
      </c>
      <c r="L47" s="262">
        <f>+'HORAS HOMBRE'!AA73+'HORAS HOMBRE'!AB73+'HORAS HOMBRE'!AC73</f>
        <v>0</v>
      </c>
      <c r="M47" s="262">
        <f>+'HORAS HOMBRE'!AA74+'HORAS HOMBRE'!AB74+'HORAS HOMBRE'!AC74</f>
        <v>0</v>
      </c>
      <c r="O47" s="262">
        <f>+B47</f>
        <v>0</v>
      </c>
      <c r="P47" s="262">
        <f t="shared" si="13"/>
        <v>0</v>
      </c>
      <c r="Q47" s="262">
        <f t="shared" si="13"/>
        <v>0</v>
      </c>
      <c r="R47" s="262">
        <f t="shared" si="13"/>
        <v>0</v>
      </c>
      <c r="S47" s="262">
        <f t="shared" si="13"/>
        <v>0</v>
      </c>
      <c r="T47" s="262">
        <f t="shared" si="13"/>
        <v>0</v>
      </c>
      <c r="U47" s="262">
        <f t="shared" si="13"/>
        <v>0</v>
      </c>
      <c r="V47" s="262">
        <f t="shared" si="13"/>
        <v>0</v>
      </c>
      <c r="W47" s="262">
        <f t="shared" si="13"/>
        <v>0</v>
      </c>
      <c r="X47" s="262">
        <f t="shared" si="13"/>
        <v>0</v>
      </c>
      <c r="Y47" s="262">
        <f t="shared" si="13"/>
        <v>0</v>
      </c>
      <c r="Z47" s="262">
        <f t="shared" si="13"/>
        <v>0</v>
      </c>
    </row>
    <row r="48" spans="1:67">
      <c r="A48" s="242" t="s">
        <v>5179</v>
      </c>
      <c r="B48" s="262"/>
      <c r="C48" s="262"/>
      <c r="D48" s="262"/>
      <c r="E48" s="262"/>
      <c r="F48" s="262"/>
      <c r="G48" s="262"/>
      <c r="H48" s="262"/>
      <c r="I48" s="262"/>
      <c r="J48" s="262"/>
      <c r="K48" s="262"/>
      <c r="L48" s="262"/>
      <c r="M48" s="262"/>
      <c r="O48" s="571" t="e">
        <f>+O45*1000000/O47</f>
        <v>#DIV/0!</v>
      </c>
      <c r="P48" s="571" t="e">
        <f t="shared" ref="P48:Z48" si="14">+P45*1000000/P47</f>
        <v>#DIV/0!</v>
      </c>
      <c r="Q48" s="571" t="e">
        <f t="shared" si="14"/>
        <v>#DIV/0!</v>
      </c>
      <c r="R48" s="571" t="e">
        <f t="shared" si="14"/>
        <v>#DIV/0!</v>
      </c>
      <c r="S48" s="571" t="e">
        <f t="shared" si="14"/>
        <v>#DIV/0!</v>
      </c>
      <c r="T48" s="571" t="e">
        <f t="shared" si="14"/>
        <v>#DIV/0!</v>
      </c>
      <c r="U48" s="571" t="e">
        <f t="shared" si="14"/>
        <v>#DIV/0!</v>
      </c>
      <c r="V48" s="571" t="e">
        <f t="shared" si="14"/>
        <v>#DIV/0!</v>
      </c>
      <c r="W48" s="571" t="e">
        <f t="shared" si="14"/>
        <v>#DIV/0!</v>
      </c>
      <c r="X48" s="571" t="e">
        <f t="shared" si="14"/>
        <v>#DIV/0!</v>
      </c>
      <c r="Y48" s="571" t="e">
        <f t="shared" si="14"/>
        <v>#DIV/0!</v>
      </c>
      <c r="Z48" s="571" t="e">
        <f t="shared" si="14"/>
        <v>#DIV/0!</v>
      </c>
    </row>
    <row r="49" spans="1:26">
      <c r="A49" s="242" t="s">
        <v>5180</v>
      </c>
      <c r="B49" s="262"/>
      <c r="C49" s="262"/>
      <c r="D49" s="262"/>
      <c r="E49" s="262"/>
      <c r="F49" s="262"/>
      <c r="G49" s="262"/>
      <c r="H49" s="262"/>
      <c r="I49" s="262"/>
      <c r="J49" s="262"/>
      <c r="K49" s="262"/>
      <c r="L49" s="262"/>
      <c r="M49" s="262"/>
      <c r="O49" s="63" t="e">
        <f>+O46*1000000/O47</f>
        <v>#DIV/0!</v>
      </c>
      <c r="P49" s="63" t="e">
        <f t="shared" ref="P49:Z49" si="15">+P46*1000000/P47</f>
        <v>#DIV/0!</v>
      </c>
      <c r="Q49" s="63" t="e">
        <f t="shared" si="15"/>
        <v>#DIV/0!</v>
      </c>
      <c r="R49" s="63" t="e">
        <f t="shared" si="15"/>
        <v>#DIV/0!</v>
      </c>
      <c r="S49" s="63" t="e">
        <f t="shared" si="15"/>
        <v>#DIV/0!</v>
      </c>
      <c r="T49" s="63" t="e">
        <f t="shared" si="15"/>
        <v>#DIV/0!</v>
      </c>
      <c r="U49" s="63" t="e">
        <f t="shared" si="15"/>
        <v>#DIV/0!</v>
      </c>
      <c r="V49" s="63" t="e">
        <f t="shared" si="15"/>
        <v>#DIV/0!</v>
      </c>
      <c r="W49" s="63" t="e">
        <f t="shared" si="15"/>
        <v>#DIV/0!</v>
      </c>
      <c r="X49" s="63" t="e">
        <f t="shared" si="15"/>
        <v>#DIV/0!</v>
      </c>
      <c r="Y49" s="63" t="e">
        <f t="shared" si="15"/>
        <v>#DIV/0!</v>
      </c>
      <c r="Z49" s="63" t="e">
        <f t="shared" si="15"/>
        <v>#DIV/0!</v>
      </c>
    </row>
    <row r="50" spans="1:26">
      <c r="A50" s="242" t="s">
        <v>4728</v>
      </c>
      <c r="B50" s="1532"/>
      <c r="C50" s="1532"/>
      <c r="D50" s="1532"/>
      <c r="E50" s="1532"/>
      <c r="F50" s="1532"/>
      <c r="G50" s="1532"/>
      <c r="H50" s="1532"/>
      <c r="I50" s="1532"/>
      <c r="J50" s="1532"/>
      <c r="K50" s="1532"/>
      <c r="L50" s="1532"/>
      <c r="M50" s="1532"/>
      <c r="O50" s="571">
        <v>0</v>
      </c>
      <c r="P50" s="571">
        <v>0</v>
      </c>
      <c r="Q50" s="571">
        <v>2.5467455139077773</v>
      </c>
      <c r="R50" s="571">
        <v>3.6927553678815217</v>
      </c>
      <c r="S50" s="571">
        <v>2.8549241732139596</v>
      </c>
      <c r="T50" s="571">
        <v>5.830448233199272</v>
      </c>
      <c r="U50" s="571">
        <v>4.9280990350782092</v>
      </c>
      <c r="V50" s="571">
        <v>4.26815995356242</v>
      </c>
      <c r="W50" s="571">
        <v>3.7584376926199319</v>
      </c>
      <c r="X50" s="571">
        <v>3.3574735682893335</v>
      </c>
      <c r="Y50" s="571">
        <v>3.6405778810623208</v>
      </c>
      <c r="Z50" s="571">
        <v>3.6405778810623208</v>
      </c>
    </row>
    <row r="51" spans="1:26">
      <c r="A51" s="242" t="s">
        <v>4729</v>
      </c>
      <c r="B51" s="1532"/>
      <c r="C51" s="1532"/>
      <c r="D51" s="1532"/>
      <c r="E51" s="1532"/>
      <c r="F51" s="1532"/>
      <c r="G51" s="1532"/>
      <c r="H51" s="1532"/>
      <c r="I51" s="1532"/>
      <c r="J51" s="1532"/>
      <c r="K51" s="1532"/>
      <c r="L51" s="1532"/>
      <c r="M51" s="1532"/>
      <c r="O51" s="63">
        <v>0</v>
      </c>
      <c r="P51" s="63">
        <v>0</v>
      </c>
      <c r="Q51" s="63">
        <v>12.733727569538885</v>
      </c>
      <c r="R51" s="63">
        <v>36.927553678815215</v>
      </c>
      <c r="S51" s="63">
        <v>28.549241732139595</v>
      </c>
      <c r="T51" s="63">
        <v>69.965378798391257</v>
      </c>
      <c r="U51" s="63">
        <v>59.137188420938507</v>
      </c>
      <c r="V51" s="63">
        <v>51.217919442749036</v>
      </c>
      <c r="W51" s="63">
        <v>45.101252311439183</v>
      </c>
      <c r="X51" s="63">
        <v>40.289682819472006</v>
      </c>
      <c r="Y51" s="63">
        <v>40.653119671862584</v>
      </c>
      <c r="Z51" s="63">
        <v>40.653119671862584</v>
      </c>
    </row>
    <row r="52" spans="1:26">
      <c r="A52" s="242" t="s">
        <v>4726</v>
      </c>
      <c r="B52" s="1532"/>
      <c r="C52" s="1532"/>
      <c r="D52" s="1532"/>
      <c r="E52" s="1532"/>
      <c r="F52" s="1532"/>
      <c r="G52" s="1532"/>
      <c r="H52" s="1532"/>
      <c r="I52" s="1532"/>
      <c r="J52" s="1532"/>
      <c r="K52" s="1532"/>
      <c r="L52" s="1532"/>
      <c r="M52" s="1532"/>
      <c r="O52" s="571">
        <v>8.3057858103955216</v>
      </c>
      <c r="P52" s="571">
        <v>3.9346997233906094</v>
      </c>
      <c r="Q52" s="571">
        <v>5.1532180558454241</v>
      </c>
      <c r="R52" s="571">
        <v>3.8254522640939226</v>
      </c>
      <c r="S52" s="571">
        <v>3.041727944810888</v>
      </c>
      <c r="T52" s="571">
        <v>3.7928784913446512</v>
      </c>
      <c r="U52" s="571">
        <v>3.2453799312195812</v>
      </c>
      <c r="V52" s="571">
        <v>3.7121970731182179</v>
      </c>
      <c r="W52" s="571">
        <v>4.945223408709527</v>
      </c>
      <c r="X52" s="571">
        <v>4.4475577348588455</v>
      </c>
      <c r="Y52" s="571">
        <v>4.0408992886670285</v>
      </c>
      <c r="Z52" s="571">
        <v>4.319438522357105</v>
      </c>
    </row>
    <row r="53" spans="1:26">
      <c r="A53" s="242" t="s">
        <v>4727</v>
      </c>
      <c r="B53" s="1532"/>
      <c r="C53" s="1532"/>
      <c r="D53" s="1532"/>
      <c r="E53" s="1532"/>
      <c r="F53" s="1532"/>
      <c r="G53" s="1532"/>
      <c r="H53" s="1532"/>
      <c r="I53" s="1532"/>
      <c r="J53" s="1532"/>
      <c r="K53" s="1532"/>
      <c r="L53" s="1532"/>
      <c r="M53" s="1532"/>
      <c r="O53" s="63">
        <v>83.057858103955212</v>
      </c>
      <c r="P53" s="63">
        <v>39.346997233906094</v>
      </c>
      <c r="Q53" s="63">
        <v>154.59654167536272</v>
      </c>
      <c r="R53" s="63">
        <v>114.76356792281767</v>
      </c>
      <c r="S53" s="63">
        <v>91.251838344326643</v>
      </c>
      <c r="T53" s="63">
        <v>78.386155487789466</v>
      </c>
      <c r="U53" s="63">
        <v>67.071185245204674</v>
      </c>
      <c r="V53" s="63">
        <v>66.819547316127924</v>
      </c>
      <c r="W53" s="63">
        <v>102.2012837799969</v>
      </c>
      <c r="X53" s="63">
        <v>97.105010544418136</v>
      </c>
      <c r="Y53" s="63">
        <v>88.22630113589679</v>
      </c>
      <c r="Z53" s="63">
        <v>87.005833093193118</v>
      </c>
    </row>
    <row r="54" spans="1:26">
      <c r="A54" s="242" t="s">
        <v>4730</v>
      </c>
      <c r="B54" s="1532"/>
      <c r="C54" s="1532"/>
      <c r="D54" s="1532"/>
      <c r="E54" s="1532"/>
      <c r="F54" s="1532"/>
      <c r="G54" s="1532"/>
      <c r="H54" s="1532"/>
      <c r="I54" s="1532"/>
      <c r="J54" s="1532"/>
      <c r="K54" s="1532"/>
      <c r="L54" s="1532"/>
      <c r="M54" s="1532"/>
      <c r="O54" s="571"/>
      <c r="P54" s="571"/>
      <c r="Q54" s="571"/>
      <c r="R54" s="571"/>
      <c r="S54" s="571"/>
      <c r="T54" s="571"/>
      <c r="U54" s="571"/>
      <c r="V54" s="571"/>
      <c r="W54" s="571"/>
      <c r="X54" s="571"/>
      <c r="Y54" s="571"/>
      <c r="Z54" s="571"/>
    </row>
    <row r="55" spans="1:26" ht="13.8" thickBot="1">
      <c r="A55" s="1722" t="s">
        <v>4731</v>
      </c>
      <c r="B55" s="1534"/>
      <c r="C55" s="1534"/>
      <c r="D55" s="1534"/>
      <c r="E55" s="1534"/>
      <c r="F55" s="1534"/>
      <c r="G55" s="1534"/>
      <c r="H55" s="1534"/>
      <c r="I55" s="1534"/>
      <c r="J55" s="1534"/>
      <c r="K55" s="1534"/>
      <c r="L55" s="1534"/>
      <c r="M55" s="1534"/>
      <c r="N55" s="270"/>
      <c r="O55" s="267"/>
      <c r="P55" s="267"/>
      <c r="Q55" s="267"/>
      <c r="R55" s="267"/>
      <c r="S55" s="267"/>
      <c r="T55" s="267"/>
      <c r="U55" s="267"/>
      <c r="V55" s="267"/>
      <c r="W55" s="267"/>
      <c r="X55" s="267"/>
      <c r="Y55" s="267"/>
      <c r="Z55" s="267"/>
    </row>
    <row r="56" spans="1:26">
      <c r="A56" s="150" t="s">
        <v>790</v>
      </c>
    </row>
    <row r="57" spans="1:26">
      <c r="A57" s="242" t="s">
        <v>297</v>
      </c>
      <c r="B57" s="8">
        <f>+'ACCIDENTES INCAPACITANTES'!AD63</f>
        <v>0</v>
      </c>
      <c r="C57" s="8">
        <f>+'ACCIDENTES INCAPACITANTES'!AD64</f>
        <v>0</v>
      </c>
      <c r="D57" s="8">
        <f>+'ACCIDENTES INCAPACITANTES'!AD65</f>
        <v>2</v>
      </c>
      <c r="E57" s="8">
        <f>+'ACCIDENTES INCAPACITANTES'!AD66</f>
        <v>0</v>
      </c>
      <c r="F57" s="8">
        <f>+'ACCIDENTES INCAPACITANTES'!AD67</f>
        <v>0</v>
      </c>
      <c r="G57" s="8">
        <f>+'ACCIDENTES INCAPACITANTES'!AD68</f>
        <v>0</v>
      </c>
      <c r="H57" s="8">
        <f>+'ACCIDENTES INCAPACITANTES'!AD69</f>
        <v>0</v>
      </c>
      <c r="I57" s="8">
        <f>+'ACCIDENTES INCAPACITANTES'!AD70</f>
        <v>0</v>
      </c>
      <c r="J57" s="8">
        <f>+'ACCIDENTES INCAPACITANTES'!AD71</f>
        <v>1</v>
      </c>
      <c r="K57" s="8">
        <f>+'ACCIDENTES INCAPACITANTES'!AD72</f>
        <v>0</v>
      </c>
      <c r="L57" s="8">
        <f>+'ACCIDENTES INCAPACITANTES'!AD73</f>
        <v>0</v>
      </c>
      <c r="M57" s="8">
        <f>+'ACCIDENTES INCAPACITANTES'!AD74</f>
        <v>0</v>
      </c>
      <c r="O57" s="262">
        <f>+B57</f>
        <v>0</v>
      </c>
      <c r="P57" s="262">
        <f t="shared" ref="P57:Z57" si="16">+C57+O57</f>
        <v>0</v>
      </c>
      <c r="Q57" s="262">
        <f t="shared" si="16"/>
        <v>2</v>
      </c>
      <c r="R57" s="262">
        <f t="shared" si="16"/>
        <v>2</v>
      </c>
      <c r="S57" s="262">
        <f t="shared" si="16"/>
        <v>2</v>
      </c>
      <c r="T57" s="262">
        <f t="shared" si="16"/>
        <v>2</v>
      </c>
      <c r="U57" s="262">
        <f t="shared" si="16"/>
        <v>2</v>
      </c>
      <c r="V57" s="262">
        <f t="shared" si="16"/>
        <v>2</v>
      </c>
      <c r="W57" s="262">
        <f t="shared" si="16"/>
        <v>3</v>
      </c>
      <c r="X57" s="262">
        <f t="shared" si="16"/>
        <v>3</v>
      </c>
      <c r="Y57" s="262">
        <f t="shared" si="16"/>
        <v>3</v>
      </c>
      <c r="Z57" s="262">
        <f t="shared" si="16"/>
        <v>3</v>
      </c>
    </row>
    <row r="58" spans="1:26">
      <c r="A58" s="242" t="s">
        <v>635</v>
      </c>
      <c r="B58" s="8">
        <f>+'DIAS PERDIDOS'!AD63</f>
        <v>0</v>
      </c>
      <c r="C58" s="8">
        <f>+'DIAS PERDIDOS'!AD64</f>
        <v>0</v>
      </c>
      <c r="D58" s="8">
        <f>+'DIAS PERDIDOS'!AD65</f>
        <v>23</v>
      </c>
      <c r="E58" s="8">
        <f>+'DIAS PERDIDOS'!AD66</f>
        <v>0</v>
      </c>
      <c r="F58" s="8">
        <f>+'DIAS PERDIDOS'!AD67</f>
        <v>0</v>
      </c>
      <c r="G58" s="8">
        <f>+'DIAS PERDIDOS'!AD68</f>
        <v>0</v>
      </c>
      <c r="H58" s="8">
        <f>+'DIAS PERDIDOS'!AD69</f>
        <v>0</v>
      </c>
      <c r="I58" s="8">
        <f>+'DIAS PERDIDOS'!AD70</f>
        <v>0</v>
      </c>
      <c r="J58" s="8">
        <f>+'DIAS PERDIDOS'!AD71</f>
        <v>8</v>
      </c>
      <c r="K58" s="8">
        <f>+'DIAS PERDIDOS'!AD72</f>
        <v>0</v>
      </c>
      <c r="L58" s="8">
        <f>+'DIAS PERDIDOS'!AD73</f>
        <v>0</v>
      </c>
      <c r="M58" s="8">
        <f>+'DIAS PERDIDOS'!AD74</f>
        <v>0</v>
      </c>
      <c r="O58" s="262">
        <f>+B58</f>
        <v>0</v>
      </c>
      <c r="P58" s="262">
        <f t="shared" ref="P58:Z59" si="17">+C58+O58</f>
        <v>0</v>
      </c>
      <c r="Q58" s="262">
        <f t="shared" si="17"/>
        <v>23</v>
      </c>
      <c r="R58" s="262">
        <f t="shared" si="17"/>
        <v>23</v>
      </c>
      <c r="S58" s="262">
        <f t="shared" si="17"/>
        <v>23</v>
      </c>
      <c r="T58" s="262">
        <f t="shared" si="17"/>
        <v>23</v>
      </c>
      <c r="U58" s="262">
        <f t="shared" si="17"/>
        <v>23</v>
      </c>
      <c r="V58" s="262">
        <f t="shared" si="17"/>
        <v>23</v>
      </c>
      <c r="W58" s="262">
        <f t="shared" si="17"/>
        <v>31</v>
      </c>
      <c r="X58" s="262">
        <f t="shared" si="17"/>
        <v>31</v>
      </c>
      <c r="Y58" s="262">
        <f t="shared" si="17"/>
        <v>31</v>
      </c>
      <c r="Z58" s="262">
        <f t="shared" si="17"/>
        <v>31</v>
      </c>
    </row>
    <row r="59" spans="1:26">
      <c r="A59" s="242" t="s">
        <v>302</v>
      </c>
      <c r="B59" s="262">
        <f>+'HORAS HOMBRE'!AD63</f>
        <v>91629</v>
      </c>
      <c r="C59" s="262">
        <f>+'HORAS HOMBRE'!AD64</f>
        <v>88383</v>
      </c>
      <c r="D59" s="262">
        <f>+'HORAS HOMBRE'!AD65</f>
        <v>89993</v>
      </c>
      <c r="E59" s="262">
        <f>+'HORAS HOMBRE'!AD66</f>
        <v>80172</v>
      </c>
      <c r="F59" s="262">
        <f>+'HORAS HOMBRE'!AD67</f>
        <v>75624</v>
      </c>
      <c r="G59" s="262">
        <f>+'HORAS HOMBRE'!AD68</f>
        <v>76279</v>
      </c>
      <c r="H59" s="262">
        <f>+'HORAS HOMBRE'!AD69</f>
        <v>77681</v>
      </c>
      <c r="I59" s="262">
        <f>+'HORAS HOMBRE'!AD70</f>
        <v>77082</v>
      </c>
      <c r="J59" s="262">
        <f>+'HORAS HOMBRE'!AD71</f>
        <v>71731</v>
      </c>
      <c r="K59" s="262">
        <f>+'HORAS HOMBRE'!AD72</f>
        <v>72581</v>
      </c>
      <c r="L59" s="262">
        <f>+'HORAS HOMBRE'!AD73</f>
        <v>74964</v>
      </c>
      <c r="M59" s="262">
        <f>+'HORAS HOMBRE'!AD74</f>
        <v>72511</v>
      </c>
      <c r="O59" s="262">
        <f>+B59</f>
        <v>91629</v>
      </c>
      <c r="P59" s="262">
        <f t="shared" si="17"/>
        <v>180012</v>
      </c>
      <c r="Q59" s="262">
        <f t="shared" si="17"/>
        <v>270005</v>
      </c>
      <c r="R59" s="262">
        <f t="shared" si="17"/>
        <v>350177</v>
      </c>
      <c r="S59" s="262">
        <f t="shared" si="17"/>
        <v>425801</v>
      </c>
      <c r="T59" s="262">
        <f t="shared" si="17"/>
        <v>502080</v>
      </c>
      <c r="U59" s="262">
        <f t="shared" si="17"/>
        <v>579761</v>
      </c>
      <c r="V59" s="262">
        <f t="shared" si="17"/>
        <v>656843</v>
      </c>
      <c r="W59" s="262">
        <f t="shared" si="17"/>
        <v>728574</v>
      </c>
      <c r="X59" s="262">
        <f t="shared" si="17"/>
        <v>801155</v>
      </c>
      <c r="Y59" s="262">
        <f t="shared" si="17"/>
        <v>876119</v>
      </c>
      <c r="Z59" s="262">
        <f t="shared" si="17"/>
        <v>948630</v>
      </c>
    </row>
    <row r="60" spans="1:26">
      <c r="A60" s="242" t="s">
        <v>5728</v>
      </c>
      <c r="B60" s="262"/>
      <c r="C60" s="262"/>
      <c r="D60" s="262"/>
      <c r="E60" s="262"/>
      <c r="F60" s="262"/>
      <c r="G60" s="262"/>
      <c r="H60" s="262"/>
      <c r="I60" s="262"/>
      <c r="J60" s="262"/>
      <c r="K60" s="262"/>
      <c r="L60" s="262"/>
      <c r="M60" s="262"/>
      <c r="O60" s="571">
        <f>+O57*1000000/O59</f>
        <v>0</v>
      </c>
      <c r="P60" s="571">
        <f t="shared" ref="P60:Z60" si="18">+P57*1000000/P59</f>
        <v>0</v>
      </c>
      <c r="Q60" s="571">
        <f t="shared" si="18"/>
        <v>7.4072702357363749</v>
      </c>
      <c r="R60" s="571">
        <f t="shared" si="18"/>
        <v>5.7113973790397425</v>
      </c>
      <c r="S60" s="571">
        <f t="shared" si="18"/>
        <v>4.6970298331849856</v>
      </c>
      <c r="T60" s="571">
        <f t="shared" si="18"/>
        <v>3.9834289356277885</v>
      </c>
      <c r="U60" s="571">
        <f t="shared" si="18"/>
        <v>3.449697375297752</v>
      </c>
      <c r="V60" s="571">
        <f t="shared" si="18"/>
        <v>3.0448676472155447</v>
      </c>
      <c r="W60" s="571">
        <f t="shared" si="18"/>
        <v>4.1176325260028497</v>
      </c>
      <c r="X60" s="571">
        <f t="shared" si="18"/>
        <v>3.7445937427838558</v>
      </c>
      <c r="Y60" s="571">
        <f t="shared" si="18"/>
        <v>3.4241923756932562</v>
      </c>
      <c r="Z60" s="571">
        <f t="shared" si="18"/>
        <v>3.1624553303184593</v>
      </c>
    </row>
    <row r="61" spans="1:26">
      <c r="A61" s="242" t="s">
        <v>5729</v>
      </c>
      <c r="B61" s="262"/>
      <c r="C61" s="262"/>
      <c r="D61" s="262"/>
      <c r="E61" s="262"/>
      <c r="F61" s="262"/>
      <c r="G61" s="262"/>
      <c r="H61" s="262"/>
      <c r="I61" s="262"/>
      <c r="J61" s="262"/>
      <c r="K61" s="262"/>
      <c r="L61" s="262"/>
      <c r="M61" s="262"/>
      <c r="O61" s="63">
        <f>+O58*1000000/O59</f>
        <v>0</v>
      </c>
      <c r="P61" s="63">
        <f t="shared" ref="P61:Z61" si="19">+P58*1000000/P59</f>
        <v>0</v>
      </c>
      <c r="Q61" s="63">
        <f t="shared" si="19"/>
        <v>85.183607710968317</v>
      </c>
      <c r="R61" s="63">
        <f t="shared" si="19"/>
        <v>65.681069858957045</v>
      </c>
      <c r="S61" s="63">
        <f t="shared" si="19"/>
        <v>54.015843081627331</v>
      </c>
      <c r="T61" s="63">
        <f t="shared" si="19"/>
        <v>45.80943275971957</v>
      </c>
      <c r="U61" s="63">
        <f t="shared" si="19"/>
        <v>39.67151981592415</v>
      </c>
      <c r="V61" s="63">
        <f t="shared" si="19"/>
        <v>35.015977942978765</v>
      </c>
      <c r="W61" s="63">
        <f t="shared" si="19"/>
        <v>42.548869435362775</v>
      </c>
      <c r="X61" s="63">
        <f t="shared" si="19"/>
        <v>38.694135342099841</v>
      </c>
      <c r="Y61" s="63">
        <f t="shared" si="19"/>
        <v>35.383321215496984</v>
      </c>
      <c r="Z61" s="63">
        <f t="shared" si="19"/>
        <v>32.67870507995741</v>
      </c>
    </row>
    <row r="62" spans="1:26">
      <c r="A62" s="242" t="s">
        <v>5179</v>
      </c>
      <c r="B62" s="262"/>
      <c r="C62" s="262"/>
      <c r="D62" s="262"/>
      <c r="E62" s="262"/>
      <c r="F62" s="262"/>
      <c r="G62" s="262"/>
      <c r="H62" s="262"/>
      <c r="I62" s="262"/>
      <c r="J62" s="262"/>
      <c r="K62" s="262"/>
      <c r="L62" s="262"/>
      <c r="M62" s="262"/>
      <c r="O62" s="571">
        <v>0</v>
      </c>
      <c r="P62" s="571">
        <v>0</v>
      </c>
      <c r="Q62" s="571">
        <v>4.22156459627067</v>
      </c>
      <c r="R62" s="571">
        <v>3.1944697339965051</v>
      </c>
      <c r="S62" s="571">
        <v>2.5615869543499588</v>
      </c>
      <c r="T62" s="571">
        <v>2.1571994374023866</v>
      </c>
      <c r="U62" s="571">
        <v>1.8452533625129399</v>
      </c>
      <c r="V62" s="571">
        <v>1.6212290212964644</v>
      </c>
      <c r="W62" s="571">
        <v>1.4411796920487234</v>
      </c>
      <c r="X62" s="571">
        <v>1.2979714004981615</v>
      </c>
      <c r="Y62" s="571">
        <v>1.1713085624998536</v>
      </c>
      <c r="Z62" s="571">
        <v>2.1220271725579445</v>
      </c>
    </row>
    <row r="63" spans="1:26">
      <c r="A63" s="242" t="s">
        <v>5180</v>
      </c>
      <c r="B63" s="262"/>
      <c r="C63" s="262"/>
      <c r="D63" s="262"/>
      <c r="E63" s="262"/>
      <c r="F63" s="262"/>
      <c r="G63" s="262"/>
      <c r="H63" s="262"/>
      <c r="I63" s="262"/>
      <c r="J63" s="262"/>
      <c r="K63" s="262"/>
      <c r="L63" s="262"/>
      <c r="M63" s="262"/>
      <c r="O63" s="63">
        <v>0</v>
      </c>
      <c r="P63" s="63">
        <v>0</v>
      </c>
      <c r="Q63" s="63">
        <v>29.550952173894689</v>
      </c>
      <c r="R63" s="63">
        <v>22.361288137975535</v>
      </c>
      <c r="S63" s="63">
        <v>17.931108680449711</v>
      </c>
      <c r="T63" s="63">
        <v>15.100396061816706</v>
      </c>
      <c r="U63" s="63">
        <v>12.916773537590579</v>
      </c>
      <c r="V63" s="63">
        <v>11.348603149075251</v>
      </c>
      <c r="W63" s="63">
        <v>10.088257844341063</v>
      </c>
      <c r="X63" s="63">
        <v>9.0857998034871308</v>
      </c>
      <c r="Y63" s="63">
        <v>8.1991599374989743</v>
      </c>
      <c r="Z63" s="63">
        <v>18.037230966742531</v>
      </c>
    </row>
    <row r="64" spans="1:26">
      <c r="A64" s="242" t="s">
        <v>4728</v>
      </c>
      <c r="B64" s="1532"/>
      <c r="C64" s="1532"/>
      <c r="D64" s="1532"/>
      <c r="E64" s="1532"/>
      <c r="F64" s="1532"/>
      <c r="G64" s="1532"/>
      <c r="H64" s="1532"/>
      <c r="I64" s="1532"/>
      <c r="J64" s="1532"/>
      <c r="K64" s="1532"/>
      <c r="L64" s="1532"/>
      <c r="M64" s="1532"/>
      <c r="O64" s="571">
        <v>0</v>
      </c>
      <c r="P64" s="571">
        <v>0</v>
      </c>
      <c r="Q64" s="571">
        <v>0</v>
      </c>
      <c r="R64" s="571">
        <v>0</v>
      </c>
      <c r="S64" s="571">
        <v>0</v>
      </c>
      <c r="T64" s="571">
        <v>2.1381318714213018</v>
      </c>
      <c r="U64" s="571">
        <v>3.67615973649287</v>
      </c>
      <c r="V64" s="571">
        <v>3.2256659790622022</v>
      </c>
      <c r="W64" s="571">
        <v>2.881005816750744</v>
      </c>
      <c r="X64" s="571">
        <v>2.5473553356904861</v>
      </c>
      <c r="Y64" s="571">
        <v>2.3231987659168154</v>
      </c>
      <c r="Z64" s="571">
        <v>4.2818667226163916</v>
      </c>
    </row>
    <row r="65" spans="1:26">
      <c r="A65" s="242" t="s">
        <v>4729</v>
      </c>
      <c r="B65" s="1532"/>
      <c r="C65" s="1532"/>
      <c r="D65" s="1532"/>
      <c r="E65" s="1532"/>
      <c r="F65" s="1532"/>
      <c r="G65" s="1532"/>
      <c r="H65" s="1532"/>
      <c r="I65" s="1532"/>
      <c r="J65" s="1532"/>
      <c r="K65" s="1532"/>
      <c r="L65" s="1532"/>
      <c r="M65" s="1532"/>
      <c r="O65" s="63">
        <v>0</v>
      </c>
      <c r="P65" s="63">
        <v>0</v>
      </c>
      <c r="Q65" s="63">
        <v>0</v>
      </c>
      <c r="R65" s="63">
        <v>0</v>
      </c>
      <c r="S65" s="63">
        <v>0</v>
      </c>
      <c r="T65" s="63">
        <v>8.5525274856852072</v>
      </c>
      <c r="U65" s="63">
        <v>14.70463894597148</v>
      </c>
      <c r="V65" s="63">
        <v>12.902663916248809</v>
      </c>
      <c r="W65" s="63">
        <v>11.524023267002976</v>
      </c>
      <c r="X65" s="63">
        <v>19.105165017678647</v>
      </c>
      <c r="Y65" s="63">
        <v>17.423990744376116</v>
      </c>
      <c r="Z65" s="63">
        <v>29.973067058314744</v>
      </c>
    </row>
    <row r="66" spans="1:26">
      <c r="A66" s="242" t="s">
        <v>4726</v>
      </c>
      <c r="B66" s="1532"/>
      <c r="C66" s="1532"/>
      <c r="D66" s="1532"/>
      <c r="E66" s="1532"/>
      <c r="F66" s="1532"/>
      <c r="G66" s="1532"/>
      <c r="H66" s="1532"/>
      <c r="I66" s="1532"/>
      <c r="J66" s="1532"/>
      <c r="K66" s="1532"/>
      <c r="L66" s="1532"/>
      <c r="M66" s="1532"/>
      <c r="O66" s="8">
        <v>0</v>
      </c>
      <c r="P66" s="8">
        <v>0</v>
      </c>
      <c r="Q66" s="8">
        <v>0</v>
      </c>
      <c r="R66" s="8">
        <v>0</v>
      </c>
      <c r="S66" s="8">
        <v>0</v>
      </c>
      <c r="T66" s="571">
        <v>4.4003625898774059</v>
      </c>
      <c r="U66" s="571">
        <v>3.7670387873148736</v>
      </c>
      <c r="V66" s="571">
        <v>4.929969779285253</v>
      </c>
      <c r="W66" s="571">
        <v>5.7432893253788775</v>
      </c>
      <c r="X66" s="571">
        <v>5.1895617155653122</v>
      </c>
      <c r="Y66" s="571">
        <v>4.7384550504230845</v>
      </c>
      <c r="Z66" s="571">
        <v>4.3028473016306714</v>
      </c>
    </row>
    <row r="67" spans="1:26">
      <c r="A67" s="242" t="s">
        <v>4727</v>
      </c>
      <c r="B67" s="1532"/>
      <c r="C67" s="1532"/>
      <c r="D67" s="1532"/>
      <c r="E67" s="1532"/>
      <c r="F67" s="1532"/>
      <c r="G67" s="1532"/>
      <c r="H67" s="1532"/>
      <c r="I67" s="1532"/>
      <c r="J67" s="1532"/>
      <c r="K67" s="1532"/>
      <c r="L67" s="1532"/>
      <c r="M67" s="1532"/>
      <c r="O67" s="8">
        <v>0</v>
      </c>
      <c r="P67" s="8">
        <v>0</v>
      </c>
      <c r="Q67" s="8">
        <v>0</v>
      </c>
      <c r="R67" s="8">
        <v>0</v>
      </c>
      <c r="S67" s="8">
        <v>0</v>
      </c>
      <c r="T67" s="63">
        <v>30.802538129141841</v>
      </c>
      <c r="U67" s="63">
        <v>26.369271511204115</v>
      </c>
      <c r="V67" s="63">
        <v>29.579818675711518</v>
      </c>
      <c r="W67" s="63">
        <v>35.895558283617987</v>
      </c>
      <c r="X67" s="63">
        <v>32.434760722283201</v>
      </c>
      <c r="Y67" s="63">
        <v>29.615344065144281</v>
      </c>
      <c r="Z67" s="63">
        <v>26.892795635191696</v>
      </c>
    </row>
    <row r="68" spans="1:26">
      <c r="A68" s="242" t="s">
        <v>4730</v>
      </c>
      <c r="B68" s="1532"/>
      <c r="C68" s="1532"/>
      <c r="D68" s="1532"/>
      <c r="E68" s="1532"/>
      <c r="F68" s="1532"/>
      <c r="G68" s="1532"/>
      <c r="H68" s="1532"/>
      <c r="I68" s="1532"/>
      <c r="J68" s="1532"/>
      <c r="K68" s="1532"/>
      <c r="L68" s="1532"/>
      <c r="M68" s="1532"/>
      <c r="O68" s="571">
        <f>+INDICADORES!$AJ$52</f>
        <v>2.1</v>
      </c>
      <c r="P68" s="571">
        <f>+INDICADORES!$AJ$52</f>
        <v>2.1</v>
      </c>
      <c r="Q68" s="571">
        <f>+INDICADORES!$AJ$52</f>
        <v>2.1</v>
      </c>
      <c r="R68" s="571">
        <f>+INDICADORES!$AJ$52</f>
        <v>2.1</v>
      </c>
      <c r="S68" s="571">
        <f>+INDICADORES!$AJ$52</f>
        <v>2.1</v>
      </c>
      <c r="T68" s="571">
        <f>+INDICADORES!$AJ$52</f>
        <v>2.1</v>
      </c>
      <c r="U68" s="571">
        <f>+INDICADORES!$AJ$52</f>
        <v>2.1</v>
      </c>
      <c r="V68" s="571">
        <f>+INDICADORES!$AJ$52</f>
        <v>2.1</v>
      </c>
      <c r="W68" s="571">
        <f>+INDICADORES!$AJ$52</f>
        <v>2.1</v>
      </c>
      <c r="X68" s="571">
        <f>+INDICADORES!$AJ$52</f>
        <v>2.1</v>
      </c>
      <c r="Y68" s="571">
        <f>+INDICADORES!$AJ$52</f>
        <v>2.1</v>
      </c>
      <c r="Z68" s="571">
        <f>+INDICADORES!$AJ$52</f>
        <v>2.1</v>
      </c>
    </row>
    <row r="69" spans="1:26" ht="13.8" thickBot="1">
      <c r="A69" s="1722" t="s">
        <v>4731</v>
      </c>
      <c r="B69" s="1534"/>
      <c r="C69" s="1534"/>
      <c r="D69" s="1534"/>
      <c r="E69" s="1534"/>
      <c r="F69" s="1534"/>
      <c r="G69" s="1534"/>
      <c r="H69" s="1534"/>
      <c r="I69" s="1534"/>
      <c r="J69" s="1534"/>
      <c r="K69" s="1534"/>
      <c r="L69" s="1534"/>
      <c r="M69" s="1534"/>
      <c r="N69" s="270"/>
      <c r="O69" s="1973">
        <f>+INDICADORES!$AN$52</f>
        <v>32</v>
      </c>
      <c r="P69" s="1973">
        <f>+INDICADORES!$AN$52</f>
        <v>32</v>
      </c>
      <c r="Q69" s="1973">
        <f>+INDICADORES!$AN$52</f>
        <v>32</v>
      </c>
      <c r="R69" s="1973">
        <f>+INDICADORES!$AN$52</f>
        <v>32</v>
      </c>
      <c r="S69" s="1973">
        <f>+INDICADORES!$AN$52</f>
        <v>32</v>
      </c>
      <c r="T69" s="1973">
        <f>+INDICADORES!$AN$52</f>
        <v>32</v>
      </c>
      <c r="U69" s="1973">
        <f>+INDICADORES!$AN$52</f>
        <v>32</v>
      </c>
      <c r="V69" s="1973">
        <f>+INDICADORES!$AN$52</f>
        <v>32</v>
      </c>
      <c r="W69" s="1973">
        <f>+INDICADORES!$AN$52</f>
        <v>32</v>
      </c>
      <c r="X69" s="1973">
        <f>+INDICADORES!$AN$52</f>
        <v>32</v>
      </c>
      <c r="Y69" s="1973">
        <f>+INDICADORES!$AN$52</f>
        <v>32</v>
      </c>
      <c r="Z69" s="1973">
        <f>+INDICADORES!$AN$52</f>
        <v>32</v>
      </c>
    </row>
    <row r="70" spans="1:26">
      <c r="A70" s="150" t="s">
        <v>2943</v>
      </c>
    </row>
    <row r="71" spans="1:26">
      <c r="A71" s="242" t="s">
        <v>297</v>
      </c>
      <c r="B71" s="8">
        <f>+'ACCIDENTES INCAPACITANTES'!AE63+'ACCIDENTES INCAPACITANTES'!AF63+'ACCIDENTES INCAPACITANTES'!AG63</f>
        <v>2</v>
      </c>
      <c r="C71" s="8">
        <f>+'ACCIDENTES INCAPACITANTES'!AE64+'ACCIDENTES INCAPACITANTES'!AF64+'ACCIDENTES INCAPACITANTES'!AG64</f>
        <v>2</v>
      </c>
      <c r="D71" s="8">
        <f>+'ACCIDENTES INCAPACITANTES'!AE65+'ACCIDENTES INCAPACITANTES'!AF65+'ACCIDENTES INCAPACITANTES'!AG65</f>
        <v>1</v>
      </c>
      <c r="E71" s="8">
        <f>+'ACCIDENTES INCAPACITANTES'!AE66+'ACCIDENTES INCAPACITANTES'!AF66+'ACCIDENTES INCAPACITANTES'!AG66</f>
        <v>1</v>
      </c>
      <c r="F71" s="8">
        <f>+'ACCIDENTES INCAPACITANTES'!AE67+'ACCIDENTES INCAPACITANTES'!AF67+'ACCIDENTES INCAPACITANTES'!AG67</f>
        <v>0</v>
      </c>
      <c r="G71" s="8">
        <f>+'ACCIDENTES INCAPACITANTES'!AE68+'ACCIDENTES INCAPACITANTES'!AF68+'ACCIDENTES INCAPACITANTES'!AG68</f>
        <v>1</v>
      </c>
      <c r="H71" s="8">
        <f>+'ACCIDENTES INCAPACITANTES'!AE69+'ACCIDENTES INCAPACITANTES'!AF69+'ACCIDENTES INCAPACITANTES'!AG69</f>
        <v>0</v>
      </c>
      <c r="I71" s="8">
        <f>+'ACCIDENTES INCAPACITANTES'!AE70+'ACCIDENTES INCAPACITANTES'!AF70+'ACCIDENTES INCAPACITANTES'!AG70</f>
        <v>1</v>
      </c>
      <c r="J71" s="8">
        <f>+'ACCIDENTES INCAPACITANTES'!AE71+'ACCIDENTES INCAPACITANTES'!AF71+'ACCIDENTES INCAPACITANTES'!AG71</f>
        <v>0</v>
      </c>
      <c r="K71" s="8">
        <f>+'ACCIDENTES INCAPACITANTES'!AE72+'ACCIDENTES INCAPACITANTES'!AF72+'ACCIDENTES INCAPACITANTES'!AG72</f>
        <v>0</v>
      </c>
      <c r="L71" s="8">
        <f>+'ACCIDENTES INCAPACITANTES'!AF73+'ACCIDENTES INCAPACITANTES'!AE73+'ACCIDENTES INCAPACITANTES'!AG73</f>
        <v>0</v>
      </c>
      <c r="M71" s="8">
        <f>+'ACCIDENTES INCAPACITANTES'!AE74+'ACCIDENTES INCAPACITANTES'!AF74+'ACCIDENTES INCAPACITANTES'!AG74</f>
        <v>1</v>
      </c>
      <c r="O71" s="262">
        <f>+B71</f>
        <v>2</v>
      </c>
      <c r="P71" s="262">
        <f t="shared" ref="P71:Z73" si="20">+C71+O71</f>
        <v>4</v>
      </c>
      <c r="Q71" s="262">
        <f t="shared" si="20"/>
        <v>5</v>
      </c>
      <c r="R71" s="262">
        <f t="shared" si="20"/>
        <v>6</v>
      </c>
      <c r="S71" s="262">
        <f t="shared" si="20"/>
        <v>6</v>
      </c>
      <c r="T71" s="262">
        <f t="shared" si="20"/>
        <v>7</v>
      </c>
      <c r="U71" s="262">
        <f t="shared" si="20"/>
        <v>7</v>
      </c>
      <c r="V71" s="262">
        <f t="shared" si="20"/>
        <v>8</v>
      </c>
      <c r="W71" s="262">
        <f t="shared" si="20"/>
        <v>8</v>
      </c>
      <c r="X71" s="262">
        <f t="shared" si="20"/>
        <v>8</v>
      </c>
      <c r="Y71" s="262">
        <f t="shared" si="20"/>
        <v>8</v>
      </c>
      <c r="Z71" s="262">
        <f t="shared" si="20"/>
        <v>9</v>
      </c>
    </row>
    <row r="72" spans="1:26">
      <c r="A72" s="242" t="s">
        <v>635</v>
      </c>
      <c r="B72" s="8">
        <f>+'DIAS PERDIDOS'!AE63+'DIAS PERDIDOS'!AF63+'DIAS PERDIDOS'!AG63</f>
        <v>23</v>
      </c>
      <c r="C72" s="8">
        <f>+'DIAS PERDIDOS'!AE64+'DIAS PERDIDOS'!AF64+'DIAS PERDIDOS'!AG64</f>
        <v>44</v>
      </c>
      <c r="D72" s="8">
        <f>+'DIAS PERDIDOS'!AE65+'DIAS PERDIDOS'!AF65+'DIAS PERDIDOS'!AG65</f>
        <v>5</v>
      </c>
      <c r="E72" s="8">
        <f>+'DIAS PERDIDOS'!AE66+'DIAS PERDIDOS'!AF66+'DIAS PERDIDOS'!AG66</f>
        <v>16</v>
      </c>
      <c r="F72" s="8">
        <f>+'DIAS PERDIDOS'!AE67+'DIAS PERDIDOS'!AF67+'DIAS PERDIDOS'!AG67</f>
        <v>0</v>
      </c>
      <c r="G72" s="8">
        <f>+'DIAS PERDIDOS'!AE68+'DIAS PERDIDOS'!AF68+'DIAS PERDIDOS'!AG68</f>
        <v>7</v>
      </c>
      <c r="H72" s="8">
        <f>+'DIAS PERDIDOS'!AE69+'DIAS PERDIDOS'!AF69+'DIAS PERDIDOS'!AG69</f>
        <v>0</v>
      </c>
      <c r="I72" s="8">
        <f>+'DIAS PERDIDOS'!AE70+'DIAS PERDIDOS'!AF70+'DIAS PERDIDOS'!AG70</f>
        <v>55</v>
      </c>
      <c r="J72" s="8">
        <f>+'DIAS PERDIDOS'!AE71+'DIAS PERDIDOS'!AF71+'DIAS PERDIDOS'!AG71</f>
        <v>0</v>
      </c>
      <c r="K72" s="8">
        <f>+'DIAS PERDIDOS'!AE72+'DIAS PERDIDOS'!AF72+'DIAS PERDIDOS'!AG72</f>
        <v>0</v>
      </c>
      <c r="L72" s="8">
        <f>+'DIAS PERDIDOS'!AE73+'DIAS PERDIDOS'!AF73+'DIAS PERDIDOS'!AG73</f>
        <v>0</v>
      </c>
      <c r="M72" s="8">
        <f>+'DIAS PERDIDOS'!AE74+'DIAS PERDIDOS'!AF74+'DIAS PERDIDOS'!AG74</f>
        <v>84</v>
      </c>
      <c r="O72" s="262">
        <f>+B72</f>
        <v>23</v>
      </c>
      <c r="P72" s="262">
        <f t="shared" si="20"/>
        <v>67</v>
      </c>
      <c r="Q72" s="262">
        <f t="shared" si="20"/>
        <v>72</v>
      </c>
      <c r="R72" s="262">
        <f t="shared" si="20"/>
        <v>88</v>
      </c>
      <c r="S72" s="262">
        <f t="shared" si="20"/>
        <v>88</v>
      </c>
      <c r="T72" s="262">
        <f t="shared" si="20"/>
        <v>95</v>
      </c>
      <c r="U72" s="262">
        <f t="shared" si="20"/>
        <v>95</v>
      </c>
      <c r="V72" s="262">
        <f t="shared" si="20"/>
        <v>150</v>
      </c>
      <c r="W72" s="262">
        <f t="shared" si="20"/>
        <v>150</v>
      </c>
      <c r="X72" s="262">
        <f t="shared" si="20"/>
        <v>150</v>
      </c>
      <c r="Y72" s="262">
        <f t="shared" si="20"/>
        <v>150</v>
      </c>
      <c r="Z72" s="262">
        <f t="shared" si="20"/>
        <v>234</v>
      </c>
    </row>
    <row r="73" spans="1:26">
      <c r="A73" s="242" t="s">
        <v>302</v>
      </c>
      <c r="B73" s="262">
        <f>+'HORAS HOMBRE'!AE63+'HORAS HOMBRE'!AF63+'HORAS HOMBRE'!AG63</f>
        <v>248142.22999999998</v>
      </c>
      <c r="C73" s="262">
        <f>+'HORAS HOMBRE'!AE64+'HORAS HOMBRE'!AF64+'HORAS HOMBRE'!AG64</f>
        <v>256279.44999999998</v>
      </c>
      <c r="D73" s="262">
        <f>+'HORAS HOMBRE'!AE65+'HORAS HOMBRE'!AF65+'HORAS HOMBRE'!AG65</f>
        <v>328002.65999999997</v>
      </c>
      <c r="E73" s="262">
        <f>+'HORAS HOMBRE'!AE66+'HORAS HOMBRE'!AF66+'HORAS HOMBRE'!AG66</f>
        <v>396394.35</v>
      </c>
      <c r="F73" s="262">
        <f>+'HORAS HOMBRE'!AE67+'HORAS HOMBRE'!AF67+'HORAS HOMBRE'!AG67</f>
        <v>329093.11055556126</v>
      </c>
      <c r="G73" s="262">
        <f>+'HORAS HOMBRE'!AE68+'HORAS HOMBRE'!AF68+'HORAS HOMBRE'!AG68</f>
        <v>293525.95999999996</v>
      </c>
      <c r="H73" s="262">
        <f>+'HORAS HOMBRE'!AE69+'HORAS HOMBRE'!AF69+'HORAS HOMBRE'!AG69</f>
        <v>308252.08999999997</v>
      </c>
      <c r="I73" s="262">
        <f>+'HORAS HOMBRE'!AE70+'HORAS HOMBRE'!AF70+'HORAS HOMBRE'!AG70</f>
        <v>312923.5</v>
      </c>
      <c r="J73" s="262">
        <f>+'HORAS HOMBRE'!AE71+'HORAS HOMBRE'!AF71+'HORAS HOMBRE'!AG71</f>
        <v>289750.68527777703</v>
      </c>
      <c r="K73" s="262">
        <f>+'HORAS HOMBRE'!AE72+'HORAS HOMBRE'!AF72+'HORAS HOMBRE'!AG72</f>
        <v>277902.09999999998</v>
      </c>
      <c r="L73" s="262">
        <f>+'HORAS HOMBRE'!AE73+'HORAS HOMBRE'!AF73+'HORAS HOMBRE'!AG73</f>
        <v>285083.06</v>
      </c>
      <c r="M73" s="262">
        <f>+'HORAS HOMBRE'!AE74+'HORAS HOMBRE'!AF74+'HORAS HOMBRE'!AG74</f>
        <v>248451</v>
      </c>
      <c r="O73" s="262">
        <f>+B73</f>
        <v>248142.22999999998</v>
      </c>
      <c r="P73" s="262">
        <f t="shared" si="20"/>
        <v>504421.67999999993</v>
      </c>
      <c r="Q73" s="262">
        <f t="shared" si="20"/>
        <v>832424.33999999985</v>
      </c>
      <c r="R73" s="262">
        <f t="shared" si="20"/>
        <v>1228818.69</v>
      </c>
      <c r="S73" s="262">
        <f t="shared" si="20"/>
        <v>1557911.8005555612</v>
      </c>
      <c r="T73" s="262">
        <f t="shared" si="20"/>
        <v>1851437.7605555612</v>
      </c>
      <c r="U73" s="262">
        <f t="shared" si="20"/>
        <v>2159689.850555561</v>
      </c>
      <c r="V73" s="262">
        <f t="shared" si="20"/>
        <v>2472613.350555561</v>
      </c>
      <c r="W73" s="262">
        <f t="shared" si="20"/>
        <v>2762364.0358333383</v>
      </c>
      <c r="X73" s="262">
        <f t="shared" si="20"/>
        <v>3040266.1358333384</v>
      </c>
      <c r="Y73" s="262">
        <f t="shared" si="20"/>
        <v>3325349.1958333384</v>
      </c>
      <c r="Z73" s="262">
        <f t="shared" si="20"/>
        <v>3573800.1958333384</v>
      </c>
    </row>
    <row r="74" spans="1:26">
      <c r="A74" s="242" t="s">
        <v>5728</v>
      </c>
      <c r="B74" s="262"/>
      <c r="C74" s="262"/>
      <c r="D74" s="262"/>
      <c r="E74" s="262"/>
      <c r="F74" s="262"/>
      <c r="G74" s="262"/>
      <c r="H74" s="262"/>
      <c r="I74" s="262"/>
      <c r="J74" s="262"/>
      <c r="K74" s="262"/>
      <c r="L74" s="262"/>
      <c r="M74" s="262"/>
      <c r="O74" s="571">
        <f>+O71*1000000/O73</f>
        <v>8.0598937149875702</v>
      </c>
      <c r="P74" s="571">
        <f t="shared" ref="P74:Z74" si="21">+P71*1000000/P73</f>
        <v>7.9298732758671289</v>
      </c>
      <c r="Q74" s="571">
        <f t="shared" si="21"/>
        <v>6.0065518987587518</v>
      </c>
      <c r="R74" s="571">
        <f t="shared" si="21"/>
        <v>4.882738233742197</v>
      </c>
      <c r="S74" s="571">
        <f t="shared" si="21"/>
        <v>3.8513091677336049</v>
      </c>
      <c r="T74" s="571">
        <f t="shared" si="21"/>
        <v>3.7808454322004912</v>
      </c>
      <c r="U74" s="571">
        <f t="shared" si="21"/>
        <v>3.2412061380940012</v>
      </c>
      <c r="V74" s="571">
        <f t="shared" si="21"/>
        <v>3.2354431792591081</v>
      </c>
      <c r="W74" s="571">
        <f t="shared" si="21"/>
        <v>2.8960701400047708</v>
      </c>
      <c r="X74" s="571">
        <f t="shared" si="21"/>
        <v>2.6313485867931088</v>
      </c>
      <c r="Y74" s="571">
        <f t="shared" si="21"/>
        <v>2.4057623812933686</v>
      </c>
      <c r="Z74" s="571">
        <f t="shared" si="21"/>
        <v>2.5183276923239917</v>
      </c>
    </row>
    <row r="75" spans="1:26">
      <c r="A75" s="242" t="s">
        <v>5729</v>
      </c>
      <c r="B75" s="262"/>
      <c r="C75" s="262"/>
      <c r="D75" s="262"/>
      <c r="E75" s="262"/>
      <c r="F75" s="262"/>
      <c r="G75" s="262"/>
      <c r="H75" s="262"/>
      <c r="I75" s="262"/>
      <c r="J75" s="262"/>
      <c r="K75" s="262"/>
      <c r="L75" s="262"/>
      <c r="M75" s="262"/>
      <c r="O75" s="63">
        <f>+O72*1000000/O73</f>
        <v>92.688777722357059</v>
      </c>
      <c r="P75" s="63">
        <f t="shared" ref="P75:Z75" si="22">+P72*1000000/P73</f>
        <v>132.82537737077442</v>
      </c>
      <c r="Q75" s="63">
        <f t="shared" si="22"/>
        <v>86.494347342126034</v>
      </c>
      <c r="R75" s="63">
        <f t="shared" si="22"/>
        <v>71.613494094885553</v>
      </c>
      <c r="S75" s="63">
        <f t="shared" si="22"/>
        <v>56.485867793426202</v>
      </c>
      <c r="T75" s="63">
        <f t="shared" si="22"/>
        <v>51.311473722720947</v>
      </c>
      <c r="U75" s="63">
        <f t="shared" si="22"/>
        <v>43.987797588418587</v>
      </c>
      <c r="V75" s="63">
        <f t="shared" si="22"/>
        <v>60.664559611108281</v>
      </c>
      <c r="W75" s="63">
        <f t="shared" si="22"/>
        <v>54.301315125089452</v>
      </c>
      <c r="X75" s="63">
        <f t="shared" si="22"/>
        <v>49.337786002370784</v>
      </c>
      <c r="Y75" s="63">
        <f t="shared" si="22"/>
        <v>45.108044649250658</v>
      </c>
      <c r="Z75" s="63">
        <f t="shared" si="22"/>
        <v>65.476520000423776</v>
      </c>
    </row>
    <row r="76" spans="1:26">
      <c r="A76" s="242" t="s">
        <v>5179</v>
      </c>
      <c r="B76" s="262"/>
      <c r="C76" s="262"/>
      <c r="D76" s="262"/>
      <c r="E76" s="262"/>
      <c r="F76" s="262"/>
      <c r="G76" s="262"/>
      <c r="H76" s="262"/>
      <c r="I76" s="262"/>
      <c r="J76" s="262"/>
      <c r="K76" s="262"/>
      <c r="L76" s="262"/>
      <c r="M76" s="262"/>
      <c r="O76" s="571">
        <v>4.5211124649331218</v>
      </c>
      <c r="P76" s="571">
        <v>4.2528624422275216</v>
      </c>
      <c r="Q76" s="571">
        <v>5.2159199840319834</v>
      </c>
      <c r="R76" s="571">
        <v>3.9029312887385448</v>
      </c>
      <c r="S76" s="571">
        <v>3.1463125311524269</v>
      </c>
      <c r="T76" s="571">
        <v>2.6636894609561561</v>
      </c>
      <c r="U76" s="571">
        <v>2.2662143657832812</v>
      </c>
      <c r="V76" s="571">
        <v>2.4357864046511697</v>
      </c>
      <c r="W76" s="571">
        <v>2.1520797780096115</v>
      </c>
      <c r="X76" s="571">
        <v>2.3331345252481923</v>
      </c>
      <c r="Y76" s="571">
        <v>2.1452293875266566</v>
      </c>
      <c r="Z76" s="571">
        <v>1.9810344382218723</v>
      </c>
    </row>
    <row r="77" spans="1:26">
      <c r="A77" s="242" t="s">
        <v>5180</v>
      </c>
      <c r="B77" s="262"/>
      <c r="C77" s="262"/>
      <c r="D77" s="262"/>
      <c r="E77" s="262"/>
      <c r="F77" s="262"/>
      <c r="G77" s="262"/>
      <c r="H77" s="262"/>
      <c r="I77" s="262"/>
      <c r="J77" s="262"/>
      <c r="K77" s="262"/>
      <c r="L77" s="262"/>
      <c r="M77" s="262"/>
      <c r="O77" s="63">
        <v>189.88672352719109</v>
      </c>
      <c r="P77" s="63">
        <v>140.34446059350822</v>
      </c>
      <c r="Q77" s="63">
        <v>740.66063773254155</v>
      </c>
      <c r="R77" s="63">
        <v>554.21624300087331</v>
      </c>
      <c r="S77" s="63">
        <v>446.77637942364464</v>
      </c>
      <c r="T77" s="63">
        <v>378.24390345577416</v>
      </c>
      <c r="U77" s="63">
        <v>321.80243994122594</v>
      </c>
      <c r="V77" s="63">
        <v>309.34487339069858</v>
      </c>
      <c r="W77" s="63">
        <v>273.31413180722069</v>
      </c>
      <c r="X77" s="63">
        <v>254.700519006261</v>
      </c>
      <c r="Y77" s="63">
        <v>234.18754147166004</v>
      </c>
      <c r="Z77" s="63">
        <v>216.26292617255439</v>
      </c>
    </row>
    <row r="78" spans="1:26">
      <c r="A78" s="242" t="s">
        <v>4728</v>
      </c>
      <c r="B78" s="1532"/>
      <c r="C78" s="1532"/>
      <c r="D78" s="1532"/>
      <c r="E78" s="1532"/>
      <c r="F78" s="1532"/>
      <c r="G78" s="1532"/>
      <c r="H78" s="1532"/>
      <c r="I78" s="1532"/>
      <c r="J78" s="1532"/>
      <c r="K78" s="1532"/>
      <c r="L78" s="1532"/>
      <c r="M78" s="1532"/>
      <c r="O78" s="571">
        <v>0</v>
      </c>
      <c r="P78" s="571">
        <v>0</v>
      </c>
      <c r="Q78" s="571">
        <v>1.4807598889066347</v>
      </c>
      <c r="R78" s="571">
        <v>2.1322022357419188</v>
      </c>
      <c r="S78" s="571">
        <v>1.7209593664769209</v>
      </c>
      <c r="T78" s="571">
        <v>1.4650538385177583</v>
      </c>
      <c r="U78" s="571">
        <v>1.9037881040518494</v>
      </c>
      <c r="V78" s="571">
        <v>2.7649300426317582</v>
      </c>
      <c r="W78" s="571">
        <v>2.40639941593414</v>
      </c>
      <c r="X78" s="571">
        <v>2.5753118697875412</v>
      </c>
      <c r="Y78" s="571">
        <v>2.7104698138384311</v>
      </c>
      <c r="Z78" s="571">
        <v>2.8302015817493751</v>
      </c>
    </row>
    <row r="79" spans="1:26">
      <c r="A79" s="242" t="s">
        <v>4729</v>
      </c>
      <c r="B79" s="1532"/>
      <c r="C79" s="1532"/>
      <c r="D79" s="1532"/>
      <c r="E79" s="1532"/>
      <c r="F79" s="1532"/>
      <c r="G79" s="1532"/>
      <c r="H79" s="1532"/>
      <c r="I79" s="1532"/>
      <c r="J79" s="1532"/>
      <c r="K79" s="1532"/>
      <c r="L79" s="1532"/>
      <c r="M79" s="1532"/>
      <c r="O79" s="63">
        <v>0</v>
      </c>
      <c r="P79" s="63">
        <v>0</v>
      </c>
      <c r="Q79" s="63">
        <v>10.365319222346443</v>
      </c>
      <c r="R79" s="63">
        <v>19.189820121677268</v>
      </c>
      <c r="S79" s="63">
        <v>15.488634298292288</v>
      </c>
      <c r="T79" s="63">
        <v>13.185484546659824</v>
      </c>
      <c r="U79" s="63">
        <v>19.037881040518492</v>
      </c>
      <c r="V79" s="63">
        <v>33.732146520107449</v>
      </c>
      <c r="W79" s="63">
        <v>29.358072874396509</v>
      </c>
      <c r="X79" s="63">
        <v>29.186867857592134</v>
      </c>
      <c r="Y79" s="63">
        <v>29.040748005411764</v>
      </c>
      <c r="Z79" s="63">
        <v>27.594465422056405</v>
      </c>
    </row>
    <row r="80" spans="1:26">
      <c r="A80" s="242" t="s">
        <v>4726</v>
      </c>
      <c r="B80" s="1532"/>
      <c r="C80" s="1532"/>
      <c r="D80" s="1532"/>
      <c r="E80" s="1532"/>
      <c r="F80" s="1532"/>
      <c r="G80" s="1532"/>
      <c r="H80" s="1532"/>
      <c r="I80" s="1532"/>
      <c r="J80" s="1532"/>
      <c r="K80" s="1532"/>
      <c r="L80" s="1532"/>
      <c r="M80" s="1532"/>
      <c r="O80" s="8">
        <v>0</v>
      </c>
      <c r="P80" s="8">
        <v>0</v>
      </c>
      <c r="Q80" s="571">
        <v>5.1340194564333936</v>
      </c>
      <c r="R80" s="571">
        <v>3.9177619285250427</v>
      </c>
      <c r="S80" s="571">
        <v>3.9935874679198955</v>
      </c>
      <c r="T80" s="571">
        <v>4.0599516094345613</v>
      </c>
      <c r="U80" s="571">
        <v>3.4949578494813225</v>
      </c>
      <c r="V80" s="571">
        <v>3.0185821624714109</v>
      </c>
      <c r="W80" s="571">
        <v>2.6686414379449497</v>
      </c>
      <c r="X80" s="571">
        <v>2.8061544017164421</v>
      </c>
      <c r="Y80" s="571">
        <v>2.5571898842653149</v>
      </c>
      <c r="Z80" s="571">
        <v>2.3615183880984447</v>
      </c>
    </row>
    <row r="81" spans="1:26">
      <c r="A81" s="242" t="s">
        <v>4727</v>
      </c>
      <c r="B81" s="1532"/>
      <c r="C81" s="1532"/>
      <c r="D81" s="1532"/>
      <c r="E81" s="1532"/>
      <c r="F81" s="1532"/>
      <c r="G81" s="1532"/>
      <c r="H81" s="1532"/>
      <c r="I81" s="1532"/>
      <c r="J81" s="1532"/>
      <c r="K81" s="1532"/>
      <c r="L81" s="1532"/>
      <c r="M81" s="1532"/>
      <c r="O81" s="8">
        <v>0</v>
      </c>
      <c r="P81" s="8">
        <v>0</v>
      </c>
      <c r="Q81" s="63">
        <v>5824.5450733236848</v>
      </c>
      <c r="R81" s="63">
        <v>4503.467336839537</v>
      </c>
      <c r="S81" s="63">
        <v>3704.451735242495</v>
      </c>
      <c r="T81" s="63">
        <v>3159.9956693432341</v>
      </c>
      <c r="U81" s="63">
        <v>2720.2421928462963</v>
      </c>
      <c r="V81" s="63">
        <v>2349.463116456915</v>
      </c>
      <c r="W81" s="63">
        <v>2077.0925858671526</v>
      </c>
      <c r="X81" s="63">
        <v>1873.3085027458476</v>
      </c>
      <c r="Y81" s="63">
        <v>1707.1069041674025</v>
      </c>
      <c r="Z81" s="63">
        <v>1576.482203940576</v>
      </c>
    </row>
    <row r="82" spans="1:26">
      <c r="A82" s="242" t="s">
        <v>4730</v>
      </c>
      <c r="B82" s="1532"/>
      <c r="C82" s="1532"/>
      <c r="D82" s="1532"/>
      <c r="E82" s="1532"/>
      <c r="F82" s="1532"/>
      <c r="G82" s="1532"/>
      <c r="H82" s="1532"/>
      <c r="I82" s="1532"/>
      <c r="J82" s="1532"/>
      <c r="K82" s="1532"/>
      <c r="L82" s="1532"/>
      <c r="M82" s="1532"/>
      <c r="O82" s="571">
        <f>+INDICADORES!$AJ$58</f>
        <v>1.6501650165016502</v>
      </c>
      <c r="P82" s="571">
        <f>+INDICADORES!$AJ$58</f>
        <v>1.6501650165016502</v>
      </c>
      <c r="Q82" s="571">
        <f>+INDICADORES!$AJ$58</f>
        <v>1.6501650165016502</v>
      </c>
      <c r="R82" s="571">
        <f>+INDICADORES!$AJ$58</f>
        <v>1.6501650165016502</v>
      </c>
      <c r="S82" s="571">
        <f>+INDICADORES!$AJ$58</f>
        <v>1.6501650165016502</v>
      </c>
      <c r="T82" s="571">
        <f>+INDICADORES!$AJ$58</f>
        <v>1.6501650165016502</v>
      </c>
      <c r="U82" s="571">
        <f>+INDICADORES!$AJ$58</f>
        <v>1.6501650165016502</v>
      </c>
      <c r="V82" s="571">
        <f>+INDICADORES!$AJ$58</f>
        <v>1.6501650165016502</v>
      </c>
      <c r="W82" s="571">
        <f>+INDICADORES!$AJ$58</f>
        <v>1.6501650165016502</v>
      </c>
      <c r="X82" s="571">
        <f>+INDICADORES!$AJ$58</f>
        <v>1.6501650165016502</v>
      </c>
      <c r="Y82" s="571">
        <f>+INDICADORES!$AJ$58</f>
        <v>1.6501650165016502</v>
      </c>
      <c r="Z82" s="556">
        <f>+INDICADORES!$AJ$58</f>
        <v>1.6501650165016502</v>
      </c>
    </row>
    <row r="83" spans="1:26" ht="13.8" thickBot="1">
      <c r="A83" s="1722" t="s">
        <v>4731</v>
      </c>
      <c r="B83" s="1534"/>
      <c r="C83" s="1534"/>
      <c r="D83" s="1534"/>
      <c r="E83" s="1534"/>
      <c r="F83" s="1534"/>
      <c r="G83" s="1534"/>
      <c r="H83" s="1534"/>
      <c r="I83" s="1534"/>
      <c r="J83" s="1534"/>
      <c r="K83" s="1534"/>
      <c r="L83" s="1534"/>
      <c r="M83" s="1534"/>
      <c r="N83" s="270"/>
      <c r="O83" s="1973">
        <f>+INDICADORES!$AN$58</f>
        <v>50</v>
      </c>
      <c r="P83" s="1973">
        <f>+INDICADORES!$AN$58</f>
        <v>50</v>
      </c>
      <c r="Q83" s="1973">
        <f>+INDICADORES!$AN$58</f>
        <v>50</v>
      </c>
      <c r="R83" s="1973">
        <f>+INDICADORES!$AN$58</f>
        <v>50</v>
      </c>
      <c r="S83" s="1973">
        <f>+INDICADORES!$AN$58</f>
        <v>50</v>
      </c>
      <c r="T83" s="1973">
        <f>+INDICADORES!$AN$58</f>
        <v>50</v>
      </c>
      <c r="U83" s="1973">
        <f>+INDICADORES!$AN$58</f>
        <v>50</v>
      </c>
      <c r="V83" s="1973">
        <f>+INDICADORES!$AN$58</f>
        <v>50</v>
      </c>
      <c r="W83" s="1973">
        <f>+INDICADORES!$AN$58</f>
        <v>50</v>
      </c>
      <c r="X83" s="1973">
        <f>+INDICADORES!$AN$58</f>
        <v>50</v>
      </c>
      <c r="Y83" s="1973">
        <f>+INDICADORES!$AN$58</f>
        <v>50</v>
      </c>
      <c r="Z83" s="1973">
        <f>+INDICADORES!$AN$58</f>
        <v>50</v>
      </c>
    </row>
    <row r="84" spans="1:26">
      <c r="A84" s="150" t="s">
        <v>2906</v>
      </c>
      <c r="O84" s="262"/>
      <c r="P84" s="262"/>
      <c r="Q84" s="262"/>
      <c r="R84" s="262"/>
      <c r="S84" s="262"/>
      <c r="T84" s="262"/>
      <c r="U84" s="262"/>
      <c r="V84" s="262"/>
      <c r="W84" s="262"/>
      <c r="X84" s="262"/>
      <c r="Y84" s="262"/>
      <c r="Z84" s="262"/>
    </row>
    <row r="85" spans="1:26">
      <c r="A85" s="242" t="s">
        <v>297</v>
      </c>
      <c r="B85" s="8">
        <f>+'ACCIDENTES INCAPACITANTES'!AH63</f>
        <v>0</v>
      </c>
      <c r="C85" s="8">
        <f>+'ACCIDENTES INCAPACITANTES'!AH64</f>
        <v>0</v>
      </c>
      <c r="D85" s="8">
        <f>+'ACCIDENTES INCAPACITANTES'!AH65</f>
        <v>0</v>
      </c>
      <c r="E85" s="8">
        <f>+'ACCIDENTES INCAPACITANTES'!AH66</f>
        <v>0</v>
      </c>
      <c r="F85" s="8">
        <f>+'ACCIDENTES INCAPACITANTES'!AH67</f>
        <v>0</v>
      </c>
      <c r="G85" s="8">
        <f>+'ACCIDENTES INCAPACITANTES'!AH68</f>
        <v>1</v>
      </c>
      <c r="H85" s="8">
        <f>+'ACCIDENTES INCAPACITANTES'!AH69</f>
        <v>0</v>
      </c>
      <c r="I85" s="8">
        <f>+'ACCIDENTES INCAPACITANTES'!AH70</f>
        <v>0</v>
      </c>
      <c r="J85" s="8">
        <f>+'ACCIDENTES INCAPACITANTES'!AH71</f>
        <v>0</v>
      </c>
      <c r="K85" s="8">
        <f>+'ACCIDENTES INCAPACITANTES'!AH72</f>
        <v>0</v>
      </c>
      <c r="L85" s="8">
        <f>+'ACCIDENTES INCAPACITANTES'!AH73</f>
        <v>1</v>
      </c>
      <c r="M85" s="8">
        <f>+'ACCIDENTES INCAPACITANTES'!AH74</f>
        <v>0</v>
      </c>
      <c r="O85" s="262">
        <f>+B85</f>
        <v>0</v>
      </c>
      <c r="P85" s="262">
        <f t="shared" ref="P85:Z87" si="23">+C85+O85</f>
        <v>0</v>
      </c>
      <c r="Q85" s="262">
        <f t="shared" si="23"/>
        <v>0</v>
      </c>
      <c r="R85" s="262">
        <f t="shared" si="23"/>
        <v>0</v>
      </c>
      <c r="S85" s="262">
        <f t="shared" si="23"/>
        <v>0</v>
      </c>
      <c r="T85" s="262">
        <f t="shared" si="23"/>
        <v>1</v>
      </c>
      <c r="U85" s="262">
        <f t="shared" si="23"/>
        <v>1</v>
      </c>
      <c r="V85" s="262">
        <f t="shared" si="23"/>
        <v>1</v>
      </c>
      <c r="W85" s="262">
        <f t="shared" si="23"/>
        <v>1</v>
      </c>
      <c r="X85" s="262">
        <f t="shared" si="23"/>
        <v>1</v>
      </c>
      <c r="Y85" s="262">
        <f t="shared" si="23"/>
        <v>2</v>
      </c>
      <c r="Z85" s="262">
        <f t="shared" si="23"/>
        <v>2</v>
      </c>
    </row>
    <row r="86" spans="1:26">
      <c r="A86" s="242" t="s">
        <v>635</v>
      </c>
      <c r="B86" s="8">
        <f>+'DIAS PERDIDOS'!AH63</f>
        <v>0</v>
      </c>
      <c r="C86" s="8">
        <f>+'DIAS PERDIDOS'!AH64</f>
        <v>0</v>
      </c>
      <c r="D86" s="8">
        <f>+'DIAS PERDIDOS'!AH65</f>
        <v>0</v>
      </c>
      <c r="E86" s="8">
        <f>+'DIAS PERDIDOS'!AH66</f>
        <v>0</v>
      </c>
      <c r="F86" s="8">
        <f>+'DIAS PERDIDOS'!AH67</f>
        <v>0</v>
      </c>
      <c r="G86" s="8">
        <f>+'DIAS PERDIDOS'!AH68</f>
        <v>72</v>
      </c>
      <c r="H86" s="8">
        <f>+'DIAS PERDIDOS'!AH69</f>
        <v>0</v>
      </c>
      <c r="I86" s="8">
        <f>+'DIAS PERDIDOS'!AH70</f>
        <v>0</v>
      </c>
      <c r="J86" s="8">
        <f>+'DIAS PERDIDOS'!AH71</f>
        <v>0</v>
      </c>
      <c r="K86" s="8">
        <f>+'DIAS PERDIDOS'!AH72</f>
        <v>0</v>
      </c>
      <c r="L86" s="8">
        <f>+'DIAS PERDIDOS'!AH73</f>
        <v>10</v>
      </c>
      <c r="M86" s="8">
        <f>+'DIAS PERDIDOS'!AH74</f>
        <v>0</v>
      </c>
      <c r="O86" s="262">
        <f>+B86</f>
        <v>0</v>
      </c>
      <c r="P86" s="262">
        <f t="shared" si="23"/>
        <v>0</v>
      </c>
      <c r="Q86" s="262">
        <f t="shared" si="23"/>
        <v>0</v>
      </c>
      <c r="R86" s="262">
        <f t="shared" si="23"/>
        <v>0</v>
      </c>
      <c r="S86" s="262">
        <f t="shared" si="23"/>
        <v>0</v>
      </c>
      <c r="T86" s="262">
        <f t="shared" si="23"/>
        <v>72</v>
      </c>
      <c r="U86" s="262">
        <f t="shared" si="23"/>
        <v>72</v>
      </c>
      <c r="V86" s="262">
        <f t="shared" si="23"/>
        <v>72</v>
      </c>
      <c r="W86" s="262">
        <f t="shared" si="23"/>
        <v>72</v>
      </c>
      <c r="X86" s="262">
        <f t="shared" si="23"/>
        <v>72</v>
      </c>
      <c r="Y86" s="262">
        <f t="shared" si="23"/>
        <v>82</v>
      </c>
      <c r="Z86" s="262">
        <f t="shared" si="23"/>
        <v>82</v>
      </c>
    </row>
    <row r="87" spans="1:26">
      <c r="A87" s="242" t="s">
        <v>302</v>
      </c>
      <c r="B87" s="262">
        <f>+'HORAS HOMBRE'!AH63</f>
        <v>23705</v>
      </c>
      <c r="C87" s="262">
        <f>+'HORAS HOMBRE'!AH64</f>
        <v>24983.68</v>
      </c>
      <c r="D87" s="262">
        <f>+'HORAS HOMBRE'!AH65</f>
        <v>28831.33</v>
      </c>
      <c r="E87" s="262">
        <f>+'HORAS HOMBRE'!AH66</f>
        <v>24705.8</v>
      </c>
      <c r="F87" s="262">
        <f>+'HORAS HOMBRE'!AH67</f>
        <v>30208.559999999998</v>
      </c>
      <c r="G87" s="262">
        <f>+'HORAS HOMBRE'!AH68</f>
        <v>30990.71</v>
      </c>
      <c r="H87" s="262">
        <f>+'HORAS HOMBRE'!AH69</f>
        <v>28147.06</v>
      </c>
      <c r="I87" s="262">
        <f>+'HORAS HOMBRE'!AH70</f>
        <v>30993.010000000002</v>
      </c>
      <c r="J87" s="262">
        <f>+'HORAS HOMBRE'!AH71</f>
        <v>34675.040000000001</v>
      </c>
      <c r="K87" s="262">
        <f>+'HORAS HOMBRE'!AH72</f>
        <v>31331.39</v>
      </c>
      <c r="L87" s="262">
        <f>+'HORAS HOMBRE'!AH73</f>
        <v>30212.420000000002</v>
      </c>
      <c r="M87" s="262">
        <f>+'HORAS HOMBRE'!AH74</f>
        <v>24918.41</v>
      </c>
      <c r="O87" s="262">
        <f>+B87</f>
        <v>23705</v>
      </c>
      <c r="P87" s="262">
        <f t="shared" si="23"/>
        <v>48688.68</v>
      </c>
      <c r="Q87" s="262">
        <f t="shared" si="23"/>
        <v>77520.010000000009</v>
      </c>
      <c r="R87" s="262">
        <f t="shared" si="23"/>
        <v>102225.81000000001</v>
      </c>
      <c r="S87" s="262">
        <f t="shared" si="23"/>
        <v>132434.37</v>
      </c>
      <c r="T87" s="262">
        <f t="shared" si="23"/>
        <v>163425.07999999999</v>
      </c>
      <c r="U87" s="262">
        <f t="shared" si="23"/>
        <v>191572.13999999998</v>
      </c>
      <c r="V87" s="262">
        <f t="shared" si="23"/>
        <v>222565.15</v>
      </c>
      <c r="W87" s="262">
        <f t="shared" si="23"/>
        <v>257240.19</v>
      </c>
      <c r="X87" s="262">
        <f t="shared" si="23"/>
        <v>288571.58</v>
      </c>
      <c r="Y87" s="262">
        <f t="shared" si="23"/>
        <v>318784</v>
      </c>
      <c r="Z87" s="262">
        <f t="shared" si="23"/>
        <v>343702.41</v>
      </c>
    </row>
    <row r="88" spans="1:26">
      <c r="A88" s="242" t="s">
        <v>5728</v>
      </c>
      <c r="B88" s="262"/>
      <c r="C88" s="262"/>
      <c r="D88" s="262"/>
      <c r="E88" s="262"/>
      <c r="F88" s="262"/>
      <c r="G88" s="262"/>
      <c r="H88" s="262"/>
      <c r="I88" s="262"/>
      <c r="J88" s="262"/>
      <c r="K88" s="262"/>
      <c r="L88" s="262"/>
      <c r="M88" s="262"/>
      <c r="O88" s="571">
        <f>+O85*1000000/O87</f>
        <v>0</v>
      </c>
      <c r="P88" s="571">
        <f t="shared" ref="P88:Z88" si="24">+P85*1000000/P87</f>
        <v>0</v>
      </c>
      <c r="Q88" s="571">
        <f t="shared" si="24"/>
        <v>0</v>
      </c>
      <c r="R88" s="571">
        <f t="shared" si="24"/>
        <v>0</v>
      </c>
      <c r="S88" s="571">
        <f t="shared" si="24"/>
        <v>0</v>
      </c>
      <c r="T88" s="571">
        <f t="shared" si="24"/>
        <v>6.1190118432250431</v>
      </c>
      <c r="U88" s="571">
        <f t="shared" si="24"/>
        <v>5.2199657006493743</v>
      </c>
      <c r="V88" s="571">
        <f t="shared" si="24"/>
        <v>4.4930664122392932</v>
      </c>
      <c r="W88" s="571">
        <f t="shared" si="24"/>
        <v>3.8874174365988456</v>
      </c>
      <c r="X88" s="571">
        <f t="shared" si="24"/>
        <v>3.4653447162052475</v>
      </c>
      <c r="Y88" s="571">
        <f t="shared" si="24"/>
        <v>6.2738405942581812</v>
      </c>
      <c r="Z88" s="571">
        <f t="shared" si="24"/>
        <v>5.8189874199601919</v>
      </c>
    </row>
    <row r="89" spans="1:26">
      <c r="A89" s="242" t="s">
        <v>5729</v>
      </c>
      <c r="B89" s="262"/>
      <c r="C89" s="262"/>
      <c r="D89" s="262"/>
      <c r="E89" s="262"/>
      <c r="F89" s="262"/>
      <c r="G89" s="262"/>
      <c r="H89" s="262"/>
      <c r="I89" s="262"/>
      <c r="J89" s="262"/>
      <c r="K89" s="262"/>
      <c r="L89" s="262"/>
      <c r="M89" s="262"/>
      <c r="O89" s="63">
        <f>+O86*1000000/O87</f>
        <v>0</v>
      </c>
      <c r="P89" s="63">
        <f t="shared" ref="P89:Z89" si="25">+P86*1000000/P87</f>
        <v>0</v>
      </c>
      <c r="Q89" s="63">
        <f t="shared" si="25"/>
        <v>0</v>
      </c>
      <c r="R89" s="63">
        <f t="shared" si="25"/>
        <v>0</v>
      </c>
      <c r="S89" s="63">
        <f t="shared" si="25"/>
        <v>0</v>
      </c>
      <c r="T89" s="63">
        <f t="shared" si="25"/>
        <v>440.56885271220307</v>
      </c>
      <c r="U89" s="63">
        <f t="shared" si="25"/>
        <v>375.83753044675495</v>
      </c>
      <c r="V89" s="63">
        <f t="shared" si="25"/>
        <v>323.50078168122906</v>
      </c>
      <c r="W89" s="63">
        <f t="shared" si="25"/>
        <v>279.89405543511685</v>
      </c>
      <c r="X89" s="63">
        <f t="shared" si="25"/>
        <v>249.50481956677783</v>
      </c>
      <c r="Y89" s="63">
        <f t="shared" si="25"/>
        <v>257.22746436458544</v>
      </c>
      <c r="Z89" s="63">
        <f t="shared" si="25"/>
        <v>238.57848421836789</v>
      </c>
    </row>
    <row r="90" spans="1:26">
      <c r="A90" s="242" t="s">
        <v>5179</v>
      </c>
      <c r="B90" s="262"/>
      <c r="C90" s="262"/>
      <c r="D90" s="262"/>
      <c r="E90" s="262"/>
      <c r="F90" s="262"/>
      <c r="G90" s="262"/>
      <c r="H90" s="262"/>
      <c r="I90" s="262"/>
      <c r="J90" s="262"/>
      <c r="K90" s="262"/>
      <c r="L90" s="262"/>
      <c r="M90" s="262"/>
      <c r="O90" s="571">
        <v>0</v>
      </c>
      <c r="P90" s="571">
        <v>0</v>
      </c>
      <c r="Q90" s="571">
        <v>15.679646016311537</v>
      </c>
      <c r="R90" s="571">
        <v>11.707742563375392</v>
      </c>
      <c r="S90" s="571">
        <v>8.6728958226046728</v>
      </c>
      <c r="T90" s="571">
        <v>6.9193496737945939</v>
      </c>
      <c r="U90" s="571">
        <v>5.9495565987042713</v>
      </c>
      <c r="V90" s="571">
        <v>4.9881085387916446</v>
      </c>
      <c r="W90" s="571">
        <v>4.3080869369393486</v>
      </c>
      <c r="X90" s="571">
        <v>3.86165016705321</v>
      </c>
      <c r="Y90" s="571">
        <v>3.5027777258549357</v>
      </c>
      <c r="Z90" s="571">
        <v>3.2084981318506789</v>
      </c>
    </row>
    <row r="91" spans="1:26">
      <c r="A91" s="242" t="s">
        <v>5180</v>
      </c>
      <c r="B91" s="262"/>
      <c r="C91" s="262"/>
      <c r="D91" s="262"/>
      <c r="E91" s="262"/>
      <c r="F91" s="262"/>
      <c r="G91" s="262"/>
      <c r="H91" s="262"/>
      <c r="I91" s="262"/>
      <c r="J91" s="262"/>
      <c r="K91" s="262"/>
      <c r="L91" s="262"/>
      <c r="M91" s="262"/>
      <c r="O91" s="63">
        <v>0</v>
      </c>
      <c r="P91" s="63">
        <v>0</v>
      </c>
      <c r="Q91" s="63">
        <v>329.27256634254229</v>
      </c>
      <c r="R91" s="63">
        <v>245.86259383088324</v>
      </c>
      <c r="S91" s="63">
        <v>182.13081227469814</v>
      </c>
      <c r="T91" s="63">
        <v>145.30634314968648</v>
      </c>
      <c r="U91" s="63">
        <v>124.94068857278968</v>
      </c>
      <c r="V91" s="63">
        <v>104.75027931462455</v>
      </c>
      <c r="W91" s="63">
        <v>90.469825675726327</v>
      </c>
      <c r="X91" s="63">
        <v>81.094653508117403</v>
      </c>
      <c r="Y91" s="63">
        <v>73.558332242953654</v>
      </c>
      <c r="Z91" s="63">
        <v>67.378460768864258</v>
      </c>
    </row>
    <row r="92" spans="1:26">
      <c r="A92" s="242" t="s">
        <v>4728</v>
      </c>
      <c r="B92" s="1532"/>
      <c r="C92" s="1532"/>
      <c r="D92" s="1532"/>
      <c r="E92" s="1532"/>
      <c r="F92" s="1532"/>
      <c r="G92" s="1532"/>
      <c r="H92" s="1532"/>
      <c r="I92" s="1532"/>
      <c r="J92" s="1532"/>
      <c r="K92" s="1532"/>
      <c r="L92" s="1532"/>
      <c r="M92" s="1532"/>
      <c r="O92" s="571">
        <v>0</v>
      </c>
      <c r="P92" s="571">
        <v>0</v>
      </c>
      <c r="Q92" s="571">
        <v>0</v>
      </c>
      <c r="R92" s="571">
        <v>0</v>
      </c>
      <c r="S92" s="571">
        <v>0</v>
      </c>
      <c r="T92" s="571">
        <v>0</v>
      </c>
      <c r="U92" s="571">
        <v>0</v>
      </c>
      <c r="V92" s="571">
        <v>0</v>
      </c>
      <c r="W92" s="571">
        <v>0</v>
      </c>
      <c r="X92" s="571">
        <v>0</v>
      </c>
      <c r="Y92" s="571">
        <v>0</v>
      </c>
      <c r="Z92" s="571">
        <v>0</v>
      </c>
    </row>
    <row r="93" spans="1:26">
      <c r="A93" s="242" t="s">
        <v>4729</v>
      </c>
      <c r="B93" s="1532"/>
      <c r="C93" s="1532"/>
      <c r="D93" s="1532"/>
      <c r="E93" s="1532"/>
      <c r="F93" s="1532"/>
      <c r="G93" s="1532"/>
      <c r="H93" s="1532"/>
      <c r="I93" s="1532"/>
      <c r="J93" s="1532"/>
      <c r="K93" s="1532"/>
      <c r="L93" s="1532"/>
      <c r="M93" s="1532"/>
      <c r="O93" s="63">
        <v>0</v>
      </c>
      <c r="P93" s="63">
        <v>0</v>
      </c>
      <c r="Q93" s="63">
        <v>0</v>
      </c>
      <c r="R93" s="63">
        <v>0</v>
      </c>
      <c r="S93" s="63">
        <v>0</v>
      </c>
      <c r="T93" s="63">
        <v>0</v>
      </c>
      <c r="U93" s="63">
        <v>0</v>
      </c>
      <c r="V93" s="63">
        <v>0</v>
      </c>
      <c r="W93" s="63">
        <v>0</v>
      </c>
      <c r="X93" s="63">
        <v>0</v>
      </c>
      <c r="Y93" s="63">
        <v>0</v>
      </c>
      <c r="Z93" s="63">
        <v>0</v>
      </c>
    </row>
    <row r="94" spans="1:26">
      <c r="A94" s="242" t="s">
        <v>4726</v>
      </c>
      <c r="B94" s="1532"/>
      <c r="C94" s="1532"/>
      <c r="D94" s="1532"/>
      <c r="E94" s="1532"/>
      <c r="F94" s="1532"/>
      <c r="G94" s="1532"/>
      <c r="H94" s="1532"/>
      <c r="I94" s="1532"/>
      <c r="J94" s="1532"/>
      <c r="K94" s="1532"/>
      <c r="L94" s="1532"/>
      <c r="M94" s="1532"/>
      <c r="O94" s="8">
        <v>0</v>
      </c>
      <c r="P94" s="8">
        <v>0</v>
      </c>
      <c r="Q94" s="8">
        <v>0</v>
      </c>
      <c r="R94" s="8">
        <v>0</v>
      </c>
      <c r="S94" s="8">
        <v>0</v>
      </c>
      <c r="T94" s="8">
        <v>0</v>
      </c>
      <c r="U94" s="8">
        <v>0</v>
      </c>
      <c r="V94" s="8">
        <v>0</v>
      </c>
      <c r="W94" s="8">
        <v>0</v>
      </c>
      <c r="X94" s="8">
        <v>0</v>
      </c>
      <c r="Y94" s="8">
        <v>0</v>
      </c>
      <c r="Z94" s="8">
        <v>4</v>
      </c>
    </row>
    <row r="95" spans="1:26">
      <c r="A95" s="242" t="s">
        <v>4727</v>
      </c>
      <c r="B95" s="1532"/>
      <c r="C95" s="1532"/>
      <c r="D95" s="1532"/>
      <c r="E95" s="1532"/>
      <c r="F95" s="1532"/>
      <c r="G95" s="1532"/>
      <c r="H95" s="1532"/>
      <c r="I95" s="1532"/>
      <c r="J95" s="1532"/>
      <c r="K95" s="1532"/>
      <c r="L95" s="1532"/>
      <c r="M95" s="1532"/>
      <c r="O95" s="8">
        <v>0</v>
      </c>
      <c r="P95" s="8">
        <v>0</v>
      </c>
      <c r="Q95" s="8">
        <v>0</v>
      </c>
      <c r="R95" s="8">
        <v>0</v>
      </c>
      <c r="S95" s="8">
        <v>0</v>
      </c>
      <c r="T95" s="8">
        <v>0</v>
      </c>
      <c r="U95" s="8">
        <v>0</v>
      </c>
      <c r="V95" s="8">
        <v>0</v>
      </c>
      <c r="W95" s="8">
        <v>0</v>
      </c>
      <c r="X95" s="8">
        <v>0</v>
      </c>
      <c r="Y95" s="8">
        <v>0</v>
      </c>
      <c r="Z95" s="8">
        <v>468</v>
      </c>
    </row>
    <row r="96" spans="1:26">
      <c r="A96" s="242" t="s">
        <v>4730</v>
      </c>
      <c r="B96" s="1532"/>
      <c r="C96" s="1532"/>
      <c r="D96" s="1532"/>
      <c r="E96" s="1532"/>
      <c r="F96" s="1532"/>
      <c r="G96" s="1532"/>
      <c r="H96" s="1532"/>
      <c r="I96" s="1532"/>
      <c r="J96" s="1532"/>
      <c r="K96" s="1532"/>
      <c r="L96" s="1532"/>
      <c r="M96" s="1532"/>
      <c r="O96" s="8">
        <f>+INDICADORES!$AJ$59</f>
        <v>0</v>
      </c>
      <c r="P96" s="8">
        <f>+INDICADORES!$AJ$59</f>
        <v>0</v>
      </c>
      <c r="Q96" s="8">
        <f>+INDICADORES!$AJ$59</f>
        <v>0</v>
      </c>
      <c r="R96" s="8">
        <f>+INDICADORES!$AJ$59</f>
        <v>0</v>
      </c>
      <c r="S96" s="8">
        <f>+INDICADORES!$AJ$59</f>
        <v>0</v>
      </c>
      <c r="T96" s="8">
        <f>+INDICADORES!$AJ$59</f>
        <v>0</v>
      </c>
      <c r="U96" s="8">
        <f>+INDICADORES!$AJ$59</f>
        <v>0</v>
      </c>
      <c r="V96" s="8">
        <f>+INDICADORES!$AJ$59</f>
        <v>0</v>
      </c>
      <c r="W96" s="8">
        <f>+INDICADORES!$AJ$59</f>
        <v>0</v>
      </c>
      <c r="X96" s="8">
        <f>+INDICADORES!$AJ$59</f>
        <v>0</v>
      </c>
      <c r="Y96" s="8">
        <f>+INDICADORES!$AJ$59</f>
        <v>0</v>
      </c>
      <c r="Z96" s="8">
        <f>+INDICADORES!$AJ$59</f>
        <v>0</v>
      </c>
    </row>
    <row r="97" spans="1:26" ht="13.8" thickBot="1">
      <c r="A97" s="1722" t="s">
        <v>4731</v>
      </c>
      <c r="B97" s="1534"/>
      <c r="C97" s="1534"/>
      <c r="D97" s="1534"/>
      <c r="E97" s="1534"/>
      <c r="F97" s="1534"/>
      <c r="G97" s="1534"/>
      <c r="H97" s="1534"/>
      <c r="I97" s="1534"/>
      <c r="J97" s="1534"/>
      <c r="K97" s="1534"/>
      <c r="L97" s="1534"/>
      <c r="M97" s="1534"/>
      <c r="N97" s="270"/>
      <c r="O97" s="1973">
        <f>+INDICADORES!$AN$59</f>
        <v>0</v>
      </c>
      <c r="P97" s="1973">
        <f>+INDICADORES!$AN$59</f>
        <v>0</v>
      </c>
      <c r="Q97" s="1973">
        <f>+INDICADORES!$AN$59</f>
        <v>0</v>
      </c>
      <c r="R97" s="1973">
        <f>+INDICADORES!$AN$59</f>
        <v>0</v>
      </c>
      <c r="S97" s="1973">
        <f>+INDICADORES!$AN$59</f>
        <v>0</v>
      </c>
      <c r="T97" s="1973">
        <f>+INDICADORES!$AN$59</f>
        <v>0</v>
      </c>
      <c r="U97" s="1973">
        <f>+INDICADORES!$AN$59</f>
        <v>0</v>
      </c>
      <c r="V97" s="1973">
        <f>+INDICADORES!$AN$59</f>
        <v>0</v>
      </c>
      <c r="W97" s="1973">
        <f>+INDICADORES!$AN$59</f>
        <v>0</v>
      </c>
      <c r="X97" s="1973">
        <f>+INDICADORES!$AN$59</f>
        <v>0</v>
      </c>
      <c r="Y97" s="1973">
        <f>+INDICADORES!$AN$59</f>
        <v>0</v>
      </c>
      <c r="Z97" s="1973">
        <f>+INDICADORES!$AN$59</f>
        <v>0</v>
      </c>
    </row>
    <row r="99" spans="1:26">
      <c r="A99" s="150" t="s">
        <v>5372</v>
      </c>
    </row>
    <row r="100" spans="1:26">
      <c r="A100" s="242" t="s">
        <v>297</v>
      </c>
      <c r="B100" s="63">
        <f>B85+B71+B57+B45+B33+B19</f>
        <v>3</v>
      </c>
      <c r="C100" s="63">
        <f t="shared" ref="C100:M100" si="26">C85+C71+C57+C45+C33+C19</f>
        <v>2</v>
      </c>
      <c r="D100" s="63">
        <f t="shared" si="26"/>
        <v>3</v>
      </c>
      <c r="E100" s="63">
        <f t="shared" si="26"/>
        <v>1</v>
      </c>
      <c r="F100" s="63">
        <f t="shared" si="26"/>
        <v>0</v>
      </c>
      <c r="G100" s="63">
        <f t="shared" si="26"/>
        <v>3</v>
      </c>
      <c r="H100" s="63">
        <f t="shared" si="26"/>
        <v>0</v>
      </c>
      <c r="I100" s="63">
        <f>I85+I71+I57+I45+I33+I19</f>
        <v>2</v>
      </c>
      <c r="J100" s="63">
        <f t="shared" si="26"/>
        <v>1</v>
      </c>
      <c r="K100" s="63">
        <f t="shared" si="26"/>
        <v>1</v>
      </c>
      <c r="L100" s="63">
        <f t="shared" si="26"/>
        <v>1</v>
      </c>
      <c r="M100" s="63">
        <f t="shared" si="26"/>
        <v>1</v>
      </c>
      <c r="O100" s="262">
        <f>+B100</f>
        <v>3</v>
      </c>
      <c r="P100" s="262">
        <f t="shared" ref="P100:Z102" si="27">+C100+O100</f>
        <v>5</v>
      </c>
      <c r="Q100" s="262">
        <f t="shared" si="27"/>
        <v>8</v>
      </c>
      <c r="R100" s="262">
        <f t="shared" si="27"/>
        <v>9</v>
      </c>
      <c r="S100" s="262">
        <f t="shared" si="27"/>
        <v>9</v>
      </c>
      <c r="T100" s="262">
        <f t="shared" si="27"/>
        <v>12</v>
      </c>
      <c r="U100" s="262">
        <f t="shared" si="27"/>
        <v>12</v>
      </c>
      <c r="V100" s="262">
        <f>+I100+U100</f>
        <v>14</v>
      </c>
      <c r="W100" s="262">
        <f t="shared" si="27"/>
        <v>15</v>
      </c>
      <c r="X100" s="262">
        <f t="shared" si="27"/>
        <v>16</v>
      </c>
      <c r="Y100" s="262">
        <f t="shared" si="27"/>
        <v>17</v>
      </c>
      <c r="Z100" s="262">
        <f t="shared" si="27"/>
        <v>18</v>
      </c>
    </row>
    <row r="101" spans="1:26">
      <c r="A101" s="242" t="s">
        <v>635</v>
      </c>
      <c r="B101" s="63">
        <f>+B86+B72+B58+B46+B34+B20</f>
        <v>43</v>
      </c>
      <c r="C101" s="63">
        <f t="shared" ref="C101:M101" si="28">+C86+C72+C58+C46+C34+C20</f>
        <v>44</v>
      </c>
      <c r="D101" s="63">
        <f t="shared" si="28"/>
        <v>28</v>
      </c>
      <c r="E101" s="63">
        <f t="shared" si="28"/>
        <v>16</v>
      </c>
      <c r="F101" s="63">
        <f t="shared" si="28"/>
        <v>0</v>
      </c>
      <c r="G101" s="63">
        <f t="shared" si="28"/>
        <v>81</v>
      </c>
      <c r="H101" s="63">
        <f t="shared" si="28"/>
        <v>0</v>
      </c>
      <c r="I101" s="63">
        <f t="shared" si="28"/>
        <v>71</v>
      </c>
      <c r="J101" s="63">
        <f t="shared" si="28"/>
        <v>8</v>
      </c>
      <c r="K101" s="63">
        <f t="shared" si="28"/>
        <v>30</v>
      </c>
      <c r="L101" s="63">
        <f t="shared" si="28"/>
        <v>10</v>
      </c>
      <c r="M101" s="63">
        <f t="shared" si="28"/>
        <v>84</v>
      </c>
      <c r="O101" s="262">
        <f>+B101</f>
        <v>43</v>
      </c>
      <c r="P101" s="262">
        <f t="shared" si="27"/>
        <v>87</v>
      </c>
      <c r="Q101" s="262">
        <f t="shared" si="27"/>
        <v>115</v>
      </c>
      <c r="R101" s="262">
        <f t="shared" si="27"/>
        <v>131</v>
      </c>
      <c r="S101" s="262">
        <f t="shared" si="27"/>
        <v>131</v>
      </c>
      <c r="T101" s="262">
        <f t="shared" si="27"/>
        <v>212</v>
      </c>
      <c r="U101" s="262">
        <f t="shared" si="27"/>
        <v>212</v>
      </c>
      <c r="V101" s="262">
        <f t="shared" si="27"/>
        <v>283</v>
      </c>
      <c r="W101" s="262">
        <f t="shared" si="27"/>
        <v>291</v>
      </c>
      <c r="X101" s="262">
        <f t="shared" si="27"/>
        <v>321</v>
      </c>
      <c r="Y101" s="262">
        <f t="shared" si="27"/>
        <v>331</v>
      </c>
      <c r="Z101" s="262">
        <f t="shared" si="27"/>
        <v>415</v>
      </c>
    </row>
    <row r="102" spans="1:26">
      <c r="A102" s="242" t="s">
        <v>302</v>
      </c>
      <c r="B102" s="262">
        <f>+B87+B73+B59+B47+B35+B21</f>
        <v>490166.98032258067</v>
      </c>
      <c r="C102" s="262">
        <f t="shared" ref="C102:M102" si="29">+C87+C73+C59+C47+C35+C21</f>
        <v>480336.18</v>
      </c>
      <c r="D102" s="262">
        <f t="shared" si="29"/>
        <v>604266.16999999993</v>
      </c>
      <c r="E102" s="262">
        <f t="shared" si="29"/>
        <v>660976.30999999994</v>
      </c>
      <c r="F102" s="262">
        <f t="shared" si="29"/>
        <v>645122.46055556124</v>
      </c>
      <c r="G102" s="262">
        <f t="shared" si="29"/>
        <v>611162.07999999996</v>
      </c>
      <c r="H102" s="262">
        <f t="shared" si="29"/>
        <v>638485.66999999993</v>
      </c>
      <c r="I102" s="262">
        <f t="shared" si="29"/>
        <v>645450.41</v>
      </c>
      <c r="J102" s="262">
        <f t="shared" si="29"/>
        <v>628305.25861111027</v>
      </c>
      <c r="K102" s="262">
        <f t="shared" si="29"/>
        <v>606645.09</v>
      </c>
      <c r="L102" s="262">
        <f t="shared" si="29"/>
        <v>657712.41999999993</v>
      </c>
      <c r="M102" s="262">
        <f t="shared" si="29"/>
        <v>599428.11</v>
      </c>
      <c r="O102" s="262">
        <f>+B102</f>
        <v>490166.98032258067</v>
      </c>
      <c r="P102" s="262">
        <f t="shared" si="27"/>
        <v>970503.16032258072</v>
      </c>
      <c r="Q102" s="262">
        <f t="shared" si="27"/>
        <v>1574769.3303225806</v>
      </c>
      <c r="R102" s="262">
        <f t="shared" si="27"/>
        <v>2235745.6403225805</v>
      </c>
      <c r="S102" s="262">
        <f t="shared" si="27"/>
        <v>2880868.1008781418</v>
      </c>
      <c r="T102" s="262">
        <f t="shared" si="27"/>
        <v>3492030.1808781419</v>
      </c>
      <c r="U102" s="262">
        <f t="shared" si="27"/>
        <v>4130515.8508781418</v>
      </c>
      <c r="V102" s="262">
        <f t="shared" si="27"/>
        <v>4775966.260878142</v>
      </c>
      <c r="W102" s="262">
        <f t="shared" si="27"/>
        <v>5404271.519489252</v>
      </c>
      <c r="X102" s="262">
        <f t="shared" si="27"/>
        <v>6010916.6094892519</v>
      </c>
      <c r="Y102" s="262">
        <f t="shared" si="27"/>
        <v>6668629.0294892518</v>
      </c>
      <c r="Z102" s="262">
        <f t="shared" si="27"/>
        <v>7268057.1394892521</v>
      </c>
    </row>
    <row r="103" spans="1:26">
      <c r="A103" s="242" t="s">
        <v>5728</v>
      </c>
      <c r="B103" s="262"/>
      <c r="C103" s="262"/>
      <c r="D103" s="262"/>
      <c r="E103" s="262"/>
      <c r="F103" s="262"/>
      <c r="G103" s="262"/>
      <c r="H103" s="262"/>
      <c r="I103" s="262"/>
      <c r="J103" s="262"/>
      <c r="K103" s="262"/>
      <c r="L103" s="262"/>
      <c r="M103" s="262"/>
      <c r="O103" s="571">
        <f>+O100*1000000/O102</f>
        <v>6.1203633056345188</v>
      </c>
      <c r="P103" s="571">
        <f t="shared" ref="P103:Z103" si="30">+P100*1000000/P102</f>
        <v>5.1519667368605733</v>
      </c>
      <c r="Q103" s="571">
        <f t="shared" si="30"/>
        <v>5.0801090965882949</v>
      </c>
      <c r="R103" s="571">
        <f t="shared" si="30"/>
        <v>4.0255026500695541</v>
      </c>
      <c r="S103" s="571">
        <f t="shared" si="30"/>
        <v>3.1240583341030552</v>
      </c>
      <c r="T103" s="571">
        <f t="shared" si="30"/>
        <v>3.4363964165345089</v>
      </c>
      <c r="U103" s="571">
        <f t="shared" si="30"/>
        <v>2.9052061372549427</v>
      </c>
      <c r="V103" s="571">
        <f t="shared" si="30"/>
        <v>2.9313439909908126</v>
      </c>
      <c r="W103" s="571">
        <f t="shared" si="30"/>
        <v>2.77558223081612</v>
      </c>
      <c r="X103" s="571">
        <f t="shared" si="30"/>
        <v>2.6618236517773819</v>
      </c>
      <c r="Y103" s="571">
        <f t="shared" si="30"/>
        <v>2.5492496170988872</v>
      </c>
      <c r="Z103" s="571">
        <f t="shared" si="30"/>
        <v>2.4765903259347399</v>
      </c>
    </row>
    <row r="104" spans="1:26">
      <c r="A104" s="242" t="s">
        <v>5729</v>
      </c>
      <c r="B104" s="262"/>
      <c r="C104" s="262"/>
      <c r="D104" s="262"/>
      <c r="E104" s="262"/>
      <c r="F104" s="262"/>
      <c r="G104" s="262"/>
      <c r="H104" s="262"/>
      <c r="I104" s="262"/>
      <c r="J104" s="262"/>
      <c r="K104" s="262"/>
      <c r="L104" s="262"/>
      <c r="M104" s="262"/>
      <c r="O104" s="63">
        <f>+O101*1000000/O102</f>
        <v>87.725207380761432</v>
      </c>
      <c r="P104" s="63">
        <f t="shared" ref="P104:Z104" si="31">+P101*1000000/P102</f>
        <v>89.644221221373982</v>
      </c>
      <c r="Q104" s="63">
        <f t="shared" si="31"/>
        <v>73.026568263456738</v>
      </c>
      <c r="R104" s="63">
        <f t="shared" si="31"/>
        <v>58.593427462123508</v>
      </c>
      <c r="S104" s="63">
        <f t="shared" si="31"/>
        <v>45.472404640833361</v>
      </c>
      <c r="T104" s="63">
        <f t="shared" si="31"/>
        <v>60.709670025442989</v>
      </c>
      <c r="U104" s="63">
        <f t="shared" si="31"/>
        <v>51.325308424837324</v>
      </c>
      <c r="V104" s="63">
        <f t="shared" si="31"/>
        <v>59.255024960742851</v>
      </c>
      <c r="W104" s="63">
        <f t="shared" si="31"/>
        <v>53.846295277832724</v>
      </c>
      <c r="X104" s="63">
        <f t="shared" si="31"/>
        <v>53.402837013783724</v>
      </c>
      <c r="Y104" s="63">
        <f t="shared" si="31"/>
        <v>49.63538960351363</v>
      </c>
      <c r="Z104" s="63">
        <f t="shared" si="31"/>
        <v>57.099165847939837</v>
      </c>
    </row>
    <row r="105" spans="1:26">
      <c r="A105" s="242" t="s">
        <v>5179</v>
      </c>
      <c r="B105" s="262"/>
      <c r="C105" s="262"/>
      <c r="D105" s="262"/>
      <c r="E105" s="262"/>
      <c r="F105" s="262"/>
      <c r="G105" s="262"/>
      <c r="H105" s="262"/>
      <c r="I105" s="262"/>
      <c r="J105" s="262"/>
      <c r="K105" s="262"/>
      <c r="L105" s="262"/>
      <c r="M105" s="262"/>
      <c r="O105" s="571">
        <v>4.7073712113840802</v>
      </c>
      <c r="P105" s="571">
        <v>3.4599011697683659</v>
      </c>
      <c r="Q105" s="571">
        <v>5.8259125711272013</v>
      </c>
      <c r="R105" s="571">
        <v>4.3740505587441056</v>
      </c>
      <c r="S105" s="571">
        <v>3.5021518913635443</v>
      </c>
      <c r="T105" s="571">
        <v>2.9374031468694533</v>
      </c>
      <c r="U105" s="571">
        <v>3.1247180016215585</v>
      </c>
      <c r="V105" s="571">
        <v>2.9649079129069671</v>
      </c>
      <c r="W105" s="571">
        <v>2.6177237942897404</v>
      </c>
      <c r="X105" s="571">
        <v>2.7850838757390965</v>
      </c>
      <c r="Y105" s="571">
        <v>2.5392618186015046</v>
      </c>
      <c r="Z105" s="571">
        <v>2.5111534777986058</v>
      </c>
    </row>
    <row r="106" spans="1:26">
      <c r="A106" s="242" t="s">
        <v>5180</v>
      </c>
      <c r="B106" s="262"/>
      <c r="C106" s="262"/>
      <c r="D106" s="262"/>
      <c r="E106" s="262"/>
      <c r="F106" s="262"/>
      <c r="G106" s="262"/>
      <c r="H106" s="262"/>
      <c r="I106" s="262"/>
      <c r="J106" s="262"/>
      <c r="K106" s="262"/>
      <c r="L106" s="262"/>
      <c r="M106" s="262"/>
      <c r="O106" s="63">
        <v>110.62322346752589</v>
      </c>
      <c r="P106" s="63">
        <v>81.884327684517999</v>
      </c>
      <c r="Q106" s="63">
        <v>439.85639912010373</v>
      </c>
      <c r="R106" s="63">
        <v>330.24081718517994</v>
      </c>
      <c r="S106" s="63">
        <v>264.41246779794761</v>
      </c>
      <c r="T106" s="63">
        <v>221.77393758864375</v>
      </c>
      <c r="U106" s="63">
        <v>191.85768529956371</v>
      </c>
      <c r="V106" s="63">
        <v>183.55475351724041</v>
      </c>
      <c r="W106" s="63">
        <v>162.06090035557395</v>
      </c>
      <c r="X106" s="63">
        <v>150.82300373233261</v>
      </c>
      <c r="Y106" s="63">
        <v>137.51079386888148</v>
      </c>
      <c r="Z106" s="63">
        <v>128.06882736772891</v>
      </c>
    </row>
    <row r="107" spans="1:26">
      <c r="A107" s="242" t="s">
        <v>4728</v>
      </c>
      <c r="B107" s="1532"/>
      <c r="C107" s="1532"/>
      <c r="D107" s="1532"/>
      <c r="E107" s="1532"/>
      <c r="F107" s="1532"/>
      <c r="G107" s="1532"/>
      <c r="H107" s="1532"/>
      <c r="I107" s="1532"/>
      <c r="J107" s="1532"/>
      <c r="K107" s="1532"/>
      <c r="L107" s="1532"/>
      <c r="M107" s="1532"/>
      <c r="O107" s="571">
        <v>0</v>
      </c>
      <c r="P107" s="571">
        <v>1.4051662194462342</v>
      </c>
      <c r="Q107" s="571">
        <v>2.2735902802311863</v>
      </c>
      <c r="R107" s="571">
        <v>2.6579528623051623</v>
      </c>
      <c r="S107" s="571">
        <v>2.3885294991459229</v>
      </c>
      <c r="T107" s="571">
        <v>2.8777798116472932</v>
      </c>
      <c r="U107" s="571">
        <v>2.844580122122657</v>
      </c>
      <c r="V107" s="571">
        <v>2.802334189262218</v>
      </c>
      <c r="W107" s="571">
        <v>2.4659428711657019</v>
      </c>
      <c r="X107" s="571">
        <v>2.3864543599848402</v>
      </c>
      <c r="Y107" s="571">
        <v>2.4451013028881641</v>
      </c>
      <c r="Z107" s="571">
        <v>2.6649155034847065</v>
      </c>
    </row>
    <row r="108" spans="1:26">
      <c r="A108" s="242" t="s">
        <v>4729</v>
      </c>
      <c r="B108" s="1532"/>
      <c r="C108" s="1532"/>
      <c r="D108" s="1532"/>
      <c r="E108" s="1532"/>
      <c r="F108" s="1532"/>
      <c r="G108" s="1532"/>
      <c r="H108" s="1532"/>
      <c r="I108" s="1532"/>
      <c r="J108" s="1532"/>
      <c r="K108" s="1532"/>
      <c r="L108" s="1532"/>
      <c r="M108" s="1532"/>
      <c r="O108" s="63">
        <v>0</v>
      </c>
      <c r="P108" s="63">
        <v>16.861994633354811</v>
      </c>
      <c r="Q108" s="63">
        <v>57.294475061825892</v>
      </c>
      <c r="R108" s="63">
        <v>57.810474755137278</v>
      </c>
      <c r="S108" s="63">
        <v>56.793923646358614</v>
      </c>
      <c r="T108" s="63">
        <v>57.112860877307824</v>
      </c>
      <c r="U108" s="63">
        <v>51.960996897440531</v>
      </c>
      <c r="V108" s="63">
        <v>50.277172219116267</v>
      </c>
      <c r="W108" s="63">
        <v>44.241916217972886</v>
      </c>
      <c r="X108" s="63">
        <v>42.293274490842443</v>
      </c>
      <c r="Y108" s="63">
        <v>40.71093669308793</v>
      </c>
      <c r="Z108" s="63">
        <v>40.437196118094022</v>
      </c>
    </row>
    <row r="109" spans="1:26">
      <c r="A109" s="242" t="s">
        <v>4726</v>
      </c>
      <c r="B109" s="1532"/>
      <c r="C109" s="1532"/>
      <c r="D109" s="1532"/>
      <c r="E109" s="1532"/>
      <c r="F109" s="1532"/>
      <c r="G109" s="1532"/>
      <c r="H109" s="1532"/>
      <c r="I109" s="1532"/>
      <c r="J109" s="1532"/>
      <c r="K109" s="1532"/>
      <c r="L109" s="1532"/>
      <c r="M109" s="1532"/>
      <c r="O109" s="8"/>
      <c r="P109" s="8"/>
      <c r="Q109" s="8"/>
      <c r="R109" s="1974"/>
      <c r="S109" s="8"/>
      <c r="T109" s="8"/>
      <c r="U109" s="571"/>
      <c r="V109" s="8"/>
      <c r="W109" s="8"/>
      <c r="X109" s="8"/>
      <c r="Y109" s="8"/>
      <c r="Z109" s="8"/>
    </row>
    <row r="110" spans="1:26">
      <c r="A110" s="242" t="s">
        <v>4727</v>
      </c>
      <c r="B110" s="1532"/>
      <c r="C110" s="1532"/>
      <c r="D110" s="1532"/>
      <c r="E110" s="1532"/>
      <c r="F110" s="1532"/>
      <c r="G110" s="1532"/>
      <c r="H110" s="1532"/>
      <c r="I110" s="1532"/>
      <c r="J110" s="1532"/>
      <c r="K110" s="1532"/>
      <c r="L110" s="1532"/>
      <c r="M110" s="1532"/>
      <c r="O110" s="8"/>
      <c r="P110" s="8"/>
      <c r="Q110" s="8"/>
      <c r="R110" s="1975"/>
      <c r="S110" s="8"/>
      <c r="T110" s="8"/>
      <c r="U110" s="8"/>
      <c r="V110" s="8"/>
      <c r="W110" s="8"/>
      <c r="X110" s="8"/>
      <c r="Y110" s="8"/>
      <c r="Z110" s="8"/>
    </row>
    <row r="111" spans="1:26">
      <c r="A111" s="242" t="s">
        <v>4730</v>
      </c>
      <c r="B111" s="1532"/>
      <c r="C111" s="1532"/>
      <c r="D111" s="1532"/>
      <c r="E111" s="1532"/>
      <c r="F111" s="1532"/>
      <c r="G111" s="1532"/>
      <c r="H111" s="1532"/>
      <c r="I111" s="1532"/>
      <c r="J111" s="1532"/>
      <c r="K111" s="1532"/>
      <c r="L111" s="1532"/>
      <c r="M111" s="1532"/>
      <c r="O111" s="8">
        <v>2.1</v>
      </c>
      <c r="P111" s="8">
        <v>2.1</v>
      </c>
      <c r="Q111" s="8">
        <v>2.1</v>
      </c>
      <c r="R111" s="8">
        <v>2.1</v>
      </c>
      <c r="S111" s="8">
        <v>2.1</v>
      </c>
      <c r="T111" s="8">
        <v>2.1</v>
      </c>
      <c r="U111" s="8">
        <v>2.1</v>
      </c>
      <c r="V111" s="8">
        <v>2.1</v>
      </c>
      <c r="W111" s="8">
        <v>2.1</v>
      </c>
      <c r="X111" s="8">
        <v>2.1</v>
      </c>
      <c r="Y111" s="8">
        <v>2.1</v>
      </c>
      <c r="Z111" s="8">
        <v>2.1</v>
      </c>
    </row>
    <row r="112" spans="1:26" ht="13.8" thickBot="1">
      <c r="A112" s="1722" t="s">
        <v>4731</v>
      </c>
      <c r="B112" s="1534"/>
      <c r="C112" s="1534"/>
      <c r="D112" s="1534"/>
      <c r="E112" s="1534"/>
      <c r="F112" s="1534"/>
      <c r="G112" s="1534"/>
      <c r="H112" s="1534"/>
      <c r="I112" s="1534"/>
      <c r="J112" s="1534"/>
      <c r="K112" s="1534"/>
      <c r="L112" s="1534"/>
      <c r="M112" s="1534"/>
      <c r="N112" s="270"/>
      <c r="O112" s="1973">
        <v>97</v>
      </c>
      <c r="P112" s="1973">
        <v>97</v>
      </c>
      <c r="Q112" s="1973">
        <v>97</v>
      </c>
      <c r="R112" s="1973">
        <v>97</v>
      </c>
      <c r="S112" s="1973">
        <v>97</v>
      </c>
      <c r="T112" s="1973">
        <v>97</v>
      </c>
      <c r="U112" s="1973">
        <v>97</v>
      </c>
      <c r="V112" s="1973">
        <v>97</v>
      </c>
      <c r="W112" s="1973">
        <v>97</v>
      </c>
      <c r="X112" s="1973">
        <v>97</v>
      </c>
      <c r="Y112" s="1973">
        <v>97</v>
      </c>
      <c r="Z112" s="1973">
        <v>97</v>
      </c>
    </row>
    <row r="114" spans="1:26">
      <c r="A114" s="150" t="s">
        <v>55</v>
      </c>
      <c r="O114" s="262"/>
      <c r="P114" s="262"/>
      <c r="Q114" s="262"/>
      <c r="R114" s="262"/>
      <c r="S114" s="262"/>
      <c r="T114" s="262"/>
      <c r="U114" s="262"/>
      <c r="V114" s="262"/>
      <c r="W114" s="262"/>
      <c r="X114" s="262"/>
      <c r="Y114" s="262"/>
      <c r="Z114" s="262"/>
    </row>
    <row r="115" spans="1:26">
      <c r="A115" s="242" t="s">
        <v>297</v>
      </c>
      <c r="B115" s="63">
        <f t="shared" ref="B115:M115" si="32">+B85+B71+B57+B45+B33+B19+B3</f>
        <v>14</v>
      </c>
      <c r="C115" s="63">
        <f t="shared" si="32"/>
        <v>13</v>
      </c>
      <c r="D115" s="63">
        <f t="shared" si="32"/>
        <v>8</v>
      </c>
      <c r="E115" s="63">
        <f t="shared" si="32"/>
        <v>6</v>
      </c>
      <c r="F115" s="63">
        <f t="shared" si="32"/>
        <v>5</v>
      </c>
      <c r="G115" s="63">
        <f t="shared" si="32"/>
        <v>8</v>
      </c>
      <c r="H115" s="63">
        <f t="shared" si="32"/>
        <v>10</v>
      </c>
      <c r="I115" s="63">
        <f t="shared" si="32"/>
        <v>9</v>
      </c>
      <c r="J115" s="63">
        <f t="shared" si="32"/>
        <v>9</v>
      </c>
      <c r="K115" s="63">
        <f t="shared" si="32"/>
        <v>8</v>
      </c>
      <c r="L115" s="63">
        <f t="shared" si="32"/>
        <v>7</v>
      </c>
      <c r="M115" s="63">
        <f t="shared" si="32"/>
        <v>8</v>
      </c>
      <c r="O115" s="262">
        <f>+B115</f>
        <v>14</v>
      </c>
      <c r="P115" s="262">
        <f t="shared" ref="P115:Z117" si="33">+C115+O115</f>
        <v>27</v>
      </c>
      <c r="Q115" s="262">
        <f t="shared" si="33"/>
        <v>35</v>
      </c>
      <c r="R115" s="262">
        <f t="shared" si="33"/>
        <v>41</v>
      </c>
      <c r="S115" s="262">
        <f t="shared" si="33"/>
        <v>46</v>
      </c>
      <c r="T115" s="262">
        <f t="shared" si="33"/>
        <v>54</v>
      </c>
      <c r="U115" s="262">
        <f t="shared" si="33"/>
        <v>64</v>
      </c>
      <c r="V115" s="262">
        <f t="shared" si="33"/>
        <v>73</v>
      </c>
      <c r="W115" s="262">
        <f t="shared" si="33"/>
        <v>82</v>
      </c>
      <c r="X115" s="262">
        <f t="shared" si="33"/>
        <v>90</v>
      </c>
      <c r="Y115" s="262">
        <f t="shared" si="33"/>
        <v>97</v>
      </c>
      <c r="Z115" s="262">
        <f t="shared" si="33"/>
        <v>105</v>
      </c>
    </row>
    <row r="116" spans="1:26">
      <c r="A116" s="242" t="s">
        <v>635</v>
      </c>
      <c r="B116" s="63">
        <f t="shared" ref="B116:M116" si="34">+B86+B72+B58+B46+B34+B20+B4</f>
        <v>119</v>
      </c>
      <c r="C116" s="63">
        <f t="shared" si="34"/>
        <v>252</v>
      </c>
      <c r="D116" s="63">
        <f t="shared" si="34"/>
        <v>160</v>
      </c>
      <c r="E116" s="63">
        <f t="shared" si="34"/>
        <v>41</v>
      </c>
      <c r="F116" s="63">
        <f t="shared" si="34"/>
        <v>61</v>
      </c>
      <c r="G116" s="63">
        <f t="shared" si="34"/>
        <v>189</v>
      </c>
      <c r="H116" s="63">
        <f t="shared" si="34"/>
        <v>155</v>
      </c>
      <c r="I116" s="63">
        <f t="shared" si="34"/>
        <v>2280</v>
      </c>
      <c r="J116" s="63">
        <f t="shared" si="34"/>
        <v>158</v>
      </c>
      <c r="K116" s="63">
        <f t="shared" si="34"/>
        <v>71</v>
      </c>
      <c r="L116" s="63">
        <f t="shared" si="34"/>
        <v>51</v>
      </c>
      <c r="M116" s="63">
        <f t="shared" si="34"/>
        <v>191</v>
      </c>
      <c r="O116" s="262">
        <f>+B116</f>
        <v>119</v>
      </c>
      <c r="P116" s="262">
        <f t="shared" si="33"/>
        <v>371</v>
      </c>
      <c r="Q116" s="262">
        <f t="shared" si="33"/>
        <v>531</v>
      </c>
      <c r="R116" s="262">
        <f t="shared" si="33"/>
        <v>572</v>
      </c>
      <c r="S116" s="262">
        <f t="shared" si="33"/>
        <v>633</v>
      </c>
      <c r="T116" s="262">
        <f t="shared" si="33"/>
        <v>822</v>
      </c>
      <c r="U116" s="262">
        <f t="shared" si="33"/>
        <v>977</v>
      </c>
      <c r="V116" s="262">
        <f t="shared" si="33"/>
        <v>3257</v>
      </c>
      <c r="W116" s="262">
        <f t="shared" si="33"/>
        <v>3415</v>
      </c>
      <c r="X116" s="262">
        <f t="shared" si="33"/>
        <v>3486</v>
      </c>
      <c r="Y116" s="262">
        <f t="shared" si="33"/>
        <v>3537</v>
      </c>
      <c r="Z116" s="262">
        <f t="shared" si="33"/>
        <v>3728</v>
      </c>
    </row>
    <row r="117" spans="1:26">
      <c r="A117" s="242" t="s">
        <v>302</v>
      </c>
      <c r="B117" s="262">
        <f t="shared" ref="B117:M117" si="35">+B87+B73+B59+B47+B35+B21+B5</f>
        <v>2635075.1503225807</v>
      </c>
      <c r="C117" s="262">
        <f t="shared" si="35"/>
        <v>2489726.09</v>
      </c>
      <c r="D117" s="262">
        <f t="shared" si="35"/>
        <v>2658853.25</v>
      </c>
      <c r="E117" s="262">
        <f t="shared" si="35"/>
        <v>2660495.42</v>
      </c>
      <c r="F117" s="262">
        <f t="shared" si="35"/>
        <v>2799953.4205555613</v>
      </c>
      <c r="G117" s="262">
        <f t="shared" si="35"/>
        <v>2737553.7549999999</v>
      </c>
      <c r="H117" s="262">
        <f t="shared" si="35"/>
        <v>2722147.62</v>
      </c>
      <c r="I117" s="262">
        <f t="shared" si="35"/>
        <v>2774202.0200000075</v>
      </c>
      <c r="J117" s="262">
        <f t="shared" si="35"/>
        <v>2745351.46861111</v>
      </c>
      <c r="K117" s="262">
        <f t="shared" si="35"/>
        <v>2635803.2619166668</v>
      </c>
      <c r="L117" s="262">
        <f t="shared" si="35"/>
        <v>2355750.29</v>
      </c>
      <c r="M117" s="262">
        <f t="shared" si="35"/>
        <v>2572128.54</v>
      </c>
      <c r="O117" s="262">
        <f>+B117</f>
        <v>2635075.1503225807</v>
      </c>
      <c r="P117" s="262">
        <f t="shared" si="33"/>
        <v>5124801.2403225806</v>
      </c>
      <c r="Q117" s="262">
        <f t="shared" si="33"/>
        <v>7783654.4903225806</v>
      </c>
      <c r="R117" s="262">
        <f t="shared" si="33"/>
        <v>10444149.91032258</v>
      </c>
      <c r="S117" s="262">
        <f t="shared" si="33"/>
        <v>13244103.330878142</v>
      </c>
      <c r="T117" s="262">
        <f t="shared" si="33"/>
        <v>15981657.085878141</v>
      </c>
      <c r="U117" s="262">
        <f t="shared" si="33"/>
        <v>18703804.705878142</v>
      </c>
      <c r="V117" s="262">
        <f t="shared" si="33"/>
        <v>21478006.725878149</v>
      </c>
      <c r="W117" s="262">
        <f t="shared" si="33"/>
        <v>24223358.194489259</v>
      </c>
      <c r="X117" s="262">
        <f t="shared" si="33"/>
        <v>26859161.456405926</v>
      </c>
      <c r="Y117" s="262">
        <f t="shared" si="33"/>
        <v>29214911.746405926</v>
      </c>
      <c r="Z117" s="262">
        <f t="shared" si="33"/>
        <v>31787040.286405925</v>
      </c>
    </row>
    <row r="118" spans="1:26">
      <c r="A118" s="242" t="s">
        <v>5728</v>
      </c>
      <c r="B118" s="262"/>
      <c r="C118" s="262"/>
      <c r="D118" s="262"/>
      <c r="E118" s="262"/>
      <c r="F118" s="262"/>
      <c r="G118" s="262"/>
      <c r="H118" s="262"/>
      <c r="I118" s="262"/>
      <c r="J118" s="262"/>
      <c r="K118" s="262"/>
      <c r="L118" s="262"/>
      <c r="M118" s="262"/>
      <c r="O118" s="571">
        <v>5.3</v>
      </c>
      <c r="P118" s="571">
        <f t="shared" ref="P118:Z118" si="36">+P115*1000000/P117</f>
        <v>5.2684970077591702</v>
      </c>
      <c r="Q118" s="571">
        <f t="shared" si="36"/>
        <v>4.4966024691249471</v>
      </c>
      <c r="R118" s="571">
        <f t="shared" si="36"/>
        <v>3.92564261831183</v>
      </c>
      <c r="S118" s="571">
        <f t="shared" si="36"/>
        <v>3.4732438165710082</v>
      </c>
      <c r="T118" s="571">
        <f t="shared" si="36"/>
        <v>3.3788736493236349</v>
      </c>
      <c r="U118" s="571">
        <f t="shared" si="36"/>
        <v>3.4217637002960357</v>
      </c>
      <c r="V118" s="571">
        <f t="shared" si="36"/>
        <v>3.3988256420482763</v>
      </c>
      <c r="W118" s="571">
        <f t="shared" si="36"/>
        <v>3.3851623437849652</v>
      </c>
      <c r="X118" s="571">
        <f t="shared" si="36"/>
        <v>3.3508119807118901</v>
      </c>
      <c r="Y118" s="571">
        <f t="shared" si="36"/>
        <v>3.3202222495822915</v>
      </c>
      <c r="Z118" s="571">
        <f t="shared" si="36"/>
        <v>3.3032329859569969</v>
      </c>
    </row>
    <row r="119" spans="1:26">
      <c r="A119" s="242" t="s">
        <v>5729</v>
      </c>
      <c r="B119" s="262"/>
      <c r="C119" s="262"/>
      <c r="D119" s="262"/>
      <c r="E119" s="262"/>
      <c r="F119" s="262"/>
      <c r="G119" s="262"/>
      <c r="H119" s="262"/>
      <c r="I119" s="262"/>
      <c r="J119" s="262"/>
      <c r="K119" s="262"/>
      <c r="L119" s="262"/>
      <c r="M119" s="262"/>
      <c r="O119" s="63">
        <f>+O116*1000000/O117</f>
        <v>45.160002357212562</v>
      </c>
      <c r="P119" s="63">
        <f t="shared" ref="P119:Z119" si="37">+P116*1000000/P117</f>
        <v>72.393051476987111</v>
      </c>
      <c r="Q119" s="63">
        <f t="shared" si="37"/>
        <v>68.219883174438493</v>
      </c>
      <c r="R119" s="63">
        <f t="shared" si="37"/>
        <v>54.767501894496753</v>
      </c>
      <c r="S119" s="63">
        <f t="shared" si="37"/>
        <v>47.794855128031479</v>
      </c>
      <c r="T119" s="63">
        <f t="shared" si="37"/>
        <v>51.43396555081533</v>
      </c>
      <c r="U119" s="63">
        <f t="shared" si="37"/>
        <v>52.235361487331673</v>
      </c>
      <c r="V119" s="63">
        <f t="shared" si="37"/>
        <v>151.64349474179775</v>
      </c>
      <c r="W119" s="63">
        <f t="shared" si="37"/>
        <v>140.97962687836164</v>
      </c>
      <c r="X119" s="63">
        <f t="shared" si="37"/>
        <v>129.78811738624054</v>
      </c>
      <c r="Y119" s="63">
        <f t="shared" si="37"/>
        <v>121.06831027600583</v>
      </c>
      <c r="Z119" s="63">
        <f t="shared" si="37"/>
        <v>117.28050068235891</v>
      </c>
    </row>
    <row r="120" spans="1:26">
      <c r="A120" s="242" t="s">
        <v>5179</v>
      </c>
      <c r="B120" s="262"/>
      <c r="C120" s="262"/>
      <c r="D120" s="262"/>
      <c r="E120" s="262"/>
      <c r="F120" s="262"/>
      <c r="G120" s="262"/>
      <c r="H120" s="262"/>
      <c r="I120" s="262"/>
      <c r="J120" s="262"/>
      <c r="K120" s="262"/>
      <c r="L120" s="262"/>
      <c r="M120" s="262"/>
      <c r="O120" s="571">
        <v>2.9678601017228119</v>
      </c>
      <c r="P120" s="571">
        <v>3.1507885677048075</v>
      </c>
      <c r="Q120" s="571">
        <v>4.8037590767697278</v>
      </c>
      <c r="R120" s="571">
        <v>4.3322421443761501</v>
      </c>
      <c r="S120" s="571">
        <v>3.6131966452720699</v>
      </c>
      <c r="T120" s="571">
        <v>3.4405771497458915</v>
      </c>
      <c r="U120" s="571">
        <v>3.5340345286303663</v>
      </c>
      <c r="V120" s="571">
        <v>3.3432381018056212</v>
      </c>
      <c r="W120" s="571">
        <v>3.0864664282347083</v>
      </c>
      <c r="X120" s="571">
        <v>3.2388313961977953</v>
      </c>
      <c r="Y120" s="571">
        <v>3.3747814180371458</v>
      </c>
      <c r="Z120" s="571">
        <v>3.3615609727581166</v>
      </c>
    </row>
    <row r="121" spans="1:26">
      <c r="A121" s="242" t="s">
        <v>5180</v>
      </c>
      <c r="B121" s="262"/>
      <c r="C121" s="262"/>
      <c r="D121" s="262"/>
      <c r="E121" s="262"/>
      <c r="F121" s="262"/>
      <c r="G121" s="262"/>
      <c r="H121" s="262"/>
      <c r="I121" s="262"/>
      <c r="J121" s="262"/>
      <c r="K121" s="262"/>
      <c r="L121" s="262"/>
      <c r="M121" s="262"/>
      <c r="O121" s="63">
        <v>35.190341206141909</v>
      </c>
      <c r="P121" s="63">
        <v>74.778715340194097</v>
      </c>
      <c r="Q121" s="63">
        <v>228.93343257291161</v>
      </c>
      <c r="R121" s="63">
        <v>181.64472419634288</v>
      </c>
      <c r="S121" s="63">
        <v>145.75963739449827</v>
      </c>
      <c r="T121" s="63">
        <v>123.92823968790593</v>
      </c>
      <c r="U121" s="63">
        <v>120.27304395797772</v>
      </c>
      <c r="V121" s="63">
        <v>108.87978415134127</v>
      </c>
      <c r="W121" s="63">
        <v>105.95398324354291</v>
      </c>
      <c r="X121" s="63">
        <v>106.1309751412619</v>
      </c>
      <c r="Y121" s="63">
        <v>108.10071116712602</v>
      </c>
      <c r="Z121" s="63">
        <v>106.87786504563306</v>
      </c>
    </row>
    <row r="122" spans="1:26">
      <c r="A122" s="242" t="s">
        <v>4728</v>
      </c>
      <c r="B122" s="1532"/>
      <c r="C122" s="1532"/>
      <c r="D122" s="1532"/>
      <c r="E122" s="1532"/>
      <c r="F122" s="1532"/>
      <c r="G122" s="1532"/>
      <c r="H122" s="1532"/>
      <c r="I122" s="1532"/>
      <c r="J122" s="1532"/>
      <c r="K122" s="1532"/>
      <c r="L122" s="1532"/>
      <c r="M122" s="1532"/>
      <c r="O122" s="571">
        <v>5.9686611835727028</v>
      </c>
      <c r="P122" s="571">
        <v>4.6225620157825125</v>
      </c>
      <c r="Q122" s="571">
        <v>4.9492776405686154</v>
      </c>
      <c r="R122" s="571">
        <v>4.5158634152214585</v>
      </c>
      <c r="S122" s="571">
        <v>4.5782207714547916</v>
      </c>
      <c r="T122" s="571">
        <v>4.7128595857927529</v>
      </c>
      <c r="U122" s="571">
        <v>4.8243639096210122</v>
      </c>
      <c r="V122" s="571">
        <v>4.7912831769648534</v>
      </c>
      <c r="W122" s="571">
        <v>4.6289200826920549</v>
      </c>
      <c r="X122" s="571">
        <v>4.8238173468334535</v>
      </c>
      <c r="Y122" s="571">
        <v>4.8148900967900348</v>
      </c>
      <c r="Z122" s="571">
        <v>4.7909582370668913</v>
      </c>
    </row>
    <row r="123" spans="1:26">
      <c r="A123" s="242" t="s">
        <v>4729</v>
      </c>
      <c r="B123" s="1532"/>
      <c r="C123" s="1532"/>
      <c r="D123" s="1532"/>
      <c r="E123" s="1532"/>
      <c r="F123" s="1532"/>
      <c r="G123" s="1532"/>
      <c r="H123" s="1532"/>
      <c r="I123" s="1532"/>
      <c r="J123" s="1532"/>
      <c r="K123" s="1532"/>
      <c r="L123" s="1532"/>
      <c r="M123" s="1532"/>
      <c r="O123" s="63">
        <v>2130.4804502474785</v>
      </c>
      <c r="P123" s="63">
        <v>1096.2075637427101</v>
      </c>
      <c r="Q123" s="63">
        <v>744.75869191339029</v>
      </c>
      <c r="R123" s="63">
        <v>570.36967742609602</v>
      </c>
      <c r="S123" s="63">
        <v>463.30304567468556</v>
      </c>
      <c r="T123" s="63">
        <v>396.57642309994702</v>
      </c>
      <c r="U123" s="63">
        <v>361.87323954452467</v>
      </c>
      <c r="V123" s="63">
        <v>327.57882292257182</v>
      </c>
      <c r="W123" s="63">
        <v>300.87980537498356</v>
      </c>
      <c r="X123" s="63">
        <v>283.95335625414219</v>
      </c>
      <c r="Y123" s="63">
        <v>263.08439864262073</v>
      </c>
      <c r="Z123" s="63">
        <v>247.59783586795112</v>
      </c>
    </row>
    <row r="124" spans="1:26">
      <c r="A124" s="242" t="s">
        <v>4726</v>
      </c>
      <c r="B124" s="1532"/>
      <c r="C124" s="1532"/>
      <c r="D124" s="1532"/>
      <c r="E124" s="1532"/>
      <c r="F124" s="1532"/>
      <c r="G124" s="1532"/>
      <c r="H124" s="1532"/>
      <c r="I124" s="1532"/>
      <c r="J124" s="1532"/>
      <c r="K124" s="1532"/>
      <c r="L124" s="1532"/>
      <c r="M124" s="1532"/>
      <c r="O124" s="8">
        <v>4.4000000000000004</v>
      </c>
      <c r="P124" s="8">
        <v>4.7</v>
      </c>
      <c r="Q124" s="8">
        <v>6.5</v>
      </c>
      <c r="R124" s="1974">
        <f>(+S124+Q124)/2</f>
        <v>6.1</v>
      </c>
      <c r="S124" s="8">
        <v>5.7</v>
      </c>
      <c r="T124" s="8">
        <v>5.2</v>
      </c>
      <c r="U124" s="571">
        <v>6</v>
      </c>
      <c r="V124" s="8">
        <v>5.9</v>
      </c>
      <c r="W124" s="8">
        <v>5.9</v>
      </c>
      <c r="X124" s="8">
        <v>5.8</v>
      </c>
      <c r="Y124" s="8">
        <v>5.7</v>
      </c>
      <c r="Z124" s="8">
        <v>5.6</v>
      </c>
    </row>
    <row r="125" spans="1:26">
      <c r="A125" s="242" t="s">
        <v>4727</v>
      </c>
      <c r="B125" s="1532"/>
      <c r="C125" s="1532"/>
      <c r="D125" s="1532"/>
      <c r="E125" s="1532"/>
      <c r="F125" s="1532"/>
      <c r="G125" s="1532"/>
      <c r="H125" s="1532"/>
      <c r="I125" s="1532"/>
      <c r="J125" s="1532"/>
      <c r="K125" s="1532"/>
      <c r="L125" s="1532"/>
      <c r="M125" s="1532"/>
      <c r="O125" s="8">
        <v>178</v>
      </c>
      <c r="P125" s="8">
        <v>109</v>
      </c>
      <c r="Q125" s="8">
        <v>475</v>
      </c>
      <c r="R125" s="1975">
        <f>(+S125+Q125)/2</f>
        <v>577.5</v>
      </c>
      <c r="S125" s="8">
        <v>680</v>
      </c>
      <c r="T125" s="8">
        <v>571</v>
      </c>
      <c r="U125" s="8">
        <v>506</v>
      </c>
      <c r="V125" s="8">
        <v>460</v>
      </c>
      <c r="W125" s="8">
        <v>427</v>
      </c>
      <c r="X125" s="8">
        <v>378</v>
      </c>
      <c r="Y125" s="8">
        <v>350</v>
      </c>
      <c r="Z125" s="8">
        <v>340</v>
      </c>
    </row>
    <row r="126" spans="1:26">
      <c r="A126" s="242" t="s">
        <v>4730</v>
      </c>
      <c r="B126" s="1532"/>
      <c r="C126" s="1532"/>
      <c r="D126" s="1532"/>
      <c r="E126" s="1532"/>
      <c r="F126" s="1532"/>
      <c r="G126" s="1532"/>
      <c r="H126" s="1532"/>
      <c r="I126" s="1532"/>
      <c r="J126" s="1532"/>
      <c r="K126" s="1532"/>
      <c r="L126" s="1532"/>
      <c r="M126" s="1532"/>
      <c r="O126" s="571">
        <f>+INDICADORES!$AJ$65</f>
        <v>3.2</v>
      </c>
      <c r="P126" s="571">
        <f>+INDICADORES!$AJ$65</f>
        <v>3.2</v>
      </c>
      <c r="Q126" s="571">
        <f>+INDICADORES!$AJ$65</f>
        <v>3.2</v>
      </c>
      <c r="R126" s="571">
        <f>+INDICADORES!$AJ$65</f>
        <v>3.2</v>
      </c>
      <c r="S126" s="571">
        <f>+INDICADORES!$AJ$65</f>
        <v>3.2</v>
      </c>
      <c r="T126" s="571">
        <f>+INDICADORES!$AJ$65</f>
        <v>3.2</v>
      </c>
      <c r="U126" s="571">
        <f>+INDICADORES!$AJ$65</f>
        <v>3.2</v>
      </c>
      <c r="V126" s="571">
        <f>+INDICADORES!$AJ$65</f>
        <v>3.2</v>
      </c>
      <c r="W126" s="571">
        <f>+INDICADORES!$AJ$65</f>
        <v>3.2</v>
      </c>
      <c r="X126" s="571">
        <f>+INDICADORES!$AJ$65</f>
        <v>3.2</v>
      </c>
      <c r="Y126" s="571">
        <f>+INDICADORES!$AJ$65</f>
        <v>3.2</v>
      </c>
      <c r="Z126" s="571">
        <f>+INDICADORES!$AJ$65</f>
        <v>3.2</v>
      </c>
    </row>
    <row r="127" spans="1:26" ht="13.8" thickBot="1">
      <c r="A127" s="1722" t="s">
        <v>4731</v>
      </c>
      <c r="B127" s="1534"/>
      <c r="C127" s="1534"/>
      <c r="D127" s="1534"/>
      <c r="E127" s="1534"/>
      <c r="F127" s="1534"/>
      <c r="G127" s="1534"/>
      <c r="H127" s="1534"/>
      <c r="I127" s="1534"/>
      <c r="J127" s="1534"/>
      <c r="K127" s="1534"/>
      <c r="L127" s="1534"/>
      <c r="M127" s="1534"/>
      <c r="N127" s="270"/>
      <c r="O127" s="1973">
        <f>+INDICADORES!$AN$65</f>
        <v>88</v>
      </c>
      <c r="P127" s="1973">
        <f>+INDICADORES!$AN$65</f>
        <v>88</v>
      </c>
      <c r="Q127" s="1973">
        <f>+INDICADORES!$AN$65</f>
        <v>88</v>
      </c>
      <c r="R127" s="1973">
        <f>+INDICADORES!$AN$65</f>
        <v>88</v>
      </c>
      <c r="S127" s="1973">
        <f>+INDICADORES!$AN$65</f>
        <v>88</v>
      </c>
      <c r="T127" s="1973">
        <f>+INDICADORES!$AN$65</f>
        <v>88</v>
      </c>
      <c r="U127" s="1973">
        <f>+INDICADORES!$AN$65</f>
        <v>88</v>
      </c>
      <c r="V127" s="1973">
        <f>+INDICADORES!$AN$65</f>
        <v>88</v>
      </c>
      <c r="W127" s="1973">
        <f>+INDICADORES!$AN$65</f>
        <v>88</v>
      </c>
      <c r="X127" s="1973">
        <f>+INDICADORES!$AN$65</f>
        <v>88</v>
      </c>
      <c r="Y127" s="1973">
        <f>+INDICADORES!$AN$65</f>
        <v>88</v>
      </c>
      <c r="Z127" s="1973">
        <f>+INDICADORES!$AN$65</f>
        <v>88</v>
      </c>
    </row>
    <row r="128" spans="1:26">
      <c r="A128" s="242"/>
      <c r="O128" s="63"/>
      <c r="P128" s="63"/>
      <c r="Q128" s="63"/>
      <c r="R128" s="63"/>
      <c r="S128" s="63"/>
      <c r="T128" s="63"/>
      <c r="U128" s="63"/>
      <c r="V128" s="63"/>
      <c r="W128" s="63"/>
      <c r="X128" s="63"/>
      <c r="Y128" s="63"/>
      <c r="Z128" s="63"/>
    </row>
    <row r="129" spans="1:26">
      <c r="A129" s="150" t="s">
        <v>5372</v>
      </c>
    </row>
    <row r="130" spans="1:26">
      <c r="A130" s="242" t="s">
        <v>5429</v>
      </c>
      <c r="B130" s="262">
        <v>1</v>
      </c>
      <c r="C130" s="262">
        <v>1</v>
      </c>
      <c r="D130" s="262">
        <v>1</v>
      </c>
      <c r="E130" s="262">
        <v>1</v>
      </c>
      <c r="F130" s="262">
        <v>1</v>
      </c>
      <c r="G130" s="262">
        <v>1</v>
      </c>
      <c r="H130" s="262">
        <v>1</v>
      </c>
      <c r="I130" s="262">
        <v>1</v>
      </c>
      <c r="J130" s="262">
        <v>1</v>
      </c>
      <c r="K130" s="262">
        <v>1</v>
      </c>
      <c r="L130" s="262">
        <v>1</v>
      </c>
      <c r="M130" s="262">
        <v>1</v>
      </c>
      <c r="O130" s="262">
        <f>+B130</f>
        <v>1</v>
      </c>
      <c r="P130" s="262">
        <f t="shared" ref="P130:Z130" si="38">+C130+O130</f>
        <v>2</v>
      </c>
      <c r="Q130" s="262">
        <f t="shared" si="38"/>
        <v>3</v>
      </c>
      <c r="R130" s="262">
        <f t="shared" si="38"/>
        <v>4</v>
      </c>
      <c r="S130" s="262">
        <f t="shared" si="38"/>
        <v>5</v>
      </c>
      <c r="T130" s="262">
        <f t="shared" si="38"/>
        <v>6</v>
      </c>
      <c r="U130" s="262">
        <f t="shared" si="38"/>
        <v>7</v>
      </c>
      <c r="V130" s="262">
        <f t="shared" si="38"/>
        <v>8</v>
      </c>
      <c r="W130" s="262">
        <f t="shared" si="38"/>
        <v>9</v>
      </c>
      <c r="X130" s="262">
        <f t="shared" si="38"/>
        <v>10</v>
      </c>
      <c r="Y130" s="262">
        <f t="shared" si="38"/>
        <v>11</v>
      </c>
      <c r="Z130" s="262">
        <f t="shared" si="38"/>
        <v>12</v>
      </c>
    </row>
    <row r="131" spans="1:26">
      <c r="A131" s="242" t="s">
        <v>5428</v>
      </c>
      <c r="B131" s="8">
        <v>0</v>
      </c>
      <c r="C131" s="8">
        <v>2</v>
      </c>
      <c r="D131" s="8">
        <v>1</v>
      </c>
      <c r="E131" s="8">
        <v>2</v>
      </c>
      <c r="F131" s="8">
        <v>0</v>
      </c>
      <c r="G131" s="8">
        <v>1</v>
      </c>
      <c r="H131" s="8">
        <v>2</v>
      </c>
      <c r="I131" s="8">
        <v>2</v>
      </c>
      <c r="J131" s="8">
        <v>0</v>
      </c>
      <c r="K131" s="8">
        <v>1</v>
      </c>
      <c r="L131" s="8">
        <v>1</v>
      </c>
      <c r="M131" s="8">
        <v>3</v>
      </c>
      <c r="O131" s="262">
        <f>+B131</f>
        <v>0</v>
      </c>
      <c r="P131" s="262">
        <f>+C131+O131</f>
        <v>2</v>
      </c>
      <c r="Q131" s="262">
        <f t="shared" ref="Q131:Z131" si="39">+D131+P131</f>
        <v>3</v>
      </c>
      <c r="R131" s="262">
        <f t="shared" si="39"/>
        <v>5</v>
      </c>
      <c r="S131" s="262">
        <f t="shared" si="39"/>
        <v>5</v>
      </c>
      <c r="T131" s="262">
        <f t="shared" si="39"/>
        <v>6</v>
      </c>
      <c r="U131" s="262">
        <f t="shared" si="39"/>
        <v>8</v>
      </c>
      <c r="V131" s="262">
        <f t="shared" si="39"/>
        <v>10</v>
      </c>
      <c r="W131" s="262">
        <f t="shared" si="39"/>
        <v>10</v>
      </c>
      <c r="X131" s="262">
        <f t="shared" si="39"/>
        <v>11</v>
      </c>
      <c r="Y131" s="262">
        <f t="shared" si="39"/>
        <v>12</v>
      </c>
      <c r="Z131" s="262">
        <f t="shared" si="39"/>
        <v>15</v>
      </c>
    </row>
    <row r="132" spans="1:26">
      <c r="A132" s="242" t="s">
        <v>5788</v>
      </c>
      <c r="B132" s="8">
        <v>2</v>
      </c>
      <c r="C132" s="8">
        <v>1</v>
      </c>
      <c r="D132" s="8">
        <v>5</v>
      </c>
      <c r="E132" s="8">
        <v>0</v>
      </c>
      <c r="F132" s="8">
        <v>0</v>
      </c>
      <c r="G132" s="8">
        <v>0</v>
      </c>
      <c r="H132" s="8">
        <v>2</v>
      </c>
      <c r="I132" s="8">
        <v>1</v>
      </c>
      <c r="J132" s="8">
        <v>0</v>
      </c>
      <c r="K132" s="8">
        <v>2</v>
      </c>
      <c r="L132" s="8">
        <v>0</v>
      </c>
      <c r="M132" s="8">
        <v>1</v>
      </c>
      <c r="O132" s="262">
        <f>+B132</f>
        <v>2</v>
      </c>
      <c r="P132" s="262">
        <f>+C132+O132</f>
        <v>3</v>
      </c>
      <c r="Q132" s="262">
        <f t="shared" ref="Q132:Z132" si="40">+D132+P132</f>
        <v>8</v>
      </c>
      <c r="R132" s="262">
        <f t="shared" si="40"/>
        <v>8</v>
      </c>
      <c r="S132" s="262">
        <f t="shared" si="40"/>
        <v>8</v>
      </c>
      <c r="T132" s="262">
        <f t="shared" si="40"/>
        <v>8</v>
      </c>
      <c r="U132" s="262">
        <f t="shared" si="40"/>
        <v>10</v>
      </c>
      <c r="V132" s="262">
        <f t="shared" si="40"/>
        <v>11</v>
      </c>
      <c r="W132" s="262">
        <f t="shared" si="40"/>
        <v>11</v>
      </c>
      <c r="X132" s="262">
        <f t="shared" si="40"/>
        <v>13</v>
      </c>
      <c r="Y132" s="262">
        <f t="shared" si="40"/>
        <v>13</v>
      </c>
      <c r="Z132" s="262">
        <f t="shared" si="40"/>
        <v>14</v>
      </c>
    </row>
    <row r="134" spans="1:26">
      <c r="D134" s="1137"/>
      <c r="F134" s="1137" t="s">
        <v>6191</v>
      </c>
    </row>
    <row r="136" spans="1:26">
      <c r="T136" s="8"/>
      <c r="U136" s="8"/>
    </row>
    <row r="137" spans="1:26">
      <c r="T137" s="2238"/>
      <c r="U137" s="63"/>
      <c r="V137" s="8"/>
      <c r="W137" s="63"/>
    </row>
    <row r="138" spans="1:26">
      <c r="T138" s="2238"/>
      <c r="U138" s="63"/>
      <c r="V138" s="8"/>
      <c r="W138" s="63"/>
    </row>
    <row r="139" spans="1:26">
      <c r="T139" s="2238"/>
      <c r="U139" s="63"/>
      <c r="V139" s="8"/>
      <c r="W139" s="63"/>
      <c r="Y139" s="8"/>
    </row>
    <row r="140" spans="1:26">
      <c r="T140" s="2238"/>
      <c r="U140" s="63"/>
      <c r="V140" s="8"/>
      <c r="W140" s="63"/>
      <c r="Y140" s="8"/>
    </row>
    <row r="141" spans="1:26">
      <c r="S141" s="242"/>
      <c r="T141" s="2238"/>
      <c r="U141" s="63"/>
      <c r="V141" s="8"/>
      <c r="W141" s="63"/>
      <c r="Y141" s="8"/>
    </row>
    <row r="142" spans="1:26">
      <c r="S142" s="242"/>
      <c r="V142" s="8"/>
      <c r="W142" s="63"/>
      <c r="Y142" s="8"/>
    </row>
    <row r="143" spans="1:26">
      <c r="S143" s="242"/>
      <c r="V143" s="8"/>
      <c r="W143" s="63"/>
      <c r="Y143" s="8"/>
    </row>
    <row r="144" spans="1:26">
      <c r="S144" s="242"/>
      <c r="V144" s="8"/>
      <c r="W144" s="63"/>
    </row>
    <row r="145" spans="19:23">
      <c r="S145" s="242"/>
      <c r="V145" s="8"/>
      <c r="W145" s="63"/>
    </row>
    <row r="146" spans="19:23">
      <c r="S146" s="242"/>
      <c r="V146" s="8"/>
      <c r="W146" s="63"/>
    </row>
    <row r="147" spans="19:23">
      <c r="S147" s="242"/>
      <c r="V147" s="8"/>
      <c r="W147" s="63"/>
    </row>
    <row r="148" spans="19:23">
      <c r="S148" s="242"/>
      <c r="V148" s="8"/>
      <c r="W148" s="63"/>
    </row>
    <row r="166" spans="26:32">
      <c r="AA166" s="150">
        <v>2018</v>
      </c>
      <c r="AB166" s="150">
        <v>2019</v>
      </c>
      <c r="AC166" s="150">
        <v>2020</v>
      </c>
      <c r="AD166" s="150">
        <v>2021</v>
      </c>
      <c r="AE166" s="150">
        <v>2022</v>
      </c>
      <c r="AF166" s="150">
        <v>2023</v>
      </c>
    </row>
    <row r="167" spans="26:32">
      <c r="Z167" t="s">
        <v>4342</v>
      </c>
      <c r="AA167" s="587"/>
      <c r="AB167" s="587">
        <v>25.525733890172493</v>
      </c>
      <c r="AC167" s="587">
        <v>17.037750613576339</v>
      </c>
      <c r="AD167" s="587">
        <v>11.2</v>
      </c>
      <c r="AE167" s="587">
        <v>5.9649752351495273</v>
      </c>
      <c r="AF167" s="587">
        <f>+INDICADORES!S37</f>
        <v>3.0240387959273667</v>
      </c>
    </row>
    <row r="168" spans="26:32">
      <c r="AA168" s="357">
        <v>602.33028191097492</v>
      </c>
      <c r="AB168" s="357">
        <v>1742.8403861678885</v>
      </c>
      <c r="AC168" s="357">
        <v>420.55427279837926</v>
      </c>
      <c r="AD168" s="357">
        <v>208</v>
      </c>
      <c r="AE168" s="357">
        <v>240.01176669851648</v>
      </c>
      <c r="AF168" s="358">
        <f>+INDICADORES!T37</f>
        <v>223.95675553367971</v>
      </c>
    </row>
    <row r="169" spans="26:32">
      <c r="AE169" s="587"/>
    </row>
    <row r="170" spans="26:32">
      <c r="Z170" t="s">
        <v>429</v>
      </c>
      <c r="AA170" s="587">
        <v>14.229057791318219</v>
      </c>
      <c r="AB170" s="587">
        <v>11.205159751962583</v>
      </c>
      <c r="AC170" s="587">
        <v>15.480025929043432</v>
      </c>
      <c r="AD170" s="587">
        <v>5.7</v>
      </c>
      <c r="AE170" s="587">
        <v>8.4955305723389696</v>
      </c>
      <c r="AF170" s="587">
        <f>+INDICADORES!S9</f>
        <v>11.19122126419942</v>
      </c>
    </row>
    <row r="171" spans="26:32">
      <c r="AA171" s="357">
        <v>275.88562050944768</v>
      </c>
      <c r="AB171" s="357">
        <v>386.20450611764375</v>
      </c>
      <c r="AC171" s="357">
        <v>3039.8900918159038</v>
      </c>
      <c r="AD171" s="357">
        <v>44</v>
      </c>
      <c r="AE171" s="357">
        <v>84.955305723389699</v>
      </c>
      <c r="AF171" s="358">
        <f>+INDICADORES!T9</f>
        <v>64.095176331323955</v>
      </c>
    </row>
    <row r="172" spans="26:32">
      <c r="AE172" s="587"/>
    </row>
    <row r="173" spans="26:32">
      <c r="Z173" t="s">
        <v>74</v>
      </c>
      <c r="AA173" s="587">
        <v>4</v>
      </c>
      <c r="AB173" s="587">
        <v>11</v>
      </c>
      <c r="AC173">
        <v>9.4</v>
      </c>
      <c r="AD173">
        <v>11.5</v>
      </c>
      <c r="AE173" s="587">
        <v>7.0461042194455663</v>
      </c>
      <c r="AF173" s="1227">
        <f>(+INDICADORES!P5+INDICADORES!P6+INDICADORES!P7)*1000000/(+INDICADORES!M5+INDICADORES!M6+INDICADORES!M7)</f>
        <v>15.196719805455563</v>
      </c>
    </row>
    <row r="174" spans="26:32">
      <c r="AE174" s="587"/>
    </row>
    <row r="175" spans="26:32">
      <c r="AE175" s="587"/>
    </row>
    <row r="176" spans="26:32">
      <c r="Z176" s="242" t="s">
        <v>951</v>
      </c>
      <c r="AA176">
        <v>10.199999999999999</v>
      </c>
      <c r="AB176">
        <v>8.9</v>
      </c>
      <c r="AC176">
        <v>6.6</v>
      </c>
      <c r="AD176">
        <v>5.5</v>
      </c>
      <c r="AE176" s="587">
        <v>3.5529831881946592</v>
      </c>
      <c r="AF176" s="587">
        <f>+INDICADORES!$S$39</f>
        <v>3.5478682869288742</v>
      </c>
    </row>
    <row r="177" spans="26:32">
      <c r="AE177" s="587"/>
    </row>
    <row r="178" spans="26:32">
      <c r="Z178" t="s">
        <v>5024</v>
      </c>
      <c r="AA178">
        <v>4.2</v>
      </c>
      <c r="AB178" s="587">
        <v>4</v>
      </c>
      <c r="AC178">
        <v>3.2</v>
      </c>
      <c r="AD178">
        <v>2.6</v>
      </c>
      <c r="AE178" s="587">
        <v>2.5111534777986058</v>
      </c>
      <c r="AF178" s="587">
        <f>+INDICADORES!$S$61</f>
        <v>2.4765903259347399</v>
      </c>
    </row>
    <row r="179" spans="26:32">
      <c r="AE179" s="587"/>
    </row>
    <row r="180" spans="26:32">
      <c r="Z180" t="s">
        <v>55</v>
      </c>
      <c r="AA180">
        <v>8.6</v>
      </c>
      <c r="AB180">
        <v>7.3</v>
      </c>
      <c r="AC180" s="587">
        <v>5.5733489093632054</v>
      </c>
      <c r="AD180">
        <v>4.8</v>
      </c>
      <c r="AE180" s="587">
        <v>3.3615609727581162</v>
      </c>
      <c r="AF180" s="587">
        <f>+INDICADORES!$S$65</f>
        <v>3.3029437046904491</v>
      </c>
    </row>
    <row r="181" spans="26:32">
      <c r="AE181" s="587"/>
    </row>
    <row r="182" spans="26:32">
      <c r="Z182" t="s">
        <v>591</v>
      </c>
      <c r="AA182" s="587">
        <v>1.7019374288377414</v>
      </c>
      <c r="AB182" s="587">
        <v>3.9917490547039272</v>
      </c>
      <c r="AC182" s="587">
        <v>3.1405654273995491</v>
      </c>
      <c r="AD182" s="587">
        <v>2.2000000000000002</v>
      </c>
      <c r="AE182" s="587">
        <v>1.6550278762137791</v>
      </c>
      <c r="AF182" s="587">
        <f>+INDICADORES!S26</f>
        <v>2.1079863545194906</v>
      </c>
    </row>
    <row r="183" spans="26:32">
      <c r="AE183" s="587"/>
    </row>
    <row r="184" spans="26:32">
      <c r="Z184" t="s">
        <v>938</v>
      </c>
      <c r="AA184" s="587">
        <v>10.159865483380999</v>
      </c>
      <c r="AB184" s="587">
        <v>6.7011777319863963</v>
      </c>
      <c r="AC184" s="587">
        <v>6.9028452147406121</v>
      </c>
      <c r="AD184" s="587">
        <v>2.8850869853726091</v>
      </c>
      <c r="AE184" s="587">
        <v>5.0531251894921949</v>
      </c>
      <c r="AF184" s="587">
        <f>+INDICADORES!S30</f>
        <v>0</v>
      </c>
    </row>
    <row r="185" spans="26:32">
      <c r="AE185" s="587"/>
    </row>
    <row r="186" spans="26:32">
      <c r="Z186" t="s">
        <v>91</v>
      </c>
      <c r="AA186" s="587">
        <v>4.9215592931567063</v>
      </c>
      <c r="AB186" s="587">
        <v>3.5034491456839256</v>
      </c>
      <c r="AC186" s="587">
        <v>4.18649826399872</v>
      </c>
      <c r="AD186" s="587">
        <v>3.6</v>
      </c>
      <c r="AE186" s="587">
        <v>2.2216624426082623</v>
      </c>
      <c r="AF186" s="587">
        <f>+INDICADORES!S12</f>
        <v>3.6236356655017756</v>
      </c>
    </row>
    <row r="187" spans="26:32">
      <c r="AE187" s="587"/>
    </row>
    <row r="188" spans="26:32">
      <c r="Z188" t="s">
        <v>1053</v>
      </c>
      <c r="AA188" s="587">
        <v>2.5839548462503799</v>
      </c>
      <c r="AB188" s="587">
        <v>4.211444854077647</v>
      </c>
      <c r="AC188" s="587">
        <v>0.74400277959438454</v>
      </c>
      <c r="AD188" s="587">
        <v>2.6496857141532302</v>
      </c>
      <c r="AE188" s="587">
        <v>3.9352215313284953</v>
      </c>
      <c r="AF188" s="587">
        <f>+INDICADORES!S14</f>
        <v>4.8236668389787658</v>
      </c>
    </row>
    <row r="189" spans="26:32">
      <c r="AE189" s="587"/>
    </row>
    <row r="190" spans="26:32">
      <c r="Z190" t="s">
        <v>972</v>
      </c>
      <c r="AA190" s="587">
        <v>2.7423105611864331</v>
      </c>
      <c r="AB190" s="587">
        <v>7.9473988163674028</v>
      </c>
      <c r="AC190" s="587">
        <v>5.4911715689100848</v>
      </c>
      <c r="AD190" s="587">
        <v>10.1</v>
      </c>
      <c r="AE190" s="587">
        <v>0</v>
      </c>
      <c r="AF190" s="587">
        <f>+INDICADORES!S10</f>
        <v>0</v>
      </c>
    </row>
    <row r="191" spans="26:32">
      <c r="AE191" s="587"/>
    </row>
    <row r="192" spans="26:32">
      <c r="Z192" t="s">
        <v>689</v>
      </c>
      <c r="AA192" s="587">
        <v>2.3141444475740491</v>
      </c>
      <c r="AB192" s="587">
        <v>1.8948054540080188</v>
      </c>
      <c r="AC192" s="587">
        <v>0.88911070554490923</v>
      </c>
      <c r="AD192" s="587">
        <v>1.3829992329886254</v>
      </c>
      <c r="AE192" s="587">
        <v>2.6513957284185352</v>
      </c>
      <c r="AF192" s="1227">
        <f>(+INDICADORES!P16+INDICADORES!P17)*1000000/(INDICADORES!M16+INDICADORES!M17)</f>
        <v>1.9293426116191232</v>
      </c>
    </row>
    <row r="193" spans="26:32">
      <c r="AE193" s="587"/>
    </row>
    <row r="194" spans="26:32">
      <c r="Z194" s="242" t="s">
        <v>5151</v>
      </c>
      <c r="AA194" s="587">
        <v>10.10249996464125</v>
      </c>
      <c r="AB194" s="587">
        <v>1.8593339493926486</v>
      </c>
      <c r="AC194" s="587">
        <v>5.3825755265055957</v>
      </c>
      <c r="AD194" s="587">
        <v>9.6988694997711082</v>
      </c>
      <c r="AE194" s="587">
        <v>4.1846634219762917</v>
      </c>
      <c r="AF194" s="1227">
        <f>+(INDICADORES!P15+INDICADORES!P21)*1000000/(INDICADORES!M15+INDICADORES!M21)</f>
        <v>7.6975311580024757</v>
      </c>
    </row>
    <row r="195" spans="26:32">
      <c r="AE195" s="587"/>
    </row>
    <row r="196" spans="26:32">
      <c r="Z196" s="242" t="s">
        <v>5704</v>
      </c>
      <c r="AA196" s="2161">
        <v>10.160433240873392</v>
      </c>
      <c r="AB196" s="2161">
        <v>32.99731071917639</v>
      </c>
      <c r="AC196" s="2161">
        <v>28.243800485793368</v>
      </c>
      <c r="AD196" s="2161">
        <v>46.771372178516977</v>
      </c>
      <c r="AE196" s="587">
        <v>7.9617336786549542</v>
      </c>
      <c r="AF196" s="2161">
        <f>+INDICADORES!S29</f>
        <v>0</v>
      </c>
    </row>
    <row r="197" spans="26:32">
      <c r="AA197" s="1732"/>
      <c r="AB197" s="1732"/>
      <c r="AC197" s="1732"/>
      <c r="AD197" s="1732"/>
      <c r="AE197" s="587"/>
      <c r="AF197" s="1732"/>
    </row>
    <row r="198" spans="26:32">
      <c r="Z198" s="242" t="s">
        <v>1006</v>
      </c>
      <c r="AA198" s="2161">
        <v>1.8746039899071321</v>
      </c>
      <c r="AB198" s="2161">
        <v>0</v>
      </c>
      <c r="AC198" s="2161">
        <v>3.1424866287193947</v>
      </c>
      <c r="AD198" s="2161">
        <v>2.8</v>
      </c>
      <c r="AE198" s="587">
        <v>1.690535706590758</v>
      </c>
      <c r="AF198" s="2161">
        <f>+INDICADORES!S13</f>
        <v>5.6252323396744801</v>
      </c>
    </row>
    <row r="199" spans="26:32">
      <c r="AA199" s="1732"/>
      <c r="AB199" s="1732"/>
      <c r="AC199" s="1732"/>
      <c r="AD199" s="1732"/>
      <c r="AE199" s="587"/>
      <c r="AF199" s="1732"/>
    </row>
    <row r="200" spans="26:32">
      <c r="Z200" t="s">
        <v>5263</v>
      </c>
      <c r="AA200" s="2161">
        <v>4.2897689373360217</v>
      </c>
      <c r="AB200" s="2161">
        <v>4.4000000000000004</v>
      </c>
      <c r="AC200" s="2161">
        <v>3.4314295490496374</v>
      </c>
      <c r="AD200" s="2161">
        <v>3.5672097002302658</v>
      </c>
      <c r="AE200" s="587">
        <v>2.717775625520102</v>
      </c>
      <c r="AF200" s="2161">
        <f>+INDICADORES!S32</f>
        <v>3.703675064513702</v>
      </c>
    </row>
    <row r="202" spans="26:32">
      <c r="Z202" s="242" t="s">
        <v>5946</v>
      </c>
      <c r="AA202" s="587">
        <v>4.3645582994258341</v>
      </c>
      <c r="AB202" s="587">
        <v>4.2481716754144783</v>
      </c>
      <c r="AC202" s="587">
        <v>3.3907688623445496</v>
      </c>
      <c r="AD202" s="587">
        <v>3.518227070325409</v>
      </c>
      <c r="AE202" s="587">
        <v>2.5600724458987503</v>
      </c>
      <c r="AF202" s="587">
        <f>+INDICADORES!S28</f>
        <v>3.8772189198070364</v>
      </c>
    </row>
    <row r="204" spans="26:32">
      <c r="Z204" t="s">
        <v>2913</v>
      </c>
      <c r="AA204" s="587">
        <v>0</v>
      </c>
      <c r="AB204" s="587">
        <v>0</v>
      </c>
      <c r="AC204" s="587">
        <v>0</v>
      </c>
      <c r="AD204" s="587">
        <v>7.5</v>
      </c>
      <c r="AE204" s="587">
        <v>7</v>
      </c>
      <c r="AF204" s="587">
        <f>+INDICADORES!S24</f>
        <v>0</v>
      </c>
    </row>
    <row r="206" spans="26:32">
      <c r="Z206" t="s">
        <v>6071</v>
      </c>
      <c r="AA206" s="587">
        <v>3.7187854446737694</v>
      </c>
      <c r="AB206" s="587">
        <v>11.819772114793627</v>
      </c>
      <c r="AC206" s="587">
        <v>0</v>
      </c>
      <c r="AD206" s="587">
        <v>8.6728639097559608</v>
      </c>
      <c r="AE206" s="587">
        <v>2.7182998665314764</v>
      </c>
      <c r="AF206" s="587">
        <f>+INDICADORES!S20</f>
        <v>3.5338407481027785</v>
      </c>
    </row>
    <row r="208" spans="26:32">
      <c r="Z208" t="s">
        <v>789</v>
      </c>
      <c r="AA208" s="587">
        <v>1.7096559659299759</v>
      </c>
      <c r="AB208" s="587">
        <v>0.96953150298712654</v>
      </c>
      <c r="AC208" s="587">
        <v>0.91725363255369829</v>
      </c>
      <c r="AD208" s="587">
        <v>2.0889735619506</v>
      </c>
      <c r="AE208" s="587">
        <v>3.8692532882849071</v>
      </c>
      <c r="AF208" s="587">
        <f>+INDICADORES!S41</f>
        <v>0.68690068472441346</v>
      </c>
    </row>
    <row r="210" spans="26:32">
      <c r="Z210" t="s">
        <v>790</v>
      </c>
      <c r="AA210" s="587">
        <v>14.445740994284302</v>
      </c>
      <c r="AB210" s="587">
        <v>7.1291589731159419</v>
      </c>
      <c r="AC210" s="587">
        <v>4.3028473016306714</v>
      </c>
      <c r="AD210" s="587">
        <v>4.2818667226163916</v>
      </c>
      <c r="AE210" s="587">
        <v>2.1220271725579445</v>
      </c>
      <c r="AF210" s="587">
        <f>+INDICADORES!S52</f>
        <v>3.1624553303184593</v>
      </c>
    </row>
    <row r="212" spans="26:32">
      <c r="Z212" t="s">
        <v>2906</v>
      </c>
      <c r="AB212" s="587">
        <v>3.3000033000033002</v>
      </c>
      <c r="AC212" s="587">
        <v>4.032258064516129</v>
      </c>
      <c r="AD212" s="587">
        <v>0</v>
      </c>
      <c r="AE212" s="587">
        <v>3.2085012448984829</v>
      </c>
      <c r="AF212" s="587">
        <f>+INDICADORES!S59</f>
        <v>5.8189874199601919</v>
      </c>
    </row>
    <row r="214" spans="26:32">
      <c r="Z214" t="s">
        <v>2943</v>
      </c>
      <c r="AA214" s="587">
        <v>3.4437206508907527</v>
      </c>
      <c r="AB214" s="587">
        <v>3.2192260765896807</v>
      </c>
      <c r="AC214" s="587">
        <v>2.3615180512753042</v>
      </c>
      <c r="AD214" s="587">
        <v>2.830201361751385</v>
      </c>
      <c r="AE214" s="587">
        <v>1.9810342385449171</v>
      </c>
      <c r="AF214" s="587">
        <f>+INDICADORES!S58</f>
        <v>2.5183276923239917</v>
      </c>
    </row>
  </sheetData>
  <mergeCells count="12">
    <mergeCell ref="BI14:BJ14"/>
    <mergeCell ref="BM1:BN1"/>
    <mergeCell ref="AW1:AX1"/>
    <mergeCell ref="AZ1:BA1"/>
    <mergeCell ref="BC1:BD1"/>
    <mergeCell ref="BI1:BJ1"/>
    <mergeCell ref="BA20:BE20"/>
    <mergeCell ref="BA21:BE21"/>
    <mergeCell ref="AP18:AU18"/>
    <mergeCell ref="BF1:BG1"/>
    <mergeCell ref="AQ1:AR1"/>
    <mergeCell ref="BC14:BD14"/>
  </mergeCells>
  <phoneticPr fontId="42" type="noConversion"/>
  <pageMargins left="0.7" right="0.7" top="0.75" bottom="0.75" header="0.3" footer="0.3"/>
  <customProperties>
    <customPr name="_pios_id" r:id="rId1"/>
  </customPropertie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
  <dimension ref="A1:J42"/>
  <sheetViews>
    <sheetView topLeftCell="A16" workbookViewId="0">
      <selection activeCell="B17" sqref="B17"/>
    </sheetView>
  </sheetViews>
  <sheetFormatPr baseColWidth="10" defaultColWidth="11.44140625" defaultRowHeight="13.2"/>
  <cols>
    <col min="1" max="1" width="18.44140625" style="12" customWidth="1"/>
    <col min="2" max="2" width="10.5546875" style="377" customWidth="1"/>
    <col min="3" max="3" width="10.44140625" style="377" customWidth="1"/>
    <col min="4" max="4" width="9" style="377" customWidth="1"/>
    <col min="5" max="5" width="9.5546875" style="377" customWidth="1"/>
    <col min="6" max="6" width="8.44140625" style="377" customWidth="1"/>
    <col min="7" max="8" width="12.44140625" style="378" customWidth="1"/>
    <col min="9" max="9" width="11.5546875" style="377" customWidth="1"/>
    <col min="10" max="10" width="9.5546875" style="378" customWidth="1"/>
    <col min="11" max="16384" width="11.44140625" style="372"/>
  </cols>
  <sheetData>
    <row r="1" spans="1:10" ht="23.4">
      <c r="A1" s="476" t="s">
        <v>79</v>
      </c>
      <c r="B1" s="480" t="s">
        <v>338</v>
      </c>
      <c r="C1" s="481" t="s">
        <v>68</v>
      </c>
      <c r="D1" s="481" t="s">
        <v>69</v>
      </c>
      <c r="E1" s="481" t="s">
        <v>70</v>
      </c>
      <c r="F1" s="481" t="s">
        <v>71</v>
      </c>
      <c r="G1" s="482" t="s">
        <v>336</v>
      </c>
      <c r="H1" s="482" t="s">
        <v>335</v>
      </c>
      <c r="I1" s="483" t="s">
        <v>72</v>
      </c>
      <c r="J1" s="482" t="s">
        <v>73</v>
      </c>
    </row>
    <row r="2" spans="1:10" ht="16.2">
      <c r="A2" s="373" t="s">
        <v>347</v>
      </c>
      <c r="B2" s="399">
        <v>13037542.631388888</v>
      </c>
      <c r="C2" s="360">
        <v>861</v>
      </c>
      <c r="D2" s="360">
        <v>44</v>
      </c>
      <c r="E2" s="360">
        <v>9</v>
      </c>
      <c r="F2" s="360">
        <v>58</v>
      </c>
      <c r="G2" s="365">
        <v>3.4</v>
      </c>
      <c r="H2" s="362">
        <v>4.0651832556542074</v>
      </c>
      <c r="I2" s="360">
        <v>66.040052511665522</v>
      </c>
      <c r="J2" s="379">
        <v>1.7027748731230832</v>
      </c>
    </row>
    <row r="3" spans="1:10">
      <c r="A3" s="373" t="s">
        <v>351</v>
      </c>
      <c r="B3" s="399">
        <v>13037542.631388888</v>
      </c>
      <c r="C3" s="380" t="s">
        <v>339</v>
      </c>
      <c r="D3" s="380" t="s">
        <v>349</v>
      </c>
      <c r="E3" s="382" t="s">
        <v>350</v>
      </c>
      <c r="F3" s="380" t="s">
        <v>340</v>
      </c>
      <c r="G3" s="381" t="s">
        <v>344</v>
      </c>
      <c r="H3" s="381" t="s">
        <v>343</v>
      </c>
      <c r="I3" s="380" t="s">
        <v>341</v>
      </c>
      <c r="J3" s="381" t="s">
        <v>342</v>
      </c>
    </row>
    <row r="4" spans="1:10">
      <c r="A4" s="478" t="s">
        <v>348</v>
      </c>
      <c r="B4" s="399" t="e">
        <f>+INDICADORES!#REF!</f>
        <v>#REF!</v>
      </c>
      <c r="C4" s="399" t="e">
        <f>+INDICADORES!#REF!</f>
        <v>#REF!</v>
      </c>
      <c r="D4" s="399" t="e">
        <f>+INDICADORES!#REF!</f>
        <v>#REF!</v>
      </c>
      <c r="E4" s="399" t="e">
        <f>+INDICADORES!#REF!</f>
        <v>#REF!</v>
      </c>
      <c r="F4" s="399" t="e">
        <f>+INDICADORES!#REF!</f>
        <v>#REF!</v>
      </c>
      <c r="G4" s="442" t="e">
        <f>+INDICADORES!#REF!</f>
        <v>#REF!</v>
      </c>
      <c r="H4" s="444" t="e">
        <f>+INDICADORES!#REF!</f>
        <v>#REF!</v>
      </c>
      <c r="I4" s="443" t="e">
        <f>+INDICADORES!#REF!</f>
        <v>#REF!</v>
      </c>
      <c r="J4" s="444" t="e">
        <f>+INDICADORES!#REF!</f>
        <v>#REF!</v>
      </c>
    </row>
    <row r="5" spans="1:10" ht="16.8">
      <c r="A5" s="373" t="s">
        <v>345</v>
      </c>
      <c r="B5" s="399" t="e">
        <f>+INDICADORES!#REF!</f>
        <v>#REF!</v>
      </c>
      <c r="C5" s="360" t="e">
        <f>+INDICADORES!#REF!</f>
        <v>#REF!</v>
      </c>
      <c r="D5" s="360" t="e">
        <f>+INDICADORES!#REF!</f>
        <v>#REF!</v>
      </c>
      <c r="E5" s="360" t="e">
        <f>+INDICADORES!#REF!</f>
        <v>#REF!</v>
      </c>
      <c r="F5" s="360" t="e">
        <f>+INDICADORES!#REF!</f>
        <v>#REF!</v>
      </c>
      <c r="G5" s="484" t="e">
        <f>+INDICADORES!#REF!</f>
        <v>#REF!</v>
      </c>
      <c r="H5" s="368" t="e">
        <f>+INDICADORES!#REF!</f>
        <v>#REF!</v>
      </c>
      <c r="I5" s="370" t="e">
        <f>+INDICADORES!#REF!</f>
        <v>#REF!</v>
      </c>
      <c r="J5" s="368" t="e">
        <f>+INDICADORES!#REF!</f>
        <v>#REF!</v>
      </c>
    </row>
    <row r="6" spans="1:10" ht="16.2">
      <c r="A6" s="373" t="s">
        <v>346</v>
      </c>
      <c r="B6" s="399" t="e">
        <f>+INDICADORES!#REF!</f>
        <v>#REF!</v>
      </c>
      <c r="C6" s="360" t="e">
        <f>+C5</f>
        <v>#REF!</v>
      </c>
      <c r="D6" s="360" t="e">
        <f>+D5</f>
        <v>#REF!</v>
      </c>
      <c r="E6" s="360" t="e">
        <f>+E5</f>
        <v>#REF!</v>
      </c>
      <c r="F6" s="360" t="e">
        <f>+F5</f>
        <v>#REF!</v>
      </c>
      <c r="G6" s="365" t="e">
        <f>+INDICADORES!#REF!</f>
        <v>#REF!</v>
      </c>
      <c r="H6" s="362" t="e">
        <f>+INDICADORES!#REF!</f>
        <v>#REF!</v>
      </c>
      <c r="I6" s="367" t="e">
        <f>+INDICADORES!#REF!</f>
        <v>#REF!</v>
      </c>
      <c r="J6" s="362" t="e">
        <f>+INDICADORES!#REF!</f>
        <v>#REF!</v>
      </c>
    </row>
    <row r="7" spans="1:10">
      <c r="A7" s="372"/>
      <c r="B7" s="372"/>
      <c r="C7" s="372"/>
      <c r="D7" s="372"/>
      <c r="E7" s="372"/>
      <c r="F7" s="372"/>
      <c r="G7" s="372"/>
      <c r="H7" s="372"/>
      <c r="I7" s="372"/>
      <c r="J7" s="372"/>
    </row>
    <row r="8" spans="1:10" ht="27" thickBot="1">
      <c r="A8" s="477" t="s">
        <v>337</v>
      </c>
      <c r="B8" s="396" t="s">
        <v>338</v>
      </c>
      <c r="C8" s="395" t="s">
        <v>68</v>
      </c>
      <c r="D8" s="395" t="s">
        <v>69</v>
      </c>
      <c r="E8" s="395" t="s">
        <v>70</v>
      </c>
      <c r="F8" s="395" t="s">
        <v>71</v>
      </c>
      <c r="G8" s="393" t="s">
        <v>336</v>
      </c>
      <c r="H8" s="393" t="s">
        <v>335</v>
      </c>
      <c r="I8" s="394" t="s">
        <v>72</v>
      </c>
      <c r="J8" s="393" t="s">
        <v>73</v>
      </c>
    </row>
    <row r="9" spans="1:10" ht="16.2">
      <c r="A9" s="387" t="s">
        <v>347</v>
      </c>
      <c r="B9" s="397">
        <v>13037542.631388888</v>
      </c>
      <c r="C9" s="359">
        <v>861</v>
      </c>
      <c r="D9" s="359">
        <v>44</v>
      </c>
      <c r="E9" s="359">
        <v>9</v>
      </c>
      <c r="F9" s="359">
        <v>58</v>
      </c>
      <c r="G9" s="366">
        <v>3.4</v>
      </c>
      <c r="H9" s="363">
        <v>4.0651832556542074</v>
      </c>
      <c r="I9" s="359">
        <v>66.040052511665522</v>
      </c>
      <c r="J9" s="392">
        <v>1.7027748731230832</v>
      </c>
    </row>
    <row r="10" spans="1:10" ht="13.8" thickBot="1">
      <c r="A10" s="388" t="s">
        <v>351</v>
      </c>
      <c r="B10" s="398">
        <v>13037542.631388888</v>
      </c>
      <c r="C10" s="389" t="s">
        <v>339</v>
      </c>
      <c r="D10" s="389" t="s">
        <v>349</v>
      </c>
      <c r="E10" s="390" t="s">
        <v>350</v>
      </c>
      <c r="F10" s="389" t="s">
        <v>340</v>
      </c>
      <c r="G10" s="391" t="s">
        <v>344</v>
      </c>
      <c r="H10" s="391" t="s">
        <v>343</v>
      </c>
      <c r="I10" s="389" t="s">
        <v>341</v>
      </c>
      <c r="J10" s="391" t="s">
        <v>342</v>
      </c>
    </row>
    <row r="11" spans="1:10">
      <c r="A11" s="376" t="s">
        <v>348</v>
      </c>
      <c r="B11" s="383" t="e">
        <f>+INDICADORES!#REF!</f>
        <v>#REF!</v>
      </c>
      <c r="C11" s="383" t="e">
        <f>+INDICADORES!#REF!</f>
        <v>#REF!</v>
      </c>
      <c r="D11" s="383" t="e">
        <f>+INDICADORES!#REF!</f>
        <v>#REF!</v>
      </c>
      <c r="E11" s="383" t="e">
        <f>+INDICADORES!#REF!</f>
        <v>#REF!</v>
      </c>
      <c r="F11" s="383" t="e">
        <f>+INDICADORES!#REF!</f>
        <v>#REF!</v>
      </c>
      <c r="G11" s="384" t="e">
        <f>+INDICADORES!#REF!</f>
        <v>#REF!</v>
      </c>
      <c r="H11" s="385" t="e">
        <f>+INDICADORES!#REF!</f>
        <v>#REF!</v>
      </c>
      <c r="I11" s="386" t="e">
        <f>+INDICADORES!#REF!</f>
        <v>#REF!</v>
      </c>
      <c r="J11" s="385" t="e">
        <f>+INDICADORES!#REF!</f>
        <v>#REF!</v>
      </c>
    </row>
    <row r="12" spans="1:10" ht="16.8">
      <c r="A12" s="374" t="s">
        <v>345</v>
      </c>
      <c r="B12" s="375" t="e">
        <f>+INDICADORES!#REF!</f>
        <v>#REF!</v>
      </c>
      <c r="C12" s="361" t="e">
        <f>+INDICADORES!#REF!</f>
        <v>#REF!</v>
      </c>
      <c r="D12" s="361" t="e">
        <f>+INDICADORES!#REF!</f>
        <v>#REF!</v>
      </c>
      <c r="E12" s="361" t="e">
        <f>+INDICADORES!#REF!</f>
        <v>#REF!</v>
      </c>
      <c r="F12" s="361" t="e">
        <f>+INDICADORES!#REF!</f>
        <v>#REF!</v>
      </c>
      <c r="G12" s="369" t="e">
        <f>+INDICADORES!#REF!</f>
        <v>#REF!</v>
      </c>
      <c r="H12" s="369" t="e">
        <f>+INDICADORES!#REF!</f>
        <v>#REF!</v>
      </c>
      <c r="I12" s="371" t="e">
        <f>+INDICADORES!#REF!</f>
        <v>#REF!</v>
      </c>
      <c r="J12" s="369" t="e">
        <f>+INDICADORES!#REF!</f>
        <v>#REF!</v>
      </c>
    </row>
    <row r="13" spans="1:10" ht="16.2">
      <c r="A13" s="374" t="s">
        <v>346</v>
      </c>
      <c r="B13" s="399" t="e">
        <f>+INDICADORES!#REF!</f>
        <v>#REF!</v>
      </c>
      <c r="C13" s="360" t="e">
        <f>+C12</f>
        <v>#REF!</v>
      </c>
      <c r="D13" s="360" t="e">
        <f>+D12</f>
        <v>#REF!</v>
      </c>
      <c r="E13" s="360" t="e">
        <f>+E12</f>
        <v>#REF!</v>
      </c>
      <c r="F13" s="360" t="e">
        <f>+F12</f>
        <v>#REF!</v>
      </c>
      <c r="G13" s="365" t="e">
        <f>+INDICADORES!#REF!</f>
        <v>#REF!</v>
      </c>
      <c r="H13" s="365" t="e">
        <f>+INDICADORES!#REF!</f>
        <v>#REF!</v>
      </c>
      <c r="I13" s="364" t="e">
        <f>+INDICADORES!#REF!</f>
        <v>#REF!</v>
      </c>
      <c r="J13" s="365" t="e">
        <f>+INDICADORES!#REF!</f>
        <v>#REF!</v>
      </c>
    </row>
    <row r="16" spans="1:10" ht="33.75" customHeight="1">
      <c r="A16" s="508" t="s">
        <v>74</v>
      </c>
      <c r="B16" s="509" t="s">
        <v>338</v>
      </c>
      <c r="C16" s="481" t="s">
        <v>68</v>
      </c>
      <c r="D16" s="481" t="s">
        <v>69</v>
      </c>
      <c r="E16" s="481" t="s">
        <v>70</v>
      </c>
      <c r="F16" s="481" t="s">
        <v>71</v>
      </c>
      <c r="G16" s="510" t="s">
        <v>336</v>
      </c>
      <c r="H16" s="510" t="s">
        <v>335</v>
      </c>
      <c r="I16" s="511" t="s">
        <v>72</v>
      </c>
      <c r="J16" s="510" t="s">
        <v>73</v>
      </c>
    </row>
    <row r="17" spans="1:10" ht="16.2">
      <c r="A17" s="498" t="s">
        <v>347</v>
      </c>
      <c r="B17" s="507">
        <v>1372620.5</v>
      </c>
      <c r="C17" s="500">
        <v>219</v>
      </c>
      <c r="D17" s="500">
        <v>9</v>
      </c>
      <c r="E17" s="500">
        <v>0</v>
      </c>
      <c r="F17" s="500">
        <v>5</v>
      </c>
      <c r="G17" s="501">
        <v>6.5568013882934135</v>
      </c>
      <c r="H17" s="501">
        <v>6.5568013882934135</v>
      </c>
      <c r="I17" s="500">
        <v>159.54883378180639</v>
      </c>
      <c r="J17" s="501">
        <v>2.0398937652468399</v>
      </c>
    </row>
    <row r="18" spans="1:10">
      <c r="A18" s="498" t="s">
        <v>351</v>
      </c>
      <c r="B18" s="507">
        <f>+B17</f>
        <v>1372620.5</v>
      </c>
      <c r="C18" s="502" t="s">
        <v>395</v>
      </c>
      <c r="D18" s="502" t="s">
        <v>392</v>
      </c>
      <c r="E18" s="503" t="s">
        <v>393</v>
      </c>
      <c r="F18" s="502" t="s">
        <v>394</v>
      </c>
      <c r="G18" s="504" t="s">
        <v>389</v>
      </c>
      <c r="H18" s="504" t="s">
        <v>389</v>
      </c>
      <c r="I18" s="505" t="s">
        <v>390</v>
      </c>
      <c r="J18" s="504" t="s">
        <v>391</v>
      </c>
    </row>
    <row r="19" spans="1:10" ht="16.2">
      <c r="A19" s="506" t="s">
        <v>348</v>
      </c>
      <c r="B19" s="507" t="e">
        <f>+INDICADORES!#REF!</f>
        <v>#REF!</v>
      </c>
      <c r="C19" s="499" t="e">
        <f>+INDICADORES!#REF!</f>
        <v>#REF!</v>
      </c>
      <c r="D19" s="499" t="e">
        <f>+INDICADORES!#REF!</f>
        <v>#REF!</v>
      </c>
      <c r="E19" s="499" t="e">
        <f>+INDICADORES!#REF!</f>
        <v>#REF!</v>
      </c>
      <c r="F19" s="499" t="e">
        <f>+INDICADORES!#REF!</f>
        <v>#REF!</v>
      </c>
      <c r="G19" s="501" t="e">
        <f>+INDICADORES!#REF!</f>
        <v>#REF!</v>
      </c>
      <c r="H19" s="501" t="e">
        <f>+INDICADORES!#REF!</f>
        <v>#REF!</v>
      </c>
      <c r="I19" s="500" t="e">
        <f>+INDICADORES!#REF!</f>
        <v>#REF!</v>
      </c>
      <c r="J19" s="501" t="e">
        <f>+INDICADORES!#REF!</f>
        <v>#REF!</v>
      </c>
    </row>
    <row r="20" spans="1:10" ht="16.2">
      <c r="A20" s="498" t="s">
        <v>345</v>
      </c>
      <c r="B20" s="507" t="e">
        <f>+INDICADORES!#REF!</f>
        <v>#REF!</v>
      </c>
      <c r="C20" s="499" t="e">
        <f>+INDICADORES!#REF!</f>
        <v>#REF!</v>
      </c>
      <c r="D20" s="499" t="e">
        <f>+INDICADORES!#REF!</f>
        <v>#REF!</v>
      </c>
      <c r="E20" s="499" t="e">
        <f>+INDICADORES!#REF!</f>
        <v>#REF!</v>
      </c>
      <c r="F20" s="499" t="e">
        <f>+INDICADORES!#REF!</f>
        <v>#REF!</v>
      </c>
      <c r="G20" s="501" t="e">
        <f>+INDICADORES!#REF!</f>
        <v>#REF!</v>
      </c>
      <c r="H20" s="501" t="e">
        <f>+INDICADORES!#REF!</f>
        <v>#REF!</v>
      </c>
      <c r="I20" s="500" t="e">
        <f>+INDICADORES!#REF!</f>
        <v>#REF!</v>
      </c>
      <c r="J20" s="501" t="e">
        <f>+INDICADORES!#REF!</f>
        <v>#REF!</v>
      </c>
    </row>
    <row r="21" spans="1:10" ht="16.2">
      <c r="A21" s="498" t="s">
        <v>346</v>
      </c>
      <c r="B21" s="507" t="e">
        <f>+INDICADORES!#REF!</f>
        <v>#REF!</v>
      </c>
      <c r="C21" s="500" t="e">
        <f>+C20</f>
        <v>#REF!</v>
      </c>
      <c r="D21" s="500" t="e">
        <f>+D20</f>
        <v>#REF!</v>
      </c>
      <c r="E21" s="500" t="e">
        <f>+E20</f>
        <v>#REF!</v>
      </c>
      <c r="F21" s="500" t="e">
        <f>+F20</f>
        <v>#REF!</v>
      </c>
      <c r="G21" s="501" t="e">
        <f>+INDICADORES!#REF!</f>
        <v>#REF!</v>
      </c>
      <c r="H21" s="501" t="e">
        <f>+INDICADORES!#REF!</f>
        <v>#REF!</v>
      </c>
      <c r="I21" s="500" t="e">
        <f>+INDICADORES!#REF!</f>
        <v>#REF!</v>
      </c>
      <c r="J21" s="501" t="e">
        <f>+INDICADORES!#REF!</f>
        <v>#REF!</v>
      </c>
    </row>
    <row r="22" spans="1:10">
      <c r="A22" s="498"/>
      <c r="B22" s="505"/>
      <c r="C22" s="505"/>
      <c r="D22" s="505"/>
      <c r="E22" s="505"/>
      <c r="F22" s="505"/>
      <c r="G22" s="504"/>
      <c r="H22" s="504"/>
      <c r="I22" s="505"/>
      <c r="J22" s="504"/>
    </row>
    <row r="23" spans="1:10" ht="23.4">
      <c r="A23" s="476" t="s">
        <v>386</v>
      </c>
      <c r="B23" s="480" t="s">
        <v>338</v>
      </c>
      <c r="C23" s="481" t="s">
        <v>68</v>
      </c>
      <c r="D23" s="481" t="s">
        <v>69</v>
      </c>
      <c r="E23" s="481" t="s">
        <v>70</v>
      </c>
      <c r="F23" s="481" t="s">
        <v>71</v>
      </c>
      <c r="G23" s="482" t="s">
        <v>336</v>
      </c>
      <c r="H23" s="482" t="s">
        <v>335</v>
      </c>
      <c r="I23" s="483" t="s">
        <v>72</v>
      </c>
      <c r="J23" s="482" t="s">
        <v>73</v>
      </c>
    </row>
    <row r="24" spans="1:10" ht="16.2">
      <c r="A24" s="373" t="s">
        <v>347</v>
      </c>
      <c r="B24" s="399">
        <v>635258.75</v>
      </c>
      <c r="C24" s="399">
        <v>129</v>
      </c>
      <c r="D24" s="399">
        <v>4</v>
      </c>
      <c r="E24" s="399">
        <v>0</v>
      </c>
      <c r="F24" s="399">
        <v>4</v>
      </c>
      <c r="G24" s="379">
        <v>6.2966468387881314</v>
      </c>
      <c r="H24" s="379">
        <v>6.2966468387881314</v>
      </c>
      <c r="I24" s="360">
        <v>203.06686055091726</v>
      </c>
      <c r="J24" s="379">
        <v>2.5186587355152525</v>
      </c>
    </row>
    <row r="25" spans="1:10">
      <c r="A25" s="373" t="s">
        <v>351</v>
      </c>
      <c r="B25" s="399">
        <f>+B24</f>
        <v>635258.75</v>
      </c>
      <c r="C25" s="493" t="s">
        <v>398</v>
      </c>
      <c r="D25" s="493" t="s">
        <v>396</v>
      </c>
      <c r="E25" s="382" t="s">
        <v>393</v>
      </c>
      <c r="F25" s="493" t="s">
        <v>397</v>
      </c>
      <c r="G25" s="381" t="s">
        <v>399</v>
      </c>
      <c r="H25" s="381" t="s">
        <v>399</v>
      </c>
      <c r="I25" s="380" t="s">
        <v>400</v>
      </c>
      <c r="J25" s="381" t="s">
        <v>401</v>
      </c>
    </row>
    <row r="26" spans="1:10" ht="16.2">
      <c r="A26" s="478" t="s">
        <v>348</v>
      </c>
      <c r="B26" s="399">
        <f>+INDICADORES!C7</f>
        <v>1045116.6699999999</v>
      </c>
      <c r="C26" s="494">
        <f>+INDICADORES!D7</f>
        <v>117</v>
      </c>
      <c r="D26" s="494">
        <f>+INDICADORES!E7</f>
        <v>10</v>
      </c>
      <c r="E26" s="494">
        <f>+INDICADORES!F7</f>
        <v>0</v>
      </c>
      <c r="F26" s="494">
        <f>+INDICADORES!G7</f>
        <v>3</v>
      </c>
      <c r="G26" s="379" t="e">
        <f>+INDICADORES!#REF!</f>
        <v>#REF!</v>
      </c>
      <c r="H26" s="379">
        <f>+INDICADORES!H7</f>
        <v>9.5683097275637188</v>
      </c>
      <c r="I26" s="495">
        <f>+INDICADORES!I7</f>
        <v>111.9492238124955</v>
      </c>
      <c r="J26" s="496">
        <f>+INDICADORES!J7</f>
        <v>2.4877605291665668</v>
      </c>
    </row>
    <row r="27" spans="1:10" ht="16.2">
      <c r="A27" s="373" t="s">
        <v>345</v>
      </c>
      <c r="B27" s="399">
        <f>+INDICADORES!M7</f>
        <v>542910.15</v>
      </c>
      <c r="C27" s="399">
        <f>+INDICADORES!O7</f>
        <v>178</v>
      </c>
      <c r="D27" s="399">
        <f>+INDICADORES!P7</f>
        <v>11</v>
      </c>
      <c r="E27" s="399">
        <f>+INDICADORES!Q7</f>
        <v>0</v>
      </c>
      <c r="F27" s="399">
        <f>+INDICADORES!R7</f>
        <v>2</v>
      </c>
      <c r="G27" s="379" t="e">
        <f>+INDICADORES!#REF!</f>
        <v>#REF!</v>
      </c>
      <c r="H27" s="379">
        <f>+INDICADORES!S7</f>
        <v>20.261179497196729</v>
      </c>
      <c r="I27" s="360">
        <f>+INDICADORES!T7</f>
        <v>327.86272277281978</v>
      </c>
      <c r="J27" s="379">
        <f>+INDICADORES!U7</f>
        <v>4.7890060629737716</v>
      </c>
    </row>
    <row r="28" spans="1:10" ht="16.2">
      <c r="A28" s="373" t="s">
        <v>346</v>
      </c>
      <c r="B28" s="399">
        <f>+INDICADORES!X7</f>
        <v>592265.61818181816</v>
      </c>
      <c r="C28" s="360">
        <f>+C27</f>
        <v>178</v>
      </c>
      <c r="D28" s="360">
        <f>+D27</f>
        <v>11</v>
      </c>
      <c r="E28" s="360">
        <f>+E27</f>
        <v>0</v>
      </c>
      <c r="F28" s="360">
        <f>+F27</f>
        <v>2</v>
      </c>
      <c r="G28" s="365">
        <f>+INDICADORES!Y7</f>
        <v>18.572747872430334</v>
      </c>
      <c r="H28" s="365">
        <f>+INDICADORES!Z7</f>
        <v>18.572747872430334</v>
      </c>
      <c r="I28" s="360">
        <f>+INDICADORES!AA7</f>
        <v>300.54082920841813</v>
      </c>
      <c r="J28" s="365">
        <f>+INDICADORES!AC7</f>
        <v>4.3899222243926248</v>
      </c>
    </row>
    <row r="30" spans="1:10" ht="23.4">
      <c r="A30" s="476" t="s">
        <v>387</v>
      </c>
      <c r="B30" s="480" t="s">
        <v>338</v>
      </c>
      <c r="C30" s="481" t="s">
        <v>68</v>
      </c>
      <c r="D30" s="481" t="s">
        <v>69</v>
      </c>
      <c r="E30" s="481" t="s">
        <v>70</v>
      </c>
      <c r="F30" s="481" t="s">
        <v>71</v>
      </c>
      <c r="G30" s="482" t="s">
        <v>336</v>
      </c>
      <c r="H30" s="482" t="s">
        <v>335</v>
      </c>
      <c r="I30" s="483" t="s">
        <v>72</v>
      </c>
      <c r="J30" s="482" t="s">
        <v>73</v>
      </c>
    </row>
    <row r="31" spans="1:10" ht="16.2">
      <c r="A31" s="373" t="s">
        <v>347</v>
      </c>
      <c r="B31" s="399">
        <v>282285.25</v>
      </c>
      <c r="C31" s="399">
        <v>30</v>
      </c>
      <c r="D31" s="399">
        <v>1</v>
      </c>
      <c r="E31" s="399">
        <v>0</v>
      </c>
      <c r="F31" s="399">
        <v>0</v>
      </c>
      <c r="G31" s="379">
        <v>3.5425159479639832</v>
      </c>
      <c r="H31" s="379">
        <v>3.5425159479639832</v>
      </c>
      <c r="I31" s="360">
        <v>106.27547843891949</v>
      </c>
      <c r="J31" s="379">
        <v>0.70850318959279668</v>
      </c>
    </row>
    <row r="32" spans="1:10">
      <c r="A32" s="373" t="s">
        <v>351</v>
      </c>
      <c r="B32" s="399">
        <f>+B31</f>
        <v>282285.25</v>
      </c>
      <c r="C32" s="380" t="s">
        <v>403</v>
      </c>
      <c r="D32" s="380" t="s">
        <v>402</v>
      </c>
      <c r="E32" s="382" t="s">
        <v>393</v>
      </c>
      <c r="F32" s="493" t="s">
        <v>397</v>
      </c>
      <c r="G32" s="381" t="s">
        <v>404</v>
      </c>
      <c r="H32" s="381" t="s">
        <v>404</v>
      </c>
      <c r="I32" s="380" t="s">
        <v>405</v>
      </c>
      <c r="J32" s="381" t="s">
        <v>406</v>
      </c>
    </row>
    <row r="33" spans="1:10" ht="16.2">
      <c r="A33" s="478" t="s">
        <v>348</v>
      </c>
      <c r="B33" s="399">
        <f>+INDICADORES!C5</f>
        <v>107782.31</v>
      </c>
      <c r="C33" s="399">
        <f>+INDICADORES!D5</f>
        <v>47</v>
      </c>
      <c r="D33" s="399">
        <f>+INDICADORES!E5</f>
        <v>5</v>
      </c>
      <c r="E33" s="399">
        <f>+INDICADORES!F5</f>
        <v>0</v>
      </c>
      <c r="F33" s="399">
        <f>+INDICADORES!G5</f>
        <v>2</v>
      </c>
      <c r="G33" s="379" t="e">
        <f>+INDICADORES!#REF!</f>
        <v>#REF!</v>
      </c>
      <c r="H33" s="379">
        <f>+INDICADORES!H5</f>
        <v>46.389801814416487</v>
      </c>
      <c r="I33" s="360">
        <f>+INDICADORES!I5</f>
        <v>436.06413705551495</v>
      </c>
      <c r="J33" s="379">
        <f>+INDICADORES!J5</f>
        <v>12.989144508036617</v>
      </c>
    </row>
    <row r="34" spans="1:10" ht="16.2">
      <c r="A34" s="373" t="s">
        <v>345</v>
      </c>
      <c r="B34" s="399">
        <f>+INDICADORES!M5</f>
        <v>30715.96</v>
      </c>
      <c r="C34" s="399">
        <f>+INDICADORES!O5</f>
        <v>0</v>
      </c>
      <c r="D34" s="399">
        <f>+INDICADORES!P5</f>
        <v>0</v>
      </c>
      <c r="E34" s="399">
        <f>+INDICADORES!Q5</f>
        <v>0</v>
      </c>
      <c r="F34" s="399">
        <f>+INDICADORES!R5</f>
        <v>0</v>
      </c>
      <c r="G34" s="379" t="e">
        <f>+INDICADORES!#REF!</f>
        <v>#REF!</v>
      </c>
      <c r="H34" s="379">
        <f>+INDICADORES!S5</f>
        <v>0</v>
      </c>
      <c r="I34" s="360">
        <f>+INDICADORES!T5</f>
        <v>0</v>
      </c>
      <c r="J34" s="379">
        <f>+INDICADORES!U5</f>
        <v>0</v>
      </c>
    </row>
    <row r="35" spans="1:10" ht="16.2">
      <c r="A35" s="373" t="s">
        <v>346</v>
      </c>
      <c r="B35" s="399">
        <f>+INDICADORES!X5</f>
        <v>33508.32</v>
      </c>
      <c r="C35" s="360">
        <f>+C34</f>
        <v>0</v>
      </c>
      <c r="D35" s="360">
        <f>+D34</f>
        <v>0</v>
      </c>
      <c r="E35" s="360">
        <f>+E34</f>
        <v>0</v>
      </c>
      <c r="F35" s="360">
        <f>+F34</f>
        <v>0</v>
      </c>
      <c r="G35" s="379">
        <f>+INDICADORES!Y5</f>
        <v>0</v>
      </c>
      <c r="H35" s="379">
        <f>+INDICADORES!Z5</f>
        <v>0</v>
      </c>
      <c r="I35" s="360">
        <f>+INDICADORES!AA5</f>
        <v>0</v>
      </c>
      <c r="J35" s="379">
        <f>+INDICADORES!AC5</f>
        <v>0</v>
      </c>
    </row>
    <row r="37" spans="1:10" ht="23.4">
      <c r="A37" s="476" t="s">
        <v>388</v>
      </c>
      <c r="B37" s="480" t="s">
        <v>338</v>
      </c>
      <c r="C37" s="481" t="s">
        <v>68</v>
      </c>
      <c r="D37" s="481" t="s">
        <v>69</v>
      </c>
      <c r="E37" s="481" t="s">
        <v>70</v>
      </c>
      <c r="F37" s="481" t="s">
        <v>71</v>
      </c>
      <c r="G37" s="482" t="s">
        <v>336</v>
      </c>
      <c r="H37" s="482" t="s">
        <v>335</v>
      </c>
      <c r="I37" s="483" t="s">
        <v>72</v>
      </c>
      <c r="J37" s="482" t="s">
        <v>73</v>
      </c>
    </row>
    <row r="38" spans="1:10" ht="16.2">
      <c r="A38" s="373" t="s">
        <v>347</v>
      </c>
      <c r="B38" s="399">
        <v>455076.5</v>
      </c>
      <c r="C38" s="399">
        <v>60</v>
      </c>
      <c r="D38" s="399">
        <v>4</v>
      </c>
      <c r="E38" s="399">
        <v>0</v>
      </c>
      <c r="F38" s="399">
        <v>1</v>
      </c>
      <c r="G38" s="379">
        <v>8.7897309573225595</v>
      </c>
      <c r="H38" s="379">
        <v>8.7897309573225595</v>
      </c>
      <c r="I38" s="360">
        <v>131.8459643598384</v>
      </c>
      <c r="J38" s="379">
        <v>2.1974327393306399</v>
      </c>
    </row>
    <row r="39" spans="1:10">
      <c r="A39" s="373" t="s">
        <v>351</v>
      </c>
      <c r="B39" s="399">
        <f>+B38</f>
        <v>455076.5</v>
      </c>
      <c r="C39" s="380" t="s">
        <v>407</v>
      </c>
      <c r="D39" s="493" t="s">
        <v>396</v>
      </c>
      <c r="E39" s="493">
        <v>0</v>
      </c>
      <c r="F39" s="493" t="s">
        <v>397</v>
      </c>
      <c r="G39" s="381" t="s">
        <v>408</v>
      </c>
      <c r="H39" s="381" t="s">
        <v>408</v>
      </c>
      <c r="I39" s="380" t="s">
        <v>409</v>
      </c>
      <c r="J39" s="381" t="s">
        <v>410</v>
      </c>
    </row>
    <row r="40" spans="1:10" ht="16.2">
      <c r="A40" s="478" t="s">
        <v>348</v>
      </c>
      <c r="B40" s="399">
        <f>+INDICADORES!C6</f>
        <v>833893.38266666676</v>
      </c>
      <c r="C40" s="399">
        <f>+INDICADORES!D6</f>
        <v>54</v>
      </c>
      <c r="D40" s="399">
        <f>+INDICADORES!E6</f>
        <v>5</v>
      </c>
      <c r="E40" s="399">
        <f>+INDICADORES!F6</f>
        <v>0</v>
      </c>
      <c r="F40" s="399">
        <f>+INDICADORES!G6</f>
        <v>5</v>
      </c>
      <c r="G40" s="379" t="e">
        <f>+INDICADORES!#REF!</f>
        <v>#REF!</v>
      </c>
      <c r="H40" s="379">
        <f>+INDICADORES!H6</f>
        <v>5.9959703529613648</v>
      </c>
      <c r="I40" s="360">
        <f>+INDICADORES!I6</f>
        <v>64.756479811982729</v>
      </c>
      <c r="J40" s="379">
        <f>+INDICADORES!J6</f>
        <v>2.3983881411845456</v>
      </c>
    </row>
    <row r="41" spans="1:10" ht="16.2">
      <c r="A41" s="373" t="s">
        <v>345</v>
      </c>
      <c r="B41" s="399">
        <f>+INDICADORES!M6</f>
        <v>413429.00399999996</v>
      </c>
      <c r="C41" s="399">
        <f>+INDICADORES!O6</f>
        <v>1189</v>
      </c>
      <c r="D41" s="399">
        <f>+INDICADORES!P6</f>
        <v>4</v>
      </c>
      <c r="E41" s="399">
        <f>+INDICADORES!Q6</f>
        <v>0</v>
      </c>
      <c r="F41" s="399">
        <f>+INDICADORES!R6</f>
        <v>1</v>
      </c>
      <c r="G41" s="379" t="e">
        <f>+INDICADORES!#REF!</f>
        <v>#REF!</v>
      </c>
      <c r="H41" s="379">
        <f>+INDICADORES!S6</f>
        <v>9.6751799252091182</v>
      </c>
      <c r="I41" s="360">
        <f>+INDICADORES!T6</f>
        <v>2875.9472327684107</v>
      </c>
      <c r="J41" s="379">
        <f>+INDICADORES!U6</f>
        <v>2.4187949813022795</v>
      </c>
    </row>
    <row r="42" spans="1:10" ht="16.2">
      <c r="A42" s="373" t="s">
        <v>346</v>
      </c>
      <c r="B42" s="399">
        <f>+INDICADORES!X6</f>
        <v>451013.45890909084</v>
      </c>
      <c r="C42" s="360">
        <f>+C41</f>
        <v>1189</v>
      </c>
      <c r="D42" s="360">
        <f>+D41</f>
        <v>4</v>
      </c>
      <c r="E42" s="360">
        <f>+E41</f>
        <v>0</v>
      </c>
      <c r="F42" s="360">
        <f>+F41</f>
        <v>1</v>
      </c>
      <c r="G42" s="365">
        <f>+INDICADORES!Y6</f>
        <v>8.868914931441692</v>
      </c>
      <c r="H42" s="365">
        <f>+INDICADORES!Z6</f>
        <v>8.868914931441692</v>
      </c>
      <c r="I42" s="360">
        <f>+INDICADORES!AA6</f>
        <v>2636.284963371043</v>
      </c>
      <c r="J42" s="365">
        <f>+INDICADORES!AC6</f>
        <v>2.217228732860423</v>
      </c>
    </row>
  </sheetData>
  <phoneticPr fontId="44" type="noConversion"/>
  <pageMargins left="0.75" right="0.75" top="1" bottom="1" header="0" footer="0"/>
  <pageSetup paperSize="9" orientation="portrait" r:id="rId1"/>
  <headerFooter alignWithMargins="0"/>
  <customProperties>
    <customPr name="_pios_i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8"/>
  <dimension ref="A2:O115"/>
  <sheetViews>
    <sheetView topLeftCell="A54" zoomScale="73" zoomScaleNormal="73" workbookViewId="0">
      <selection activeCell="C75" sqref="C75"/>
    </sheetView>
  </sheetViews>
  <sheetFormatPr baseColWidth="10" defaultColWidth="11.44140625" defaultRowHeight="15"/>
  <cols>
    <col min="1" max="1" width="27.44140625" style="985" customWidth="1"/>
    <col min="2" max="2" width="69.44140625" style="985" bestFit="1" customWidth="1"/>
    <col min="3" max="3" width="16" style="995" customWidth="1"/>
    <col min="4" max="5" width="14.44140625" style="995" bestFit="1" customWidth="1"/>
    <col min="6" max="15" width="11.44140625" style="995"/>
    <col min="16" max="16384" width="11.44140625" style="985"/>
  </cols>
  <sheetData>
    <row r="2" spans="1:15">
      <c r="C2" s="986" t="s">
        <v>771</v>
      </c>
      <c r="D2" s="986" t="s">
        <v>102</v>
      </c>
      <c r="E2" s="986" t="s">
        <v>103</v>
      </c>
      <c r="F2" s="986" t="s">
        <v>104</v>
      </c>
      <c r="G2" s="986" t="s">
        <v>105</v>
      </c>
      <c r="H2" s="986" t="s">
        <v>106</v>
      </c>
      <c r="I2" s="986" t="s">
        <v>107</v>
      </c>
      <c r="J2" s="986" t="s">
        <v>108</v>
      </c>
      <c r="K2" s="986" t="s">
        <v>109</v>
      </c>
      <c r="L2" s="986" t="s">
        <v>110</v>
      </c>
      <c r="M2" s="986" t="s">
        <v>111</v>
      </c>
      <c r="N2" s="986" t="s">
        <v>112</v>
      </c>
      <c r="O2" s="986" t="s">
        <v>113</v>
      </c>
    </row>
    <row r="3" spans="1:15" ht="15.6">
      <c r="A3" s="3238" t="s">
        <v>787</v>
      </c>
      <c r="B3" s="987" t="s">
        <v>772</v>
      </c>
      <c r="C3" s="986">
        <f>SUM(D3:O3)</f>
        <v>382574</v>
      </c>
      <c r="D3" s="1024">
        <v>110356</v>
      </c>
      <c r="E3" s="1024">
        <v>144170</v>
      </c>
      <c r="F3" s="1025">
        <v>128048</v>
      </c>
      <c r="G3" s="986"/>
      <c r="H3" s="986"/>
      <c r="I3" s="986"/>
      <c r="J3" s="986"/>
      <c r="K3" s="986"/>
      <c r="L3" s="986"/>
      <c r="M3" s="986"/>
      <c r="N3" s="986"/>
      <c r="O3" s="986"/>
    </row>
    <row r="4" spans="1:15" ht="15.6">
      <c r="A4" s="3239"/>
      <c r="B4" s="987" t="s">
        <v>773</v>
      </c>
      <c r="C4" s="986">
        <f>SUM(D4:O4)</f>
        <v>1</v>
      </c>
      <c r="D4" s="1024">
        <v>0</v>
      </c>
      <c r="E4" s="1024">
        <v>1</v>
      </c>
      <c r="F4" s="1026">
        <v>0</v>
      </c>
      <c r="G4" s="986"/>
      <c r="H4" s="986"/>
      <c r="I4" s="986"/>
      <c r="J4" s="986"/>
      <c r="K4" s="986"/>
      <c r="L4" s="986"/>
      <c r="M4" s="986"/>
      <c r="N4" s="986"/>
      <c r="O4" s="986"/>
    </row>
    <row r="5" spans="1:15" ht="15.6">
      <c r="A5" s="3240"/>
      <c r="B5" s="987" t="s">
        <v>769</v>
      </c>
      <c r="C5" s="986">
        <f>SUM(D5:O5)</f>
        <v>7</v>
      </c>
      <c r="D5" s="1024">
        <v>0</v>
      </c>
      <c r="E5" s="1024">
        <v>7</v>
      </c>
      <c r="F5" s="1027">
        <v>0</v>
      </c>
      <c r="G5" s="986"/>
      <c r="H5" s="986"/>
      <c r="I5" s="986"/>
      <c r="J5" s="986"/>
      <c r="K5" s="986"/>
      <c r="L5" s="986"/>
      <c r="M5" s="986"/>
      <c r="N5" s="986"/>
      <c r="O5" s="986"/>
    </row>
    <row r="6" spans="1:15">
      <c r="A6" s="992"/>
      <c r="B6" s="988" t="s">
        <v>264</v>
      </c>
      <c r="C6" s="993">
        <f>+C4*1000000/C3</f>
        <v>2.6138733944282673</v>
      </c>
    </row>
    <row r="7" spans="1:15">
      <c r="B7" s="988" t="s">
        <v>265</v>
      </c>
      <c r="C7" s="994">
        <f>+C5*1000000/C3</f>
        <v>18.297113760997874</v>
      </c>
    </row>
    <row r="8" spans="1:15" ht="15.6">
      <c r="A8" s="3241" t="s">
        <v>774</v>
      </c>
      <c r="B8" s="987" t="s">
        <v>775</v>
      </c>
      <c r="C8" s="986">
        <f>SUM(D8:O8)</f>
        <v>75</v>
      </c>
      <c r="D8" s="986">
        <v>0</v>
      </c>
      <c r="E8" s="986">
        <v>46</v>
      </c>
      <c r="F8" s="1028">
        <v>29</v>
      </c>
      <c r="G8" s="986"/>
      <c r="H8" s="986"/>
      <c r="I8" s="986"/>
      <c r="J8" s="986"/>
      <c r="K8" s="986"/>
      <c r="L8" s="986"/>
      <c r="M8" s="986"/>
      <c r="N8" s="986"/>
      <c r="O8" s="986"/>
    </row>
    <row r="9" spans="1:15" ht="15.6">
      <c r="A9" s="3241"/>
      <c r="B9" s="987" t="s">
        <v>776</v>
      </c>
      <c r="C9" s="986">
        <f>SUM(D9:O9)</f>
        <v>75</v>
      </c>
      <c r="D9" s="986">
        <v>0</v>
      </c>
      <c r="E9" s="986">
        <v>46</v>
      </c>
      <c r="F9" s="1028">
        <v>29</v>
      </c>
      <c r="G9" s="986"/>
      <c r="H9" s="986"/>
      <c r="I9" s="986"/>
      <c r="J9" s="986"/>
      <c r="K9" s="986"/>
      <c r="L9" s="986"/>
      <c r="M9" s="986"/>
      <c r="N9" s="986"/>
      <c r="O9" s="986"/>
    </row>
    <row r="10" spans="1:15">
      <c r="C10" s="996">
        <f>+C9/C8</f>
        <v>1</v>
      </c>
      <c r="D10" s="996" t="e">
        <f t="shared" ref="D10:O10" si="0">+D9/D8</f>
        <v>#DIV/0!</v>
      </c>
      <c r="E10" s="996">
        <f t="shared" si="0"/>
        <v>1</v>
      </c>
      <c r="F10" s="996">
        <f t="shared" si="0"/>
        <v>1</v>
      </c>
      <c r="G10" s="996" t="e">
        <f t="shared" si="0"/>
        <v>#DIV/0!</v>
      </c>
      <c r="H10" s="996" t="e">
        <f t="shared" si="0"/>
        <v>#DIV/0!</v>
      </c>
      <c r="I10" s="996" t="e">
        <f t="shared" si="0"/>
        <v>#DIV/0!</v>
      </c>
      <c r="J10" s="996" t="e">
        <f t="shared" si="0"/>
        <v>#DIV/0!</v>
      </c>
      <c r="K10" s="996" t="e">
        <f t="shared" si="0"/>
        <v>#DIV/0!</v>
      </c>
      <c r="L10" s="996" t="e">
        <f t="shared" si="0"/>
        <v>#DIV/0!</v>
      </c>
      <c r="M10" s="996" t="e">
        <f t="shared" si="0"/>
        <v>#DIV/0!</v>
      </c>
      <c r="N10" s="996" t="e">
        <f t="shared" si="0"/>
        <v>#DIV/0!</v>
      </c>
      <c r="O10" s="996" t="e">
        <f t="shared" si="0"/>
        <v>#DIV/0!</v>
      </c>
    </row>
    <row r="11" spans="1:15" ht="15.6">
      <c r="A11" s="3242" t="s">
        <v>777</v>
      </c>
      <c r="B11" s="989" t="s">
        <v>778</v>
      </c>
      <c r="C11" s="986">
        <f t="shared" ref="C11:C22" si="1">SUM(D11:O11)</f>
        <v>25</v>
      </c>
      <c r="D11" s="986">
        <v>0</v>
      </c>
      <c r="E11" s="986">
        <v>8</v>
      </c>
      <c r="F11" s="1028">
        <v>17</v>
      </c>
      <c r="G11" s="986"/>
      <c r="H11" s="986"/>
      <c r="I11" s="986"/>
      <c r="J11" s="986"/>
      <c r="K11" s="986"/>
      <c r="L11" s="986"/>
      <c r="M11" s="986"/>
      <c r="N11" s="986"/>
      <c r="O11" s="986"/>
    </row>
    <row r="12" spans="1:15" ht="15.6">
      <c r="A12" s="3236"/>
      <c r="B12" s="989" t="s">
        <v>701</v>
      </c>
      <c r="C12" s="986">
        <f t="shared" si="1"/>
        <v>106</v>
      </c>
      <c r="D12" s="986">
        <v>0</v>
      </c>
      <c r="E12" s="986">
        <v>64</v>
      </c>
      <c r="F12" s="1028">
        <v>42</v>
      </c>
      <c r="G12" s="986"/>
      <c r="H12" s="986"/>
      <c r="I12" s="986"/>
      <c r="J12" s="986"/>
      <c r="K12" s="986"/>
      <c r="L12" s="986"/>
      <c r="M12" s="986"/>
      <c r="N12" s="986"/>
      <c r="O12" s="986"/>
    </row>
    <row r="13" spans="1:15" ht="15.6">
      <c r="A13" s="3236"/>
      <c r="B13" s="989" t="s">
        <v>779</v>
      </c>
      <c r="C13" s="986">
        <f t="shared" si="1"/>
        <v>0</v>
      </c>
      <c r="D13" s="986">
        <v>0</v>
      </c>
      <c r="E13" s="986">
        <v>0</v>
      </c>
      <c r="F13" s="1029">
        <v>0</v>
      </c>
      <c r="G13" s="986"/>
      <c r="H13" s="986"/>
      <c r="I13" s="986"/>
      <c r="J13" s="986"/>
      <c r="K13" s="986"/>
      <c r="L13" s="986"/>
      <c r="M13" s="986"/>
      <c r="N13" s="986"/>
      <c r="O13" s="986"/>
    </row>
    <row r="14" spans="1:15" ht="15.6">
      <c r="A14" s="3236"/>
      <c r="B14" s="989" t="s">
        <v>780</v>
      </c>
      <c r="C14" s="986">
        <f t="shared" si="1"/>
        <v>0</v>
      </c>
      <c r="D14" s="986">
        <v>0</v>
      </c>
      <c r="E14" s="986">
        <v>0</v>
      </c>
      <c r="F14" s="1029">
        <v>0</v>
      </c>
      <c r="G14" s="986"/>
      <c r="H14" s="986"/>
      <c r="I14" s="986"/>
      <c r="J14" s="986"/>
      <c r="K14" s="986"/>
      <c r="L14" s="986"/>
      <c r="M14" s="986"/>
      <c r="N14" s="986"/>
      <c r="O14" s="986"/>
    </row>
    <row r="15" spans="1:15" ht="15.6">
      <c r="A15" s="3236"/>
      <c r="B15" s="989" t="s">
        <v>781</v>
      </c>
      <c r="C15" s="986">
        <f t="shared" si="1"/>
        <v>0</v>
      </c>
      <c r="D15" s="986">
        <v>0</v>
      </c>
      <c r="E15" s="986">
        <v>0</v>
      </c>
      <c r="F15" s="1029">
        <v>0</v>
      </c>
      <c r="G15" s="986"/>
      <c r="H15" s="986"/>
      <c r="I15" s="986"/>
      <c r="J15" s="986"/>
      <c r="K15" s="986"/>
      <c r="L15" s="986"/>
      <c r="M15" s="986"/>
      <c r="N15" s="986"/>
      <c r="O15" s="986"/>
    </row>
    <row r="16" spans="1:15" ht="16.2" thickBot="1">
      <c r="A16" s="3237"/>
      <c r="B16" s="990" t="s">
        <v>782</v>
      </c>
      <c r="C16" s="997">
        <f t="shared" si="1"/>
        <v>0</v>
      </c>
      <c r="D16" s="997">
        <v>0</v>
      </c>
      <c r="E16" s="997">
        <v>0</v>
      </c>
      <c r="F16" s="1030">
        <v>0</v>
      </c>
      <c r="G16" s="997"/>
      <c r="H16" s="997"/>
      <c r="I16" s="997"/>
      <c r="J16" s="997"/>
      <c r="K16" s="997"/>
      <c r="L16" s="997"/>
      <c r="M16" s="997"/>
      <c r="N16" s="997"/>
      <c r="O16" s="997"/>
    </row>
    <row r="17" spans="1:15" ht="15.6">
      <c r="A17" s="3235" t="s">
        <v>783</v>
      </c>
      <c r="B17" s="991" t="s">
        <v>784</v>
      </c>
      <c r="C17" s="998">
        <v>4</v>
      </c>
      <c r="D17" s="998">
        <v>0</v>
      </c>
      <c r="E17" s="998">
        <v>4</v>
      </c>
      <c r="F17" s="1031">
        <v>6</v>
      </c>
      <c r="G17" s="998"/>
      <c r="H17" s="998"/>
      <c r="I17" s="998"/>
      <c r="J17" s="998"/>
      <c r="K17" s="998"/>
      <c r="L17" s="998"/>
      <c r="M17" s="998"/>
      <c r="N17" s="998"/>
      <c r="O17" s="998"/>
    </row>
    <row r="18" spans="1:15" ht="15.6">
      <c r="A18" s="3236"/>
      <c r="B18" s="989" t="s">
        <v>785</v>
      </c>
      <c r="C18" s="986">
        <v>14</v>
      </c>
      <c r="D18" s="986">
        <v>0</v>
      </c>
      <c r="E18" s="986">
        <v>14</v>
      </c>
      <c r="F18" s="1028">
        <v>18</v>
      </c>
      <c r="G18" s="986"/>
      <c r="H18" s="986"/>
      <c r="I18" s="986"/>
      <c r="J18" s="986"/>
      <c r="K18" s="986"/>
      <c r="L18" s="986"/>
      <c r="M18" s="986"/>
      <c r="N18" s="986"/>
      <c r="O18" s="986"/>
    </row>
    <row r="19" spans="1:15" ht="15.6">
      <c r="A19" s="3236"/>
      <c r="B19" s="989" t="s">
        <v>786</v>
      </c>
      <c r="C19" s="986">
        <f t="shared" si="1"/>
        <v>0</v>
      </c>
      <c r="D19" s="986">
        <v>0</v>
      </c>
      <c r="E19" s="986">
        <v>0</v>
      </c>
      <c r="F19" s="1029">
        <v>0</v>
      </c>
      <c r="G19" s="986"/>
      <c r="H19" s="986"/>
      <c r="I19" s="986"/>
      <c r="J19" s="986"/>
      <c r="K19" s="986"/>
      <c r="L19" s="986"/>
      <c r="M19" s="986"/>
      <c r="N19" s="986"/>
      <c r="O19" s="986"/>
    </row>
    <row r="20" spans="1:15" ht="15.6">
      <c r="A20" s="3236"/>
      <c r="B20" s="989" t="s">
        <v>780</v>
      </c>
      <c r="C20" s="986">
        <f t="shared" si="1"/>
        <v>0</v>
      </c>
      <c r="D20" s="986">
        <v>0</v>
      </c>
      <c r="E20" s="986">
        <v>0</v>
      </c>
      <c r="F20" s="1029">
        <v>0</v>
      </c>
      <c r="G20" s="986"/>
      <c r="H20" s="986"/>
      <c r="I20" s="986"/>
      <c r="J20" s="986"/>
      <c r="K20" s="986"/>
      <c r="L20" s="986"/>
      <c r="M20" s="986"/>
      <c r="N20" s="986"/>
      <c r="O20" s="986"/>
    </row>
    <row r="21" spans="1:15" ht="15.6">
      <c r="A21" s="3236"/>
      <c r="B21" s="989" t="s">
        <v>781</v>
      </c>
      <c r="C21" s="986">
        <f t="shared" si="1"/>
        <v>0</v>
      </c>
      <c r="D21" s="986">
        <v>0</v>
      </c>
      <c r="E21" s="986">
        <v>0</v>
      </c>
      <c r="F21" s="1029">
        <v>0</v>
      </c>
      <c r="G21" s="986"/>
      <c r="H21" s="986"/>
      <c r="I21" s="986"/>
      <c r="J21" s="986"/>
      <c r="K21" s="986"/>
      <c r="L21" s="986"/>
      <c r="M21" s="986"/>
      <c r="N21" s="986"/>
      <c r="O21" s="986"/>
    </row>
    <row r="22" spans="1:15" ht="16.2" thickBot="1">
      <c r="A22" s="3237"/>
      <c r="B22" s="990" t="s">
        <v>782</v>
      </c>
      <c r="C22" s="997">
        <f t="shared" si="1"/>
        <v>0</v>
      </c>
      <c r="D22" s="997">
        <v>0</v>
      </c>
      <c r="E22" s="997">
        <v>0</v>
      </c>
      <c r="F22" s="1030">
        <v>0</v>
      </c>
      <c r="G22" s="997"/>
      <c r="H22" s="997"/>
      <c r="I22" s="997"/>
      <c r="J22" s="997"/>
      <c r="K22" s="997"/>
      <c r="L22" s="997"/>
      <c r="M22" s="997"/>
      <c r="N22" s="997"/>
      <c r="O22" s="997"/>
    </row>
    <row r="23" spans="1:15">
      <c r="C23" s="996">
        <f>+(SUM(C17:C22)/SUM(C11:C16))</f>
        <v>0.13740458015267176</v>
      </c>
      <c r="D23" s="996" t="e">
        <f t="shared" ref="D23:O23" si="2">+(SUM(D17:D22)/SUM(D11:D16))</f>
        <v>#DIV/0!</v>
      </c>
      <c r="E23" s="996">
        <f t="shared" si="2"/>
        <v>0.25</v>
      </c>
      <c r="F23" s="996">
        <f t="shared" si="2"/>
        <v>0.40677966101694918</v>
      </c>
      <c r="G23" s="996" t="e">
        <f t="shared" si="2"/>
        <v>#DIV/0!</v>
      </c>
      <c r="H23" s="996" t="e">
        <f t="shared" si="2"/>
        <v>#DIV/0!</v>
      </c>
      <c r="I23" s="996" t="e">
        <f t="shared" si="2"/>
        <v>#DIV/0!</v>
      </c>
      <c r="J23" s="996" t="e">
        <f t="shared" si="2"/>
        <v>#DIV/0!</v>
      </c>
      <c r="K23" s="996" t="e">
        <f t="shared" si="2"/>
        <v>#DIV/0!</v>
      </c>
      <c r="L23" s="996" t="e">
        <f t="shared" si="2"/>
        <v>#DIV/0!</v>
      </c>
      <c r="M23" s="996" t="e">
        <f t="shared" si="2"/>
        <v>#DIV/0!</v>
      </c>
      <c r="N23" s="996" t="e">
        <f t="shared" si="2"/>
        <v>#DIV/0!</v>
      </c>
      <c r="O23" s="996" t="e">
        <f t="shared" si="2"/>
        <v>#DIV/0!</v>
      </c>
    </row>
    <row r="26" spans="1:15">
      <c r="A26" s="3238" t="s">
        <v>789</v>
      </c>
      <c r="B26" s="987" t="s">
        <v>772</v>
      </c>
      <c r="C26" s="999">
        <f>SUM(D26:O26)</f>
        <v>62710.982999999993</v>
      </c>
      <c r="D26" s="999">
        <v>16453.330000000002</v>
      </c>
      <c r="E26" s="999">
        <v>23164.282999999999</v>
      </c>
      <c r="F26" s="999">
        <v>23093.37</v>
      </c>
      <c r="G26" s="986"/>
      <c r="H26" s="986"/>
      <c r="I26" s="986"/>
      <c r="J26" s="986"/>
      <c r="K26" s="986"/>
      <c r="L26" s="986"/>
      <c r="M26" s="986"/>
      <c r="N26" s="986"/>
      <c r="O26" s="986"/>
    </row>
    <row r="27" spans="1:15">
      <c r="A27" s="3239"/>
      <c r="B27" s="987" t="s">
        <v>773</v>
      </c>
      <c r="C27" s="986">
        <f>SUM(D27:O27)</f>
        <v>0</v>
      </c>
      <c r="D27" s="986">
        <f>[3]Calculos!$G$18</f>
        <v>0</v>
      </c>
      <c r="E27" s="986">
        <v>0</v>
      </c>
      <c r="F27" s="986">
        <v>0</v>
      </c>
      <c r="G27" s="986"/>
      <c r="H27" s="986"/>
      <c r="I27" s="986"/>
      <c r="J27" s="986"/>
      <c r="K27" s="986"/>
      <c r="L27" s="986"/>
      <c r="M27" s="986"/>
      <c r="N27" s="986"/>
      <c r="O27" s="986"/>
    </row>
    <row r="28" spans="1:15">
      <c r="A28" s="3240"/>
      <c r="B28" s="987" t="s">
        <v>769</v>
      </c>
      <c r="C28" s="986">
        <f>SUM(D28:O28)</f>
        <v>0</v>
      </c>
      <c r="D28" s="986">
        <f>[3]Calculos!$D$18</f>
        <v>0</v>
      </c>
      <c r="E28" s="986">
        <v>0</v>
      </c>
      <c r="F28" s="986">
        <v>0</v>
      </c>
      <c r="G28" s="986"/>
      <c r="H28" s="986"/>
      <c r="I28" s="986"/>
      <c r="J28" s="986"/>
      <c r="K28" s="986"/>
      <c r="L28" s="986"/>
      <c r="M28" s="986"/>
      <c r="N28" s="986"/>
      <c r="O28" s="986"/>
    </row>
    <row r="29" spans="1:15">
      <c r="A29" s="992"/>
      <c r="B29" s="988" t="s">
        <v>264</v>
      </c>
      <c r="C29" s="993">
        <f>+C27*1000000/C26</f>
        <v>0</v>
      </c>
    </row>
    <row r="30" spans="1:15">
      <c r="B30" s="988" t="s">
        <v>265</v>
      </c>
      <c r="C30" s="994">
        <f>+C28*1000000/C26</f>
        <v>0</v>
      </c>
    </row>
    <row r="31" spans="1:15">
      <c r="A31" s="3241" t="s">
        <v>774</v>
      </c>
      <c r="B31" s="987" t="s">
        <v>775</v>
      </c>
      <c r="C31" s="986">
        <f>SUM(D31:O31)</f>
        <v>30</v>
      </c>
      <c r="D31" s="986">
        <v>2</v>
      </c>
      <c r="E31" s="986">
        <v>14</v>
      </c>
      <c r="F31" s="986">
        <v>14</v>
      </c>
      <c r="G31" s="986"/>
      <c r="H31" s="986"/>
      <c r="I31" s="986"/>
      <c r="J31" s="986"/>
      <c r="K31" s="986"/>
      <c r="L31" s="986"/>
      <c r="M31" s="986"/>
      <c r="N31" s="986"/>
      <c r="O31" s="986"/>
    </row>
    <row r="32" spans="1:15">
      <c r="A32" s="3241"/>
      <c r="B32" s="987" t="s">
        <v>776</v>
      </c>
      <c r="C32" s="986">
        <f>SUM(D32:O32)</f>
        <v>30</v>
      </c>
      <c r="D32" s="986">
        <v>2</v>
      </c>
      <c r="E32" s="986">
        <v>14</v>
      </c>
      <c r="F32" s="986">
        <v>14</v>
      </c>
      <c r="G32" s="986"/>
      <c r="H32" s="986"/>
      <c r="I32" s="986"/>
      <c r="J32" s="986"/>
      <c r="K32" s="986"/>
      <c r="L32" s="986"/>
      <c r="M32" s="986"/>
      <c r="N32" s="986"/>
      <c r="O32" s="986"/>
    </row>
    <row r="33" spans="1:15">
      <c r="C33" s="996">
        <f>+C32/C31</f>
        <v>1</v>
      </c>
      <c r="D33" s="996">
        <f>+D32/D31</f>
        <v>1</v>
      </c>
      <c r="E33" s="996">
        <f>+E32/E31</f>
        <v>1</v>
      </c>
      <c r="F33" s="996">
        <f>+F32/F31</f>
        <v>1</v>
      </c>
      <c r="G33" s="996" t="e">
        <f t="shared" ref="G33:O33" si="3">+G32/G31</f>
        <v>#DIV/0!</v>
      </c>
      <c r="H33" s="996" t="e">
        <f t="shared" si="3"/>
        <v>#DIV/0!</v>
      </c>
      <c r="I33" s="996" t="e">
        <f t="shared" si="3"/>
        <v>#DIV/0!</v>
      </c>
      <c r="J33" s="996" t="e">
        <f t="shared" si="3"/>
        <v>#DIV/0!</v>
      </c>
      <c r="K33" s="996" t="e">
        <f t="shared" si="3"/>
        <v>#DIV/0!</v>
      </c>
      <c r="L33" s="996" t="e">
        <f t="shared" si="3"/>
        <v>#DIV/0!</v>
      </c>
      <c r="M33" s="996" t="e">
        <f t="shared" si="3"/>
        <v>#DIV/0!</v>
      </c>
      <c r="N33" s="996" t="e">
        <f t="shared" si="3"/>
        <v>#DIV/0!</v>
      </c>
      <c r="O33" s="996" t="e">
        <f t="shared" si="3"/>
        <v>#DIV/0!</v>
      </c>
    </row>
    <row r="34" spans="1:15" ht="15.6">
      <c r="A34" s="3242" t="s">
        <v>777</v>
      </c>
      <c r="B34" s="989" t="s">
        <v>778</v>
      </c>
      <c r="C34" s="986">
        <f t="shared" ref="C34:C45" si="4">SUM(D34:O34)</f>
        <v>30</v>
      </c>
      <c r="D34" s="999">
        <v>19</v>
      </c>
      <c r="E34" s="999">
        <v>8</v>
      </c>
      <c r="F34" s="986">
        <v>3</v>
      </c>
      <c r="G34" s="986"/>
      <c r="H34" s="986"/>
      <c r="I34" s="986"/>
      <c r="J34" s="986"/>
      <c r="K34" s="986"/>
      <c r="L34" s="986"/>
      <c r="M34" s="986"/>
      <c r="N34" s="986"/>
      <c r="O34" s="986"/>
    </row>
    <row r="35" spans="1:15" ht="15.6">
      <c r="A35" s="3236"/>
      <c r="B35" s="989" t="s">
        <v>701</v>
      </c>
      <c r="C35" s="986">
        <f t="shared" si="4"/>
        <v>97</v>
      </c>
      <c r="D35" s="999">
        <v>47</v>
      </c>
      <c r="E35" s="999">
        <v>36</v>
      </c>
      <c r="F35" s="986">
        <v>14</v>
      </c>
      <c r="G35" s="986"/>
      <c r="H35" s="986"/>
      <c r="I35" s="986"/>
      <c r="J35" s="986"/>
      <c r="K35" s="986"/>
      <c r="L35" s="986"/>
      <c r="M35" s="986"/>
      <c r="N35" s="986"/>
      <c r="O35" s="986"/>
    </row>
    <row r="36" spans="1:15" ht="15.6">
      <c r="A36" s="3236"/>
      <c r="B36" s="989" t="s">
        <v>779</v>
      </c>
      <c r="C36" s="986">
        <f t="shared" si="4"/>
        <v>34</v>
      </c>
      <c r="D36" s="986">
        <v>10</v>
      </c>
      <c r="E36" s="986">
        <v>11</v>
      </c>
      <c r="F36" s="986">
        <v>13</v>
      </c>
      <c r="G36" s="986"/>
      <c r="H36" s="986"/>
      <c r="I36" s="986"/>
      <c r="J36" s="986"/>
      <c r="K36" s="986"/>
      <c r="L36" s="986"/>
      <c r="M36" s="986"/>
      <c r="N36" s="986"/>
      <c r="O36" s="986"/>
    </row>
    <row r="37" spans="1:15" ht="15.6">
      <c r="A37" s="3236"/>
      <c r="B37" s="989" t="s">
        <v>780</v>
      </c>
      <c r="C37" s="986">
        <f t="shared" si="4"/>
        <v>62</v>
      </c>
      <c r="D37" s="986">
        <v>54</v>
      </c>
      <c r="E37" s="986">
        <v>5</v>
      </c>
      <c r="F37" s="986">
        <v>3</v>
      </c>
      <c r="G37" s="986"/>
      <c r="H37" s="986"/>
      <c r="I37" s="986"/>
      <c r="J37" s="986"/>
      <c r="K37" s="986"/>
      <c r="L37" s="986"/>
      <c r="M37" s="986"/>
      <c r="N37" s="986"/>
      <c r="O37" s="986"/>
    </row>
    <row r="38" spans="1:15" ht="15.6">
      <c r="A38" s="3236"/>
      <c r="B38" s="989" t="s">
        <v>781</v>
      </c>
      <c r="C38" s="986">
        <f t="shared" si="4"/>
        <v>4</v>
      </c>
      <c r="D38" s="986">
        <v>2</v>
      </c>
      <c r="E38" s="986">
        <v>0</v>
      </c>
      <c r="F38" s="986">
        <v>2</v>
      </c>
      <c r="G38" s="986"/>
      <c r="H38" s="986"/>
      <c r="I38" s="986"/>
      <c r="J38" s="986"/>
      <c r="K38" s="986"/>
      <c r="L38" s="986"/>
      <c r="M38" s="986"/>
      <c r="N38" s="986"/>
      <c r="O38" s="986"/>
    </row>
    <row r="39" spans="1:15" ht="16.2" thickBot="1">
      <c r="A39" s="3237"/>
      <c r="B39" s="990" t="s">
        <v>782</v>
      </c>
      <c r="C39" s="997">
        <f t="shared" si="4"/>
        <v>0</v>
      </c>
      <c r="D39" s="997">
        <v>0</v>
      </c>
      <c r="E39" s="997">
        <v>0</v>
      </c>
      <c r="F39" s="997">
        <v>0</v>
      </c>
      <c r="G39" s="997"/>
      <c r="H39" s="997"/>
      <c r="I39" s="997"/>
      <c r="J39" s="997"/>
      <c r="K39" s="997"/>
      <c r="L39" s="997"/>
      <c r="M39" s="997"/>
      <c r="N39" s="997"/>
      <c r="O39" s="997"/>
    </row>
    <row r="40" spans="1:15" ht="15.6">
      <c r="A40" s="3235" t="s">
        <v>783</v>
      </c>
      <c r="B40" s="991" t="s">
        <v>784</v>
      </c>
      <c r="C40" s="998">
        <f t="shared" si="4"/>
        <v>12</v>
      </c>
      <c r="D40" s="1000">
        <v>7</v>
      </c>
      <c r="E40" s="1000">
        <v>4</v>
      </c>
      <c r="F40" s="998">
        <v>1</v>
      </c>
      <c r="G40" s="998"/>
      <c r="H40" s="998"/>
      <c r="I40" s="998"/>
      <c r="J40" s="998"/>
      <c r="K40" s="998"/>
      <c r="L40" s="998"/>
      <c r="M40" s="998"/>
      <c r="N40" s="998"/>
      <c r="O40" s="998"/>
    </row>
    <row r="41" spans="1:15" ht="15.6">
      <c r="A41" s="3236"/>
      <c r="B41" s="989" t="s">
        <v>785</v>
      </c>
      <c r="C41" s="986">
        <f t="shared" si="4"/>
        <v>4</v>
      </c>
      <c r="D41" s="999">
        <v>0</v>
      </c>
      <c r="E41" s="999">
        <v>3</v>
      </c>
      <c r="F41" s="986">
        <v>1</v>
      </c>
      <c r="G41" s="986"/>
      <c r="H41" s="986"/>
      <c r="I41" s="986"/>
      <c r="J41" s="986"/>
      <c r="K41" s="986"/>
      <c r="L41" s="986"/>
      <c r="M41" s="986"/>
      <c r="N41" s="986"/>
      <c r="O41" s="986"/>
    </row>
    <row r="42" spans="1:15" ht="15.6">
      <c r="A42" s="3236"/>
      <c r="B42" s="989" t="s">
        <v>786</v>
      </c>
      <c r="C42" s="986">
        <f t="shared" si="4"/>
        <v>18</v>
      </c>
      <c r="D42" s="986">
        <v>3</v>
      </c>
      <c r="E42" s="986">
        <v>3</v>
      </c>
      <c r="F42" s="986">
        <v>12</v>
      </c>
      <c r="G42" s="986"/>
      <c r="H42" s="986"/>
      <c r="I42" s="986"/>
      <c r="J42" s="986"/>
      <c r="K42" s="986"/>
      <c r="L42" s="986"/>
      <c r="M42" s="986"/>
      <c r="N42" s="986"/>
      <c r="O42" s="986"/>
    </row>
    <row r="43" spans="1:15" ht="15.6">
      <c r="A43" s="3236"/>
      <c r="B43" s="989" t="s">
        <v>780</v>
      </c>
      <c r="C43" s="986">
        <f t="shared" si="4"/>
        <v>3</v>
      </c>
      <c r="D43" s="986">
        <v>0</v>
      </c>
      <c r="E43" s="986">
        <v>0</v>
      </c>
      <c r="F43" s="986">
        <v>3</v>
      </c>
      <c r="G43" s="986"/>
      <c r="H43" s="986"/>
      <c r="I43" s="986"/>
      <c r="J43" s="986"/>
      <c r="K43" s="986"/>
      <c r="L43" s="986"/>
      <c r="M43" s="986"/>
      <c r="N43" s="986"/>
      <c r="O43" s="986"/>
    </row>
    <row r="44" spans="1:15" ht="15.6">
      <c r="A44" s="3236"/>
      <c r="B44" s="989" t="s">
        <v>781</v>
      </c>
      <c r="C44" s="986">
        <f t="shared" si="4"/>
        <v>1</v>
      </c>
      <c r="D44" s="986">
        <v>0</v>
      </c>
      <c r="E44" s="986">
        <v>0</v>
      </c>
      <c r="F44" s="986">
        <v>1</v>
      </c>
      <c r="G44" s="986"/>
      <c r="H44" s="986"/>
      <c r="I44" s="986"/>
      <c r="J44" s="986"/>
      <c r="K44" s="986"/>
      <c r="L44" s="986"/>
      <c r="M44" s="986"/>
      <c r="N44" s="986"/>
      <c r="O44" s="986"/>
    </row>
    <row r="45" spans="1:15" ht="16.2" thickBot="1">
      <c r="A45" s="3237"/>
      <c r="B45" s="990" t="s">
        <v>782</v>
      </c>
      <c r="C45" s="997">
        <f t="shared" si="4"/>
        <v>0</v>
      </c>
      <c r="D45" s="997">
        <v>0</v>
      </c>
      <c r="E45" s="997">
        <v>0</v>
      </c>
      <c r="F45" s="997">
        <v>0</v>
      </c>
      <c r="G45" s="997"/>
      <c r="H45" s="997"/>
      <c r="I45" s="997"/>
      <c r="J45" s="997"/>
      <c r="K45" s="997"/>
      <c r="L45" s="997"/>
      <c r="M45" s="997"/>
      <c r="N45" s="997"/>
      <c r="O45" s="997"/>
    </row>
    <row r="46" spans="1:15">
      <c r="C46" s="996">
        <f>+(SUM(C40:C45)/SUM(C34:C39))</f>
        <v>0.16740088105726872</v>
      </c>
      <c r="D46" s="996">
        <f t="shared" ref="D46:O46" si="5">+(SUM(D40:D45)/SUM(D34:D39))</f>
        <v>7.575757575757576E-2</v>
      </c>
      <c r="E46" s="996">
        <f t="shared" si="5"/>
        <v>0.16666666666666666</v>
      </c>
      <c r="F46" s="996">
        <f t="shared" si="5"/>
        <v>0.51428571428571423</v>
      </c>
      <c r="G46" s="996" t="e">
        <f t="shared" si="5"/>
        <v>#DIV/0!</v>
      </c>
      <c r="H46" s="996" t="e">
        <f t="shared" si="5"/>
        <v>#DIV/0!</v>
      </c>
      <c r="I46" s="996" t="e">
        <f t="shared" si="5"/>
        <v>#DIV/0!</v>
      </c>
      <c r="J46" s="996" t="e">
        <f t="shared" si="5"/>
        <v>#DIV/0!</v>
      </c>
      <c r="K46" s="996" t="e">
        <f t="shared" si="5"/>
        <v>#DIV/0!</v>
      </c>
      <c r="L46" s="996" t="e">
        <f t="shared" si="5"/>
        <v>#DIV/0!</v>
      </c>
      <c r="M46" s="996" t="e">
        <f t="shared" si="5"/>
        <v>#DIV/0!</v>
      </c>
      <c r="N46" s="996" t="e">
        <f t="shared" si="5"/>
        <v>#DIV/0!</v>
      </c>
      <c r="O46" s="996" t="e">
        <f t="shared" si="5"/>
        <v>#DIV/0!</v>
      </c>
    </row>
    <row r="49" spans="1:15">
      <c r="A49" s="3238" t="s">
        <v>788</v>
      </c>
      <c r="B49" s="987" t="s">
        <v>772</v>
      </c>
      <c r="C49" s="999">
        <f>+[4]Argentina!C3</f>
        <v>527784</v>
      </c>
      <c r="D49" s="999">
        <f>+[4]Argentina!D3</f>
        <v>197662</v>
      </c>
      <c r="E49" s="999">
        <f>+[4]Argentina!E3</f>
        <v>330122</v>
      </c>
      <c r="F49" s="999">
        <f>+[4]Argentina!F3</f>
        <v>0</v>
      </c>
      <c r="G49" s="999">
        <f>+[4]Argentina!G3</f>
        <v>0</v>
      </c>
      <c r="H49" s="999">
        <f>+[4]Argentina!H3</f>
        <v>0</v>
      </c>
      <c r="I49" s="999">
        <f>+[4]Argentina!I3</f>
        <v>0</v>
      </c>
      <c r="J49" s="999">
        <f>+[4]Argentina!J3</f>
        <v>0</v>
      </c>
      <c r="K49" s="999">
        <f>+[4]Argentina!K3</f>
        <v>0</v>
      </c>
      <c r="L49" s="999">
        <f>+[4]Argentina!L3</f>
        <v>0</v>
      </c>
      <c r="M49" s="999">
        <f>+[4]Argentina!M3</f>
        <v>0</v>
      </c>
      <c r="N49" s="999">
        <f>+[4]Argentina!N3</f>
        <v>0</v>
      </c>
      <c r="O49" s="999">
        <f>+[4]Argentina!O3</f>
        <v>0</v>
      </c>
    </row>
    <row r="50" spans="1:15">
      <c r="A50" s="3239"/>
      <c r="B50" s="987" t="s">
        <v>773</v>
      </c>
      <c r="C50" s="999">
        <f>+[4]Argentina!C4</f>
        <v>25</v>
      </c>
      <c r="D50" s="999">
        <f>+[4]Argentina!D4</f>
        <v>12</v>
      </c>
      <c r="E50" s="999">
        <f>+[4]Argentina!E4</f>
        <v>13</v>
      </c>
      <c r="F50" s="999">
        <f>+[4]Argentina!F4</f>
        <v>0</v>
      </c>
      <c r="G50" s="999">
        <f>+[4]Argentina!G4</f>
        <v>0</v>
      </c>
      <c r="H50" s="999">
        <f>+[4]Argentina!H4</f>
        <v>0</v>
      </c>
      <c r="I50" s="999">
        <f>+[4]Argentina!I4</f>
        <v>0</v>
      </c>
      <c r="J50" s="999">
        <f>+[4]Argentina!J4</f>
        <v>0</v>
      </c>
      <c r="K50" s="999">
        <f>+[4]Argentina!K4</f>
        <v>0</v>
      </c>
      <c r="L50" s="999">
        <f>+[4]Argentina!L4</f>
        <v>0</v>
      </c>
      <c r="M50" s="999">
        <f>+[4]Argentina!M4</f>
        <v>0</v>
      </c>
      <c r="N50" s="999">
        <f>+[4]Argentina!N4</f>
        <v>0</v>
      </c>
      <c r="O50" s="999">
        <f>+[4]Argentina!O4</f>
        <v>0</v>
      </c>
    </row>
    <row r="51" spans="1:15">
      <c r="A51" s="3240"/>
      <c r="B51" s="987" t="s">
        <v>769</v>
      </c>
      <c r="C51" s="999">
        <f>+[4]Argentina!C5</f>
        <v>782</v>
      </c>
      <c r="D51" s="999">
        <f>+[4]Argentina!D5</f>
        <v>381</v>
      </c>
      <c r="E51" s="999">
        <f>+[4]Argentina!E5</f>
        <v>401</v>
      </c>
      <c r="F51" s="999">
        <f>+[4]Argentina!F5</f>
        <v>0</v>
      </c>
      <c r="G51" s="999">
        <f>+[4]Argentina!G5</f>
        <v>0</v>
      </c>
      <c r="H51" s="999">
        <f>+[4]Argentina!H5</f>
        <v>0</v>
      </c>
      <c r="I51" s="999">
        <f>+[4]Argentina!I5</f>
        <v>0</v>
      </c>
      <c r="J51" s="999">
        <f>+[4]Argentina!J5</f>
        <v>0</v>
      </c>
      <c r="K51" s="999">
        <f>+[4]Argentina!K5</f>
        <v>0</v>
      </c>
      <c r="L51" s="999">
        <f>+[4]Argentina!L5</f>
        <v>0</v>
      </c>
      <c r="M51" s="999">
        <f>+[4]Argentina!M5</f>
        <v>0</v>
      </c>
      <c r="N51" s="999">
        <f>+[4]Argentina!N5</f>
        <v>0</v>
      </c>
      <c r="O51" s="999">
        <f>+[4]Argentina!O5</f>
        <v>0</v>
      </c>
    </row>
    <row r="52" spans="1:15">
      <c r="A52" s="992"/>
      <c r="B52" s="988" t="s">
        <v>264</v>
      </c>
      <c r="C52" s="993">
        <f>+C50*1000000/C49</f>
        <v>47.367862610461856</v>
      </c>
    </row>
    <row r="53" spans="1:15">
      <c r="B53" s="988" t="s">
        <v>265</v>
      </c>
      <c r="C53" s="994">
        <f>+C51*1000000/C49</f>
        <v>1481.6667424552468</v>
      </c>
      <c r="D53" s="996"/>
      <c r="E53" s="996"/>
      <c r="F53" s="996"/>
      <c r="G53" s="996"/>
      <c r="H53" s="996"/>
      <c r="I53" s="996"/>
      <c r="J53" s="996"/>
      <c r="K53" s="996"/>
      <c r="L53" s="996"/>
      <c r="M53" s="996"/>
      <c r="N53" s="996"/>
      <c r="O53" s="996"/>
    </row>
    <row r="54" spans="1:15">
      <c r="A54" s="3241" t="s">
        <v>774</v>
      </c>
      <c r="B54" s="987" t="s">
        <v>775</v>
      </c>
      <c r="C54" s="986">
        <f>+[4]Argentina!C8</f>
        <v>66</v>
      </c>
      <c r="D54" s="986">
        <f>+[4]Argentina!D8</f>
        <v>0</v>
      </c>
      <c r="E54" s="986">
        <f>+[4]Argentina!E8</f>
        <v>66</v>
      </c>
      <c r="F54" s="986">
        <f>+[4]Argentina!F8</f>
        <v>0</v>
      </c>
      <c r="G54" s="986">
        <f>+[4]Argentina!G8</f>
        <v>0</v>
      </c>
      <c r="H54" s="986">
        <f>+[4]Argentina!H8</f>
        <v>0</v>
      </c>
      <c r="I54" s="986">
        <f>+[4]Argentina!I8</f>
        <v>0</v>
      </c>
      <c r="J54" s="986">
        <f>+[4]Argentina!J8</f>
        <v>0</v>
      </c>
      <c r="K54" s="986">
        <f>+[4]Argentina!K8</f>
        <v>0</v>
      </c>
      <c r="L54" s="986">
        <f>+[4]Argentina!L8</f>
        <v>0</v>
      </c>
      <c r="M54" s="986">
        <f>+[4]Argentina!M8</f>
        <v>0</v>
      </c>
      <c r="N54" s="986">
        <f>+[4]Argentina!N8</f>
        <v>0</v>
      </c>
      <c r="O54" s="986">
        <f>+[4]Argentina!O8</f>
        <v>0</v>
      </c>
    </row>
    <row r="55" spans="1:15">
      <c r="A55" s="3241"/>
      <c r="B55" s="987" t="s">
        <v>776</v>
      </c>
      <c r="C55" s="986">
        <f>+[4]Argentina!C9</f>
        <v>28</v>
      </c>
      <c r="D55" s="986">
        <f>+[4]Argentina!D9</f>
        <v>0</v>
      </c>
      <c r="E55" s="986">
        <f>+[4]Argentina!E9</f>
        <v>28</v>
      </c>
      <c r="F55" s="986">
        <f>+[4]Argentina!F9</f>
        <v>0</v>
      </c>
      <c r="G55" s="986">
        <f>+[4]Argentina!G9</f>
        <v>0</v>
      </c>
      <c r="H55" s="986">
        <f>+[4]Argentina!H9</f>
        <v>0</v>
      </c>
      <c r="I55" s="986">
        <f>+[4]Argentina!I9</f>
        <v>0</v>
      </c>
      <c r="J55" s="986">
        <f>+[4]Argentina!J9</f>
        <v>0</v>
      </c>
      <c r="K55" s="986">
        <f>+[4]Argentina!K9</f>
        <v>0</v>
      </c>
      <c r="L55" s="986">
        <f>+[4]Argentina!L9</f>
        <v>0</v>
      </c>
      <c r="M55" s="986">
        <f>+[4]Argentina!M9</f>
        <v>0</v>
      </c>
      <c r="N55" s="986">
        <f>+[4]Argentina!N9</f>
        <v>0</v>
      </c>
      <c r="O55" s="986">
        <f>+[4]Argentina!O9</f>
        <v>0</v>
      </c>
    </row>
    <row r="56" spans="1:15">
      <c r="C56" s="996">
        <f t="shared" ref="C56:O56" si="6">+C55/C54</f>
        <v>0.42424242424242425</v>
      </c>
      <c r="D56" s="996" t="e">
        <f t="shared" si="6"/>
        <v>#DIV/0!</v>
      </c>
      <c r="E56" s="996">
        <f t="shared" si="6"/>
        <v>0.42424242424242425</v>
      </c>
      <c r="F56" s="996" t="e">
        <f t="shared" si="6"/>
        <v>#DIV/0!</v>
      </c>
      <c r="G56" s="996" t="e">
        <f t="shared" si="6"/>
        <v>#DIV/0!</v>
      </c>
      <c r="H56" s="996" t="e">
        <f t="shared" si="6"/>
        <v>#DIV/0!</v>
      </c>
      <c r="I56" s="996" t="e">
        <f t="shared" si="6"/>
        <v>#DIV/0!</v>
      </c>
      <c r="J56" s="996" t="e">
        <f t="shared" si="6"/>
        <v>#DIV/0!</v>
      </c>
      <c r="K56" s="996" t="e">
        <f t="shared" si="6"/>
        <v>#DIV/0!</v>
      </c>
      <c r="L56" s="996" t="e">
        <f t="shared" si="6"/>
        <v>#DIV/0!</v>
      </c>
      <c r="M56" s="996" t="e">
        <f t="shared" si="6"/>
        <v>#DIV/0!</v>
      </c>
      <c r="N56" s="996" t="e">
        <f t="shared" si="6"/>
        <v>#DIV/0!</v>
      </c>
      <c r="O56" s="996" t="e">
        <f t="shared" si="6"/>
        <v>#DIV/0!</v>
      </c>
    </row>
    <row r="57" spans="1:15" ht="15.6">
      <c r="A57" s="3242" t="s">
        <v>777</v>
      </c>
      <c r="B57" s="989" t="s">
        <v>778</v>
      </c>
      <c r="C57" s="986">
        <f>+[4]Argentina!C11</f>
        <v>617</v>
      </c>
      <c r="D57" s="986">
        <f>+[4]Argentina!D11</f>
        <v>0</v>
      </c>
      <c r="E57" s="986">
        <f>+[4]Argentina!E11</f>
        <v>617</v>
      </c>
      <c r="F57" s="986">
        <f>+[4]Argentina!F11</f>
        <v>0</v>
      </c>
      <c r="G57" s="986">
        <f>+[4]Argentina!G11</f>
        <v>0</v>
      </c>
      <c r="H57" s="986">
        <f>+[4]Argentina!H11</f>
        <v>0</v>
      </c>
      <c r="I57" s="986">
        <f>+[4]Argentina!I11</f>
        <v>0</v>
      </c>
      <c r="J57" s="986">
        <f>+[4]Argentina!J11</f>
        <v>0</v>
      </c>
      <c r="K57" s="986">
        <f>+[4]Argentina!K11</f>
        <v>0</v>
      </c>
      <c r="L57" s="986">
        <f>+[4]Argentina!L11</f>
        <v>0</v>
      </c>
      <c r="M57" s="986">
        <f>+[4]Argentina!M11</f>
        <v>0</v>
      </c>
      <c r="N57" s="986">
        <f>+[4]Argentina!N11</f>
        <v>0</v>
      </c>
      <c r="O57" s="986">
        <f>+[4]Argentina!O11</f>
        <v>0</v>
      </c>
    </row>
    <row r="58" spans="1:15" ht="15.6">
      <c r="A58" s="3236"/>
      <c r="B58" s="989" t="s">
        <v>701</v>
      </c>
      <c r="C58" s="986">
        <f>+[4]Argentina!C12</f>
        <v>472</v>
      </c>
      <c r="D58" s="986">
        <f>+[4]Argentina!D12</f>
        <v>0</v>
      </c>
      <c r="E58" s="986">
        <f>+[4]Argentina!E12</f>
        <v>472</v>
      </c>
      <c r="F58" s="986">
        <f>+[4]Argentina!F12</f>
        <v>0</v>
      </c>
      <c r="G58" s="986">
        <f>+[4]Argentina!G12</f>
        <v>0</v>
      </c>
      <c r="H58" s="986">
        <f>+[4]Argentina!H12</f>
        <v>0</v>
      </c>
      <c r="I58" s="986">
        <f>+[4]Argentina!I12</f>
        <v>0</v>
      </c>
      <c r="J58" s="986">
        <f>+[4]Argentina!J12</f>
        <v>0</v>
      </c>
      <c r="K58" s="986">
        <f>+[4]Argentina!K12</f>
        <v>0</v>
      </c>
      <c r="L58" s="986">
        <f>+[4]Argentina!L12</f>
        <v>0</v>
      </c>
      <c r="M58" s="986">
        <f>+[4]Argentina!M12</f>
        <v>0</v>
      </c>
      <c r="N58" s="986">
        <f>+[4]Argentina!N12</f>
        <v>0</v>
      </c>
      <c r="O58" s="986">
        <f>+[4]Argentina!O12</f>
        <v>0</v>
      </c>
    </row>
    <row r="59" spans="1:15" ht="15.6">
      <c r="A59" s="3236"/>
      <c r="B59" s="989" t="s">
        <v>779</v>
      </c>
      <c r="C59" s="986">
        <f>+[4]Argentina!C13</f>
        <v>6</v>
      </c>
      <c r="D59" s="986">
        <f>+[4]Argentina!D13</f>
        <v>0</v>
      </c>
      <c r="E59" s="986">
        <f>+[4]Argentina!E13</f>
        <v>6</v>
      </c>
      <c r="F59" s="986">
        <f>+[4]Argentina!F13</f>
        <v>0</v>
      </c>
      <c r="G59" s="986">
        <f>+[4]Argentina!G13</f>
        <v>0</v>
      </c>
      <c r="H59" s="986">
        <f>+[4]Argentina!H13</f>
        <v>0</v>
      </c>
      <c r="I59" s="986">
        <f>+[4]Argentina!I13</f>
        <v>0</v>
      </c>
      <c r="J59" s="986">
        <f>+[4]Argentina!J13</f>
        <v>0</v>
      </c>
      <c r="K59" s="986">
        <f>+[4]Argentina!K13</f>
        <v>0</v>
      </c>
      <c r="L59" s="986">
        <f>+[4]Argentina!L13</f>
        <v>0</v>
      </c>
      <c r="M59" s="986">
        <f>+[4]Argentina!M13</f>
        <v>0</v>
      </c>
      <c r="N59" s="986">
        <f>+[4]Argentina!N13</f>
        <v>0</v>
      </c>
      <c r="O59" s="986">
        <f>+[4]Argentina!O13</f>
        <v>0</v>
      </c>
    </row>
    <row r="60" spans="1:15" ht="15.6">
      <c r="A60" s="3236"/>
      <c r="B60" s="989" t="s">
        <v>780</v>
      </c>
      <c r="C60" s="986">
        <f>+[4]Argentina!C14</f>
        <v>184</v>
      </c>
      <c r="D60" s="986">
        <f>+[4]Argentina!D14</f>
        <v>0</v>
      </c>
      <c r="E60" s="986">
        <f>+[4]Argentina!E14</f>
        <v>184</v>
      </c>
      <c r="F60" s="986">
        <f>+[4]Argentina!F14</f>
        <v>0</v>
      </c>
      <c r="G60" s="986">
        <f>+[4]Argentina!G14</f>
        <v>0</v>
      </c>
      <c r="H60" s="986">
        <f>+[4]Argentina!H14</f>
        <v>0</v>
      </c>
      <c r="I60" s="986">
        <f>+[4]Argentina!I14</f>
        <v>0</v>
      </c>
      <c r="J60" s="986">
        <f>+[4]Argentina!J14</f>
        <v>0</v>
      </c>
      <c r="K60" s="986">
        <f>+[4]Argentina!K14</f>
        <v>0</v>
      </c>
      <c r="L60" s="986">
        <f>+[4]Argentina!L14</f>
        <v>0</v>
      </c>
      <c r="M60" s="986">
        <f>+[4]Argentina!M14</f>
        <v>0</v>
      </c>
      <c r="N60" s="986">
        <f>+[4]Argentina!N14</f>
        <v>0</v>
      </c>
      <c r="O60" s="986">
        <f>+[4]Argentina!O14</f>
        <v>0</v>
      </c>
    </row>
    <row r="61" spans="1:15" ht="15.6">
      <c r="A61" s="3236"/>
      <c r="B61" s="989" t="s">
        <v>781</v>
      </c>
      <c r="C61" s="986">
        <f>+[4]Argentina!C15</f>
        <v>88</v>
      </c>
      <c r="D61" s="986">
        <f>+[4]Argentina!D15</f>
        <v>0</v>
      </c>
      <c r="E61" s="986">
        <f>+[4]Argentina!E15</f>
        <v>88</v>
      </c>
      <c r="F61" s="986">
        <f>+[4]Argentina!F15</f>
        <v>0</v>
      </c>
      <c r="G61" s="986">
        <f>+[4]Argentina!G15</f>
        <v>0</v>
      </c>
      <c r="H61" s="986">
        <f>+[4]Argentina!H15</f>
        <v>0</v>
      </c>
      <c r="I61" s="986">
        <f>+[4]Argentina!I15</f>
        <v>0</v>
      </c>
      <c r="J61" s="986">
        <f>+[4]Argentina!J15</f>
        <v>0</v>
      </c>
      <c r="K61" s="986">
        <f>+[4]Argentina!K15</f>
        <v>0</v>
      </c>
      <c r="L61" s="986">
        <f>+[4]Argentina!L15</f>
        <v>0</v>
      </c>
      <c r="M61" s="986">
        <f>+[4]Argentina!M15</f>
        <v>0</v>
      </c>
      <c r="N61" s="986">
        <f>+[4]Argentina!N15</f>
        <v>0</v>
      </c>
      <c r="O61" s="986">
        <f>+[4]Argentina!O15</f>
        <v>0</v>
      </c>
    </row>
    <row r="62" spans="1:15" ht="16.2" thickBot="1">
      <c r="A62" s="3237"/>
      <c r="B62" s="990" t="s">
        <v>782</v>
      </c>
      <c r="C62" s="997">
        <f>+[4]Argentina!C16</f>
        <v>0</v>
      </c>
      <c r="D62" s="997">
        <f>+[4]Argentina!D16</f>
        <v>0</v>
      </c>
      <c r="E62" s="997">
        <f>+[4]Argentina!E16</f>
        <v>0</v>
      </c>
      <c r="F62" s="997">
        <f>+[4]Argentina!F16</f>
        <v>0</v>
      </c>
      <c r="G62" s="997">
        <f>+[4]Argentina!G16</f>
        <v>0</v>
      </c>
      <c r="H62" s="997">
        <f>+[4]Argentina!H16</f>
        <v>0</v>
      </c>
      <c r="I62" s="997">
        <f>+[4]Argentina!I16</f>
        <v>0</v>
      </c>
      <c r="J62" s="997">
        <f>+[4]Argentina!J16</f>
        <v>0</v>
      </c>
      <c r="K62" s="997">
        <f>+[4]Argentina!K16</f>
        <v>0</v>
      </c>
      <c r="L62" s="997">
        <f>+[4]Argentina!L16</f>
        <v>0</v>
      </c>
      <c r="M62" s="997">
        <f>+[4]Argentina!M16</f>
        <v>0</v>
      </c>
      <c r="N62" s="997">
        <f>+[4]Argentina!N16</f>
        <v>0</v>
      </c>
      <c r="O62" s="997">
        <f>+[4]Argentina!O16</f>
        <v>0</v>
      </c>
    </row>
    <row r="63" spans="1:15" ht="15.6">
      <c r="A63" s="3235" t="s">
        <v>783</v>
      </c>
      <c r="B63" s="991" t="s">
        <v>784</v>
      </c>
      <c r="C63" s="986">
        <f>+[4]Argentina!C17</f>
        <v>86</v>
      </c>
      <c r="D63" s="986">
        <f>+[4]Argentina!D17</f>
        <v>0</v>
      </c>
      <c r="E63" s="986">
        <f>+[4]Argentina!E17</f>
        <v>86</v>
      </c>
      <c r="F63" s="986">
        <f>+[4]Argentina!F17</f>
        <v>0</v>
      </c>
      <c r="G63" s="986">
        <f>+[4]Argentina!G17</f>
        <v>0</v>
      </c>
      <c r="H63" s="986">
        <f>+[4]Argentina!H17</f>
        <v>0</v>
      </c>
      <c r="I63" s="986">
        <f>+[4]Argentina!I17</f>
        <v>0</v>
      </c>
      <c r="J63" s="986">
        <f>+[4]Argentina!J17</f>
        <v>0</v>
      </c>
      <c r="K63" s="986">
        <f>+[4]Argentina!K17</f>
        <v>0</v>
      </c>
      <c r="L63" s="986">
        <f>+[4]Argentina!L17</f>
        <v>0</v>
      </c>
      <c r="M63" s="986">
        <f>+[4]Argentina!M17</f>
        <v>0</v>
      </c>
      <c r="N63" s="986">
        <f>+[4]Argentina!N17</f>
        <v>0</v>
      </c>
      <c r="O63" s="986">
        <f>+[4]Argentina!O17</f>
        <v>0</v>
      </c>
    </row>
    <row r="64" spans="1:15" ht="15.6">
      <c r="A64" s="3236"/>
      <c r="B64" s="989" t="s">
        <v>785</v>
      </c>
      <c r="C64" s="986">
        <f>+[4]Argentina!C18</f>
        <v>49</v>
      </c>
      <c r="D64" s="986">
        <f>+[4]Argentina!D18</f>
        <v>0</v>
      </c>
      <c r="E64" s="986">
        <f>+[4]Argentina!E18</f>
        <v>49</v>
      </c>
      <c r="F64" s="986">
        <f>+[4]Argentina!F18</f>
        <v>0</v>
      </c>
      <c r="G64" s="986">
        <f>+[4]Argentina!G18</f>
        <v>0</v>
      </c>
      <c r="H64" s="986">
        <f>+[4]Argentina!H18</f>
        <v>0</v>
      </c>
      <c r="I64" s="986">
        <f>+[4]Argentina!I18</f>
        <v>0</v>
      </c>
      <c r="J64" s="986">
        <f>+[4]Argentina!J18</f>
        <v>0</v>
      </c>
      <c r="K64" s="986">
        <f>+[4]Argentina!K18</f>
        <v>0</v>
      </c>
      <c r="L64" s="986">
        <f>+[4]Argentina!L18</f>
        <v>0</v>
      </c>
      <c r="M64" s="986">
        <f>+[4]Argentina!M18</f>
        <v>0</v>
      </c>
      <c r="N64" s="986">
        <f>+[4]Argentina!N18</f>
        <v>0</v>
      </c>
      <c r="O64" s="986">
        <f>+[4]Argentina!O18</f>
        <v>0</v>
      </c>
    </row>
    <row r="65" spans="1:15" ht="15.6">
      <c r="A65" s="3236"/>
      <c r="B65" s="989" t="s">
        <v>786</v>
      </c>
      <c r="C65" s="986">
        <f>+[4]Argentina!C19</f>
        <v>2</v>
      </c>
      <c r="D65" s="986">
        <f>+[4]Argentina!D19</f>
        <v>0</v>
      </c>
      <c r="E65" s="986">
        <f>+[4]Argentina!E19</f>
        <v>2</v>
      </c>
      <c r="F65" s="986">
        <f>+[4]Argentina!F19</f>
        <v>0</v>
      </c>
      <c r="G65" s="986">
        <f>+[4]Argentina!G19</f>
        <v>0</v>
      </c>
      <c r="H65" s="986">
        <f>+[4]Argentina!H19</f>
        <v>0</v>
      </c>
      <c r="I65" s="986">
        <f>+[4]Argentina!I19</f>
        <v>0</v>
      </c>
      <c r="J65" s="986">
        <f>+[4]Argentina!J19</f>
        <v>0</v>
      </c>
      <c r="K65" s="986">
        <f>+[4]Argentina!K19</f>
        <v>0</v>
      </c>
      <c r="L65" s="986">
        <f>+[4]Argentina!L19</f>
        <v>0</v>
      </c>
      <c r="M65" s="986">
        <f>+[4]Argentina!M19</f>
        <v>0</v>
      </c>
      <c r="N65" s="986">
        <f>+[4]Argentina!N19</f>
        <v>0</v>
      </c>
      <c r="O65" s="986">
        <f>+[4]Argentina!O19</f>
        <v>0</v>
      </c>
    </row>
    <row r="66" spans="1:15" ht="15.6">
      <c r="A66" s="3236"/>
      <c r="B66" s="989" t="s">
        <v>780</v>
      </c>
      <c r="C66" s="986">
        <f>+[4]Argentina!C20</f>
        <v>41</v>
      </c>
      <c r="D66" s="986">
        <f>+[4]Argentina!D20</f>
        <v>0</v>
      </c>
      <c r="E66" s="986">
        <f>+[4]Argentina!E20</f>
        <v>41</v>
      </c>
      <c r="F66" s="986">
        <f>+[4]Argentina!F20</f>
        <v>0</v>
      </c>
      <c r="G66" s="986">
        <f>+[4]Argentina!G20</f>
        <v>0</v>
      </c>
      <c r="H66" s="986">
        <f>+[4]Argentina!H20</f>
        <v>0</v>
      </c>
      <c r="I66" s="986">
        <f>+[4]Argentina!I20</f>
        <v>0</v>
      </c>
      <c r="J66" s="986">
        <f>+[4]Argentina!J20</f>
        <v>0</v>
      </c>
      <c r="K66" s="986">
        <f>+[4]Argentina!K20</f>
        <v>0</v>
      </c>
      <c r="L66" s="986">
        <f>+[4]Argentina!L20</f>
        <v>0</v>
      </c>
      <c r="M66" s="986">
        <f>+[4]Argentina!M20</f>
        <v>0</v>
      </c>
      <c r="N66" s="986">
        <f>+[4]Argentina!N20</f>
        <v>0</v>
      </c>
      <c r="O66" s="986">
        <f>+[4]Argentina!O20</f>
        <v>0</v>
      </c>
    </row>
    <row r="67" spans="1:15" ht="15.6">
      <c r="A67" s="3236"/>
      <c r="B67" s="989" t="s">
        <v>781</v>
      </c>
      <c r="C67" s="986">
        <f>+[4]Argentina!C21</f>
        <v>30</v>
      </c>
      <c r="D67" s="986">
        <f>+[4]Argentina!D21</f>
        <v>0</v>
      </c>
      <c r="E67" s="986">
        <f>+[4]Argentina!E21</f>
        <v>30</v>
      </c>
      <c r="F67" s="986">
        <f>+[4]Argentina!F21</f>
        <v>0</v>
      </c>
      <c r="G67" s="986">
        <f>+[4]Argentina!G21</f>
        <v>0</v>
      </c>
      <c r="H67" s="986">
        <f>+[4]Argentina!H21</f>
        <v>0</v>
      </c>
      <c r="I67" s="986">
        <f>+[4]Argentina!I21</f>
        <v>0</v>
      </c>
      <c r="J67" s="986">
        <f>+[4]Argentina!J21</f>
        <v>0</v>
      </c>
      <c r="K67" s="986">
        <f>+[4]Argentina!K21</f>
        <v>0</v>
      </c>
      <c r="L67" s="986">
        <f>+[4]Argentina!L21</f>
        <v>0</v>
      </c>
      <c r="M67" s="986">
        <f>+[4]Argentina!M21</f>
        <v>0</v>
      </c>
      <c r="N67" s="986">
        <f>+[4]Argentina!N21</f>
        <v>0</v>
      </c>
      <c r="O67" s="986">
        <f>+[4]Argentina!O21</f>
        <v>0</v>
      </c>
    </row>
    <row r="68" spans="1:15" ht="16.2" thickBot="1">
      <c r="A68" s="3237"/>
      <c r="B68" s="990" t="s">
        <v>782</v>
      </c>
      <c r="C68" s="997">
        <f>+[4]Argentina!C22</f>
        <v>0</v>
      </c>
      <c r="D68" s="997">
        <f>+[4]Argentina!D22</f>
        <v>0</v>
      </c>
      <c r="E68" s="997">
        <f>+[4]Argentina!E22</f>
        <v>0</v>
      </c>
      <c r="F68" s="997">
        <f>+[4]Argentina!F22</f>
        <v>0</v>
      </c>
      <c r="G68" s="997">
        <f>+[4]Argentina!G22</f>
        <v>0</v>
      </c>
      <c r="H68" s="997">
        <f>+[4]Argentina!H22</f>
        <v>0</v>
      </c>
      <c r="I68" s="997">
        <f>+[4]Argentina!I22</f>
        <v>0</v>
      </c>
      <c r="J68" s="997">
        <f>+[4]Argentina!J22</f>
        <v>0</v>
      </c>
      <c r="K68" s="997">
        <f>+[4]Argentina!K22</f>
        <v>0</v>
      </c>
      <c r="L68" s="997">
        <f>+[4]Argentina!L22</f>
        <v>0</v>
      </c>
      <c r="M68" s="997">
        <f>+[4]Argentina!M22</f>
        <v>0</v>
      </c>
      <c r="N68" s="997">
        <f>+[4]Argentina!N22</f>
        <v>0</v>
      </c>
      <c r="O68" s="997">
        <f>+[4]Argentina!O22</f>
        <v>0</v>
      </c>
    </row>
    <row r="69" spans="1:15">
      <c r="C69" s="996">
        <f>+(SUM(C63:C68)/SUM(C57:C62))</f>
        <v>0.15215801024140455</v>
      </c>
      <c r="D69" s="996" t="e">
        <f t="shared" ref="D69:O69" si="7">+(SUM(D63:D68)/SUM(D57:D62))</f>
        <v>#DIV/0!</v>
      </c>
      <c r="E69" s="996">
        <f t="shared" si="7"/>
        <v>0.15215801024140455</v>
      </c>
      <c r="F69" s="996" t="e">
        <f t="shared" si="7"/>
        <v>#DIV/0!</v>
      </c>
      <c r="G69" s="996" t="e">
        <f t="shared" si="7"/>
        <v>#DIV/0!</v>
      </c>
      <c r="H69" s="996" t="e">
        <f t="shared" si="7"/>
        <v>#DIV/0!</v>
      </c>
      <c r="I69" s="996" t="e">
        <f t="shared" si="7"/>
        <v>#DIV/0!</v>
      </c>
      <c r="J69" s="996" t="e">
        <f t="shared" si="7"/>
        <v>#DIV/0!</v>
      </c>
      <c r="K69" s="996" t="e">
        <f t="shared" si="7"/>
        <v>#DIV/0!</v>
      </c>
      <c r="L69" s="996" t="e">
        <f t="shared" si="7"/>
        <v>#DIV/0!</v>
      </c>
      <c r="M69" s="996" t="e">
        <f t="shared" si="7"/>
        <v>#DIV/0!</v>
      </c>
      <c r="N69" s="996" t="e">
        <f t="shared" si="7"/>
        <v>#DIV/0!</v>
      </c>
      <c r="O69" s="996" t="e">
        <f t="shared" si="7"/>
        <v>#DIV/0!</v>
      </c>
    </row>
    <row r="72" spans="1:15">
      <c r="A72" s="3238" t="s">
        <v>790</v>
      </c>
      <c r="B72" s="987" t="s">
        <v>772</v>
      </c>
      <c r="C72" s="999">
        <f>SUM(D72:O72)</f>
        <v>120960</v>
      </c>
      <c r="D72" s="1023">
        <v>40320</v>
      </c>
      <c r="E72" s="1023">
        <v>40320</v>
      </c>
      <c r="F72" s="1023">
        <v>40320</v>
      </c>
      <c r="G72" s="986"/>
      <c r="H72" s="986"/>
      <c r="I72" s="986"/>
      <c r="J72" s="986"/>
      <c r="K72" s="986"/>
      <c r="L72" s="986"/>
      <c r="M72" s="986"/>
      <c r="N72" s="986"/>
      <c r="O72" s="986"/>
    </row>
    <row r="73" spans="1:15">
      <c r="A73" s="3239"/>
      <c r="B73" s="987" t="s">
        <v>773</v>
      </c>
      <c r="C73" s="986">
        <f>SUM(D73:O73)</f>
        <v>3</v>
      </c>
      <c r="D73" s="1023">
        <v>2</v>
      </c>
      <c r="E73" s="1023">
        <v>1</v>
      </c>
      <c r="F73" s="1032">
        <v>0</v>
      </c>
      <c r="G73" s="986"/>
      <c r="H73" s="986"/>
      <c r="I73" s="986"/>
      <c r="J73" s="986"/>
      <c r="K73" s="986"/>
      <c r="L73" s="986"/>
      <c r="M73" s="986"/>
      <c r="N73" s="986"/>
      <c r="O73" s="986"/>
    </row>
    <row r="74" spans="1:15">
      <c r="A74" s="3240"/>
      <c r="B74" s="987" t="s">
        <v>769</v>
      </c>
      <c r="C74" s="986">
        <f>SUM(D74:O74)</f>
        <v>20</v>
      </c>
      <c r="D74" s="1023">
        <v>10</v>
      </c>
      <c r="E74" s="1023">
        <v>10</v>
      </c>
      <c r="F74" s="1032">
        <v>0</v>
      </c>
      <c r="G74" s="986"/>
      <c r="H74" s="986"/>
      <c r="I74" s="986"/>
      <c r="J74" s="986"/>
      <c r="K74" s="986"/>
      <c r="L74" s="986"/>
      <c r="M74" s="986"/>
      <c r="N74" s="986"/>
      <c r="O74" s="986"/>
    </row>
    <row r="75" spans="1:15">
      <c r="A75" s="992"/>
      <c r="B75" s="988" t="s">
        <v>264</v>
      </c>
      <c r="C75" s="993">
        <f>+C73*1000000/C72</f>
        <v>24.801587301587301</v>
      </c>
    </row>
    <row r="76" spans="1:15">
      <c r="B76" s="988" t="s">
        <v>265</v>
      </c>
      <c r="C76" s="994">
        <f>+C74*1000000/C72</f>
        <v>165.34391534391534</v>
      </c>
    </row>
    <row r="77" spans="1:15">
      <c r="A77" s="3241" t="s">
        <v>774</v>
      </c>
      <c r="B77" s="987" t="s">
        <v>775</v>
      </c>
      <c r="C77" s="986">
        <f>SUM(D77:O77)</f>
        <v>22</v>
      </c>
      <c r="D77" s="1023">
        <v>7</v>
      </c>
      <c r="E77" s="1023">
        <v>15</v>
      </c>
      <c r="F77" s="986"/>
      <c r="G77" s="986"/>
      <c r="H77" s="986"/>
      <c r="I77" s="986"/>
      <c r="J77" s="986"/>
      <c r="K77" s="986"/>
      <c r="L77" s="986"/>
      <c r="M77" s="986"/>
      <c r="N77" s="986"/>
      <c r="O77" s="986"/>
    </row>
    <row r="78" spans="1:15">
      <c r="A78" s="3241"/>
      <c r="B78" s="987" t="s">
        <v>776</v>
      </c>
      <c r="C78" s="986">
        <f>SUM(D78:O78)</f>
        <v>22</v>
      </c>
      <c r="D78" s="1023">
        <v>7</v>
      </c>
      <c r="E78" s="1023">
        <v>15</v>
      </c>
      <c r="F78" s="986"/>
      <c r="G78" s="986"/>
      <c r="H78" s="986"/>
      <c r="I78" s="986"/>
      <c r="J78" s="986"/>
      <c r="K78" s="986"/>
      <c r="L78" s="986"/>
      <c r="M78" s="986"/>
      <c r="N78" s="986"/>
      <c r="O78" s="986"/>
    </row>
    <row r="79" spans="1:15">
      <c r="C79" s="996">
        <f>+C78/C77</f>
        <v>1</v>
      </c>
      <c r="D79" s="996">
        <f t="shared" ref="D79:O79" si="8">+D78/D77</f>
        <v>1</v>
      </c>
      <c r="E79" s="996">
        <f t="shared" si="8"/>
        <v>1</v>
      </c>
      <c r="F79" s="996" t="e">
        <f t="shared" si="8"/>
        <v>#DIV/0!</v>
      </c>
      <c r="G79" s="996" t="e">
        <f t="shared" si="8"/>
        <v>#DIV/0!</v>
      </c>
      <c r="H79" s="996" t="e">
        <f t="shared" si="8"/>
        <v>#DIV/0!</v>
      </c>
      <c r="I79" s="996" t="e">
        <f t="shared" si="8"/>
        <v>#DIV/0!</v>
      </c>
      <c r="J79" s="996" t="e">
        <f t="shared" si="8"/>
        <v>#DIV/0!</v>
      </c>
      <c r="K79" s="996" t="e">
        <f t="shared" si="8"/>
        <v>#DIV/0!</v>
      </c>
      <c r="L79" s="996" t="e">
        <f t="shared" si="8"/>
        <v>#DIV/0!</v>
      </c>
      <c r="M79" s="996" t="e">
        <f t="shared" si="8"/>
        <v>#DIV/0!</v>
      </c>
      <c r="N79" s="996" t="e">
        <f t="shared" si="8"/>
        <v>#DIV/0!</v>
      </c>
      <c r="O79" s="996" t="e">
        <f t="shared" si="8"/>
        <v>#DIV/0!</v>
      </c>
    </row>
    <row r="80" spans="1:15" ht="15.6">
      <c r="A80" s="3242" t="s">
        <v>777</v>
      </c>
      <c r="B80" s="989" t="s">
        <v>778</v>
      </c>
      <c r="C80" s="986">
        <f t="shared" ref="C80:C91" si="9">SUM(D80:O80)</f>
        <v>0</v>
      </c>
      <c r="D80" s="1023"/>
      <c r="E80" s="1023"/>
      <c r="F80" s="986"/>
      <c r="G80" s="986"/>
      <c r="H80" s="986"/>
      <c r="I80" s="986"/>
      <c r="J80" s="986"/>
      <c r="K80" s="986"/>
      <c r="L80" s="986"/>
      <c r="M80" s="986"/>
      <c r="N80" s="986"/>
      <c r="O80" s="986"/>
    </row>
    <row r="81" spans="1:15" ht="15.6">
      <c r="A81" s="3236"/>
      <c r="B81" s="989" t="s">
        <v>701</v>
      </c>
      <c r="C81" s="986">
        <f t="shared" si="9"/>
        <v>15</v>
      </c>
      <c r="D81" s="1023">
        <v>8</v>
      </c>
      <c r="E81" s="1023">
        <v>7</v>
      </c>
      <c r="F81" s="986"/>
      <c r="G81" s="986"/>
      <c r="H81" s="986"/>
      <c r="I81" s="986"/>
      <c r="J81" s="986"/>
      <c r="K81" s="986"/>
      <c r="L81" s="986"/>
      <c r="M81" s="986"/>
      <c r="N81" s="986"/>
      <c r="O81" s="986"/>
    </row>
    <row r="82" spans="1:15" ht="15.6">
      <c r="A82" s="3236"/>
      <c r="B82" s="989" t="s">
        <v>779</v>
      </c>
      <c r="C82" s="986">
        <f t="shared" si="9"/>
        <v>0</v>
      </c>
      <c r="D82" s="1023">
        <v>0</v>
      </c>
      <c r="E82" s="1023">
        <v>0</v>
      </c>
      <c r="F82" s="986"/>
      <c r="G82" s="986"/>
      <c r="H82" s="986"/>
      <c r="I82" s="986"/>
      <c r="J82" s="986"/>
      <c r="K82" s="986"/>
      <c r="L82" s="986"/>
      <c r="M82" s="986"/>
      <c r="N82" s="986"/>
      <c r="O82" s="986"/>
    </row>
    <row r="83" spans="1:15" ht="15.6">
      <c r="A83" s="3236"/>
      <c r="B83" s="989" t="s">
        <v>780</v>
      </c>
      <c r="C83" s="986">
        <f t="shared" si="9"/>
        <v>0</v>
      </c>
      <c r="D83" s="986"/>
      <c r="E83" s="986"/>
      <c r="F83" s="986"/>
      <c r="G83" s="986"/>
      <c r="H83" s="986"/>
      <c r="I83" s="986"/>
      <c r="J83" s="986"/>
      <c r="K83" s="986"/>
      <c r="L83" s="986"/>
      <c r="M83" s="986"/>
      <c r="N83" s="986"/>
      <c r="O83" s="986"/>
    </row>
    <row r="84" spans="1:15" ht="15.6">
      <c r="A84" s="3236"/>
      <c r="B84" s="989" t="s">
        <v>781</v>
      </c>
      <c r="C84" s="986">
        <f t="shared" si="9"/>
        <v>0</v>
      </c>
      <c r="D84" s="986"/>
      <c r="E84" s="986"/>
      <c r="F84" s="986"/>
      <c r="G84" s="986"/>
      <c r="H84" s="986"/>
      <c r="I84" s="986"/>
      <c r="J84" s="986"/>
      <c r="K84" s="986"/>
      <c r="L84" s="986"/>
      <c r="M84" s="986"/>
      <c r="N84" s="986"/>
      <c r="O84" s="986"/>
    </row>
    <row r="85" spans="1:15" ht="16.2" thickBot="1">
      <c r="A85" s="3237"/>
      <c r="B85" s="990" t="s">
        <v>782</v>
      </c>
      <c r="C85" s="997">
        <f t="shared" si="9"/>
        <v>0</v>
      </c>
      <c r="D85" s="997"/>
      <c r="E85" s="997"/>
      <c r="F85" s="997"/>
      <c r="G85" s="997"/>
      <c r="H85" s="997"/>
      <c r="I85" s="997"/>
      <c r="J85" s="997"/>
      <c r="K85" s="997"/>
      <c r="L85" s="997"/>
      <c r="M85" s="997"/>
      <c r="N85" s="997"/>
      <c r="O85" s="997"/>
    </row>
    <row r="86" spans="1:15" ht="15.6">
      <c r="A86" s="3235" t="s">
        <v>783</v>
      </c>
      <c r="B86" s="991" t="s">
        <v>784</v>
      </c>
      <c r="C86" s="998">
        <f t="shared" si="9"/>
        <v>0</v>
      </c>
      <c r="D86" s="1000"/>
      <c r="E86" s="1000"/>
      <c r="F86" s="998"/>
      <c r="G86" s="998"/>
      <c r="H86" s="998"/>
      <c r="I86" s="998"/>
      <c r="J86" s="998"/>
      <c r="K86" s="998"/>
      <c r="L86" s="998"/>
      <c r="M86" s="998"/>
      <c r="N86" s="998"/>
      <c r="O86" s="998"/>
    </row>
    <row r="87" spans="1:15" ht="15.6">
      <c r="A87" s="3236"/>
      <c r="B87" s="989" t="s">
        <v>785</v>
      </c>
      <c r="C87" s="986">
        <f t="shared" si="9"/>
        <v>0</v>
      </c>
      <c r="D87" s="999"/>
      <c r="E87" s="999"/>
      <c r="F87" s="986"/>
      <c r="G87" s="986"/>
      <c r="H87" s="986"/>
      <c r="I87" s="986"/>
      <c r="J87" s="986"/>
      <c r="K87" s="986"/>
      <c r="L87" s="986"/>
      <c r="M87" s="986"/>
      <c r="N87" s="986"/>
      <c r="O87" s="986"/>
    </row>
    <row r="88" spans="1:15" ht="15.6">
      <c r="A88" s="3236"/>
      <c r="B88" s="989" t="s">
        <v>786</v>
      </c>
      <c r="C88" s="986">
        <f t="shared" si="9"/>
        <v>0</v>
      </c>
      <c r="D88" s="986"/>
      <c r="E88" s="986"/>
      <c r="F88" s="986"/>
      <c r="G88" s="986"/>
      <c r="H88" s="986"/>
      <c r="I88" s="986"/>
      <c r="J88" s="986"/>
      <c r="K88" s="986"/>
      <c r="L88" s="986"/>
      <c r="M88" s="986"/>
      <c r="N88" s="986"/>
      <c r="O88" s="986"/>
    </row>
    <row r="89" spans="1:15" ht="15.6">
      <c r="A89" s="3236"/>
      <c r="B89" s="989" t="s">
        <v>780</v>
      </c>
      <c r="C89" s="986">
        <f t="shared" si="9"/>
        <v>0</v>
      </c>
      <c r="D89" s="986"/>
      <c r="E89" s="986"/>
      <c r="F89" s="986"/>
      <c r="G89" s="986"/>
      <c r="H89" s="986"/>
      <c r="I89" s="986"/>
      <c r="J89" s="986"/>
      <c r="K89" s="986"/>
      <c r="L89" s="986"/>
      <c r="M89" s="986"/>
      <c r="N89" s="986"/>
      <c r="O89" s="986"/>
    </row>
    <row r="90" spans="1:15" ht="15.6">
      <c r="A90" s="3236"/>
      <c r="B90" s="989" t="s">
        <v>781</v>
      </c>
      <c r="C90" s="986">
        <f t="shared" si="9"/>
        <v>0</v>
      </c>
      <c r="D90" s="986"/>
      <c r="E90" s="986"/>
      <c r="F90" s="986"/>
      <c r="G90" s="986"/>
      <c r="H90" s="986"/>
      <c r="I90" s="986"/>
      <c r="J90" s="986"/>
      <c r="K90" s="986"/>
      <c r="L90" s="986"/>
      <c r="M90" s="986"/>
      <c r="N90" s="986"/>
      <c r="O90" s="986"/>
    </row>
    <row r="91" spans="1:15" ht="16.2" thickBot="1">
      <c r="A91" s="3237"/>
      <c r="B91" s="990" t="s">
        <v>782</v>
      </c>
      <c r="C91" s="997">
        <f t="shared" si="9"/>
        <v>0</v>
      </c>
      <c r="D91" s="997"/>
      <c r="E91" s="997"/>
      <c r="F91" s="997"/>
      <c r="G91" s="997"/>
      <c r="H91" s="997"/>
      <c r="I91" s="997"/>
      <c r="J91" s="997"/>
      <c r="K91" s="997"/>
      <c r="L91" s="997"/>
      <c r="M91" s="997"/>
      <c r="N91" s="997"/>
      <c r="O91" s="997"/>
    </row>
    <row r="92" spans="1:15">
      <c r="C92" s="996">
        <f>+(SUM(C86:C91)/SUM(C80:C85))</f>
        <v>0</v>
      </c>
      <c r="D92" s="996">
        <f t="shared" ref="D92:O92" si="10">+(SUM(D86:D91)/SUM(D80:D85))</f>
        <v>0</v>
      </c>
      <c r="E92" s="996">
        <f t="shared" si="10"/>
        <v>0</v>
      </c>
      <c r="F92" s="996" t="e">
        <f t="shared" si="10"/>
        <v>#DIV/0!</v>
      </c>
      <c r="G92" s="996" t="e">
        <f t="shared" si="10"/>
        <v>#DIV/0!</v>
      </c>
      <c r="H92" s="996" t="e">
        <f t="shared" si="10"/>
        <v>#DIV/0!</v>
      </c>
      <c r="I92" s="996" t="e">
        <f t="shared" si="10"/>
        <v>#DIV/0!</v>
      </c>
      <c r="J92" s="996" t="e">
        <f t="shared" si="10"/>
        <v>#DIV/0!</v>
      </c>
      <c r="K92" s="996" t="e">
        <f t="shared" si="10"/>
        <v>#DIV/0!</v>
      </c>
      <c r="L92" s="996" t="e">
        <f t="shared" si="10"/>
        <v>#DIV/0!</v>
      </c>
      <c r="M92" s="996" t="e">
        <f t="shared" si="10"/>
        <v>#DIV/0!</v>
      </c>
      <c r="N92" s="996" t="e">
        <f t="shared" si="10"/>
        <v>#DIV/0!</v>
      </c>
      <c r="O92" s="996" t="e">
        <f t="shared" si="10"/>
        <v>#DIV/0!</v>
      </c>
    </row>
    <row r="95" spans="1:15">
      <c r="A95" s="3238" t="s">
        <v>55</v>
      </c>
      <c r="B95" s="987" t="s">
        <v>772</v>
      </c>
      <c r="C95" s="999">
        <f>SUM(D95:O95)</f>
        <v>1094028.983</v>
      </c>
      <c r="D95" s="999">
        <f t="shared" ref="D95:O95" si="11">+D72+D49+D26+D3</f>
        <v>364791.33</v>
      </c>
      <c r="E95" s="999">
        <f t="shared" si="11"/>
        <v>537776.28300000005</v>
      </c>
      <c r="F95" s="999">
        <f t="shared" si="11"/>
        <v>191461.37</v>
      </c>
      <c r="G95" s="999">
        <f t="shared" si="11"/>
        <v>0</v>
      </c>
      <c r="H95" s="999">
        <f t="shared" si="11"/>
        <v>0</v>
      </c>
      <c r="I95" s="999">
        <f t="shared" si="11"/>
        <v>0</v>
      </c>
      <c r="J95" s="999">
        <f t="shared" si="11"/>
        <v>0</v>
      </c>
      <c r="K95" s="999">
        <f t="shared" si="11"/>
        <v>0</v>
      </c>
      <c r="L95" s="999">
        <f t="shared" si="11"/>
        <v>0</v>
      </c>
      <c r="M95" s="999">
        <f t="shared" si="11"/>
        <v>0</v>
      </c>
      <c r="N95" s="999">
        <f t="shared" si="11"/>
        <v>0</v>
      </c>
      <c r="O95" s="999">
        <f t="shared" si="11"/>
        <v>0</v>
      </c>
    </row>
    <row r="96" spans="1:15">
      <c r="A96" s="3239"/>
      <c r="B96" s="987" t="s">
        <v>773</v>
      </c>
      <c r="C96" s="986">
        <f>SUM(D96:O96)</f>
        <v>29</v>
      </c>
      <c r="D96" s="999">
        <f t="shared" ref="D96:O96" si="12">+D73+D50+D27+D4</f>
        <v>14</v>
      </c>
      <c r="E96" s="999">
        <f t="shared" si="12"/>
        <v>15</v>
      </c>
      <c r="F96" s="999">
        <f t="shared" si="12"/>
        <v>0</v>
      </c>
      <c r="G96" s="999">
        <f t="shared" si="12"/>
        <v>0</v>
      </c>
      <c r="H96" s="999">
        <f t="shared" si="12"/>
        <v>0</v>
      </c>
      <c r="I96" s="999">
        <f t="shared" si="12"/>
        <v>0</v>
      </c>
      <c r="J96" s="999">
        <f t="shared" si="12"/>
        <v>0</v>
      </c>
      <c r="K96" s="999">
        <f t="shared" si="12"/>
        <v>0</v>
      </c>
      <c r="L96" s="999">
        <f t="shared" si="12"/>
        <v>0</v>
      </c>
      <c r="M96" s="999">
        <f t="shared" si="12"/>
        <v>0</v>
      </c>
      <c r="N96" s="999">
        <f t="shared" si="12"/>
        <v>0</v>
      </c>
      <c r="O96" s="999">
        <f t="shared" si="12"/>
        <v>0</v>
      </c>
    </row>
    <row r="97" spans="1:15">
      <c r="A97" s="3240"/>
      <c r="B97" s="987" t="s">
        <v>769</v>
      </c>
      <c r="C97" s="986">
        <f>SUM(D97:O97)</f>
        <v>809</v>
      </c>
      <c r="D97" s="999">
        <f t="shared" ref="D97:O97" si="13">+D74+D51+D28+D5</f>
        <v>391</v>
      </c>
      <c r="E97" s="999">
        <f t="shared" si="13"/>
        <v>418</v>
      </c>
      <c r="F97" s="999">
        <f t="shared" si="13"/>
        <v>0</v>
      </c>
      <c r="G97" s="999">
        <f t="shared" si="13"/>
        <v>0</v>
      </c>
      <c r="H97" s="999">
        <f t="shared" si="13"/>
        <v>0</v>
      </c>
      <c r="I97" s="999">
        <f t="shared" si="13"/>
        <v>0</v>
      </c>
      <c r="J97" s="999">
        <f t="shared" si="13"/>
        <v>0</v>
      </c>
      <c r="K97" s="999">
        <f t="shared" si="13"/>
        <v>0</v>
      </c>
      <c r="L97" s="999">
        <f t="shared" si="13"/>
        <v>0</v>
      </c>
      <c r="M97" s="999">
        <f t="shared" si="13"/>
        <v>0</v>
      </c>
      <c r="N97" s="999">
        <f t="shared" si="13"/>
        <v>0</v>
      </c>
      <c r="O97" s="999">
        <f t="shared" si="13"/>
        <v>0</v>
      </c>
    </row>
    <row r="98" spans="1:15">
      <c r="A98" s="992"/>
      <c r="B98" s="988" t="s">
        <v>264</v>
      </c>
      <c r="C98" s="993">
        <f>+C96*1000000/C95</f>
        <v>26.507524435483809</v>
      </c>
      <c r="D98" s="994"/>
      <c r="E98" s="994"/>
      <c r="F98" s="994"/>
      <c r="G98" s="994"/>
      <c r="H98" s="994"/>
      <c r="I98" s="994"/>
      <c r="J98" s="994"/>
      <c r="K98" s="994"/>
      <c r="L98" s="994"/>
      <c r="M98" s="994"/>
      <c r="N98" s="994"/>
      <c r="O98" s="994"/>
    </row>
    <row r="99" spans="1:15">
      <c r="B99" s="988" t="s">
        <v>265</v>
      </c>
      <c r="C99" s="994">
        <f>+C97*1000000/C95</f>
        <v>739.46852649332413</v>
      </c>
    </row>
    <row r="100" spans="1:15">
      <c r="A100" s="3241" t="s">
        <v>774</v>
      </c>
      <c r="B100" s="987" t="s">
        <v>775</v>
      </c>
      <c r="C100" s="986">
        <f>SUM(D100:O100)</f>
        <v>193</v>
      </c>
      <c r="D100" s="999">
        <f t="shared" ref="D100:O100" si="14">+D77+D54+D31+D8</f>
        <v>9</v>
      </c>
      <c r="E100" s="999">
        <f t="shared" si="14"/>
        <v>141</v>
      </c>
      <c r="F100" s="999">
        <f t="shared" si="14"/>
        <v>43</v>
      </c>
      <c r="G100" s="999">
        <f t="shared" si="14"/>
        <v>0</v>
      </c>
      <c r="H100" s="999">
        <f t="shared" si="14"/>
        <v>0</v>
      </c>
      <c r="I100" s="999">
        <f t="shared" si="14"/>
        <v>0</v>
      </c>
      <c r="J100" s="999">
        <f t="shared" si="14"/>
        <v>0</v>
      </c>
      <c r="K100" s="999">
        <f t="shared" si="14"/>
        <v>0</v>
      </c>
      <c r="L100" s="999">
        <f t="shared" si="14"/>
        <v>0</v>
      </c>
      <c r="M100" s="999">
        <f t="shared" si="14"/>
        <v>0</v>
      </c>
      <c r="N100" s="999">
        <f t="shared" si="14"/>
        <v>0</v>
      </c>
      <c r="O100" s="999">
        <f t="shared" si="14"/>
        <v>0</v>
      </c>
    </row>
    <row r="101" spans="1:15">
      <c r="A101" s="3241"/>
      <c r="B101" s="987" t="s">
        <v>776</v>
      </c>
      <c r="C101" s="986">
        <f>SUM(D101:O101)</f>
        <v>155</v>
      </c>
      <c r="D101" s="999">
        <f t="shared" ref="D101:O101" si="15">+D78+D55+D32+D9</f>
        <v>9</v>
      </c>
      <c r="E101" s="999">
        <f t="shared" si="15"/>
        <v>103</v>
      </c>
      <c r="F101" s="999">
        <f t="shared" si="15"/>
        <v>43</v>
      </c>
      <c r="G101" s="999">
        <f t="shared" si="15"/>
        <v>0</v>
      </c>
      <c r="H101" s="999">
        <f t="shared" si="15"/>
        <v>0</v>
      </c>
      <c r="I101" s="999">
        <f t="shared" si="15"/>
        <v>0</v>
      </c>
      <c r="J101" s="999">
        <f t="shared" si="15"/>
        <v>0</v>
      </c>
      <c r="K101" s="999">
        <f t="shared" si="15"/>
        <v>0</v>
      </c>
      <c r="L101" s="999">
        <f t="shared" si="15"/>
        <v>0</v>
      </c>
      <c r="M101" s="999">
        <f t="shared" si="15"/>
        <v>0</v>
      </c>
      <c r="N101" s="999">
        <f t="shared" si="15"/>
        <v>0</v>
      </c>
      <c r="O101" s="999">
        <f t="shared" si="15"/>
        <v>0</v>
      </c>
    </row>
    <row r="102" spans="1:15">
      <c r="C102" s="996">
        <f>+C101/C100</f>
        <v>0.80310880829015541</v>
      </c>
      <c r="D102" s="996">
        <f t="shared" ref="D102:O102" si="16">+D101/D100</f>
        <v>1</v>
      </c>
      <c r="E102" s="996">
        <f t="shared" si="16"/>
        <v>0.73049645390070927</v>
      </c>
      <c r="F102" s="996">
        <f t="shared" si="16"/>
        <v>1</v>
      </c>
      <c r="G102" s="996" t="e">
        <f t="shared" si="16"/>
        <v>#DIV/0!</v>
      </c>
      <c r="H102" s="996" t="e">
        <f t="shared" si="16"/>
        <v>#DIV/0!</v>
      </c>
      <c r="I102" s="996" t="e">
        <f t="shared" si="16"/>
        <v>#DIV/0!</v>
      </c>
      <c r="J102" s="996" t="e">
        <f t="shared" si="16"/>
        <v>#DIV/0!</v>
      </c>
      <c r="K102" s="996" t="e">
        <f t="shared" si="16"/>
        <v>#DIV/0!</v>
      </c>
      <c r="L102" s="996" t="e">
        <f t="shared" si="16"/>
        <v>#DIV/0!</v>
      </c>
      <c r="M102" s="996" t="e">
        <f t="shared" si="16"/>
        <v>#DIV/0!</v>
      </c>
      <c r="N102" s="996" t="e">
        <f t="shared" si="16"/>
        <v>#DIV/0!</v>
      </c>
      <c r="O102" s="996" t="e">
        <f t="shared" si="16"/>
        <v>#DIV/0!</v>
      </c>
    </row>
    <row r="103" spans="1:15" ht="15.6">
      <c r="A103" s="3242" t="s">
        <v>777</v>
      </c>
      <c r="B103" s="989" t="s">
        <v>778</v>
      </c>
      <c r="C103" s="986">
        <f t="shared" ref="C103:C114" si="17">SUM(D103:O103)</f>
        <v>672</v>
      </c>
      <c r="D103" s="999">
        <f t="shared" ref="D103:O103" si="18">+D80+D57+D34+D11</f>
        <v>19</v>
      </c>
      <c r="E103" s="999">
        <f t="shared" si="18"/>
        <v>633</v>
      </c>
      <c r="F103" s="999">
        <f t="shared" si="18"/>
        <v>20</v>
      </c>
      <c r="G103" s="999">
        <f t="shared" si="18"/>
        <v>0</v>
      </c>
      <c r="H103" s="999">
        <f t="shared" si="18"/>
        <v>0</v>
      </c>
      <c r="I103" s="999">
        <f t="shared" si="18"/>
        <v>0</v>
      </c>
      <c r="J103" s="999">
        <f t="shared" si="18"/>
        <v>0</v>
      </c>
      <c r="K103" s="999">
        <f t="shared" si="18"/>
        <v>0</v>
      </c>
      <c r="L103" s="999">
        <f t="shared" si="18"/>
        <v>0</v>
      </c>
      <c r="M103" s="999">
        <f t="shared" si="18"/>
        <v>0</v>
      </c>
      <c r="N103" s="999">
        <f t="shared" si="18"/>
        <v>0</v>
      </c>
      <c r="O103" s="999">
        <f t="shared" si="18"/>
        <v>0</v>
      </c>
    </row>
    <row r="104" spans="1:15" ht="15.6">
      <c r="A104" s="3236"/>
      <c r="B104" s="989" t="s">
        <v>701</v>
      </c>
      <c r="C104" s="986">
        <f t="shared" si="17"/>
        <v>690</v>
      </c>
      <c r="D104" s="999">
        <f t="shared" ref="D104:O104" si="19">+D81+D58+D35+D12</f>
        <v>55</v>
      </c>
      <c r="E104" s="999">
        <f t="shared" si="19"/>
        <v>579</v>
      </c>
      <c r="F104" s="999">
        <f t="shared" si="19"/>
        <v>56</v>
      </c>
      <c r="G104" s="999">
        <f t="shared" si="19"/>
        <v>0</v>
      </c>
      <c r="H104" s="999">
        <f t="shared" si="19"/>
        <v>0</v>
      </c>
      <c r="I104" s="999">
        <f t="shared" si="19"/>
        <v>0</v>
      </c>
      <c r="J104" s="999">
        <f t="shared" si="19"/>
        <v>0</v>
      </c>
      <c r="K104" s="999">
        <f t="shared" si="19"/>
        <v>0</v>
      </c>
      <c r="L104" s="999">
        <f t="shared" si="19"/>
        <v>0</v>
      </c>
      <c r="M104" s="999">
        <f t="shared" si="19"/>
        <v>0</v>
      </c>
      <c r="N104" s="999">
        <f t="shared" si="19"/>
        <v>0</v>
      </c>
      <c r="O104" s="999">
        <f t="shared" si="19"/>
        <v>0</v>
      </c>
    </row>
    <row r="105" spans="1:15" ht="15.6">
      <c r="A105" s="3236"/>
      <c r="B105" s="989" t="s">
        <v>779</v>
      </c>
      <c r="C105" s="986">
        <f t="shared" si="17"/>
        <v>40</v>
      </c>
      <c r="D105" s="999">
        <f t="shared" ref="D105:O105" si="20">+D82+D59+D36+D13</f>
        <v>10</v>
      </c>
      <c r="E105" s="999">
        <f t="shared" si="20"/>
        <v>17</v>
      </c>
      <c r="F105" s="999">
        <f t="shared" si="20"/>
        <v>13</v>
      </c>
      <c r="G105" s="999">
        <f t="shared" si="20"/>
        <v>0</v>
      </c>
      <c r="H105" s="999">
        <f t="shared" si="20"/>
        <v>0</v>
      </c>
      <c r="I105" s="999">
        <f t="shared" si="20"/>
        <v>0</v>
      </c>
      <c r="J105" s="999">
        <f t="shared" si="20"/>
        <v>0</v>
      </c>
      <c r="K105" s="999">
        <f t="shared" si="20"/>
        <v>0</v>
      </c>
      <c r="L105" s="999">
        <f t="shared" si="20"/>
        <v>0</v>
      </c>
      <c r="M105" s="999">
        <f t="shared" si="20"/>
        <v>0</v>
      </c>
      <c r="N105" s="999">
        <f t="shared" si="20"/>
        <v>0</v>
      </c>
      <c r="O105" s="999">
        <f t="shared" si="20"/>
        <v>0</v>
      </c>
    </row>
    <row r="106" spans="1:15" ht="15.6">
      <c r="A106" s="3236"/>
      <c r="B106" s="989" t="s">
        <v>780</v>
      </c>
      <c r="C106" s="986">
        <f t="shared" si="17"/>
        <v>246</v>
      </c>
      <c r="D106" s="999">
        <f t="shared" ref="D106:O106" si="21">+D83+D60+D37+D14</f>
        <v>54</v>
      </c>
      <c r="E106" s="999">
        <f t="shared" si="21"/>
        <v>189</v>
      </c>
      <c r="F106" s="999">
        <f t="shared" si="21"/>
        <v>3</v>
      </c>
      <c r="G106" s="999">
        <f t="shared" si="21"/>
        <v>0</v>
      </c>
      <c r="H106" s="999">
        <f t="shared" si="21"/>
        <v>0</v>
      </c>
      <c r="I106" s="999">
        <f t="shared" si="21"/>
        <v>0</v>
      </c>
      <c r="J106" s="999">
        <f t="shared" si="21"/>
        <v>0</v>
      </c>
      <c r="K106" s="999">
        <f t="shared" si="21"/>
        <v>0</v>
      </c>
      <c r="L106" s="999">
        <f t="shared" si="21"/>
        <v>0</v>
      </c>
      <c r="M106" s="999">
        <f t="shared" si="21"/>
        <v>0</v>
      </c>
      <c r="N106" s="999">
        <f t="shared" si="21"/>
        <v>0</v>
      </c>
      <c r="O106" s="999">
        <f t="shared" si="21"/>
        <v>0</v>
      </c>
    </row>
    <row r="107" spans="1:15" ht="15.6">
      <c r="A107" s="3236"/>
      <c r="B107" s="989" t="s">
        <v>781</v>
      </c>
      <c r="C107" s="986">
        <f t="shared" si="17"/>
        <v>92</v>
      </c>
      <c r="D107" s="999">
        <f t="shared" ref="D107:O107" si="22">+D84+D61+D38+D15</f>
        <v>2</v>
      </c>
      <c r="E107" s="999">
        <f t="shared" si="22"/>
        <v>88</v>
      </c>
      <c r="F107" s="999">
        <f t="shared" si="22"/>
        <v>2</v>
      </c>
      <c r="G107" s="999">
        <f t="shared" si="22"/>
        <v>0</v>
      </c>
      <c r="H107" s="999">
        <f t="shared" si="22"/>
        <v>0</v>
      </c>
      <c r="I107" s="999">
        <f t="shared" si="22"/>
        <v>0</v>
      </c>
      <c r="J107" s="999">
        <f t="shared" si="22"/>
        <v>0</v>
      </c>
      <c r="K107" s="999">
        <f t="shared" si="22"/>
        <v>0</v>
      </c>
      <c r="L107" s="999">
        <f t="shared" si="22"/>
        <v>0</v>
      </c>
      <c r="M107" s="999">
        <f t="shared" si="22"/>
        <v>0</v>
      </c>
      <c r="N107" s="999">
        <f t="shared" si="22"/>
        <v>0</v>
      </c>
      <c r="O107" s="999">
        <f t="shared" si="22"/>
        <v>0</v>
      </c>
    </row>
    <row r="108" spans="1:15" ht="16.2" thickBot="1">
      <c r="A108" s="3237"/>
      <c r="B108" s="990" t="s">
        <v>782</v>
      </c>
      <c r="C108" s="997">
        <f t="shared" si="17"/>
        <v>0</v>
      </c>
      <c r="D108" s="1001">
        <f t="shared" ref="D108:O108" si="23">+D85+D62+D39+D16</f>
        <v>0</v>
      </c>
      <c r="E108" s="1001">
        <f t="shared" si="23"/>
        <v>0</v>
      </c>
      <c r="F108" s="1001">
        <f t="shared" si="23"/>
        <v>0</v>
      </c>
      <c r="G108" s="1001">
        <f t="shared" si="23"/>
        <v>0</v>
      </c>
      <c r="H108" s="1001">
        <f t="shared" si="23"/>
        <v>0</v>
      </c>
      <c r="I108" s="1001">
        <f t="shared" si="23"/>
        <v>0</v>
      </c>
      <c r="J108" s="1001">
        <f t="shared" si="23"/>
        <v>0</v>
      </c>
      <c r="K108" s="1001">
        <f t="shared" si="23"/>
        <v>0</v>
      </c>
      <c r="L108" s="1001">
        <f t="shared" si="23"/>
        <v>0</v>
      </c>
      <c r="M108" s="1001">
        <f t="shared" si="23"/>
        <v>0</v>
      </c>
      <c r="N108" s="1001">
        <f t="shared" si="23"/>
        <v>0</v>
      </c>
      <c r="O108" s="1001">
        <f t="shared" si="23"/>
        <v>0</v>
      </c>
    </row>
    <row r="109" spans="1:15" ht="15.6">
      <c r="A109" s="3235" t="s">
        <v>783</v>
      </c>
      <c r="B109" s="991" t="s">
        <v>784</v>
      </c>
      <c r="C109" s="998">
        <f t="shared" si="17"/>
        <v>108</v>
      </c>
      <c r="D109" s="999">
        <f t="shared" ref="D109:O109" si="24">+D86+D63+D40+D17</f>
        <v>7</v>
      </c>
      <c r="E109" s="999">
        <f t="shared" si="24"/>
        <v>94</v>
      </c>
      <c r="F109" s="999">
        <f t="shared" si="24"/>
        <v>7</v>
      </c>
      <c r="G109" s="999">
        <f t="shared" si="24"/>
        <v>0</v>
      </c>
      <c r="H109" s="999">
        <f t="shared" si="24"/>
        <v>0</v>
      </c>
      <c r="I109" s="999">
        <f t="shared" si="24"/>
        <v>0</v>
      </c>
      <c r="J109" s="999">
        <f t="shared" si="24"/>
        <v>0</v>
      </c>
      <c r="K109" s="999">
        <f t="shared" si="24"/>
        <v>0</v>
      </c>
      <c r="L109" s="999">
        <f t="shared" si="24"/>
        <v>0</v>
      </c>
      <c r="M109" s="999">
        <f t="shared" si="24"/>
        <v>0</v>
      </c>
      <c r="N109" s="999">
        <f t="shared" si="24"/>
        <v>0</v>
      </c>
      <c r="O109" s="999">
        <f t="shared" si="24"/>
        <v>0</v>
      </c>
    </row>
    <row r="110" spans="1:15" ht="15.6">
      <c r="A110" s="3236"/>
      <c r="B110" s="989" t="s">
        <v>785</v>
      </c>
      <c r="C110" s="986">
        <f t="shared" si="17"/>
        <v>85</v>
      </c>
      <c r="D110" s="999">
        <f t="shared" ref="D110:O110" si="25">+D87+D64+D41+D18</f>
        <v>0</v>
      </c>
      <c r="E110" s="999">
        <f t="shared" si="25"/>
        <v>66</v>
      </c>
      <c r="F110" s="999">
        <f t="shared" si="25"/>
        <v>19</v>
      </c>
      <c r="G110" s="999">
        <f t="shared" si="25"/>
        <v>0</v>
      </c>
      <c r="H110" s="999">
        <f t="shared" si="25"/>
        <v>0</v>
      </c>
      <c r="I110" s="999">
        <f t="shared" si="25"/>
        <v>0</v>
      </c>
      <c r="J110" s="999">
        <f t="shared" si="25"/>
        <v>0</v>
      </c>
      <c r="K110" s="999">
        <f t="shared" si="25"/>
        <v>0</v>
      </c>
      <c r="L110" s="999">
        <f t="shared" si="25"/>
        <v>0</v>
      </c>
      <c r="M110" s="999">
        <f t="shared" si="25"/>
        <v>0</v>
      </c>
      <c r="N110" s="999">
        <f t="shared" si="25"/>
        <v>0</v>
      </c>
      <c r="O110" s="999">
        <f t="shared" si="25"/>
        <v>0</v>
      </c>
    </row>
    <row r="111" spans="1:15" ht="15.6">
      <c r="A111" s="3236"/>
      <c r="B111" s="989" t="s">
        <v>786</v>
      </c>
      <c r="C111" s="986">
        <f t="shared" si="17"/>
        <v>20</v>
      </c>
      <c r="D111" s="999">
        <f t="shared" ref="D111:O111" si="26">+D88+D65+D42+D19</f>
        <v>3</v>
      </c>
      <c r="E111" s="999">
        <f t="shared" si="26"/>
        <v>5</v>
      </c>
      <c r="F111" s="999">
        <f t="shared" si="26"/>
        <v>12</v>
      </c>
      <c r="G111" s="999">
        <f t="shared" si="26"/>
        <v>0</v>
      </c>
      <c r="H111" s="999">
        <f t="shared" si="26"/>
        <v>0</v>
      </c>
      <c r="I111" s="999">
        <f t="shared" si="26"/>
        <v>0</v>
      </c>
      <c r="J111" s="999">
        <f t="shared" si="26"/>
        <v>0</v>
      </c>
      <c r="K111" s="999">
        <f t="shared" si="26"/>
        <v>0</v>
      </c>
      <c r="L111" s="999">
        <f t="shared" si="26"/>
        <v>0</v>
      </c>
      <c r="M111" s="999">
        <f t="shared" si="26"/>
        <v>0</v>
      </c>
      <c r="N111" s="999">
        <f t="shared" si="26"/>
        <v>0</v>
      </c>
      <c r="O111" s="999">
        <f t="shared" si="26"/>
        <v>0</v>
      </c>
    </row>
    <row r="112" spans="1:15" ht="15.6">
      <c r="A112" s="3236"/>
      <c r="B112" s="989" t="s">
        <v>780</v>
      </c>
      <c r="C112" s="986">
        <f t="shared" si="17"/>
        <v>44</v>
      </c>
      <c r="D112" s="999">
        <f t="shared" ref="D112:O112" si="27">+D89+D66+D43+D20</f>
        <v>0</v>
      </c>
      <c r="E112" s="999">
        <f t="shared" si="27"/>
        <v>41</v>
      </c>
      <c r="F112" s="999">
        <f t="shared" si="27"/>
        <v>3</v>
      </c>
      <c r="G112" s="999">
        <f t="shared" si="27"/>
        <v>0</v>
      </c>
      <c r="H112" s="999">
        <f t="shared" si="27"/>
        <v>0</v>
      </c>
      <c r="I112" s="999">
        <f t="shared" si="27"/>
        <v>0</v>
      </c>
      <c r="J112" s="999">
        <f t="shared" si="27"/>
        <v>0</v>
      </c>
      <c r="K112" s="999">
        <f t="shared" si="27"/>
        <v>0</v>
      </c>
      <c r="L112" s="999">
        <f t="shared" si="27"/>
        <v>0</v>
      </c>
      <c r="M112" s="999">
        <f t="shared" si="27"/>
        <v>0</v>
      </c>
      <c r="N112" s="999">
        <f t="shared" si="27"/>
        <v>0</v>
      </c>
      <c r="O112" s="999">
        <f t="shared" si="27"/>
        <v>0</v>
      </c>
    </row>
    <row r="113" spans="1:15" ht="15.6">
      <c r="A113" s="3236"/>
      <c r="B113" s="989" t="s">
        <v>781</v>
      </c>
      <c r="C113" s="986">
        <f t="shared" si="17"/>
        <v>31</v>
      </c>
      <c r="D113" s="999">
        <f t="shared" ref="D113:O113" si="28">+D90+D67+D44+D21</f>
        <v>0</v>
      </c>
      <c r="E113" s="999">
        <f t="shared" si="28"/>
        <v>30</v>
      </c>
      <c r="F113" s="999">
        <f t="shared" si="28"/>
        <v>1</v>
      </c>
      <c r="G113" s="999">
        <f t="shared" si="28"/>
        <v>0</v>
      </c>
      <c r="H113" s="999">
        <f t="shared" si="28"/>
        <v>0</v>
      </c>
      <c r="I113" s="999">
        <f t="shared" si="28"/>
        <v>0</v>
      </c>
      <c r="J113" s="999">
        <f t="shared" si="28"/>
        <v>0</v>
      </c>
      <c r="K113" s="999">
        <f t="shared" si="28"/>
        <v>0</v>
      </c>
      <c r="L113" s="999">
        <f t="shared" si="28"/>
        <v>0</v>
      </c>
      <c r="M113" s="999">
        <f t="shared" si="28"/>
        <v>0</v>
      </c>
      <c r="N113" s="999">
        <f t="shared" si="28"/>
        <v>0</v>
      </c>
      <c r="O113" s="999">
        <f t="shared" si="28"/>
        <v>0</v>
      </c>
    </row>
    <row r="114" spans="1:15" ht="16.2" thickBot="1">
      <c r="A114" s="3237"/>
      <c r="B114" s="990" t="s">
        <v>782</v>
      </c>
      <c r="C114" s="997">
        <f t="shared" si="17"/>
        <v>0</v>
      </c>
      <c r="D114" s="1001">
        <f t="shared" ref="D114:O114" si="29">+D91+D68+D45+D22</f>
        <v>0</v>
      </c>
      <c r="E114" s="1001">
        <f t="shared" si="29"/>
        <v>0</v>
      </c>
      <c r="F114" s="1001">
        <f t="shared" si="29"/>
        <v>0</v>
      </c>
      <c r="G114" s="1001">
        <f t="shared" si="29"/>
        <v>0</v>
      </c>
      <c r="H114" s="1001">
        <f t="shared" si="29"/>
        <v>0</v>
      </c>
      <c r="I114" s="1001">
        <f t="shared" si="29"/>
        <v>0</v>
      </c>
      <c r="J114" s="1001">
        <f t="shared" si="29"/>
        <v>0</v>
      </c>
      <c r="K114" s="1001">
        <f t="shared" si="29"/>
        <v>0</v>
      </c>
      <c r="L114" s="1001">
        <f t="shared" si="29"/>
        <v>0</v>
      </c>
      <c r="M114" s="1001">
        <f t="shared" si="29"/>
        <v>0</v>
      </c>
      <c r="N114" s="1001">
        <f t="shared" si="29"/>
        <v>0</v>
      </c>
      <c r="O114" s="1001">
        <f t="shared" si="29"/>
        <v>0</v>
      </c>
    </row>
    <row r="115" spans="1:15">
      <c r="C115" s="996">
        <f>+(SUM(C109:C114)/SUM(C103:C108))</f>
        <v>0.16551724137931034</v>
      </c>
      <c r="D115" s="996">
        <f t="shared" ref="D115:O115" si="30">+(SUM(D109:D114)/SUM(D103:D108))</f>
        <v>7.1428571428571425E-2</v>
      </c>
      <c r="E115" s="996">
        <f t="shared" si="30"/>
        <v>0.15670650730411687</v>
      </c>
      <c r="F115" s="996">
        <f t="shared" si="30"/>
        <v>0.44680851063829785</v>
      </c>
      <c r="G115" s="996" t="e">
        <f t="shared" si="30"/>
        <v>#DIV/0!</v>
      </c>
      <c r="H115" s="996" t="e">
        <f t="shared" si="30"/>
        <v>#DIV/0!</v>
      </c>
      <c r="I115" s="996" t="e">
        <f t="shared" si="30"/>
        <v>#DIV/0!</v>
      </c>
      <c r="J115" s="996" t="e">
        <f t="shared" si="30"/>
        <v>#DIV/0!</v>
      </c>
      <c r="K115" s="996" t="e">
        <f t="shared" si="30"/>
        <v>#DIV/0!</v>
      </c>
      <c r="L115" s="996" t="e">
        <f t="shared" si="30"/>
        <v>#DIV/0!</v>
      </c>
      <c r="M115" s="996" t="e">
        <f t="shared" si="30"/>
        <v>#DIV/0!</v>
      </c>
      <c r="N115" s="996" t="e">
        <f t="shared" si="30"/>
        <v>#DIV/0!</v>
      </c>
      <c r="O115" s="996" t="e">
        <f t="shared" si="30"/>
        <v>#DIV/0!</v>
      </c>
    </row>
  </sheetData>
  <mergeCells count="20">
    <mergeCell ref="A103:A108"/>
    <mergeCell ref="A109:A114"/>
    <mergeCell ref="A72:A74"/>
    <mergeCell ref="A77:A78"/>
    <mergeCell ref="A80:A85"/>
    <mergeCell ref="A86:A91"/>
    <mergeCell ref="A95:A97"/>
    <mergeCell ref="A100:A101"/>
    <mergeCell ref="A63:A68"/>
    <mergeCell ref="A3:A5"/>
    <mergeCell ref="A8:A9"/>
    <mergeCell ref="A11:A16"/>
    <mergeCell ref="A17:A22"/>
    <mergeCell ref="A26:A28"/>
    <mergeCell ref="A31:A32"/>
    <mergeCell ref="A34:A39"/>
    <mergeCell ref="A40:A45"/>
    <mergeCell ref="A49:A51"/>
    <mergeCell ref="A54:A55"/>
    <mergeCell ref="A57:A62"/>
  </mergeCells>
  <pageMargins left="0.7" right="0.7" top="0.75" bottom="0.75" header="0.3" footer="0.3"/>
  <customProperties>
    <customPr name="_pios_id" r:id="rId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9"/>
  <dimension ref="A1:Z182"/>
  <sheetViews>
    <sheetView showGridLines="0" topLeftCell="A11" zoomScale="80" zoomScaleNormal="80" workbookViewId="0">
      <selection activeCell="L11" sqref="L1:L1048576"/>
    </sheetView>
  </sheetViews>
  <sheetFormatPr baseColWidth="10" defaultColWidth="11.44140625" defaultRowHeight="13.2"/>
  <cols>
    <col min="1" max="1" width="3.5546875" style="243" customWidth="1"/>
    <col min="2" max="2" width="11.44140625" style="135" customWidth="1"/>
    <col min="3" max="3" width="10.44140625" bestFit="1" customWidth="1"/>
    <col min="4" max="4" width="12.5546875" customWidth="1"/>
    <col min="5" max="5" width="12.5546875" hidden="1" customWidth="1"/>
    <col min="6" max="6" width="12" style="560" customWidth="1"/>
    <col min="7" max="7" width="1.44140625" customWidth="1"/>
    <col min="8" max="8" width="9" customWidth="1"/>
    <col min="9" max="9" width="10.44140625" customWidth="1"/>
    <col min="10" max="10" width="14.5546875" customWidth="1"/>
    <col min="11" max="11" width="12.44140625" customWidth="1"/>
    <col min="12" max="12" width="11.44140625" hidden="1" customWidth="1"/>
    <col min="13" max="13" width="12.5546875" customWidth="1"/>
    <col min="14" max="14" width="14" customWidth="1"/>
    <col min="15" max="15" width="12.5546875" style="560" customWidth="1"/>
    <col min="16" max="16" width="1.44140625" customWidth="1"/>
    <col min="17" max="17" width="9.5546875" customWidth="1"/>
    <col min="18" max="18" width="4" style="259" customWidth="1"/>
    <col min="19" max="19" width="4.5546875" style="259" customWidth="1"/>
    <col min="20" max="20" width="11.44140625" style="262"/>
    <col min="21" max="21" width="12.44140625" bestFit="1" customWidth="1"/>
    <col min="22" max="22" width="10.44140625" customWidth="1"/>
    <col min="23" max="23" width="10.44140625" hidden="1" customWidth="1"/>
    <col min="24" max="24" width="5.5546875" hidden="1" customWidth="1"/>
  </cols>
  <sheetData>
    <row r="1" spans="1:26" ht="27" hidden="1" customHeight="1">
      <c r="A1" s="265"/>
      <c r="B1" s="147" t="s">
        <v>79</v>
      </c>
      <c r="C1" s="10"/>
      <c r="D1" s="10"/>
      <c r="E1" s="10"/>
      <c r="F1" s="558"/>
      <c r="G1" s="10"/>
      <c r="H1" s="10"/>
      <c r="L1" s="285"/>
    </row>
    <row r="2" spans="1:26" ht="17.25" hidden="1" customHeight="1" thickBot="1">
      <c r="A2" s="265"/>
      <c r="B2" s="268" t="s">
        <v>297</v>
      </c>
      <c r="C2" s="635" t="s">
        <v>112</v>
      </c>
      <c r="D2" s="515" t="s">
        <v>547</v>
      </c>
      <c r="E2" s="515"/>
      <c r="F2" s="557" t="s">
        <v>296</v>
      </c>
      <c r="G2" s="148"/>
      <c r="H2" s="268">
        <v>2010</v>
      </c>
      <c r="J2" s="266" t="s">
        <v>300</v>
      </c>
      <c r="K2" s="515" t="s">
        <v>547</v>
      </c>
      <c r="L2" s="640" t="s">
        <v>432</v>
      </c>
      <c r="M2" s="266" t="s">
        <v>541</v>
      </c>
      <c r="N2" s="266"/>
      <c r="O2" s="557" t="s">
        <v>296</v>
      </c>
      <c r="P2" s="148"/>
      <c r="Q2" s="268">
        <v>2010</v>
      </c>
    </row>
    <row r="3" spans="1:26" hidden="1">
      <c r="A3" s="265"/>
      <c r="B3" s="188" t="s">
        <v>293</v>
      </c>
      <c r="C3" s="148">
        <v>2</v>
      </c>
      <c r="D3" s="513" t="e">
        <f>+INDICADORES!#REF!</f>
        <v>#REF!</v>
      </c>
      <c r="E3" s="513"/>
      <c r="F3" s="551" t="s">
        <v>475</v>
      </c>
      <c r="G3" s="3243"/>
      <c r="H3" s="188">
        <v>44</v>
      </c>
      <c r="J3" s="278" t="s">
        <v>301</v>
      </c>
      <c r="K3" s="525" t="e">
        <f>+INDICADORES!#REF!</f>
        <v>#REF!</v>
      </c>
      <c r="L3" s="517" t="e">
        <f>+INDICADORES!#REF!</f>
        <v>#REF!</v>
      </c>
      <c r="M3" s="525" t="e">
        <f>+INDICADORES!#REF!</f>
        <v>#REF!</v>
      </c>
      <c r="N3" s="525"/>
      <c r="O3" s="551" t="s">
        <v>480</v>
      </c>
      <c r="P3" s="148"/>
      <c r="Q3" s="520">
        <v>4.07</v>
      </c>
    </row>
    <row r="4" spans="1:26" hidden="1">
      <c r="A4" s="265"/>
      <c r="B4" s="188" t="s">
        <v>294</v>
      </c>
      <c r="C4" s="148">
        <v>1</v>
      </c>
      <c r="D4" s="513" t="e">
        <f>+INDICADORES!#REF!</f>
        <v>#REF!</v>
      </c>
      <c r="E4" s="513"/>
      <c r="F4" s="551" t="s">
        <v>476</v>
      </c>
      <c r="G4" s="3243"/>
      <c r="H4" s="188">
        <v>9</v>
      </c>
      <c r="J4" s="278" t="s">
        <v>265</v>
      </c>
      <c r="K4" s="512" t="e">
        <f>+INDICADORES!#REF!</f>
        <v>#REF!</v>
      </c>
      <c r="L4" s="513" t="e">
        <f>+INDICADORES!#REF!</f>
        <v>#REF!</v>
      </c>
      <c r="M4" s="512" t="e">
        <f>+INDICADORES!#REF!</f>
        <v>#REF!</v>
      </c>
      <c r="N4" s="512"/>
      <c r="O4" s="551" t="s">
        <v>482</v>
      </c>
      <c r="P4" s="148"/>
      <c r="Q4" s="521">
        <v>66.040000000000006</v>
      </c>
    </row>
    <row r="5" spans="1:26" ht="13.8" hidden="1" thickBot="1">
      <c r="A5" s="265"/>
      <c r="B5" s="188" t="s">
        <v>295</v>
      </c>
      <c r="C5" s="266">
        <v>7</v>
      </c>
      <c r="D5" s="514" t="e">
        <f>+INDICADORES!#REF!</f>
        <v>#REF!</v>
      </c>
      <c r="E5" s="514"/>
      <c r="F5" s="557" t="s">
        <v>477</v>
      </c>
      <c r="G5" s="79"/>
      <c r="H5" s="268">
        <v>58</v>
      </c>
      <c r="J5" s="275" t="s">
        <v>299</v>
      </c>
      <c r="K5" s="526" t="e">
        <f>+INDICADORES!#REF!</f>
        <v>#REF!</v>
      </c>
      <c r="L5" s="518" t="e">
        <f>+INDICADORES!#REF!</f>
        <v>#REF!</v>
      </c>
      <c r="M5" s="530" t="e">
        <f>+INDICADORES!#REF!</f>
        <v>#REF!</v>
      </c>
      <c r="N5" s="530"/>
      <c r="O5" s="557" t="s">
        <v>481</v>
      </c>
      <c r="P5" s="148"/>
      <c r="Q5" s="268">
        <v>1.7</v>
      </c>
    </row>
    <row r="6" spans="1:26" ht="15.6" hidden="1">
      <c r="A6" s="265"/>
      <c r="B6" s="188"/>
      <c r="C6" s="269">
        <f>SUM(C3:C5)</f>
        <v>10</v>
      </c>
      <c r="D6" s="286" t="e">
        <f>SUM(D3:D5)</f>
        <v>#REF!</v>
      </c>
      <c r="E6" s="286"/>
      <c r="F6" s="563" t="s">
        <v>478</v>
      </c>
      <c r="G6" s="79"/>
      <c r="H6" s="188">
        <f>SUM(H3:H5)</f>
        <v>111</v>
      </c>
      <c r="J6" s="10"/>
      <c r="K6" s="10"/>
      <c r="L6" s="10"/>
      <c r="M6" s="10"/>
      <c r="N6" s="10"/>
      <c r="O6" s="283"/>
      <c r="P6" s="148"/>
      <c r="Q6" s="148"/>
    </row>
    <row r="7" spans="1:26" hidden="1">
      <c r="A7" s="265"/>
      <c r="B7" s="188"/>
      <c r="C7" s="10"/>
      <c r="D7" s="10"/>
      <c r="E7" s="10"/>
      <c r="F7" s="558"/>
      <c r="G7" s="10"/>
      <c r="H7" s="10"/>
      <c r="J7" s="255" t="s">
        <v>302</v>
      </c>
      <c r="K7" s="283" t="e">
        <f>+INDICADORES!#REF!</f>
        <v>#REF!</v>
      </c>
      <c r="L7" s="283">
        <f>+Q7</f>
        <v>13037542.631388901</v>
      </c>
      <c r="M7" s="283" t="e">
        <f>+INDICADORES!#REF!</f>
        <v>#REF!</v>
      </c>
      <c r="N7" s="283"/>
      <c r="O7" s="283">
        <f>+Q7</f>
        <v>13037542.631388901</v>
      </c>
      <c r="P7" s="10"/>
      <c r="Q7" s="283">
        <v>13037542.631388901</v>
      </c>
    </row>
    <row r="8" spans="1:26" ht="15.6" hidden="1">
      <c r="B8" s="188" t="s">
        <v>266</v>
      </c>
      <c r="C8" s="148">
        <v>7</v>
      </c>
      <c r="D8" s="516" t="e">
        <f>+INDICADORES!#REF!</f>
        <v>#REF!</v>
      </c>
      <c r="E8" s="516"/>
      <c r="F8" s="551" t="s">
        <v>479</v>
      </c>
      <c r="G8" s="10"/>
      <c r="H8" s="188">
        <v>861</v>
      </c>
      <c r="J8" s="10"/>
      <c r="K8" s="10"/>
      <c r="L8" s="10"/>
      <c r="M8" s="10"/>
      <c r="N8" s="10"/>
      <c r="O8" s="558"/>
      <c r="P8" s="10"/>
      <c r="Q8" s="10"/>
    </row>
    <row r="9" spans="1:26" hidden="1">
      <c r="B9" s="188"/>
      <c r="C9" s="148"/>
      <c r="D9" s="148"/>
      <c r="E9" s="148"/>
      <c r="F9" s="551"/>
      <c r="G9" s="10"/>
      <c r="H9" s="188"/>
      <c r="J9" s="10"/>
      <c r="K9" s="10"/>
      <c r="L9" s="10"/>
      <c r="M9" s="10"/>
      <c r="N9" s="10"/>
      <c r="O9" s="558"/>
      <c r="P9" s="10"/>
      <c r="Q9" s="10"/>
    </row>
    <row r="10" spans="1:26" hidden="1"/>
    <row r="11" spans="1:26">
      <c r="B11" s="550" t="s">
        <v>443</v>
      </c>
      <c r="C11" s="10"/>
      <c r="D11" s="10"/>
      <c r="E11" s="10"/>
      <c r="F11" s="558"/>
      <c r="G11" s="10"/>
      <c r="H11" s="10"/>
      <c r="L11" s="285"/>
      <c r="T11" s="3248" t="s">
        <v>654</v>
      </c>
      <c r="U11" s="3248"/>
      <c r="V11" s="3248"/>
      <c r="W11" s="3248"/>
      <c r="X11" s="3248"/>
      <c r="Y11" s="3248"/>
      <c r="Z11" s="3248"/>
    </row>
    <row r="12" spans="1:26" ht="13.8" thickBot="1">
      <c r="B12" s="268" t="s">
        <v>297</v>
      </c>
      <c r="C12" s="674" t="s">
        <v>104</v>
      </c>
      <c r="D12" s="685" t="s">
        <v>599</v>
      </c>
      <c r="E12" s="685" t="s">
        <v>660</v>
      </c>
      <c r="F12" s="557" t="s">
        <v>296</v>
      </c>
      <c r="G12" s="148"/>
      <c r="H12" s="268">
        <v>2012</v>
      </c>
      <c r="J12" s="266" t="s">
        <v>300</v>
      </c>
      <c r="K12" s="685" t="s">
        <v>599</v>
      </c>
      <c r="L12" s="917" t="s">
        <v>663</v>
      </c>
      <c r="M12" s="685" t="s">
        <v>697</v>
      </c>
      <c r="N12" s="685" t="str">
        <f>+E12</f>
        <v>Obj a Ago</v>
      </c>
      <c r="O12" s="557" t="s">
        <v>296</v>
      </c>
      <c r="P12" s="148"/>
      <c r="Q12" s="268">
        <v>2012</v>
      </c>
      <c r="T12" s="880" t="s">
        <v>518</v>
      </c>
      <c r="U12" s="880" t="s">
        <v>514</v>
      </c>
      <c r="V12" s="880" t="s">
        <v>515</v>
      </c>
      <c r="W12" s="880" t="s">
        <v>516</v>
      </c>
      <c r="X12" s="881"/>
      <c r="Y12" s="882" t="s">
        <v>516</v>
      </c>
      <c r="Z12" s="882" t="s">
        <v>655</v>
      </c>
    </row>
    <row r="13" spans="1:26" ht="15.6">
      <c r="B13" s="188" t="s">
        <v>293</v>
      </c>
      <c r="C13" s="269">
        <v>5</v>
      </c>
      <c r="D13" s="741">
        <f>+INDICADORES!P28</f>
        <v>62</v>
      </c>
      <c r="E13" s="740"/>
      <c r="F13" s="563" t="s">
        <v>661</v>
      </c>
      <c r="G13" s="79"/>
      <c r="H13" s="188">
        <v>51</v>
      </c>
      <c r="J13" s="715" t="s">
        <v>264</v>
      </c>
      <c r="K13" s="723">
        <f>+INDICADORES!S28</f>
        <v>3.8772189198070364</v>
      </c>
      <c r="L13" s="723" t="e">
        <f>+INDICADORES!#REF!</f>
        <v>#REF!</v>
      </c>
      <c r="M13" s="723" t="e">
        <f>+INDICADORES!#REF!</f>
        <v>#REF!</v>
      </c>
      <c r="N13" s="721" t="e">
        <f>+INDICADORES!#REF!</f>
        <v>#REF!</v>
      </c>
      <c r="O13" s="721" t="s">
        <v>664</v>
      </c>
      <c r="P13" s="148"/>
      <c r="Q13" s="520" t="e">
        <f>+INDICADORES!#REF!</f>
        <v>#REF!</v>
      </c>
      <c r="S13" s="715" t="s">
        <v>264</v>
      </c>
      <c r="T13" s="781" t="e">
        <f>+INDICADORES!#REF!</f>
        <v>#REF!</v>
      </c>
      <c r="U13" s="781" t="e">
        <f>(2*1+INDICADORES!#REF!)*1000000/INDICADORES!#REF!</f>
        <v>#REF!</v>
      </c>
      <c r="V13" s="781" t="e">
        <f>(3*1+INDICADORES!#REF!)*1000000/INDICADORES!#REF!</f>
        <v>#REF!</v>
      </c>
      <c r="Y13" s="781" t="e">
        <f>(4*1+INDICADORES!#REF!)*1000000/INDICADORES!#REF!</f>
        <v>#REF!</v>
      </c>
      <c r="Z13" s="781" t="e">
        <f>(5*1+INDICADORES!#REF!)*1000000/INDICADORES!#REF!</f>
        <v>#REF!</v>
      </c>
    </row>
    <row r="14" spans="1:26" ht="15.6">
      <c r="B14" s="188" t="s">
        <v>266</v>
      </c>
      <c r="C14" s="605">
        <v>71</v>
      </c>
      <c r="D14" s="741">
        <f>+INDICADORES!O28</f>
        <v>1940</v>
      </c>
      <c r="E14" s="740"/>
      <c r="F14" s="720" t="s">
        <v>662</v>
      </c>
      <c r="G14" s="10"/>
      <c r="H14" s="188">
        <v>903</v>
      </c>
      <c r="J14" s="278" t="s">
        <v>265</v>
      </c>
      <c r="K14" s="763">
        <f>+INDICADORES!T28</f>
        <v>121.31943071654275</v>
      </c>
      <c r="L14" s="763" t="e">
        <f>+INDICADORES!#REF!</f>
        <v>#REF!</v>
      </c>
      <c r="M14" s="763" t="e">
        <f>+INDICADORES!#REF!</f>
        <v>#REF!</v>
      </c>
      <c r="N14" s="722" t="e">
        <f>+INDICADORES!#REF!</f>
        <v>#REF!</v>
      </c>
      <c r="O14" s="722" t="s">
        <v>665</v>
      </c>
      <c r="P14" s="148"/>
      <c r="Q14" s="521">
        <v>101</v>
      </c>
      <c r="S14" s="278" t="s">
        <v>265</v>
      </c>
      <c r="T14" s="879" t="e">
        <f>+INDICADORES!#REF!</f>
        <v>#REF!</v>
      </c>
      <c r="U14" s="879" t="e">
        <f>(2*1*20+INDICADORES!#REF!)*1000000/INDICADORES!#REF!</f>
        <v>#REF!</v>
      </c>
      <c r="V14" s="879" t="e">
        <f>(3*1*20+INDICADORES!#REF!)*1000000/INDICADORES!#REF!</f>
        <v>#REF!</v>
      </c>
      <c r="Y14" s="879" t="e">
        <f>(4*1*20+INDICADORES!#REF!)*1000000/INDICADORES!#REF!</f>
        <v>#REF!</v>
      </c>
      <c r="Z14" s="879" t="e">
        <f>(5*1*20+INDICADORES!#REF!)*1000000/INDICADORES!#REF!</f>
        <v>#REF!</v>
      </c>
    </row>
    <row r="15" spans="1:26" ht="15.6">
      <c r="B15" s="217" t="s">
        <v>569</v>
      </c>
      <c r="C15" s="148"/>
      <c r="D15" s="732"/>
      <c r="E15" s="148"/>
      <c r="F15" s="551"/>
      <c r="G15" s="10"/>
      <c r="H15" s="239">
        <v>1303</v>
      </c>
      <c r="J15" s="753" t="s">
        <v>584</v>
      </c>
      <c r="K15" s="918">
        <f>+INDICADORES!V28</f>
        <v>0.47038199211439846</v>
      </c>
      <c r="L15" s="918" t="e">
        <f>+INDICADORES!#REF!</f>
        <v>#REF!</v>
      </c>
      <c r="M15" s="918" t="e">
        <f>+M13*M14/1000</f>
        <v>#REF!</v>
      </c>
      <c r="N15" s="755"/>
      <c r="O15" s="755" t="s">
        <v>666</v>
      </c>
      <c r="P15" s="756"/>
      <c r="Q15" s="755" t="e">
        <f>+Q13*Q14/1000</f>
        <v>#REF!</v>
      </c>
      <c r="S15" s="753" t="s">
        <v>584</v>
      </c>
      <c r="T15" s="785" t="e">
        <f>+T13*T14/1000</f>
        <v>#REF!</v>
      </c>
      <c r="U15" s="785" t="e">
        <f>+U13*U14/1000</f>
        <v>#REF!</v>
      </c>
      <c r="V15" s="785" t="e">
        <f>+V13*V14/1000</f>
        <v>#REF!</v>
      </c>
      <c r="Y15" s="785" t="e">
        <f>+Y13*Y14/1000</f>
        <v>#REF!</v>
      </c>
      <c r="Z15" s="785" t="e">
        <f>+Z13*Z14/1000</f>
        <v>#REF!</v>
      </c>
    </row>
    <row r="16" spans="1:26">
      <c r="J16" s="255" t="s">
        <v>302</v>
      </c>
      <c r="K16" s="283">
        <f>+INDICADORES!M28</f>
        <v>15990843.251916673</v>
      </c>
      <c r="L16" s="283" t="e">
        <f>+INDICADORES!#REF!</f>
        <v>#REF!</v>
      </c>
      <c r="M16" s="283" t="e">
        <f>+INDICADORES!#REF!</f>
        <v>#REF!</v>
      </c>
      <c r="N16" s="283">
        <v>12838534</v>
      </c>
      <c r="O16" s="283">
        <v>12838534</v>
      </c>
      <c r="P16" s="10"/>
      <c r="Q16" s="283">
        <f>+O16</f>
        <v>12838534</v>
      </c>
    </row>
    <row r="17" spans="2:23">
      <c r="B17" s="644"/>
      <c r="J17" s="209"/>
      <c r="K17" s="937"/>
      <c r="M17" s="916"/>
      <c r="O17" s="915"/>
    </row>
    <row r="18" spans="2:23">
      <c r="B18" s="120" t="s">
        <v>304</v>
      </c>
      <c r="T18" s="612" t="s">
        <v>517</v>
      </c>
      <c r="U18" s="611"/>
      <c r="V18" s="603"/>
      <c r="W18" s="603"/>
    </row>
    <row r="19" spans="2:23" ht="13.8" thickBot="1">
      <c r="B19" s="268" t="s">
        <v>297</v>
      </c>
      <c r="C19" s="674" t="s">
        <v>113</v>
      </c>
      <c r="D19" s="674" t="s">
        <v>677</v>
      </c>
      <c r="E19" s="266"/>
      <c r="F19" s="557" t="str">
        <f>+$F$2</f>
        <v>Objetivo</v>
      </c>
      <c r="G19" s="148"/>
      <c r="H19" s="268">
        <v>2012</v>
      </c>
      <c r="J19" s="266" t="str">
        <f>+$J$2</f>
        <v>Indicadores</v>
      </c>
      <c r="K19" s="685" t="s">
        <v>599</v>
      </c>
      <c r="L19" s="917" t="s">
        <v>663</v>
      </c>
      <c r="M19" s="685" t="s">
        <v>697</v>
      </c>
      <c r="N19" s="266"/>
      <c r="O19" s="688" t="s">
        <v>296</v>
      </c>
      <c r="P19" s="148"/>
      <c r="Q19" s="268">
        <v>2012</v>
      </c>
      <c r="T19" s="607" t="s">
        <v>518</v>
      </c>
      <c r="U19" s="607" t="s">
        <v>539</v>
      </c>
      <c r="V19" s="607" t="s">
        <v>540</v>
      </c>
      <c r="W19" s="607" t="s">
        <v>516</v>
      </c>
    </row>
    <row r="20" spans="2:23">
      <c r="B20" s="188" t="s">
        <v>293</v>
      </c>
      <c r="C20" s="148">
        <v>0</v>
      </c>
      <c r="D20" s="933">
        <f>+D31+D42+D53</f>
        <v>15</v>
      </c>
      <c r="E20" s="622"/>
      <c r="F20" s="551" t="s">
        <v>686</v>
      </c>
      <c r="G20" s="922"/>
      <c r="H20" s="188">
        <v>0</v>
      </c>
      <c r="J20" s="715" t="s">
        <v>264</v>
      </c>
      <c r="K20" s="935">
        <f>+INDICADORES!S66</f>
        <v>0</v>
      </c>
      <c r="L20" s="870">
        <f>+INDICADORES!Z65</f>
        <v>3.0276983959662451</v>
      </c>
      <c r="M20" s="935">
        <f>+INDICADORES!H66</f>
        <v>0</v>
      </c>
      <c r="N20" s="584"/>
      <c r="O20" s="923" t="s">
        <v>670</v>
      </c>
      <c r="P20" s="682"/>
      <c r="Q20" s="721">
        <f>+[5]INDICADORES!AD43</f>
        <v>0</v>
      </c>
      <c r="T20" s="617" t="e">
        <f>(+INDICADORES!#REF!+INDICADORES!#REF!)*1000000/$T$24</f>
        <v>#REF!</v>
      </c>
      <c r="U20" s="617" t="e">
        <f>(+INDICADORES!#REF!+INDICADORES!#REF!+2)*1000000/$T$24</f>
        <v>#REF!</v>
      </c>
      <c r="V20" s="617" t="e">
        <f>(+INDICADORES!#REF!+INDICADORES!#REF!+3)*1000000/$T$24</f>
        <v>#REF!</v>
      </c>
      <c r="W20" s="610" t="e">
        <f>59*1000000/$T$14</f>
        <v>#REF!</v>
      </c>
    </row>
    <row r="21" spans="2:23">
      <c r="B21" s="239" t="s">
        <v>266</v>
      </c>
      <c r="C21" s="148">
        <v>0</v>
      </c>
      <c r="D21" s="868">
        <f>+D32+D43+D54</f>
        <v>1367</v>
      </c>
      <c r="E21" s="272"/>
      <c r="F21" s="551" t="s">
        <v>669</v>
      </c>
      <c r="G21" s="922"/>
      <c r="H21" s="188">
        <v>0</v>
      </c>
      <c r="J21" s="715" t="s">
        <v>265</v>
      </c>
      <c r="K21" s="879">
        <f>+INDICADORES!T66</f>
        <v>0</v>
      </c>
      <c r="L21" s="919">
        <f>+INDICADORES!AA65</f>
        <v>107.49771066821107</v>
      </c>
      <c r="M21" s="879">
        <f>+INDICADORES!I66</f>
        <v>0</v>
      </c>
      <c r="N21" s="512"/>
      <c r="O21" s="923" t="s">
        <v>671</v>
      </c>
      <c r="P21" s="682"/>
      <c r="Q21" s="721">
        <f>+[5]INDICADORES!AH43</f>
        <v>0</v>
      </c>
      <c r="T21" s="619">
        <f>+($D$25)*1000000/$T$24</f>
        <v>0</v>
      </c>
      <c r="U21" s="63"/>
      <c r="V21" s="63"/>
      <c r="W21" s="63"/>
    </row>
    <row r="22" spans="2:23" ht="14.25" customHeight="1" thickBot="1">
      <c r="B22"/>
      <c r="F22"/>
      <c r="J22" s="925" t="s">
        <v>584</v>
      </c>
      <c r="K22" s="934">
        <f>+K20*K21/1000</f>
        <v>0</v>
      </c>
      <c r="L22" s="927">
        <f>+INDICADORES!AB65</f>
        <v>0.32547064616018617</v>
      </c>
      <c r="M22" s="934">
        <f>+M20*M21/1000</f>
        <v>0</v>
      </c>
      <c r="N22" s="581"/>
      <c r="O22" s="928" t="s">
        <v>672</v>
      </c>
      <c r="P22" s="582"/>
      <c r="Q22" s="929">
        <f>+Q20*Q21/1000</f>
        <v>0</v>
      </c>
      <c r="R22" s="583"/>
      <c r="S22" s="583"/>
      <c r="T22" s="620"/>
    </row>
    <row r="23" spans="2:23">
      <c r="B23"/>
      <c r="F23"/>
      <c r="J23" s="10"/>
      <c r="K23" s="283"/>
      <c r="L23" s="283"/>
      <c r="M23" s="283"/>
      <c r="N23" s="283"/>
      <c r="T23" s="10"/>
    </row>
    <row r="24" spans="2:23" ht="12" customHeight="1">
      <c r="B24"/>
      <c r="F24"/>
      <c r="J24" s="930" t="s">
        <v>302</v>
      </c>
      <c r="K24" s="283">
        <f>+INDICADORES!M5+INDICADORES!M6+INDICADORES!M7</f>
        <v>987055.11400000006</v>
      </c>
      <c r="L24" s="283">
        <f>+INDICADORES!X5+INDICADORES!X6+INDICADORES!X7</f>
        <v>1076787.3970909091</v>
      </c>
      <c r="M24" s="283">
        <f>+INDICADORES!C5+INDICADORES!C6+INDICADORES!C7</f>
        <v>1986792.3626666667</v>
      </c>
      <c r="N24" s="283"/>
      <c r="O24" s="283">
        <f>+Q24</f>
        <v>1372620.5</v>
      </c>
      <c r="P24" s="283"/>
      <c r="Q24" s="283">
        <v>1372620.5</v>
      </c>
      <c r="T24" s="283">
        <f>+L24</f>
        <v>1076787.3970909091</v>
      </c>
    </row>
    <row r="25" spans="2:23">
      <c r="B25"/>
      <c r="F25"/>
      <c r="Q25" s="135"/>
    </row>
    <row r="28" spans="2:23">
      <c r="B28" s="188"/>
      <c r="C28" s="148"/>
      <c r="D28" s="276"/>
      <c r="E28" s="276"/>
      <c r="F28" s="551"/>
      <c r="G28" s="10"/>
      <c r="H28" s="188"/>
      <c r="J28" s="278"/>
      <c r="K28" s="148"/>
      <c r="L28" s="285"/>
      <c r="M28" s="148"/>
      <c r="N28" s="148"/>
      <c r="Q28" s="135"/>
    </row>
    <row r="29" spans="2:23">
      <c r="B29" s="120" t="s">
        <v>9</v>
      </c>
      <c r="J29" s="10"/>
      <c r="O29" s="558"/>
      <c r="P29" s="10"/>
      <c r="Q29" s="10"/>
      <c r="T29" s="3244" t="s">
        <v>517</v>
      </c>
      <c r="U29" s="3245"/>
      <c r="V29" s="3246"/>
      <c r="W29" s="615"/>
    </row>
    <row r="30" spans="2:23" ht="13.8" thickBot="1">
      <c r="B30" s="268" t="s">
        <v>297</v>
      </c>
      <c r="C30" s="674" t="s">
        <v>653</v>
      </c>
      <c r="D30" s="674" t="s">
        <v>677</v>
      </c>
      <c r="E30" s="266"/>
      <c r="F30" s="557" t="str">
        <f>+$F$2</f>
        <v>Objetivo</v>
      </c>
      <c r="G30" s="148"/>
      <c r="H30" s="268">
        <v>2012</v>
      </c>
      <c r="J30" s="266" t="str">
        <f>+$J$2</f>
        <v>Indicadores</v>
      </c>
      <c r="K30" s="685" t="s">
        <v>599</v>
      </c>
      <c r="L30" s="917" t="s">
        <v>663</v>
      </c>
      <c r="M30" s="685" t="s">
        <v>667</v>
      </c>
      <c r="N30" s="515"/>
      <c r="O30" s="688" t="s">
        <v>296</v>
      </c>
      <c r="P30" s="148"/>
      <c r="Q30" s="268">
        <v>2012</v>
      </c>
      <c r="T30" s="607" t="s">
        <v>518</v>
      </c>
      <c r="U30" s="607" t="s">
        <v>539</v>
      </c>
      <c r="V30" s="607" t="s">
        <v>540</v>
      </c>
      <c r="W30" s="616" t="s">
        <v>516</v>
      </c>
    </row>
    <row r="31" spans="2:23">
      <c r="B31" s="188" t="s">
        <v>293</v>
      </c>
      <c r="C31" s="148">
        <v>0</v>
      </c>
      <c r="D31" s="919">
        <f>+INDICADORES!P7</f>
        <v>11</v>
      </c>
      <c r="E31" s="553"/>
      <c r="F31" s="551" t="s">
        <v>488</v>
      </c>
      <c r="G31" s="922"/>
      <c r="H31" s="188">
        <v>0</v>
      </c>
      <c r="J31" s="715" t="s">
        <v>264</v>
      </c>
      <c r="K31" s="870">
        <f>+INDICADORES!S7</f>
        <v>20.261179497196729</v>
      </c>
      <c r="L31" s="870">
        <f>+INDICADORES!Z7</f>
        <v>18.572747872430334</v>
      </c>
      <c r="M31" s="870">
        <f>+INDICADORES!H7</f>
        <v>9.5683097275637188</v>
      </c>
      <c r="N31" s="584"/>
      <c r="O31" s="923" t="s">
        <v>674</v>
      </c>
      <c r="P31" s="148"/>
      <c r="Q31" s="924">
        <f>+[5]INDICADORES!AD7</f>
        <v>0</v>
      </c>
      <c r="T31" s="617">
        <f>(+INDICADORES!Q7+INDICADORES!P7)*1000000/$T$35</f>
        <v>18.572747872430334</v>
      </c>
      <c r="U31" s="618">
        <f>(+INDICADORES!P7+INDICADORES!Q7+2)*1000000/$T$35</f>
        <v>21.949611121963123</v>
      </c>
      <c r="V31" s="610">
        <f>(+INDICADORES!P7+INDICADORES!Q7+3)*1000000/$T$35</f>
        <v>23.638042746729518</v>
      </c>
      <c r="W31" s="525" t="e">
        <f>59*1000000/$T$14</f>
        <v>#REF!</v>
      </c>
    </row>
    <row r="32" spans="2:23">
      <c r="B32" s="239" t="s">
        <v>266</v>
      </c>
      <c r="C32" s="148">
        <v>0</v>
      </c>
      <c r="D32" s="879">
        <f>+INDICADORES!O7</f>
        <v>178</v>
      </c>
      <c r="E32" s="553"/>
      <c r="F32" s="551" t="s">
        <v>673</v>
      </c>
      <c r="G32" s="10"/>
      <c r="H32" s="239">
        <v>0</v>
      </c>
      <c r="J32" s="715" t="s">
        <v>265</v>
      </c>
      <c r="K32" s="879">
        <f>+INDICADORES!T7</f>
        <v>327.86272277281978</v>
      </c>
      <c r="L32" s="879">
        <f>+INDICADORES!AA7</f>
        <v>300.54082920841813</v>
      </c>
      <c r="M32" s="879">
        <f>+INDICADORES!I7</f>
        <v>111.9492238124955</v>
      </c>
      <c r="N32" s="512"/>
      <c r="O32" s="931" t="s">
        <v>675</v>
      </c>
      <c r="P32" s="148"/>
      <c r="Q32" s="924">
        <f>+[5]INDICADORES!AH7</f>
        <v>0</v>
      </c>
      <c r="T32" s="553">
        <f>+($D$36)*1000000/$T$35</f>
        <v>0</v>
      </c>
      <c r="U32" s="63"/>
      <c r="V32" s="63"/>
      <c r="W32" s="63"/>
    </row>
    <row r="33" spans="1:23" ht="15.75" customHeight="1" thickBot="1">
      <c r="B33"/>
      <c r="F33"/>
      <c r="J33" s="925" t="s">
        <v>584</v>
      </c>
      <c r="K33" s="926">
        <f>+K31*K32/1000</f>
        <v>6.6428854765397514</v>
      </c>
      <c r="L33" s="927">
        <f>+INDICADORES!AB7</f>
        <v>5.5818690462590954</v>
      </c>
      <c r="M33" s="927">
        <f>+INDICADORES!K7</f>
        <v>1.0711648471983088</v>
      </c>
      <c r="N33" s="581"/>
      <c r="O33" s="928" t="s">
        <v>676</v>
      </c>
      <c r="P33" s="582"/>
      <c r="Q33" s="929">
        <f>+Q31*Q32/1000</f>
        <v>0</v>
      </c>
      <c r="T33" s="621"/>
    </row>
    <row r="34" spans="1:23">
      <c r="B34"/>
      <c r="F34"/>
      <c r="J34" s="10"/>
      <c r="K34" s="274"/>
      <c r="L34" s="259"/>
      <c r="M34" s="10"/>
      <c r="N34" s="10"/>
      <c r="O34" s="558"/>
      <c r="P34" s="10"/>
      <c r="Q34" s="10"/>
      <c r="T34" s="10"/>
    </row>
    <row r="35" spans="1:23">
      <c r="B35"/>
      <c r="F35"/>
      <c r="J35" s="284" t="s">
        <v>302</v>
      </c>
      <c r="K35" s="283">
        <f>+INDICADORES!M7</f>
        <v>542910.15</v>
      </c>
      <c r="L35" s="283">
        <f>+INDICADORES!X7</f>
        <v>592265.61818181816</v>
      </c>
      <c r="M35" s="283">
        <f>+INDICADORES!C7</f>
        <v>1045116.6699999999</v>
      </c>
      <c r="N35" s="283"/>
      <c r="O35" s="283">
        <f>+Q35</f>
        <v>635258.75</v>
      </c>
      <c r="P35" s="523"/>
      <c r="Q35" s="283">
        <v>635258.75</v>
      </c>
      <c r="R35" s="528"/>
      <c r="S35" s="528"/>
      <c r="T35" s="283">
        <f>+L35</f>
        <v>592265.61818181816</v>
      </c>
    </row>
    <row r="36" spans="1:23">
      <c r="B36"/>
      <c r="F36"/>
      <c r="O36" s="558"/>
      <c r="P36" s="10"/>
      <c r="Q36" s="10"/>
    </row>
    <row r="37" spans="1:23">
      <c r="J37" s="10"/>
      <c r="O37" s="558"/>
      <c r="P37" s="10"/>
      <c r="Q37" s="10"/>
    </row>
    <row r="38" spans="1:23">
      <c r="J38" s="10"/>
      <c r="O38" s="558"/>
      <c r="P38" s="10"/>
      <c r="Q38" s="10"/>
    </row>
    <row r="39" spans="1:23">
      <c r="J39" s="10"/>
      <c r="O39" s="558"/>
      <c r="P39" s="10"/>
      <c r="Q39" s="10"/>
    </row>
    <row r="40" spans="1:23">
      <c r="B40" s="120" t="s">
        <v>10</v>
      </c>
      <c r="J40" s="10"/>
      <c r="O40" s="558"/>
      <c r="P40" s="10"/>
      <c r="Q40" s="10"/>
      <c r="T40" s="3247" t="s">
        <v>517</v>
      </c>
      <c r="U40" s="3247"/>
      <c r="V40" s="3247"/>
      <c r="W40" s="614"/>
    </row>
    <row r="41" spans="1:23" ht="13.8" thickBot="1">
      <c r="B41" s="268" t="s">
        <v>297</v>
      </c>
      <c r="C41" s="674" t="s">
        <v>653</v>
      </c>
      <c r="D41" s="674" t="s">
        <v>677</v>
      </c>
      <c r="E41" s="266"/>
      <c r="F41" s="557" t="str">
        <f>+$F$2</f>
        <v>Objetivo</v>
      </c>
      <c r="G41" s="148"/>
      <c r="H41" s="268">
        <v>2012</v>
      </c>
      <c r="J41" s="266" t="str">
        <f>+$J$2</f>
        <v>Indicadores</v>
      </c>
      <c r="K41" s="685" t="s">
        <v>599</v>
      </c>
      <c r="L41" s="917" t="s">
        <v>663</v>
      </c>
      <c r="M41" s="685" t="s">
        <v>667</v>
      </c>
      <c r="N41" s="515"/>
      <c r="O41" s="688" t="s">
        <v>296</v>
      </c>
      <c r="P41" s="148"/>
      <c r="Q41" s="268">
        <v>2012</v>
      </c>
      <c r="T41" s="607" t="s">
        <v>518</v>
      </c>
      <c r="U41" s="607" t="s">
        <v>539</v>
      </c>
      <c r="V41" s="607" t="s">
        <v>540</v>
      </c>
      <c r="W41" s="616" t="s">
        <v>516</v>
      </c>
    </row>
    <row r="42" spans="1:23">
      <c r="B42" s="188" t="s">
        <v>293</v>
      </c>
      <c r="C42" s="148">
        <v>1</v>
      </c>
      <c r="D42" s="919">
        <f>+INDICADORES!P6</f>
        <v>4</v>
      </c>
      <c r="E42" s="553"/>
      <c r="F42" s="551" t="s">
        <v>488</v>
      </c>
      <c r="H42" s="188">
        <v>0</v>
      </c>
      <c r="J42" s="715" t="s">
        <v>264</v>
      </c>
      <c r="K42" s="781">
        <f>+INDICADORES!S6</f>
        <v>9.6751799252091182</v>
      </c>
      <c r="L42" s="781">
        <f>+INDICADORES!Z6</f>
        <v>8.868914931441692</v>
      </c>
      <c r="M42" s="781">
        <f>+INDICADORES!H6</f>
        <v>5.9959703529613648</v>
      </c>
      <c r="N42" s="584"/>
      <c r="O42" s="923" t="s">
        <v>678</v>
      </c>
      <c r="P42" s="148"/>
      <c r="Q42" s="924">
        <f>+[5]INDICADORES!AD6</f>
        <v>0</v>
      </c>
      <c r="T42" s="608">
        <f>(+INDICADORES!Q6+INDICADORES!P6)*1000000/$T$46</f>
        <v>8.868914931441692</v>
      </c>
      <c r="U42" s="609">
        <f>(+INDICADORES!P6+INDICADORES!Q6+2)*1000000/$T$46</f>
        <v>13.303372397162539</v>
      </c>
      <c r="V42" s="610">
        <f>(+INDICADORES!P7+INDICADORES!Q7+3)*1000000/$T$46</f>
        <v>31.041202260045925</v>
      </c>
      <c r="W42" s="525" t="e">
        <f>59*1000000/$T$14</f>
        <v>#REF!</v>
      </c>
    </row>
    <row r="43" spans="1:23">
      <c r="B43" s="239" t="s">
        <v>266</v>
      </c>
      <c r="C43" s="148">
        <v>2</v>
      </c>
      <c r="D43" s="932">
        <f>+INDICADORES!O6</f>
        <v>1189</v>
      </c>
      <c r="E43" s="513"/>
      <c r="F43" s="551" t="s">
        <v>403</v>
      </c>
      <c r="G43" s="10"/>
      <c r="H43" s="239">
        <v>0</v>
      </c>
      <c r="J43" s="715" t="s">
        <v>265</v>
      </c>
      <c r="K43" s="763">
        <f>+INDICADORES!T6</f>
        <v>2875.9472327684107</v>
      </c>
      <c r="L43" s="932">
        <f>+INDICADORES!AA6</f>
        <v>2636.284963371043</v>
      </c>
      <c r="M43" s="763">
        <f>+INDICADORES!I6</f>
        <v>64.756479811982729</v>
      </c>
      <c r="N43" s="513"/>
      <c r="O43" s="931" t="s">
        <v>679</v>
      </c>
      <c r="P43" s="148"/>
      <c r="Q43" s="924">
        <f>+[5]INDICADORES!AH6</f>
        <v>0</v>
      </c>
      <c r="T43" s="513">
        <f>+($D$47)*1000000/$T$46</f>
        <v>0</v>
      </c>
      <c r="U43" s="63"/>
      <c r="V43" s="63"/>
      <c r="W43" s="63"/>
    </row>
    <row r="44" spans="1:23" s="589" customFormat="1" ht="13.5" customHeight="1" thickBot="1">
      <c r="A44" s="588"/>
      <c r="B44"/>
      <c r="C44"/>
      <c r="D44"/>
      <c r="E44"/>
      <c r="F44"/>
      <c r="G44"/>
      <c r="H44"/>
      <c r="J44" s="925" t="s">
        <v>584</v>
      </c>
      <c r="K44" s="926">
        <f>+INDICADORES!V6</f>
        <v>27.825306932441642</v>
      </c>
      <c r="L44" s="927">
        <f>+INDICADORES!AB6</f>
        <v>23.380987075176659</v>
      </c>
      <c r="M44" s="926">
        <f>+INDICADORES!K6</f>
        <v>0.38827793311478959</v>
      </c>
      <c r="N44" s="590"/>
      <c r="O44" s="928" t="s">
        <v>680</v>
      </c>
      <c r="P44" s="582"/>
      <c r="Q44" s="929">
        <f>+Q42*Q43/1000</f>
        <v>0</v>
      </c>
      <c r="R44" s="464"/>
      <c r="S44" s="464"/>
      <c r="T44" s="518"/>
      <c r="U44"/>
      <c r="V44"/>
      <c r="W44"/>
    </row>
    <row r="45" spans="1:23">
      <c r="B45"/>
      <c r="F45"/>
      <c r="J45" s="10"/>
      <c r="K45" s="274"/>
      <c r="L45" s="259"/>
      <c r="M45" s="10"/>
      <c r="N45" s="10"/>
      <c r="O45" s="558"/>
      <c r="P45" s="10"/>
      <c r="Q45" s="10"/>
      <c r="T45" s="10"/>
    </row>
    <row r="46" spans="1:23">
      <c r="B46"/>
      <c r="F46"/>
      <c r="J46" s="284" t="s">
        <v>302</v>
      </c>
      <c r="K46" s="283">
        <f>+INDICADORES!M6</f>
        <v>413429.00399999996</v>
      </c>
      <c r="L46" s="283">
        <f>+INDICADORES!X6</f>
        <v>451013.45890909084</v>
      </c>
      <c r="M46" s="283">
        <f>+INDICADORES!C6</f>
        <v>833893.38266666676</v>
      </c>
      <c r="N46" s="283"/>
      <c r="O46" s="283">
        <f>+Q46</f>
        <v>455076.5</v>
      </c>
      <c r="P46" s="283"/>
      <c r="Q46" s="283">
        <v>455076.5</v>
      </c>
      <c r="T46" s="283">
        <f>+L46</f>
        <v>451013.45890909084</v>
      </c>
    </row>
    <row r="47" spans="1:23">
      <c r="B47"/>
      <c r="F47"/>
      <c r="O47" s="558"/>
      <c r="P47" s="10"/>
      <c r="Q47" s="10"/>
    </row>
    <row r="48" spans="1:23">
      <c r="J48" s="10"/>
      <c r="K48" s="8"/>
      <c r="M48" s="8"/>
      <c r="N48" s="8"/>
      <c r="O48" s="558"/>
      <c r="P48" s="10"/>
      <c r="Q48" s="10"/>
    </row>
    <row r="49" spans="1:23">
      <c r="J49" s="10"/>
      <c r="K49" s="8"/>
      <c r="M49" s="8"/>
      <c r="N49" s="8"/>
      <c r="O49" s="558"/>
      <c r="P49" s="10"/>
      <c r="Q49" s="10"/>
    </row>
    <row r="50" spans="1:23">
      <c r="J50" s="10"/>
      <c r="K50" s="8"/>
      <c r="M50" s="8"/>
      <c r="N50" s="8"/>
      <c r="O50" s="558"/>
      <c r="P50" s="10"/>
      <c r="Q50" s="10"/>
    </row>
    <row r="51" spans="1:23">
      <c r="B51" s="120" t="s">
        <v>11</v>
      </c>
      <c r="J51" s="10"/>
      <c r="K51" s="8"/>
      <c r="M51" s="8"/>
      <c r="N51" s="8"/>
      <c r="O51" s="558"/>
      <c r="P51" s="10"/>
      <c r="Q51" s="10"/>
      <c r="T51" s="612" t="s">
        <v>517</v>
      </c>
      <c r="U51" s="613"/>
      <c r="V51" s="614"/>
      <c r="W51" s="614"/>
    </row>
    <row r="52" spans="1:23" ht="13.8" thickBot="1">
      <c r="B52" s="268" t="s">
        <v>297</v>
      </c>
      <c r="C52" s="674" t="s">
        <v>653</v>
      </c>
      <c r="D52" s="674" t="s">
        <v>677</v>
      </c>
      <c r="E52" s="266"/>
      <c r="F52" s="557" t="str">
        <f>+$F$2</f>
        <v>Objetivo</v>
      </c>
      <c r="G52" s="148"/>
      <c r="H52" s="268">
        <v>2012</v>
      </c>
      <c r="J52" s="266" t="str">
        <f>+$J$2</f>
        <v>Indicadores</v>
      </c>
      <c r="K52" s="685" t="s">
        <v>599</v>
      </c>
      <c r="L52" s="917" t="s">
        <v>663</v>
      </c>
      <c r="M52" s="685" t="s">
        <v>667</v>
      </c>
      <c r="N52" s="266"/>
      <c r="O52" s="557" t="str">
        <f>+$O$2</f>
        <v>Objetivo</v>
      </c>
      <c r="P52" s="148"/>
      <c r="Q52" s="268">
        <v>2012</v>
      </c>
      <c r="T52" s="607" t="s">
        <v>518</v>
      </c>
      <c r="U52" s="607" t="s">
        <v>539</v>
      </c>
      <c r="V52" s="607" t="s">
        <v>540</v>
      </c>
      <c r="W52" s="607" t="s">
        <v>516</v>
      </c>
    </row>
    <row r="53" spans="1:23">
      <c r="B53" s="188" t="s">
        <v>293</v>
      </c>
      <c r="C53" s="148">
        <v>0</v>
      </c>
      <c r="D53" s="919">
        <f>+INDICADORES!P5</f>
        <v>0</v>
      </c>
      <c r="E53" s="512"/>
      <c r="F53" s="551" t="s">
        <v>681</v>
      </c>
      <c r="G53" s="922"/>
      <c r="H53" s="188">
        <v>0</v>
      </c>
      <c r="J53" s="715" t="s">
        <v>264</v>
      </c>
      <c r="K53" s="870">
        <f>+INDICADORES!S5</f>
        <v>0</v>
      </c>
      <c r="L53" s="870">
        <f>+INDICADORES!Y5</f>
        <v>0</v>
      </c>
      <c r="M53" s="870">
        <f>+INDICADORES!H5</f>
        <v>46.389801814416487</v>
      </c>
      <c r="N53" s="584"/>
      <c r="O53" s="923" t="s">
        <v>683</v>
      </c>
      <c r="P53" s="148"/>
      <c r="Q53" s="924">
        <f>+[5]INDICADORES!AD65</f>
        <v>0</v>
      </c>
      <c r="T53" s="517">
        <f>(+INDICADORES!Q5+INDICADORES!P5)*1000000/$T$57</f>
        <v>0</v>
      </c>
      <c r="U53" s="584">
        <f>(+INDICADORES!P5+INDICADORES!Q5+2)*1000000/$T$57</f>
        <v>59.686668863136084</v>
      </c>
      <c r="V53" s="525">
        <f>(+INDICADORES!P5+INDICADORES!Q5+3)*1000000/$T$57</f>
        <v>89.530003294704116</v>
      </c>
      <c r="W53" s="525" t="e">
        <f>59*1000000/$T$14</f>
        <v>#REF!</v>
      </c>
    </row>
    <row r="54" spans="1:23">
      <c r="B54" s="239" t="s">
        <v>266</v>
      </c>
      <c r="C54" s="8">
        <v>0</v>
      </c>
      <c r="D54" s="932">
        <f>+INDICADORES!O5</f>
        <v>0</v>
      </c>
      <c r="F54" s="551" t="s">
        <v>682</v>
      </c>
      <c r="H54" s="8">
        <v>0</v>
      </c>
      <c r="J54" s="715" t="s">
        <v>265</v>
      </c>
      <c r="K54" s="919">
        <f>+INDICADORES!T5</f>
        <v>0</v>
      </c>
      <c r="L54" s="919">
        <f>+INDICADORES!AA5</f>
        <v>0</v>
      </c>
      <c r="M54" s="919">
        <f>+INDICADORES!I5</f>
        <v>436.06413705551495</v>
      </c>
      <c r="N54" s="585"/>
      <c r="O54" s="931" t="s">
        <v>684</v>
      </c>
      <c r="P54" s="148"/>
      <c r="Q54" s="924">
        <f>+[5]INDICADORES!AH5</f>
        <v>0</v>
      </c>
      <c r="T54" s="519">
        <f>+($D$58)*1000000/$T$57</f>
        <v>0</v>
      </c>
      <c r="U54" s="63"/>
      <c r="V54" s="63"/>
      <c r="W54" s="63"/>
    </row>
    <row r="55" spans="1:23" s="589" customFormat="1" ht="17.25" customHeight="1" thickBot="1">
      <c r="A55" s="588"/>
      <c r="B55"/>
      <c r="C55"/>
      <c r="D55"/>
      <c r="E55"/>
      <c r="F55"/>
      <c r="G55"/>
      <c r="H55"/>
      <c r="J55" s="925" t="s">
        <v>584</v>
      </c>
      <c r="K55" s="927">
        <f>+INDICADORES!V5</f>
        <v>0</v>
      </c>
      <c r="L55" s="927">
        <f>+INDICADORES!AB5</f>
        <v>0</v>
      </c>
      <c r="M55" s="927">
        <f>+INDICADORES!K5</f>
        <v>20.228928896379887</v>
      </c>
      <c r="N55" s="590"/>
      <c r="O55" s="928" t="s">
        <v>685</v>
      </c>
      <c r="P55" s="582"/>
      <c r="Q55" s="929">
        <f>+Q53*Q54/1000</f>
        <v>0</v>
      </c>
      <c r="R55" s="464"/>
      <c r="S55" s="464"/>
      <c r="T55" s="526"/>
      <c r="U55"/>
      <c r="V55"/>
      <c r="W55"/>
    </row>
    <row r="56" spans="1:23">
      <c r="B56"/>
      <c r="F56"/>
      <c r="J56" s="10"/>
      <c r="K56" s="274"/>
      <c r="L56" s="259"/>
      <c r="M56" s="148"/>
      <c r="N56" s="148"/>
      <c r="O56" s="558"/>
      <c r="P56" s="10"/>
      <c r="Q56" s="10"/>
      <c r="T56" s="10"/>
    </row>
    <row r="57" spans="1:23">
      <c r="B57"/>
      <c r="F57"/>
      <c r="J57" s="284" t="s">
        <v>302</v>
      </c>
      <c r="K57" s="283">
        <f>+INDICADORES!M5</f>
        <v>30715.96</v>
      </c>
      <c r="L57" s="283">
        <f>+INDICADORES!X5</f>
        <v>33508.32</v>
      </c>
      <c r="M57" s="283">
        <f>+INDICADORES!C5</f>
        <v>107782.31</v>
      </c>
      <c r="N57" s="283"/>
      <c r="O57" s="529">
        <f>+Q57</f>
        <v>282285.25</v>
      </c>
      <c r="P57" s="148"/>
      <c r="Q57" s="529">
        <v>282285.25</v>
      </c>
      <c r="T57" s="283">
        <f>+L57</f>
        <v>33508.32</v>
      </c>
    </row>
    <row r="58" spans="1:23">
      <c r="B58"/>
      <c r="F58"/>
      <c r="J58" s="10"/>
      <c r="K58" s="10"/>
      <c r="L58" s="10"/>
      <c r="M58" s="10"/>
      <c r="N58" s="10"/>
      <c r="O58" s="558"/>
      <c r="P58" s="10"/>
      <c r="Q58" s="10"/>
    </row>
    <row r="59" spans="1:23">
      <c r="J59" s="10"/>
      <c r="K59" s="8"/>
      <c r="M59" s="8"/>
      <c r="N59" s="8"/>
      <c r="O59" s="558"/>
      <c r="P59" s="10"/>
      <c r="Q59" s="10"/>
    </row>
    <row r="60" spans="1:23">
      <c r="J60" s="10"/>
      <c r="K60" s="8"/>
      <c r="M60" s="8"/>
      <c r="N60" s="8"/>
      <c r="O60" s="558"/>
      <c r="P60" s="10"/>
      <c r="Q60" s="10"/>
    </row>
    <row r="61" spans="1:23">
      <c r="J61" s="10"/>
      <c r="K61" s="8"/>
      <c r="M61" s="8"/>
      <c r="N61" s="8"/>
      <c r="O61" s="558"/>
      <c r="P61" s="10"/>
      <c r="Q61" s="10"/>
    </row>
    <row r="62" spans="1:23" ht="15.6">
      <c r="B62" s="734" t="s">
        <v>77</v>
      </c>
      <c r="J62" s="10"/>
      <c r="K62" s="8"/>
      <c r="M62" s="8"/>
      <c r="N62" s="8"/>
      <c r="O62" s="558"/>
      <c r="P62" s="10"/>
      <c r="Q62" s="10"/>
    </row>
    <row r="63" spans="1:23" ht="16.2" thickBot="1">
      <c r="B63" s="661" t="s">
        <v>297</v>
      </c>
      <c r="C63" s="638" t="str">
        <f>+$C$12</f>
        <v>Mar</v>
      </c>
      <c r="D63" s="738" t="s">
        <v>599</v>
      </c>
      <c r="E63" s="733"/>
      <c r="F63" s="656" t="s">
        <v>296</v>
      </c>
      <c r="G63" s="638"/>
      <c r="H63" s="268">
        <v>2012</v>
      </c>
      <c r="J63" s="735" t="str">
        <f>+$J$2</f>
        <v>Indicadores</v>
      </c>
      <c r="K63" s="685" t="s">
        <v>599</v>
      </c>
      <c r="L63" s="736" t="s">
        <v>432</v>
      </c>
      <c r="M63" s="738" t="s">
        <v>634</v>
      </c>
      <c r="N63" s="735"/>
      <c r="O63" s="737" t="s">
        <v>296</v>
      </c>
      <c r="P63" s="639"/>
      <c r="Q63" s="268">
        <v>2012</v>
      </c>
    </row>
    <row r="64" spans="1:23">
      <c r="B64" s="188" t="s">
        <v>293</v>
      </c>
      <c r="C64" s="148">
        <v>1</v>
      </c>
      <c r="D64" s="868">
        <f>+INDICADORES!P15</f>
        <v>3</v>
      </c>
      <c r="E64" s="686"/>
      <c r="F64" s="673" t="s">
        <v>651</v>
      </c>
      <c r="G64" s="3243"/>
      <c r="H64" s="498">
        <v>4</v>
      </c>
      <c r="J64" s="715" t="s">
        <v>567</v>
      </c>
      <c r="K64" s="525">
        <f>+INDICADORES!S15</f>
        <v>10.665734149679146</v>
      </c>
      <c r="L64" s="517">
        <f>+INDICADORES!Z15</f>
        <v>9.776922970539216</v>
      </c>
      <c r="M64" s="681">
        <f>+INDICADORES!H15</f>
        <v>8.8790032040327009</v>
      </c>
      <c r="N64" s="517"/>
      <c r="O64" s="673" t="s">
        <v>632</v>
      </c>
      <c r="P64" s="148"/>
      <c r="Q64" s="520">
        <v>10.1</v>
      </c>
    </row>
    <row r="65" spans="2:17" ht="12.75" customHeight="1">
      <c r="B65" s="188" t="s">
        <v>294</v>
      </c>
      <c r="C65" s="148">
        <v>0</v>
      </c>
      <c r="D65" s="513">
        <f>+INDICADORES!Q15</f>
        <v>0</v>
      </c>
      <c r="E65" s="865"/>
      <c r="F65" s="673" t="s">
        <v>393</v>
      </c>
      <c r="G65" s="3243"/>
      <c r="H65" s="498">
        <v>0</v>
      </c>
      <c r="J65" s="716" t="s">
        <v>265</v>
      </c>
      <c r="K65" s="519">
        <f>+INDICADORES!T15</f>
        <v>142.2097886623886</v>
      </c>
      <c r="L65" s="513">
        <f>+INDICADORES!AA15</f>
        <v>130.35897294052288</v>
      </c>
      <c r="M65" s="681">
        <f>+INDICADORES!I15</f>
        <v>47.354683754841069</v>
      </c>
      <c r="N65" s="513"/>
      <c r="O65" s="673" t="s">
        <v>650</v>
      </c>
      <c r="P65" s="148"/>
      <c r="Q65" s="521">
        <v>142</v>
      </c>
    </row>
    <row r="66" spans="2:17" ht="13.5" customHeight="1" thickBot="1">
      <c r="B66" s="188" t="s">
        <v>295</v>
      </c>
      <c r="C66" s="148">
        <v>0</v>
      </c>
      <c r="D66" s="513">
        <f>+INDICADORES!R15</f>
        <v>0</v>
      </c>
      <c r="E66" s="865"/>
      <c r="F66" s="551" t="s">
        <v>393</v>
      </c>
      <c r="G66" s="79"/>
      <c r="H66" s="498">
        <v>1</v>
      </c>
      <c r="J66" s="275" t="s">
        <v>299</v>
      </c>
      <c r="K66" s="526">
        <f>+INDICADORES!U15</f>
        <v>2.1331468299358289</v>
      </c>
      <c r="L66" s="518">
        <f>+INDICADORES!AC15</f>
        <v>1.9553845941078432</v>
      </c>
      <c r="M66" s="652">
        <f>+INDICADORES!J15</f>
        <v>1.7758006408065401</v>
      </c>
      <c r="N66" s="518"/>
      <c r="O66" s="688" t="s">
        <v>649</v>
      </c>
      <c r="P66" s="148"/>
      <c r="Q66" s="522">
        <v>1.4</v>
      </c>
    </row>
    <row r="67" spans="2:17" ht="13.5" customHeight="1">
      <c r="B67" s="188"/>
      <c r="C67" s="148"/>
      <c r="F67" s="551"/>
      <c r="G67" s="79"/>
      <c r="H67" s="498"/>
      <c r="J67" s="759" t="s">
        <v>584</v>
      </c>
      <c r="K67" s="274"/>
      <c r="L67" s="259"/>
      <c r="M67" s="148"/>
      <c r="N67" s="517"/>
      <c r="O67" s="551"/>
      <c r="P67" s="148"/>
      <c r="Q67" s="520"/>
    </row>
    <row r="68" spans="2:17" ht="15.75" customHeight="1">
      <c r="B68" s="188"/>
      <c r="C68" s="269">
        <f>SUM(C64:C66)</f>
        <v>1</v>
      </c>
      <c r="D68" s="869">
        <f>SUM(D64:D66)</f>
        <v>3</v>
      </c>
      <c r="E68" s="866"/>
      <c r="F68" s="673" t="s">
        <v>651</v>
      </c>
      <c r="G68" s="79"/>
      <c r="H68" s="498">
        <f>SUM(H64:H66)</f>
        <v>5</v>
      </c>
      <c r="J68" s="10"/>
      <c r="K68" s="274"/>
      <c r="L68" s="259"/>
      <c r="M68" s="148"/>
      <c r="N68" s="148"/>
      <c r="O68" s="558"/>
      <c r="P68" s="10"/>
      <c r="Q68" s="10"/>
    </row>
    <row r="69" spans="2:17">
      <c r="B69" s="188"/>
      <c r="C69" s="10"/>
      <c r="D69" s="10"/>
      <c r="E69" s="10"/>
      <c r="F69" s="558"/>
      <c r="G69" s="10"/>
      <c r="H69" s="596"/>
      <c r="J69" s="278" t="s">
        <v>302</v>
      </c>
      <c r="K69" s="687">
        <f>+INDICADORES!M15</f>
        <v>281274.58999999997</v>
      </c>
      <c r="L69" s="687">
        <f>+INDICADORES!X15</f>
        <v>306845.00727272726</v>
      </c>
      <c r="M69" s="687">
        <f>+INDICADORES!C15</f>
        <v>675751.53</v>
      </c>
      <c r="N69" s="687"/>
      <c r="O69" s="673" t="s">
        <v>548</v>
      </c>
      <c r="P69" s="682"/>
      <c r="Q69" s="687">
        <f>+INDICADORES!X15</f>
        <v>306845.00727272726</v>
      </c>
    </row>
    <row r="70" spans="2:17">
      <c r="B70" s="188" t="s">
        <v>266</v>
      </c>
      <c r="C70" s="642">
        <v>10</v>
      </c>
      <c r="D70" s="513">
        <f>+INDICADORES!O15</f>
        <v>40</v>
      </c>
      <c r="E70" s="686"/>
      <c r="F70" s="551" t="s">
        <v>652</v>
      </c>
      <c r="G70" s="10"/>
      <c r="H70" s="498">
        <v>56</v>
      </c>
      <c r="J70" s="10"/>
      <c r="K70" s="10"/>
      <c r="L70" s="10"/>
      <c r="M70" s="10"/>
      <c r="N70" s="10"/>
      <c r="O70" s="558"/>
      <c r="P70" s="10"/>
      <c r="Q70" s="10"/>
    </row>
    <row r="71" spans="2:17">
      <c r="O71" s="558"/>
      <c r="P71" s="10"/>
      <c r="Q71" s="10"/>
    </row>
    <row r="72" spans="2:17">
      <c r="O72" s="558"/>
      <c r="P72" s="10"/>
      <c r="Q72" s="10"/>
    </row>
    <row r="73" spans="2:17">
      <c r="O73" s="558"/>
      <c r="P73" s="10"/>
      <c r="Q73" s="10"/>
    </row>
    <row r="74" spans="2:17">
      <c r="B74" s="120" t="s">
        <v>416</v>
      </c>
      <c r="J74" s="10"/>
      <c r="K74" s="8"/>
      <c r="M74" s="8"/>
      <c r="N74" s="8"/>
      <c r="O74" s="558"/>
      <c r="P74" s="10"/>
      <c r="Q74" s="10"/>
    </row>
    <row r="75" spans="2:17" ht="13.8" thickBot="1">
      <c r="B75" s="268" t="s">
        <v>297</v>
      </c>
      <c r="C75" s="266" t="str">
        <f>+$C$12</f>
        <v>Mar</v>
      </c>
      <c r="D75" s="266" t="str">
        <f>+$D$2</f>
        <v>Acum.2012</v>
      </c>
      <c r="E75" s="266"/>
      <c r="F75" s="557" t="str">
        <f>+$F$2</f>
        <v>Objetivo</v>
      </c>
      <c r="G75" s="148"/>
      <c r="H75" s="268">
        <f>+$H$2</f>
        <v>2010</v>
      </c>
      <c r="J75" s="266" t="str">
        <f>+$J$2</f>
        <v>Indicadores</v>
      </c>
      <c r="K75" s="266" t="str">
        <f>+$K$2</f>
        <v>Acum.2012</v>
      </c>
      <c r="L75" s="277" t="str">
        <f>+$L$2</f>
        <v>Proy 2011</v>
      </c>
      <c r="M75" s="266" t="s">
        <v>538</v>
      </c>
      <c r="N75" s="266"/>
      <c r="O75" s="557" t="str">
        <f>+$O$2</f>
        <v>Objetivo</v>
      </c>
      <c r="P75" s="148"/>
      <c r="Q75" s="268">
        <f>+$Q$2</f>
        <v>2010</v>
      </c>
    </row>
    <row r="76" spans="2:17">
      <c r="B76" s="188" t="s">
        <v>293</v>
      </c>
      <c r="C76" s="148">
        <v>1</v>
      </c>
      <c r="D76" s="519">
        <f>+INDICADORES!P21</f>
        <v>0</v>
      </c>
      <c r="E76" s="519"/>
      <c r="F76" s="551" t="s">
        <v>524</v>
      </c>
      <c r="G76" s="3243"/>
      <c r="H76" s="188">
        <v>3</v>
      </c>
      <c r="J76" s="278" t="s">
        <v>301</v>
      </c>
      <c r="K76" s="525">
        <f>+INDICADORES!S21</f>
        <v>0</v>
      </c>
      <c r="L76" s="517">
        <f>+INDICADORES!Z21</f>
        <v>0</v>
      </c>
      <c r="M76" s="525">
        <f>+INDICADORES!H21</f>
        <v>4.7651675401933549</v>
      </c>
      <c r="N76" s="525"/>
      <c r="O76" s="551" t="s">
        <v>526</v>
      </c>
      <c r="P76" s="148"/>
      <c r="Q76" s="520">
        <v>9.6999999999999993</v>
      </c>
    </row>
    <row r="77" spans="2:17" ht="13.8" thickBot="1">
      <c r="B77" s="188" t="s">
        <v>294</v>
      </c>
      <c r="C77" s="266">
        <v>0</v>
      </c>
      <c r="D77" s="514">
        <f>+INDICADORES!Q21</f>
        <v>0</v>
      </c>
      <c r="E77" s="514"/>
      <c r="F77" s="557" t="s">
        <v>483</v>
      </c>
      <c r="G77" s="3243"/>
      <c r="H77" s="268">
        <v>0</v>
      </c>
      <c r="J77" s="278" t="s">
        <v>265</v>
      </c>
      <c r="K77" s="519">
        <f>+INDICADORES!T21</f>
        <v>0</v>
      </c>
      <c r="L77" s="513">
        <f>+INDICADORES!AA21</f>
        <v>0</v>
      </c>
      <c r="M77" s="519">
        <f>+INDICADORES!I21</f>
        <v>95.303350803867104</v>
      </c>
      <c r="N77" s="519"/>
      <c r="O77" s="551" t="s">
        <v>524</v>
      </c>
      <c r="P77" s="148"/>
      <c r="Q77" s="521">
        <v>122</v>
      </c>
    </row>
    <row r="78" spans="2:17" ht="13.8" thickBot="1">
      <c r="B78" s="188" t="s">
        <v>295</v>
      </c>
      <c r="C78" s="266">
        <v>0</v>
      </c>
      <c r="D78" s="514">
        <f>+INDICADORES!R21</f>
        <v>1</v>
      </c>
      <c r="E78" s="514"/>
      <c r="F78" s="562" t="s">
        <v>397</v>
      </c>
      <c r="G78" s="79"/>
      <c r="H78" s="268">
        <v>0</v>
      </c>
      <c r="J78" s="275" t="s">
        <v>299</v>
      </c>
      <c r="K78" s="526">
        <f>+INDICADORES!U21</f>
        <v>1.8439848660474074</v>
      </c>
      <c r="L78" s="518">
        <f>+INDICADORES!AC21</f>
        <v>1.6903194605434571</v>
      </c>
      <c r="M78" s="526">
        <f>+INDICADORES!J21</f>
        <v>2.859100524116013</v>
      </c>
      <c r="N78" s="526"/>
      <c r="O78" s="557" t="s">
        <v>527</v>
      </c>
      <c r="P78" s="148"/>
      <c r="Q78" s="522">
        <v>1.9</v>
      </c>
    </row>
    <row r="79" spans="2:17" ht="15.6">
      <c r="B79" s="188"/>
      <c r="C79" s="269">
        <f>SUM(C76:C78)</f>
        <v>1</v>
      </c>
      <c r="D79" s="605">
        <f>SUM(D76:D77)</f>
        <v>0</v>
      </c>
      <c r="E79" s="605"/>
      <c r="F79" s="605">
        <v>1</v>
      </c>
      <c r="G79" s="79"/>
      <c r="H79" s="188">
        <f>SUM(H76:H78)</f>
        <v>3</v>
      </c>
      <c r="J79" s="10"/>
      <c r="K79" s="274"/>
      <c r="L79" s="259"/>
      <c r="M79" s="148"/>
      <c r="N79" s="148"/>
      <c r="O79" s="558"/>
      <c r="P79" s="10"/>
      <c r="Q79" s="10"/>
    </row>
    <row r="80" spans="2:17">
      <c r="B80" s="188"/>
      <c r="C80" s="10"/>
      <c r="D80" s="10"/>
      <c r="E80" s="10"/>
      <c r="F80" s="558"/>
      <c r="G80" s="10"/>
      <c r="H80" s="10"/>
      <c r="J80" s="255" t="s">
        <v>302</v>
      </c>
      <c r="K80" s="283">
        <f>+INDICADORES!M21</f>
        <v>108460.76</v>
      </c>
      <c r="L80" s="283">
        <f>+INDICADORES!X21</f>
        <v>118320.82909090907</v>
      </c>
      <c r="M80" s="283">
        <f>+INDICADORES!C21</f>
        <v>209856.20999999996</v>
      </c>
      <c r="N80" s="283"/>
      <c r="O80" s="565">
        <f>+Q80</f>
        <v>310368</v>
      </c>
      <c r="P80" s="148"/>
      <c r="Q80" s="529">
        <v>310368</v>
      </c>
    </row>
    <row r="81" spans="2:17">
      <c r="B81" s="188" t="s">
        <v>266</v>
      </c>
      <c r="C81" s="148">
        <v>3</v>
      </c>
      <c r="D81" s="604">
        <f>+INDICADORES!O21</f>
        <v>0</v>
      </c>
      <c r="E81" s="604"/>
      <c r="F81" s="551" t="s">
        <v>524</v>
      </c>
      <c r="G81" s="10"/>
      <c r="H81" s="188">
        <v>38</v>
      </c>
      <c r="J81" s="10"/>
      <c r="K81" s="10"/>
      <c r="L81" s="10"/>
      <c r="M81" s="10"/>
      <c r="N81" s="10"/>
      <c r="O81" s="558"/>
      <c r="P81" s="10"/>
      <c r="Q81" s="10"/>
    </row>
    <row r="82" spans="2:17">
      <c r="O82" s="558"/>
      <c r="P82" s="10"/>
      <c r="Q82" s="10"/>
    </row>
    <row r="83" spans="2:17">
      <c r="O83" s="558"/>
      <c r="P83" s="10"/>
      <c r="Q83" s="10"/>
    </row>
    <row r="84" spans="2:17">
      <c r="O84" s="558"/>
      <c r="P84" s="10"/>
      <c r="Q84" s="10"/>
    </row>
    <row r="85" spans="2:17">
      <c r="B85" s="645" t="s">
        <v>75</v>
      </c>
      <c r="J85" s="10"/>
      <c r="K85" s="8"/>
      <c r="M85" s="8"/>
      <c r="N85" s="8"/>
      <c r="O85" s="558"/>
      <c r="P85" s="10"/>
      <c r="Q85" s="10"/>
    </row>
    <row r="86" spans="2:17" ht="13.8" thickBot="1">
      <c r="B86" s="268" t="s">
        <v>297</v>
      </c>
      <c r="C86" s="636" t="s">
        <v>105</v>
      </c>
      <c r="D86" s="731" t="s">
        <v>599</v>
      </c>
      <c r="E86" s="646"/>
      <c r="F86" s="557" t="s">
        <v>296</v>
      </c>
      <c r="G86" s="148"/>
      <c r="H86" s="268">
        <v>2012</v>
      </c>
      <c r="J86" s="636" t="str">
        <f>+$J$2</f>
        <v>Indicadores</v>
      </c>
      <c r="K86" s="758" t="s">
        <v>599</v>
      </c>
      <c r="L86" s="641" t="s">
        <v>572</v>
      </c>
      <c r="M86" s="758" t="s">
        <v>648</v>
      </c>
      <c r="N86" s="636"/>
      <c r="O86" s="637" t="str">
        <f>+$O$2</f>
        <v>Objetivo</v>
      </c>
      <c r="P86" s="642"/>
      <c r="Q86" s="636">
        <v>2012</v>
      </c>
    </row>
    <row r="87" spans="2:17" ht="13.8" thickBot="1">
      <c r="B87" s="188" t="s">
        <v>293</v>
      </c>
      <c r="C87" s="148">
        <v>0</v>
      </c>
      <c r="D87" s="861" t="e">
        <f>+INDICADORES!#REF!</f>
        <v>#REF!</v>
      </c>
      <c r="E87" s="646"/>
      <c r="F87" s="503" t="s">
        <v>488</v>
      </c>
      <c r="G87" s="3243"/>
      <c r="H87" s="498">
        <f>+H99+H110</f>
        <v>6</v>
      </c>
      <c r="J87" s="715" t="s">
        <v>567</v>
      </c>
      <c r="K87" s="525" t="e">
        <f>+INDICADORES!#REF!</f>
        <v>#REF!</v>
      </c>
      <c r="L87" s="517" t="e">
        <f>+INDICADORES!#REF!</f>
        <v>#REF!</v>
      </c>
      <c r="M87" s="525" t="e">
        <f>+INDICADORES!#REF!</f>
        <v>#REF!</v>
      </c>
      <c r="N87" s="525"/>
      <c r="O87" s="503" t="s">
        <v>550</v>
      </c>
      <c r="P87" s="148"/>
      <c r="Q87" s="520">
        <v>6</v>
      </c>
    </row>
    <row r="88" spans="2:17" ht="13.8" thickBot="1">
      <c r="B88" s="268" t="s">
        <v>294</v>
      </c>
      <c r="C88" s="266">
        <v>0</v>
      </c>
      <c r="D88" s="514" t="e">
        <f>+INDICADORES!#REF!</f>
        <v>#REF!</v>
      </c>
      <c r="E88" s="724"/>
      <c r="F88" s="654" t="s">
        <v>393</v>
      </c>
      <c r="G88" s="3243"/>
      <c r="H88" s="635">
        <v>0</v>
      </c>
      <c r="J88" s="716" t="s">
        <v>265</v>
      </c>
      <c r="K88" s="525" t="e">
        <f>+INDICADORES!#REF!</f>
        <v>#REF!</v>
      </c>
      <c r="L88" s="513" t="e">
        <f>+INDICADORES!#REF!</f>
        <v>#REF!</v>
      </c>
      <c r="M88" s="519" t="e">
        <f>+INDICADORES!#REF!</f>
        <v>#REF!</v>
      </c>
      <c r="N88" s="519"/>
      <c r="O88" s="673" t="s">
        <v>477</v>
      </c>
      <c r="P88" s="148"/>
      <c r="Q88" s="521">
        <v>56</v>
      </c>
    </row>
    <row r="89" spans="2:17" ht="15" customHeight="1" thickBot="1">
      <c r="B89" s="268" t="s">
        <v>295</v>
      </c>
      <c r="C89" s="266">
        <v>1</v>
      </c>
      <c r="D89" s="763" t="e">
        <f>+INDICADORES!#REF!</f>
        <v>#REF!</v>
      </c>
      <c r="E89" s="724"/>
      <c r="F89" s="654" t="s">
        <v>483</v>
      </c>
      <c r="G89" s="79"/>
      <c r="H89" s="268">
        <v>2</v>
      </c>
      <c r="J89" s="717" t="s">
        <v>299</v>
      </c>
      <c r="K89" s="526" t="e">
        <f>+INDICADORES!#REF!</f>
        <v>#REF!</v>
      </c>
      <c r="L89" s="518" t="e">
        <f>+INDICADORES!#REF!</f>
        <v>#REF!</v>
      </c>
      <c r="M89" s="526" t="e">
        <f>+INDICADORES!#REF!</f>
        <v>#REF!</v>
      </c>
      <c r="N89" s="526"/>
      <c r="O89" s="557" t="s">
        <v>535</v>
      </c>
      <c r="P89" s="148"/>
      <c r="Q89" s="522">
        <v>1.6</v>
      </c>
    </row>
    <row r="90" spans="2:17" ht="15" customHeight="1">
      <c r="B90" s="188"/>
      <c r="C90" s="148"/>
      <c r="D90" s="503"/>
      <c r="E90" s="503"/>
      <c r="F90" s="503"/>
      <c r="G90" s="79"/>
      <c r="H90" s="188"/>
      <c r="J90" s="759" t="s">
        <v>584</v>
      </c>
      <c r="K90" s="754" t="e">
        <f>+K87*K88/1000</f>
        <v>#REF!</v>
      </c>
      <c r="L90" s="278"/>
      <c r="M90" s="754" t="e">
        <f>+M87*M88/1000</f>
        <v>#REF!</v>
      </c>
      <c r="N90" s="525"/>
      <c r="O90" s="551"/>
      <c r="P90" s="148"/>
      <c r="Q90" s="520"/>
    </row>
    <row r="91" spans="2:17" ht="15.6">
      <c r="B91" s="188" t="s">
        <v>98</v>
      </c>
      <c r="C91" s="269">
        <f>SUM(C87:C89)</f>
        <v>1</v>
      </c>
      <c r="D91" s="860" t="e">
        <f>SUM(D87:D88)</f>
        <v>#REF!</v>
      </c>
      <c r="E91" s="725"/>
      <c r="F91" s="639">
        <v>2</v>
      </c>
      <c r="G91" s="79"/>
      <c r="H91" s="498">
        <f>+H87+H88</f>
        <v>6</v>
      </c>
      <c r="J91" s="10"/>
      <c r="K91" s="274"/>
      <c r="L91" s="259"/>
      <c r="M91" s="148"/>
      <c r="N91" s="148"/>
      <c r="O91" s="558"/>
      <c r="P91" s="10"/>
      <c r="Q91" s="10"/>
    </row>
    <row r="92" spans="2:17" ht="9" customHeight="1">
      <c r="B92" s="188"/>
      <c r="C92" s="10"/>
      <c r="D92" s="10"/>
      <c r="E92" s="10"/>
      <c r="F92" s="558"/>
      <c r="G92" s="10"/>
      <c r="H92" s="10"/>
      <c r="J92" s="255" t="s">
        <v>302</v>
      </c>
      <c r="K92" s="283" t="e">
        <f>+INDICADORES!#REF!</f>
        <v>#REF!</v>
      </c>
      <c r="L92" s="283" t="e">
        <f>+INDICADORES!#REF!</f>
        <v>#REF!</v>
      </c>
      <c r="M92" s="283" t="e">
        <f>+INDICADORES!#REF!</f>
        <v>#REF!</v>
      </c>
      <c r="N92" s="283"/>
      <c r="O92" s="565">
        <f>+Q92</f>
        <v>1080051</v>
      </c>
      <c r="P92" s="148"/>
      <c r="Q92" s="529">
        <f>+Q103+Q114</f>
        <v>1080051</v>
      </c>
    </row>
    <row r="93" spans="2:17" ht="13.8" thickBot="1">
      <c r="B93" s="188" t="s">
        <v>266</v>
      </c>
      <c r="C93" s="148">
        <v>0</v>
      </c>
      <c r="D93" s="860" t="e">
        <f>+INDICADORES!#REF!</f>
        <v>#REF!</v>
      </c>
      <c r="E93" s="646"/>
      <c r="F93" s="551" t="s">
        <v>511</v>
      </c>
      <c r="G93" s="10"/>
      <c r="H93" s="498">
        <v>55</v>
      </c>
      <c r="J93" s="10"/>
      <c r="K93" s="10"/>
      <c r="L93" s="10"/>
      <c r="M93" s="10"/>
      <c r="N93" s="10"/>
      <c r="O93" s="558"/>
      <c r="P93" s="10"/>
      <c r="Q93" s="10"/>
    </row>
    <row r="94" spans="2:17">
      <c r="O94" s="558"/>
      <c r="P94" s="10"/>
      <c r="Q94" s="10"/>
    </row>
    <row r="95" spans="2:17">
      <c r="O95" s="558"/>
      <c r="P95" s="10"/>
      <c r="Q95" s="10"/>
    </row>
    <row r="96" spans="2:17">
      <c r="O96" s="558"/>
      <c r="P96" s="10"/>
      <c r="Q96" s="10"/>
    </row>
    <row r="97" spans="2:17">
      <c r="B97" s="120" t="s">
        <v>417</v>
      </c>
      <c r="J97" s="10"/>
      <c r="K97" s="8"/>
      <c r="M97" s="8"/>
      <c r="N97" s="8"/>
      <c r="O97" s="558"/>
      <c r="P97" s="10"/>
      <c r="Q97" s="10"/>
    </row>
    <row r="98" spans="2:17" ht="13.8" thickBot="1">
      <c r="B98" s="268" t="s">
        <v>297</v>
      </c>
      <c r="C98" s="266" t="str">
        <f>+$C$12</f>
        <v>Mar</v>
      </c>
      <c r="D98" s="266" t="str">
        <f>+$D$2</f>
        <v>Acum.2012</v>
      </c>
      <c r="E98" s="266"/>
      <c r="F98" s="557" t="str">
        <f>+$F$2</f>
        <v>Objetivo</v>
      </c>
      <c r="G98" s="148"/>
      <c r="H98" s="268">
        <f>+$H$2</f>
        <v>2010</v>
      </c>
      <c r="J98" s="636" t="str">
        <f>+$J$2</f>
        <v>Indicadores</v>
      </c>
      <c r="K98" s="266" t="str">
        <f>+$K$2</f>
        <v>Acum.2012</v>
      </c>
      <c r="L98" s="277" t="str">
        <f>+$L$2</f>
        <v>Proy 2011</v>
      </c>
      <c r="M98" s="636" t="str">
        <f>+$M$2</f>
        <v>Nov 10 - Oct 11</v>
      </c>
      <c r="N98" s="266"/>
      <c r="O98" s="557" t="str">
        <f>+$O$2</f>
        <v>Objetivo</v>
      </c>
      <c r="P98" s="148"/>
      <c r="Q98" s="268">
        <f>+$Q$2</f>
        <v>2010</v>
      </c>
    </row>
    <row r="99" spans="2:17">
      <c r="B99" s="188" t="s">
        <v>293</v>
      </c>
      <c r="C99" s="148">
        <v>0</v>
      </c>
      <c r="D99" s="513">
        <v>2</v>
      </c>
      <c r="E99" s="513"/>
      <c r="F99" s="561" t="s">
        <v>397</v>
      </c>
      <c r="G99" s="3243"/>
      <c r="H99" s="188">
        <v>5</v>
      </c>
      <c r="J99" s="715" t="s">
        <v>566</v>
      </c>
      <c r="K99" s="517">
        <f>+INDICADORES!S11</f>
        <v>0</v>
      </c>
      <c r="L99" s="517">
        <f>+INDICADORES!Z11</f>
        <v>0</v>
      </c>
      <c r="M99" s="525">
        <f>+INDICADORES!H11</f>
        <v>0</v>
      </c>
      <c r="N99" s="525"/>
      <c r="O99" s="561" t="s">
        <v>424</v>
      </c>
      <c r="P99" s="148"/>
      <c r="Q99" s="520">
        <v>11.1</v>
      </c>
    </row>
    <row r="100" spans="2:17">
      <c r="B100" s="188" t="s">
        <v>294</v>
      </c>
      <c r="C100" s="148">
        <v>0</v>
      </c>
      <c r="D100" s="513">
        <f>+INDICADORES!Q11</f>
        <v>0</v>
      </c>
      <c r="E100" s="513"/>
      <c r="F100" s="561" t="s">
        <v>397</v>
      </c>
      <c r="G100" s="3243"/>
      <c r="H100" s="188">
        <v>1</v>
      </c>
      <c r="J100" s="716" t="s">
        <v>265</v>
      </c>
      <c r="K100" s="512">
        <f>+INDICADORES!T11</f>
        <v>0</v>
      </c>
      <c r="L100" s="513">
        <f>+INDICADORES!AA11</f>
        <v>0</v>
      </c>
      <c r="M100" s="524">
        <f>+INDICADORES!I11</f>
        <v>0</v>
      </c>
      <c r="N100" s="524"/>
      <c r="O100" s="561" t="s">
        <v>425</v>
      </c>
      <c r="P100" s="148"/>
      <c r="Q100" s="521">
        <v>111</v>
      </c>
    </row>
    <row r="101" spans="2:17" ht="13.8" thickBot="1">
      <c r="B101" s="188" t="s">
        <v>295</v>
      </c>
      <c r="C101" s="266">
        <v>0</v>
      </c>
      <c r="D101" s="514">
        <f>+INDICADORES!R11</f>
        <v>0</v>
      </c>
      <c r="E101" s="514"/>
      <c r="F101" s="562" t="s">
        <v>427</v>
      </c>
      <c r="G101" s="79"/>
      <c r="H101" s="268">
        <v>1</v>
      </c>
      <c r="J101" s="717" t="s">
        <v>299</v>
      </c>
      <c r="K101" s="518">
        <f>+INDICADORES!U11</f>
        <v>0</v>
      </c>
      <c r="L101" s="518" t="e">
        <f>+INDICADORES!AC11</f>
        <v>#DIV/0!</v>
      </c>
      <c r="M101" s="524">
        <f>+INDICADORES!J11</f>
        <v>0</v>
      </c>
      <c r="N101" s="524"/>
      <c r="O101" s="557" t="s">
        <v>426</v>
      </c>
      <c r="P101" s="148"/>
      <c r="Q101" s="522">
        <v>2.6</v>
      </c>
    </row>
    <row r="102" spans="2:17" ht="15.6">
      <c r="B102" s="188"/>
      <c r="C102" s="269">
        <f>SUM(C99:C101)</f>
        <v>0</v>
      </c>
      <c r="D102" s="269">
        <f>SUM(D99:D101)</f>
        <v>2</v>
      </c>
      <c r="E102" s="269"/>
      <c r="F102" s="559" t="s">
        <v>412</v>
      </c>
      <c r="G102" s="79"/>
      <c r="H102" s="188">
        <f>SUM(H99:H101)</f>
        <v>7</v>
      </c>
      <c r="J102" s="10"/>
      <c r="K102" s="274"/>
      <c r="L102" s="259"/>
      <c r="M102" s="148"/>
      <c r="N102" s="148"/>
      <c r="O102" s="558"/>
      <c r="P102" s="10"/>
      <c r="Q102" s="10"/>
    </row>
    <row r="103" spans="2:17">
      <c r="B103" s="188"/>
      <c r="C103" s="10"/>
      <c r="D103" s="10"/>
      <c r="E103" s="10"/>
      <c r="F103" s="558"/>
      <c r="G103" s="10"/>
      <c r="H103" s="10"/>
      <c r="J103" s="255" t="s">
        <v>302</v>
      </c>
      <c r="K103" s="283">
        <f>+INDICADORES!M11</f>
        <v>0</v>
      </c>
      <c r="L103" s="283">
        <f>+INDICADORES!X11</f>
        <v>0</v>
      </c>
      <c r="M103" s="283">
        <f>+INDICADORES!C11</f>
        <v>0</v>
      </c>
      <c r="N103" s="283"/>
      <c r="O103" s="565">
        <f>+Q103</f>
        <v>539218</v>
      </c>
      <c r="P103" s="148"/>
      <c r="Q103" s="529">
        <v>539218</v>
      </c>
    </row>
    <row r="104" spans="2:17">
      <c r="B104" s="188" t="s">
        <v>266</v>
      </c>
      <c r="C104" s="148">
        <v>9</v>
      </c>
      <c r="D104" s="527">
        <f>+INDICADORES!O11</f>
        <v>0</v>
      </c>
      <c r="E104" s="527"/>
      <c r="F104" s="561" t="s">
        <v>398</v>
      </c>
      <c r="G104" s="10"/>
      <c r="H104" s="188">
        <v>60</v>
      </c>
      <c r="J104" s="10"/>
      <c r="K104" s="10"/>
      <c r="L104" s="10"/>
      <c r="M104" s="10"/>
      <c r="N104" s="10"/>
      <c r="O104" s="558"/>
      <c r="P104" s="10"/>
      <c r="Q104" s="10"/>
    </row>
    <row r="105" spans="2:17">
      <c r="O105" s="558"/>
      <c r="P105" s="10"/>
      <c r="Q105" s="10"/>
    </row>
    <row r="106" spans="2:17">
      <c r="O106" s="558"/>
      <c r="P106" s="10"/>
      <c r="Q106" s="10"/>
    </row>
    <row r="107" spans="2:17">
      <c r="O107" s="558"/>
      <c r="P107" s="10"/>
      <c r="Q107" s="10"/>
    </row>
    <row r="108" spans="2:17">
      <c r="B108" s="120" t="s">
        <v>418</v>
      </c>
      <c r="J108" s="10"/>
      <c r="K108" s="8"/>
      <c r="M108" s="8"/>
      <c r="N108" s="8"/>
      <c r="O108" s="558"/>
      <c r="P108" s="10"/>
      <c r="Q108" s="10"/>
    </row>
    <row r="109" spans="2:17" ht="13.8" thickBot="1">
      <c r="B109" s="268" t="s">
        <v>297</v>
      </c>
      <c r="C109" s="266" t="str">
        <f>+$C$12</f>
        <v>Mar</v>
      </c>
      <c r="D109" s="266" t="str">
        <f>+$D$2</f>
        <v>Acum.2012</v>
      </c>
      <c r="E109" s="266"/>
      <c r="F109" s="557" t="str">
        <f>+$F$2</f>
        <v>Objetivo</v>
      </c>
      <c r="G109" s="148"/>
      <c r="H109" s="268">
        <f>+$H$2</f>
        <v>2010</v>
      </c>
      <c r="J109" s="266" t="str">
        <f>+$J$2</f>
        <v>Indicadores</v>
      </c>
      <c r="K109" s="266" t="str">
        <f>+$K$2</f>
        <v>Acum.2012</v>
      </c>
      <c r="L109" s="277" t="str">
        <f>+$L$2</f>
        <v>Proy 2011</v>
      </c>
      <c r="M109" s="266" t="str">
        <f>+$M$2</f>
        <v>Nov 10 - Oct 11</v>
      </c>
      <c r="N109" s="266"/>
      <c r="O109" s="557" t="str">
        <f>+$O$2</f>
        <v>Objetivo</v>
      </c>
      <c r="P109" s="148"/>
      <c r="Q109" s="268">
        <f>+$Q$2</f>
        <v>2010</v>
      </c>
    </row>
    <row r="110" spans="2:17">
      <c r="B110" s="188" t="s">
        <v>293</v>
      </c>
      <c r="C110" s="148">
        <v>0</v>
      </c>
      <c r="D110" s="513">
        <f>+INDICADORES!P10</f>
        <v>0</v>
      </c>
      <c r="E110" s="513"/>
      <c r="F110" s="673" t="s">
        <v>524</v>
      </c>
      <c r="G110" s="3243"/>
      <c r="H110" s="188">
        <v>1</v>
      </c>
      <c r="J110" s="278" t="s">
        <v>301</v>
      </c>
      <c r="K110" s="525">
        <f>+INDICADORES!S10</f>
        <v>0</v>
      </c>
      <c r="L110" s="517">
        <f>+INDICADORES!Z10</f>
        <v>0</v>
      </c>
      <c r="M110" s="524">
        <f>+INDICADORES!H10</f>
        <v>4.783934384246999</v>
      </c>
      <c r="N110" s="524"/>
      <c r="O110" s="561" t="s">
        <v>421</v>
      </c>
      <c r="P110" s="148"/>
      <c r="Q110" s="520">
        <v>1.8</v>
      </c>
    </row>
    <row r="111" spans="2:17">
      <c r="B111" s="188" t="s">
        <v>294</v>
      </c>
      <c r="C111" s="148">
        <v>0</v>
      </c>
      <c r="D111" s="513">
        <f>+INDICADORES!Q10</f>
        <v>0</v>
      </c>
      <c r="E111" s="513"/>
      <c r="F111" s="561" t="s">
        <v>414</v>
      </c>
      <c r="G111" s="3243"/>
      <c r="H111" s="188">
        <v>0</v>
      </c>
      <c r="J111" s="278" t="s">
        <v>265</v>
      </c>
      <c r="K111" s="519">
        <f>+INDICADORES!T10</f>
        <v>0</v>
      </c>
      <c r="L111" s="513">
        <f>+INDICADORES!AA10</f>
        <v>0</v>
      </c>
      <c r="M111" s="519">
        <f>+INDICADORES!I10</f>
        <v>52.623278226716991</v>
      </c>
      <c r="N111" s="519"/>
      <c r="O111" s="561" t="s">
        <v>422</v>
      </c>
      <c r="P111" s="148"/>
      <c r="Q111" s="521">
        <v>35</v>
      </c>
    </row>
    <row r="112" spans="2:17" ht="13.8" thickBot="1">
      <c r="B112" s="188" t="s">
        <v>295</v>
      </c>
      <c r="C112" s="266">
        <v>0</v>
      </c>
      <c r="D112" s="514">
        <f>+INDICADORES!R10</f>
        <v>0</v>
      </c>
      <c r="E112" s="514"/>
      <c r="F112" s="562" t="s">
        <v>397</v>
      </c>
      <c r="G112" s="79"/>
      <c r="H112" s="268">
        <v>3</v>
      </c>
      <c r="J112" s="275" t="s">
        <v>299</v>
      </c>
      <c r="K112" s="526">
        <f>+INDICADORES!U10</f>
        <v>0</v>
      </c>
      <c r="L112" s="518">
        <f>+INDICADORES!AC10</f>
        <v>0</v>
      </c>
      <c r="M112" s="518">
        <f>+INDICADORES!J10</f>
        <v>0.95678687684939978</v>
      </c>
      <c r="N112" s="518"/>
      <c r="O112" s="562" t="s">
        <v>423</v>
      </c>
      <c r="P112" s="148"/>
      <c r="Q112" s="549">
        <v>1.5</v>
      </c>
    </row>
    <row r="113" spans="2:21" ht="15.6">
      <c r="B113" s="188"/>
      <c r="C113" s="269">
        <f>SUM(C110:C112)</f>
        <v>0</v>
      </c>
      <c r="D113" s="269">
        <f>SUM(D110:D112)</f>
        <v>0</v>
      </c>
      <c r="E113" s="269"/>
      <c r="F113" s="559" t="s">
        <v>413</v>
      </c>
      <c r="G113" s="79"/>
      <c r="H113" s="188">
        <f>SUM(H110:H112)</f>
        <v>4</v>
      </c>
      <c r="J113" s="10"/>
      <c r="K113" s="274"/>
      <c r="L113" s="259"/>
      <c r="M113" s="148"/>
      <c r="N113" s="148"/>
      <c r="O113" s="558"/>
      <c r="P113" s="10"/>
      <c r="Q113" s="10"/>
    </row>
    <row r="114" spans="2:21">
      <c r="B114" s="188"/>
      <c r="C114" s="10"/>
      <c r="D114" s="10"/>
      <c r="E114" s="10"/>
      <c r="F114" s="558"/>
      <c r="G114" s="10"/>
      <c r="H114" s="10"/>
      <c r="J114" s="255" t="s">
        <v>302</v>
      </c>
      <c r="K114" s="283">
        <f>+INDICADORES!M10</f>
        <v>404746.61000000004</v>
      </c>
      <c r="L114" s="283">
        <f>+INDICADORES!X10</f>
        <v>441541.75636363646</v>
      </c>
      <c r="M114" s="283">
        <f>+INDICADORES!C10</f>
        <v>836131.86944444431</v>
      </c>
      <c r="N114" s="283"/>
      <c r="O114" s="565">
        <f>+Q114</f>
        <v>540833</v>
      </c>
      <c r="P114" s="148"/>
      <c r="Q114" s="529">
        <v>540833</v>
      </c>
    </row>
    <row r="115" spans="2:21">
      <c r="B115" s="188" t="s">
        <v>266</v>
      </c>
      <c r="C115" s="148"/>
      <c r="D115" s="527">
        <f>+INDICADORES!O10</f>
        <v>0</v>
      </c>
      <c r="E115" s="527"/>
      <c r="F115" s="561" t="s">
        <v>420</v>
      </c>
      <c r="G115" s="10"/>
      <c r="H115" s="188">
        <v>19</v>
      </c>
      <c r="O115" s="558"/>
      <c r="P115" s="10"/>
      <c r="Q115" s="10"/>
    </row>
    <row r="116" spans="2:21">
      <c r="O116" s="558"/>
      <c r="P116" s="10"/>
      <c r="Q116" s="10"/>
    </row>
    <row r="117" spans="2:21">
      <c r="O117" s="558"/>
      <c r="P117" s="10"/>
      <c r="Q117" s="10"/>
    </row>
    <row r="118" spans="2:21">
      <c r="O118" s="558"/>
      <c r="P118" s="10"/>
      <c r="Q118" s="10"/>
    </row>
    <row r="119" spans="2:21">
      <c r="B119" s="550" t="s">
        <v>91</v>
      </c>
      <c r="C119" s="10"/>
      <c r="D119" s="10"/>
      <c r="E119" s="10"/>
      <c r="F119" s="558"/>
      <c r="G119" s="10"/>
      <c r="H119" s="10"/>
      <c r="L119" s="285"/>
    </row>
    <row r="120" spans="2:21" ht="13.8" thickBot="1">
      <c r="B120" s="577" t="s">
        <v>297</v>
      </c>
      <c r="C120" s="266" t="s">
        <v>103</v>
      </c>
      <c r="D120" s="646" t="s">
        <v>547</v>
      </c>
      <c r="E120" s="685" t="s">
        <v>600</v>
      </c>
      <c r="F120" s="760" t="s">
        <v>296</v>
      </c>
      <c r="G120" s="148"/>
      <c r="H120" s="268">
        <v>2012</v>
      </c>
      <c r="J120" s="266" t="s">
        <v>300</v>
      </c>
      <c r="K120" s="685" t="s">
        <v>599</v>
      </c>
      <c r="L120" s="277" t="s">
        <v>432</v>
      </c>
      <c r="M120" s="685" t="s">
        <v>628</v>
      </c>
      <c r="N120" s="685"/>
      <c r="O120" s="685" t="s">
        <v>296</v>
      </c>
      <c r="P120" s="685"/>
      <c r="Q120" s="779" t="s">
        <v>629</v>
      </c>
      <c r="T120" s="557"/>
      <c r="U120" s="557"/>
    </row>
    <row r="121" spans="2:21">
      <c r="B121" s="578" t="s">
        <v>293</v>
      </c>
      <c r="C121" s="148">
        <v>2</v>
      </c>
      <c r="D121" s="763">
        <f>+INDICADORES!P12</f>
        <v>8</v>
      </c>
      <c r="E121" s="765">
        <f>+F121/12*2</f>
        <v>1</v>
      </c>
      <c r="F121" s="761" t="s">
        <v>485</v>
      </c>
      <c r="G121" s="647"/>
      <c r="H121" s="188">
        <v>9</v>
      </c>
      <c r="J121" s="278" t="s">
        <v>549</v>
      </c>
      <c r="K121" s="781">
        <f>+INDICADORES!S12</f>
        <v>3.6236356655017756</v>
      </c>
      <c r="L121" s="598">
        <f>INDICADORES!Z12</f>
        <v>3.3216660267099609</v>
      </c>
      <c r="M121" s="782">
        <f>+INDICADORES!H12</f>
        <v>3.3659423360990175</v>
      </c>
      <c r="N121" s="598"/>
      <c r="O121" s="778" t="s">
        <v>632</v>
      </c>
      <c r="P121" s="148"/>
      <c r="Q121" s="778">
        <v>3.7</v>
      </c>
      <c r="T121" s="551"/>
      <c r="U121" s="551"/>
    </row>
    <row r="122" spans="2:21" ht="13.8" thickBot="1">
      <c r="B122" s="578" t="s">
        <v>266</v>
      </c>
      <c r="C122" s="188">
        <v>90</v>
      </c>
      <c r="D122" s="764">
        <f>+INDICADORES!O12</f>
        <v>69</v>
      </c>
      <c r="E122" s="188">
        <f>+F122/12*2</f>
        <v>20</v>
      </c>
      <c r="F122" s="762">
        <v>120</v>
      </c>
      <c r="G122" s="188"/>
      <c r="H122" s="188">
        <v>150</v>
      </c>
      <c r="J122" s="12" t="s">
        <v>265</v>
      </c>
      <c r="K122" s="781">
        <f>+INDICADORES!T12</f>
        <v>31.253857614952814</v>
      </c>
      <c r="M122" s="783">
        <f>+INDICADORES!I12</f>
        <v>36.576573385609322</v>
      </c>
      <c r="O122" s="778" t="s">
        <v>633</v>
      </c>
      <c r="Q122" s="778">
        <v>61</v>
      </c>
      <c r="T122" s="557"/>
      <c r="U122" s="557"/>
    </row>
    <row r="123" spans="2:21" ht="15.6">
      <c r="B123" s="578"/>
      <c r="C123" s="269"/>
      <c r="D123" s="599"/>
      <c r="E123" s="599"/>
      <c r="F123" s="563"/>
      <c r="G123" s="79"/>
      <c r="H123" s="188"/>
      <c r="J123" s="753" t="s">
        <v>584</v>
      </c>
      <c r="K123" s="785">
        <f>+K121*K122/1000</f>
        <v>0.11325259313805727</v>
      </c>
      <c r="L123" s="785"/>
      <c r="M123" s="785">
        <f>+M121*M122/1000</f>
        <v>0.12311463686805499</v>
      </c>
      <c r="N123" s="784"/>
      <c r="O123" s="755">
        <f>+O121*O122/1000</f>
        <v>0.1225</v>
      </c>
      <c r="P123" s="756"/>
      <c r="Q123" s="755">
        <f>+Q121*Q122/1000</f>
        <v>0.22570000000000001</v>
      </c>
      <c r="R123" s="756"/>
      <c r="T123" s="563"/>
      <c r="U123" s="551"/>
    </row>
    <row r="124" spans="2:21">
      <c r="B124" s="578"/>
      <c r="C124" s="10"/>
      <c r="D124" s="372"/>
      <c r="E124" s="372"/>
      <c r="F124" s="558"/>
      <c r="G124" s="10"/>
      <c r="H124" s="10"/>
      <c r="T124" s="558"/>
      <c r="U124" s="283"/>
    </row>
    <row r="125" spans="2:21">
      <c r="J125" s="255" t="s">
        <v>302</v>
      </c>
      <c r="K125" s="780">
        <v>364423</v>
      </c>
      <c r="L125" s="148"/>
      <c r="M125" s="682" t="s">
        <v>631</v>
      </c>
      <c r="N125" s="148"/>
      <c r="O125" s="682" t="s">
        <v>630</v>
      </c>
      <c r="P125" s="148"/>
      <c r="Q125" s="682" t="s">
        <v>630</v>
      </c>
      <c r="T125" s="551"/>
    </row>
    <row r="126" spans="2:21">
      <c r="B126" s="188"/>
      <c r="C126" s="10"/>
      <c r="D126" s="10"/>
      <c r="E126" s="10"/>
      <c r="F126" s="558"/>
      <c r="O126" s="558"/>
      <c r="P126" s="10"/>
      <c r="Q126" s="10"/>
    </row>
    <row r="127" spans="2:21">
      <c r="B127" s="188"/>
      <c r="C127" s="10"/>
      <c r="D127" s="10"/>
      <c r="E127" s="10"/>
      <c r="F127" s="558"/>
      <c r="O127" s="558"/>
      <c r="P127" s="10"/>
      <c r="Q127" s="10"/>
    </row>
    <row r="128" spans="2:21">
      <c r="O128" s="558"/>
      <c r="P128" s="10"/>
      <c r="Q128" s="10"/>
    </row>
    <row r="129" spans="2:19">
      <c r="O129" s="558"/>
      <c r="P129" s="10"/>
      <c r="Q129" s="10"/>
    </row>
    <row r="130" spans="2:19">
      <c r="B130" s="147" t="s">
        <v>93</v>
      </c>
      <c r="C130" s="10"/>
      <c r="D130" s="10"/>
      <c r="E130" s="10"/>
      <c r="F130" s="558"/>
      <c r="G130" s="10"/>
      <c r="H130" s="10"/>
      <c r="J130" s="372"/>
      <c r="K130" s="372"/>
      <c r="L130" s="669"/>
      <c r="M130" s="372"/>
      <c r="N130" s="372"/>
      <c r="O130" s="670"/>
      <c r="P130" s="372"/>
      <c r="Q130" s="372"/>
    </row>
    <row r="131" spans="2:19" ht="13.8" thickBot="1">
      <c r="B131" s="268" t="s">
        <v>297</v>
      </c>
      <c r="C131" s="266" t="str">
        <f>+$C$12</f>
        <v>Mar</v>
      </c>
      <c r="D131" s="685" t="s">
        <v>599</v>
      </c>
      <c r="E131" s="515"/>
      <c r="F131" s="557" t="s">
        <v>296</v>
      </c>
      <c r="G131" s="148"/>
      <c r="H131" s="268">
        <v>2012</v>
      </c>
      <c r="J131" s="636" t="s">
        <v>300</v>
      </c>
      <c r="K131" s="685" t="s">
        <v>599</v>
      </c>
      <c r="L131" s="729"/>
      <c r="M131" s="636" t="s">
        <v>605</v>
      </c>
      <c r="N131" s="635"/>
      <c r="O131" s="654" t="s">
        <v>296</v>
      </c>
      <c r="P131" s="498"/>
      <c r="Q131" s="635">
        <v>2012</v>
      </c>
    </row>
    <row r="132" spans="2:19" ht="14.4" thickBot="1">
      <c r="B132" s="188" t="s">
        <v>293</v>
      </c>
      <c r="C132" s="638">
        <v>0</v>
      </c>
      <c r="D132" s="655">
        <f>+INDICADORES!P16</f>
        <v>8</v>
      </c>
      <c r="E132" s="726"/>
      <c r="F132" s="656" t="s">
        <v>524</v>
      </c>
      <c r="G132" s="3250"/>
      <c r="H132" s="638">
        <v>2</v>
      </c>
      <c r="J132" s="715" t="s">
        <v>567</v>
      </c>
      <c r="K132" s="655">
        <f>+INDICADORES!S16</f>
        <v>2.3021156229629289</v>
      </c>
      <c r="L132" s="730"/>
      <c r="M132" s="655">
        <f>+INDICADORES!H16</f>
        <v>2.2105844129534624</v>
      </c>
      <c r="N132" s="665"/>
      <c r="O132" s="656" t="s">
        <v>536</v>
      </c>
      <c r="P132" s="638"/>
      <c r="Q132" s="638">
        <v>2.7</v>
      </c>
    </row>
    <row r="133" spans="2:19" ht="14.4" thickBot="1">
      <c r="B133" s="188" t="s">
        <v>294</v>
      </c>
      <c r="C133" s="638">
        <v>0</v>
      </c>
      <c r="D133" s="657">
        <f>+INDICADORES!Q16</f>
        <v>0</v>
      </c>
      <c r="E133" s="727"/>
      <c r="F133" s="656" t="s">
        <v>524</v>
      </c>
      <c r="G133" s="3250"/>
      <c r="H133" s="638">
        <v>0</v>
      </c>
      <c r="J133" s="716" t="s">
        <v>265</v>
      </c>
      <c r="K133" s="655">
        <f>+INDICADORES!T16</f>
        <v>14.388222643518306</v>
      </c>
      <c r="L133" s="730"/>
      <c r="M133" s="655">
        <f>+INDICADORES!I16</f>
        <v>76.817808350132822</v>
      </c>
      <c r="N133" s="666"/>
      <c r="O133" s="656" t="s">
        <v>524</v>
      </c>
      <c r="P133" s="638"/>
      <c r="Q133" s="638">
        <v>9</v>
      </c>
    </row>
    <row r="134" spans="2:19" ht="14.4" thickBot="1">
      <c r="B134" s="188" t="s">
        <v>295</v>
      </c>
      <c r="C134" s="658">
        <v>1</v>
      </c>
      <c r="D134" s="718">
        <f>+INDICADORES!R16</f>
        <v>5</v>
      </c>
      <c r="E134" s="727"/>
      <c r="F134" s="659" t="s">
        <v>525</v>
      </c>
      <c r="G134" s="660"/>
      <c r="H134" s="658">
        <v>4</v>
      </c>
      <c r="J134" s="717" t="s">
        <v>299</v>
      </c>
      <c r="K134" s="655">
        <f>+INDICADORES!U16</f>
        <v>0.74818757746295184</v>
      </c>
      <c r="L134" s="730"/>
      <c r="M134" s="655">
        <f>+INDICADORES!J16</f>
        <v>0.95791991227983375</v>
      </c>
      <c r="N134" s="667"/>
      <c r="O134" s="659" t="s">
        <v>551</v>
      </c>
      <c r="P134" s="148"/>
      <c r="Q134" s="268">
        <v>1.6</v>
      </c>
    </row>
    <row r="135" spans="2:19" ht="14.4" thickBot="1">
      <c r="B135" s="188"/>
      <c r="C135" s="661">
        <f>SUM(C132:C134)</f>
        <v>1</v>
      </c>
      <c r="D135" s="655">
        <f>SUM(D132:D134)</f>
        <v>13</v>
      </c>
      <c r="E135" s="726"/>
      <c r="F135" s="662" t="s">
        <v>525</v>
      </c>
      <c r="G135" s="660"/>
      <c r="H135" s="638">
        <f>SUM(H132:H134)</f>
        <v>6</v>
      </c>
      <c r="J135" s="10"/>
      <c r="K135" s="643"/>
      <c r="L135" s="643"/>
      <c r="M135" s="643"/>
      <c r="N135" s="643"/>
      <c r="O135" s="656"/>
      <c r="P135" s="148"/>
      <c r="Q135" s="148"/>
    </row>
    <row r="136" spans="2:19" ht="13.8">
      <c r="B136" s="188"/>
      <c r="C136" s="643"/>
      <c r="D136" s="643"/>
      <c r="E136" s="728"/>
      <c r="F136" s="663"/>
      <c r="G136" s="643"/>
      <c r="H136" s="643"/>
      <c r="J136" s="255" t="s">
        <v>302</v>
      </c>
      <c r="K136" s="664">
        <v>311317</v>
      </c>
      <c r="L136" s="664"/>
      <c r="M136" s="664">
        <v>981492</v>
      </c>
      <c r="N136" s="664"/>
      <c r="O136" s="664">
        <f>[6]INDICADORES!W16</f>
        <v>1354371.78</v>
      </c>
      <c r="P136" s="643"/>
      <c r="Q136" s="664">
        <f>[6]INDICADORES!W16</f>
        <v>1354371.78</v>
      </c>
      <c r="R136" s="668"/>
      <c r="S136" s="668"/>
    </row>
    <row r="137" spans="2:19" ht="14.4" thickBot="1">
      <c r="B137" s="188" t="s">
        <v>266</v>
      </c>
      <c r="C137" s="664">
        <v>0</v>
      </c>
      <c r="D137" s="655">
        <f>+INDICADORES!O16</f>
        <v>50</v>
      </c>
      <c r="E137" s="726"/>
      <c r="F137" s="656" t="s">
        <v>393</v>
      </c>
      <c r="G137" s="643"/>
      <c r="H137" s="638">
        <v>7</v>
      </c>
      <c r="J137" s="10"/>
      <c r="K137" s="643"/>
      <c r="L137" s="643"/>
      <c r="M137" s="643"/>
      <c r="N137" s="643"/>
      <c r="O137" s="663"/>
      <c r="P137" s="643"/>
      <c r="Q137" s="643"/>
      <c r="R137" s="668"/>
      <c r="S137" s="668"/>
    </row>
    <row r="138" spans="2:19">
      <c r="O138" s="558"/>
      <c r="P138" s="10"/>
      <c r="Q138" s="10"/>
    </row>
    <row r="139" spans="2:19">
      <c r="O139" s="558"/>
      <c r="P139" s="10"/>
      <c r="Q139" s="10"/>
    </row>
    <row r="140" spans="2:19">
      <c r="B140" s="3249" t="s">
        <v>431</v>
      </c>
      <c r="C140" s="3249"/>
      <c r="D140" s="10"/>
      <c r="E140" s="10"/>
      <c r="F140" s="558"/>
      <c r="G140" s="10"/>
      <c r="H140" s="10"/>
      <c r="L140" s="285"/>
    </row>
    <row r="141" spans="2:19" ht="13.8" thickBot="1">
      <c r="B141" s="268" t="s">
        <v>297</v>
      </c>
      <c r="C141" s="266" t="str">
        <f>+$C$2</f>
        <v>Nov</v>
      </c>
      <c r="D141" s="515" t="s">
        <v>411</v>
      </c>
      <c r="E141" s="515"/>
      <c r="F141" s="557" t="s">
        <v>296</v>
      </c>
      <c r="G141" s="148"/>
      <c r="H141" s="268">
        <v>2010</v>
      </c>
      <c r="J141" s="266" t="s">
        <v>300</v>
      </c>
      <c r="K141" s="515" t="s">
        <v>411</v>
      </c>
      <c r="L141" s="277" t="s">
        <v>432</v>
      </c>
      <c r="M141" s="266" t="str">
        <f>+$M$2</f>
        <v>Nov 10 - Oct 11</v>
      </c>
      <c r="N141" s="266"/>
      <c r="O141" s="557" t="s">
        <v>296</v>
      </c>
      <c r="P141" s="148"/>
      <c r="Q141" s="268">
        <v>2010</v>
      </c>
    </row>
    <row r="142" spans="2:19">
      <c r="B142" s="188" t="s">
        <v>293</v>
      </c>
      <c r="C142" s="148">
        <v>5</v>
      </c>
      <c r="D142" s="513">
        <f>+[6]INDICADORES!O161</f>
        <v>0</v>
      </c>
      <c r="E142" s="513"/>
      <c r="F142" s="551" t="s">
        <v>349</v>
      </c>
      <c r="G142" s="3243"/>
      <c r="H142" s="188">
        <v>44</v>
      </c>
      <c r="J142" s="278" t="s">
        <v>301</v>
      </c>
      <c r="K142" s="517">
        <f>+[6]INDICADORES!S161</f>
        <v>0</v>
      </c>
      <c r="L142" s="517">
        <f>+[6]INDICADORES!Y161</f>
        <v>0</v>
      </c>
      <c r="M142" s="517">
        <f>+[6]INDICADORES!I161</f>
        <v>0</v>
      </c>
      <c r="N142" s="517"/>
      <c r="O142" s="551" t="s">
        <v>343</v>
      </c>
      <c r="P142" s="148"/>
      <c r="Q142" s="188">
        <v>4.07</v>
      </c>
    </row>
    <row r="143" spans="2:19">
      <c r="B143" s="188" t="s">
        <v>294</v>
      </c>
      <c r="C143" s="148">
        <v>0</v>
      </c>
      <c r="D143" s="513">
        <f>+[6]INDICADORES!P161</f>
        <v>0</v>
      </c>
      <c r="E143" s="513"/>
      <c r="F143" s="551" t="s">
        <v>350</v>
      </c>
      <c r="G143" s="3243"/>
      <c r="H143" s="188">
        <v>9</v>
      </c>
      <c r="J143" s="278" t="s">
        <v>265</v>
      </c>
      <c r="K143" s="513">
        <f>+[6]INDICADORES!T161</f>
        <v>0</v>
      </c>
      <c r="L143" s="513">
        <f>+[6]INDICADORES!Z161</f>
        <v>0</v>
      </c>
      <c r="M143" s="513">
        <f>+[6]INDICADORES!J161</f>
        <v>0</v>
      </c>
      <c r="N143" s="513"/>
      <c r="O143" s="551" t="s">
        <v>341</v>
      </c>
      <c r="P143" s="148"/>
      <c r="Q143" s="188">
        <v>66.040000000000006</v>
      </c>
    </row>
    <row r="144" spans="2:19" ht="13.8" thickBot="1">
      <c r="B144" s="188" t="s">
        <v>295</v>
      </c>
      <c r="C144" s="266">
        <v>8</v>
      </c>
      <c r="D144" s="514">
        <f>+[6]INDICADORES!Q161</f>
        <v>0</v>
      </c>
      <c r="E144" s="514"/>
      <c r="F144" s="557" t="s">
        <v>340</v>
      </c>
      <c r="G144" s="79"/>
      <c r="H144" s="268">
        <v>58</v>
      </c>
      <c r="J144" s="275" t="s">
        <v>299</v>
      </c>
      <c r="K144" s="518">
        <f>+[6]INDICADORES!U161</f>
        <v>0</v>
      </c>
      <c r="L144" s="518">
        <f>+[6]INDICADORES!AA161</f>
        <v>0</v>
      </c>
      <c r="M144" s="518">
        <f>+[6]INDICADORES!K161</f>
        <v>0</v>
      </c>
      <c r="N144" s="518"/>
      <c r="O144" s="557" t="s">
        <v>342</v>
      </c>
      <c r="P144" s="148"/>
      <c r="Q144" s="268">
        <v>1.7</v>
      </c>
    </row>
    <row r="145" spans="2:21" ht="15.6">
      <c r="B145" s="188"/>
      <c r="C145" s="269">
        <f>SUM(C142:C144)</f>
        <v>13</v>
      </c>
      <c r="D145" s="286">
        <f>SUM(D142:D144)</f>
        <v>0</v>
      </c>
      <c r="E145" s="286"/>
      <c r="F145" s="559" t="s">
        <v>415</v>
      </c>
      <c r="G145" s="79"/>
      <c r="H145" s="188">
        <f>SUM(H142:H144)</f>
        <v>111</v>
      </c>
      <c r="J145" s="10"/>
      <c r="K145" s="10"/>
      <c r="L145" s="10"/>
      <c r="M145" s="10"/>
      <c r="N145" s="10"/>
      <c r="O145" s="551"/>
      <c r="P145" s="148"/>
      <c r="Q145" s="148"/>
    </row>
    <row r="146" spans="2:21">
      <c r="B146" s="188"/>
      <c r="C146" s="10"/>
      <c r="D146" s="10"/>
      <c r="E146" s="10"/>
      <c r="F146" s="558"/>
      <c r="G146" s="10"/>
      <c r="H146" s="10"/>
      <c r="J146" s="255" t="s">
        <v>302</v>
      </c>
      <c r="K146" s="283">
        <f>+[6]INDICADORES!M161</f>
        <v>0</v>
      </c>
      <c r="L146" s="283">
        <f>+[6]INDICADORES!W161</f>
        <v>0</v>
      </c>
      <c r="M146" s="283">
        <f>+[6]INDICADORES!C161</f>
        <v>0</v>
      </c>
      <c r="N146" s="283"/>
      <c r="O146" s="564">
        <f>+Q146</f>
        <v>13037542.631388901</v>
      </c>
      <c r="P146" s="10"/>
      <c r="Q146" s="283">
        <v>13037542.631388901</v>
      </c>
    </row>
    <row r="147" spans="2:21" ht="15.6">
      <c r="B147" s="188" t="s">
        <v>266</v>
      </c>
      <c r="C147" s="148">
        <v>89</v>
      </c>
      <c r="D147" s="516">
        <f>+[6]INDICADORES!N161</f>
        <v>0</v>
      </c>
      <c r="E147" s="516"/>
      <c r="F147" s="551" t="s">
        <v>339</v>
      </c>
      <c r="G147" s="10"/>
      <c r="H147" s="188">
        <v>861</v>
      </c>
      <c r="J147" s="10"/>
      <c r="K147" s="10"/>
      <c r="L147" s="10"/>
      <c r="M147" s="10"/>
      <c r="N147" s="10"/>
      <c r="O147" s="558"/>
      <c r="P147" s="10"/>
      <c r="Q147" s="10"/>
    </row>
    <row r="148" spans="2:21" ht="12.75" customHeight="1">
      <c r="O148" s="558"/>
      <c r="P148" s="10"/>
      <c r="Q148" s="10"/>
    </row>
    <row r="149" spans="2:21">
      <c r="O149" s="558"/>
      <c r="P149" s="10"/>
      <c r="Q149" s="10"/>
    </row>
    <row r="150" spans="2:21">
      <c r="O150" s="558"/>
      <c r="P150" s="10"/>
      <c r="Q150" s="10"/>
    </row>
    <row r="151" spans="2:21">
      <c r="B151" s="550" t="s">
        <v>542</v>
      </c>
      <c r="C151" s="10"/>
      <c r="D151" s="10"/>
      <c r="E151" s="10"/>
      <c r="F151" s="558"/>
      <c r="G151" s="10"/>
      <c r="H151" s="10"/>
      <c r="L151" s="285"/>
    </row>
    <row r="152" spans="2:21" ht="13.8" thickBot="1">
      <c r="B152" s="679" t="s">
        <v>297</v>
      </c>
      <c r="C152" s="266" t="s">
        <v>104</v>
      </c>
      <c r="D152" s="646" t="s">
        <v>547</v>
      </c>
      <c r="E152" s="646"/>
      <c r="F152" s="600" t="s">
        <v>296</v>
      </c>
      <c r="G152" s="148"/>
      <c r="H152" s="268">
        <v>2011</v>
      </c>
      <c r="J152" s="653" t="s">
        <v>300</v>
      </c>
      <c r="K152" s="646" t="s">
        <v>547</v>
      </c>
      <c r="L152" s="277" t="s">
        <v>432</v>
      </c>
      <c r="M152" s="648" t="s">
        <v>553</v>
      </c>
      <c r="N152" s="266"/>
      <c r="O152" s="600" t="s">
        <v>296</v>
      </c>
      <c r="P152" s="148"/>
      <c r="Q152" s="268">
        <v>2011</v>
      </c>
      <c r="T152" s="557"/>
      <c r="U152" s="557"/>
    </row>
    <row r="153" spans="2:21">
      <c r="B153" s="680" t="s">
        <v>293</v>
      </c>
      <c r="C153" s="625">
        <v>0</v>
      </c>
      <c r="D153" s="629">
        <v>1</v>
      </c>
      <c r="E153" s="553"/>
      <c r="F153" s="551" t="s">
        <v>483</v>
      </c>
      <c r="G153" s="3243"/>
      <c r="H153" s="188">
        <v>4</v>
      </c>
      <c r="J153" s="579" t="s">
        <v>301</v>
      </c>
      <c r="K153" s="517">
        <f>INDICADORES!S9</f>
        <v>11.19122126419942</v>
      </c>
      <c r="L153" s="598">
        <f>INDICADORES!Z9</f>
        <v>10.258619492182801</v>
      </c>
      <c r="M153" s="651">
        <f>INDICADORES!H9</f>
        <v>7.3314958746195495</v>
      </c>
      <c r="N153" s="598">
        <v>1.9</v>
      </c>
      <c r="O153" s="650" t="s">
        <v>492</v>
      </c>
      <c r="P153" s="148"/>
      <c r="Q153" s="188">
        <v>4.8</v>
      </c>
      <c r="T153" s="551" t="s">
        <v>397</v>
      </c>
      <c r="U153" s="551" t="s">
        <v>493</v>
      </c>
    </row>
    <row r="154" spans="2:21" ht="12.75" customHeight="1">
      <c r="B154" s="680" t="s">
        <v>294</v>
      </c>
      <c r="C154" s="625">
        <v>0</v>
      </c>
      <c r="D154" s="630">
        <f>INDICADORES!Q9</f>
        <v>0</v>
      </c>
      <c r="E154" s="516"/>
      <c r="F154" s="551" t="s">
        <v>488</v>
      </c>
      <c r="G154" s="3243"/>
      <c r="H154" s="188">
        <v>1</v>
      </c>
      <c r="J154" s="372" t="s">
        <v>265</v>
      </c>
      <c r="K154" s="517">
        <f>INDICADORES!T9</f>
        <v>64.095176331323955</v>
      </c>
      <c r="L154">
        <f>INDICADORES!AA9</f>
        <v>58.753911637046954</v>
      </c>
      <c r="M154" s="651">
        <f>INDICADORES!I9</f>
        <v>63.365071487783254</v>
      </c>
      <c r="N154">
        <v>16</v>
      </c>
      <c r="O154" s="650" t="s">
        <v>495</v>
      </c>
      <c r="Q154" s="188">
        <v>97</v>
      </c>
      <c r="T154" s="551" t="s">
        <v>488</v>
      </c>
      <c r="U154" s="551" t="s">
        <v>494</v>
      </c>
    </row>
    <row r="155" spans="2:21" ht="13.8" thickBot="1">
      <c r="B155" s="680" t="s">
        <v>295</v>
      </c>
      <c r="C155" s="626">
        <v>0</v>
      </c>
      <c r="D155" s="631">
        <v>4</v>
      </c>
      <c r="E155" s="514"/>
      <c r="F155" s="557" t="s">
        <v>485</v>
      </c>
      <c r="G155" s="79"/>
      <c r="H155" s="268">
        <v>8</v>
      </c>
      <c r="J155" s="602" t="s">
        <v>299</v>
      </c>
      <c r="K155" s="517"/>
      <c r="L155" s="598"/>
      <c r="M155" s="652"/>
      <c r="N155" s="597"/>
      <c r="O155" s="649" t="s">
        <v>496</v>
      </c>
      <c r="P155" s="148"/>
      <c r="Q155" s="522">
        <v>2.5</v>
      </c>
      <c r="T155" s="557" t="s">
        <v>486</v>
      </c>
      <c r="U155" s="557" t="s">
        <v>445</v>
      </c>
    </row>
    <row r="156" spans="2:21" ht="15.6">
      <c r="B156" s="680"/>
      <c r="C156" s="627">
        <f>SUM(C153:C155)</f>
        <v>0</v>
      </c>
      <c r="D156" s="632">
        <v>0</v>
      </c>
      <c r="E156" s="286"/>
      <c r="F156" s="563" t="s">
        <v>507</v>
      </c>
      <c r="G156" s="79"/>
      <c r="H156" s="188">
        <f>SUM(H153:H155)</f>
        <v>13</v>
      </c>
      <c r="J156" s="10"/>
      <c r="K156" s="10"/>
      <c r="L156" s="10"/>
      <c r="M156" s="10"/>
      <c r="N156" s="10"/>
      <c r="O156" s="551"/>
      <c r="P156" s="148"/>
      <c r="Q156" s="148"/>
      <c r="T156" s="563" t="s">
        <v>506</v>
      </c>
    </row>
    <row r="157" spans="2:21">
      <c r="B157" s="680"/>
      <c r="C157" s="10"/>
      <c r="D157" s="10"/>
      <c r="E157" s="10"/>
      <c r="F157" s="558"/>
      <c r="G157" s="10"/>
      <c r="H157" s="10"/>
      <c r="J157" s="601" t="s">
        <v>302</v>
      </c>
      <c r="K157" s="283">
        <f>INDICADORES!M9</f>
        <v>982913.28000000014</v>
      </c>
      <c r="L157" s="283">
        <f>INDICADORES!X14</f>
        <v>1356945.8181818181</v>
      </c>
      <c r="M157" s="283">
        <f>INDICADORES!C9</f>
        <v>1909569.3756666672</v>
      </c>
      <c r="N157" s="283">
        <f>INDICADORES!X9</f>
        <v>1072269.0327272729</v>
      </c>
      <c r="O157" s="283">
        <v>1046379</v>
      </c>
      <c r="P157" s="283"/>
      <c r="Q157" s="283">
        <v>1046379</v>
      </c>
      <c r="T157" s="558"/>
    </row>
    <row r="158" spans="2:21" ht="15.6">
      <c r="B158" s="680" t="s">
        <v>266</v>
      </c>
      <c r="C158" s="628">
        <v>0</v>
      </c>
      <c r="D158" s="630">
        <v>17</v>
      </c>
      <c r="E158" s="516"/>
      <c r="F158" s="551" t="s">
        <v>490</v>
      </c>
      <c r="G158" s="10"/>
      <c r="H158" s="188">
        <v>101</v>
      </c>
      <c r="J158" s="10"/>
      <c r="K158" s="10"/>
      <c r="L158" s="10"/>
      <c r="M158" s="10"/>
      <c r="N158" s="10"/>
      <c r="O158" s="558"/>
      <c r="P158" s="10"/>
      <c r="Q158" s="10"/>
      <c r="T158" s="551" t="s">
        <v>487</v>
      </c>
    </row>
    <row r="159" spans="2:21">
      <c r="O159" s="558"/>
      <c r="P159" s="10"/>
      <c r="Q159" s="10"/>
    </row>
    <row r="160" spans="2:21" ht="12.75" customHeight="1">
      <c r="O160" s="558"/>
      <c r="P160" s="10"/>
      <c r="Q160" s="10"/>
    </row>
    <row r="161" spans="2:21">
      <c r="O161" s="558"/>
      <c r="P161" s="10"/>
      <c r="Q161" s="10"/>
    </row>
    <row r="162" spans="2:21">
      <c r="B162" s="3249" t="s">
        <v>543</v>
      </c>
      <c r="C162" s="3249"/>
      <c r="D162" s="10"/>
      <c r="E162" s="10"/>
      <c r="F162" s="558"/>
      <c r="G162" s="10"/>
      <c r="H162" s="10"/>
      <c r="L162" s="285"/>
    </row>
    <row r="163" spans="2:21" ht="13.8" thickBot="1">
      <c r="B163" s="679" t="s">
        <v>297</v>
      </c>
      <c r="C163" s="266" t="s">
        <v>104</v>
      </c>
      <c r="D163" s="646" t="s">
        <v>547</v>
      </c>
      <c r="E163" s="646"/>
      <c r="F163" s="600" t="s">
        <v>296</v>
      </c>
      <c r="G163" s="148"/>
      <c r="H163" s="268">
        <v>2011</v>
      </c>
      <c r="J163" s="653" t="s">
        <v>300</v>
      </c>
      <c r="K163" s="646" t="s">
        <v>547</v>
      </c>
      <c r="L163" s="277" t="s">
        <v>432</v>
      </c>
      <c r="M163" s="648" t="s">
        <v>553</v>
      </c>
      <c r="N163" s="266"/>
      <c r="O163" s="600" t="s">
        <v>296</v>
      </c>
      <c r="P163" s="148"/>
      <c r="Q163" s="268">
        <v>2011</v>
      </c>
      <c r="T163" s="557"/>
      <c r="U163" s="557"/>
    </row>
    <row r="164" spans="2:21">
      <c r="B164" s="680" t="s">
        <v>293</v>
      </c>
      <c r="C164" s="625">
        <v>0</v>
      </c>
      <c r="D164" s="624">
        <v>1</v>
      </c>
      <c r="E164" s="683"/>
      <c r="F164" s="551" t="s">
        <v>393</v>
      </c>
      <c r="G164" s="3243"/>
      <c r="H164" s="188">
        <v>0</v>
      </c>
      <c r="J164" s="579" t="s">
        <v>301</v>
      </c>
      <c r="K164" s="517">
        <f>INDICADORES!S8</f>
        <v>0</v>
      </c>
      <c r="L164" s="598">
        <f>INDICADORES!Z8</f>
        <v>0</v>
      </c>
      <c r="M164" s="651">
        <f>INDICADORES!H8</f>
        <v>0</v>
      </c>
      <c r="N164" s="598">
        <v>6.3</v>
      </c>
      <c r="O164" s="650" t="s">
        <v>393</v>
      </c>
      <c r="P164" s="148"/>
      <c r="Q164" s="188">
        <v>2.2999999999999998</v>
      </c>
      <c r="T164" s="551" t="s">
        <v>414</v>
      </c>
      <c r="U164" s="551" t="s">
        <v>500</v>
      </c>
    </row>
    <row r="165" spans="2:21">
      <c r="B165" s="680" t="s">
        <v>294</v>
      </c>
      <c r="C165" s="625">
        <v>0</v>
      </c>
      <c r="D165" s="624">
        <v>1</v>
      </c>
      <c r="E165" s="683"/>
      <c r="F165" s="551" t="s">
        <v>393</v>
      </c>
      <c r="G165" s="3243"/>
      <c r="H165" s="188">
        <v>1</v>
      </c>
      <c r="J165" s="372" t="s">
        <v>265</v>
      </c>
      <c r="K165" s="517">
        <f>INDICADORES!T8</f>
        <v>0</v>
      </c>
      <c r="L165">
        <f>INDICADORES!AA8</f>
        <v>0</v>
      </c>
      <c r="M165" s="651">
        <f>INDICADORES!I8</f>
        <v>0</v>
      </c>
      <c r="N165">
        <v>91</v>
      </c>
      <c r="O165" s="650" t="s">
        <v>393</v>
      </c>
      <c r="Q165" s="188">
        <v>0</v>
      </c>
      <c r="T165" s="551" t="s">
        <v>414</v>
      </c>
      <c r="U165" s="551" t="s">
        <v>497</v>
      </c>
    </row>
    <row r="166" spans="2:21" ht="13.5" customHeight="1" thickBot="1">
      <c r="B166" s="680" t="s">
        <v>295</v>
      </c>
      <c r="C166" s="566">
        <v>0</v>
      </c>
      <c r="D166" s="594">
        <v>2</v>
      </c>
      <c r="E166" s="594"/>
      <c r="F166" s="557" t="s">
        <v>489</v>
      </c>
      <c r="G166" s="79"/>
      <c r="H166" s="268">
        <v>7</v>
      </c>
      <c r="J166" s="602" t="s">
        <v>299</v>
      </c>
      <c r="K166" s="517">
        <f>INDICADORES!U8</f>
        <v>0</v>
      </c>
      <c r="L166" s="598">
        <f>INDICADORES!AC8</f>
        <v>0</v>
      </c>
      <c r="M166" s="652">
        <f>INDICADORES!J8</f>
        <v>0</v>
      </c>
      <c r="N166" s="597"/>
      <c r="O166" s="649" t="s">
        <v>499</v>
      </c>
      <c r="P166" s="148"/>
      <c r="Q166" s="522">
        <v>3.6</v>
      </c>
      <c r="T166" s="557" t="s">
        <v>412</v>
      </c>
      <c r="U166" s="557" t="s">
        <v>498</v>
      </c>
    </row>
    <row r="167" spans="2:21" ht="15.6">
      <c r="B167" s="680"/>
      <c r="C167" s="269">
        <f>SUM(C164:C166)</f>
        <v>0</v>
      </c>
      <c r="D167" s="595">
        <f>SUM(D164:D166)</f>
        <v>4</v>
      </c>
      <c r="E167" s="595"/>
      <c r="F167" s="563" t="s">
        <v>489</v>
      </c>
      <c r="G167" s="79"/>
      <c r="H167" s="188">
        <f>SUM(H164:H166)</f>
        <v>8</v>
      </c>
      <c r="J167" s="10"/>
      <c r="K167" s="10"/>
      <c r="L167" s="10"/>
      <c r="M167" s="10"/>
      <c r="N167" s="10"/>
      <c r="O167" s="551"/>
      <c r="P167" s="148"/>
      <c r="Q167" s="148"/>
      <c r="T167" s="563"/>
      <c r="U167" s="283"/>
    </row>
    <row r="168" spans="2:21">
      <c r="B168" s="680"/>
      <c r="C168" s="10"/>
      <c r="D168" s="596"/>
      <c r="E168" s="596"/>
      <c r="F168" s="558"/>
      <c r="G168" s="10"/>
      <c r="H168" s="10"/>
      <c r="J168" s="601" t="s">
        <v>302</v>
      </c>
      <c r="K168" s="283">
        <f>INDICADORES!M8</f>
        <v>0</v>
      </c>
      <c r="L168" s="283">
        <f>INDICADORES!X8</f>
        <v>0</v>
      </c>
      <c r="M168" s="283">
        <f>INDICADORES!C8</f>
        <v>0</v>
      </c>
      <c r="N168" s="283">
        <f>INDICADORES!X8</f>
        <v>0</v>
      </c>
      <c r="O168" s="283">
        <v>436788.47999999998</v>
      </c>
      <c r="P168" s="283"/>
      <c r="Q168" s="283">
        <v>436788.47999999998</v>
      </c>
      <c r="T168" s="558"/>
      <c r="U168" s="283">
        <v>436788.47999999998</v>
      </c>
    </row>
    <row r="169" spans="2:21" ht="15.6">
      <c r="B169" s="680" t="s">
        <v>266</v>
      </c>
      <c r="C169" s="628">
        <v>0</v>
      </c>
      <c r="D169" s="633">
        <v>29</v>
      </c>
      <c r="E169" s="684"/>
      <c r="F169" s="551" t="s">
        <v>393</v>
      </c>
      <c r="G169" s="10"/>
      <c r="H169" s="188">
        <v>0</v>
      </c>
      <c r="J169" s="10"/>
      <c r="K169" s="10"/>
      <c r="L169" s="10"/>
      <c r="M169" s="10"/>
      <c r="N169" s="10"/>
      <c r="O169" s="283"/>
      <c r="P169" s="10"/>
      <c r="Q169" s="10"/>
      <c r="T169" s="551" t="s">
        <v>434</v>
      </c>
    </row>
    <row r="170" spans="2:21">
      <c r="O170" s="558"/>
      <c r="P170" s="10"/>
      <c r="Q170" s="10"/>
    </row>
    <row r="171" spans="2:21">
      <c r="B171" s="3249" t="s">
        <v>508</v>
      </c>
      <c r="C171" s="3249"/>
      <c r="D171" s="10"/>
      <c r="E171" s="10"/>
      <c r="F171" s="558"/>
      <c r="G171" s="10"/>
      <c r="H171" s="10"/>
      <c r="L171" s="285"/>
    </row>
    <row r="172" spans="2:21" ht="13.8" thickBot="1">
      <c r="B172" s="679" t="s">
        <v>297</v>
      </c>
      <c r="C172" s="266" t="s">
        <v>104</v>
      </c>
      <c r="D172" s="646" t="s">
        <v>547</v>
      </c>
      <c r="E172" s="646"/>
      <c r="F172" s="600" t="s">
        <v>296</v>
      </c>
      <c r="G172" s="148"/>
      <c r="H172" s="268">
        <v>2011</v>
      </c>
      <c r="J172" s="653" t="s">
        <v>300</v>
      </c>
      <c r="K172" s="646" t="s">
        <v>547</v>
      </c>
      <c r="L172" s="277" t="s">
        <v>432</v>
      </c>
      <c r="M172" s="648" t="s">
        <v>553</v>
      </c>
      <c r="N172" s="266"/>
      <c r="O172" s="600" t="s">
        <v>296</v>
      </c>
      <c r="P172" s="148"/>
      <c r="Q172" s="268">
        <v>2011</v>
      </c>
      <c r="T172" s="557"/>
      <c r="U172" s="557"/>
    </row>
    <row r="173" spans="2:21">
      <c r="B173" s="680" t="s">
        <v>293</v>
      </c>
      <c r="C173" s="625">
        <v>0</v>
      </c>
      <c r="D173" s="629">
        <v>1</v>
      </c>
      <c r="E173" s="553"/>
      <c r="F173" s="551" t="s">
        <v>483</v>
      </c>
      <c r="G173" s="3243"/>
      <c r="H173" s="188">
        <v>4</v>
      </c>
      <c r="J173" s="579" t="s">
        <v>301</v>
      </c>
      <c r="K173" s="517">
        <f>INDICADORES!S25</f>
        <v>0</v>
      </c>
      <c r="L173" s="598">
        <f>+INDICADORES!Z96</f>
        <v>0</v>
      </c>
      <c r="M173" s="651">
        <f>INDICADORES!H25</f>
        <v>0</v>
      </c>
      <c r="N173" s="598">
        <v>2.2000000000000002</v>
      </c>
      <c r="O173" s="650" t="s">
        <v>505</v>
      </c>
      <c r="P173" s="148"/>
      <c r="Q173" s="188">
        <v>8.1</v>
      </c>
      <c r="T173" s="551" t="s">
        <v>397</v>
      </c>
      <c r="U173" s="551" t="s">
        <v>435</v>
      </c>
    </row>
    <row r="174" spans="2:21">
      <c r="B174" s="680" t="s">
        <v>294</v>
      </c>
      <c r="C174" s="625" t="e">
        <f>INDICADORES!#REF!</f>
        <v>#REF!</v>
      </c>
      <c r="D174" s="634">
        <v>0</v>
      </c>
      <c r="E174" s="513"/>
      <c r="F174" s="551" t="s">
        <v>483</v>
      </c>
      <c r="G174" s="3243"/>
      <c r="H174" s="188">
        <v>0</v>
      </c>
      <c r="J174" s="372" t="s">
        <v>265</v>
      </c>
      <c r="K174" s="517">
        <v>13</v>
      </c>
      <c r="L174">
        <f>+INDICADORES!AA96</f>
        <v>0</v>
      </c>
      <c r="M174" s="651">
        <f>INDICADORES!I25</f>
        <v>0</v>
      </c>
      <c r="N174">
        <v>7</v>
      </c>
      <c r="O174" s="650" t="s">
        <v>504</v>
      </c>
      <c r="Q174" s="188">
        <v>223</v>
      </c>
      <c r="T174" s="551" t="s">
        <v>419</v>
      </c>
      <c r="U174" s="551" t="s">
        <v>501</v>
      </c>
    </row>
    <row r="175" spans="2:21" ht="13.8" thickBot="1">
      <c r="B175" s="680" t="s">
        <v>295</v>
      </c>
      <c r="C175" s="566">
        <v>1</v>
      </c>
      <c r="D175" s="514">
        <v>1</v>
      </c>
      <c r="E175" s="514"/>
      <c r="F175" s="557" t="s">
        <v>488</v>
      </c>
      <c r="G175" s="79"/>
      <c r="H175" s="268">
        <v>4</v>
      </c>
      <c r="J175" s="602" t="s">
        <v>299</v>
      </c>
      <c r="K175" s="517" t="e">
        <f>INDICADORES!U25</f>
        <v>#REF!</v>
      </c>
      <c r="L175" s="598">
        <f>+INDICADORES!AC96</f>
        <v>0</v>
      </c>
      <c r="M175" s="652">
        <f>INDICADORES!J25</f>
        <v>0</v>
      </c>
      <c r="N175" s="597"/>
      <c r="O175" s="649" t="s">
        <v>503</v>
      </c>
      <c r="P175" s="148"/>
      <c r="Q175" s="522">
        <v>3.2</v>
      </c>
      <c r="T175" s="557" t="s">
        <v>396</v>
      </c>
      <c r="U175" s="557" t="s">
        <v>502</v>
      </c>
    </row>
    <row r="176" spans="2:21" ht="15.6">
      <c r="B176" s="680"/>
      <c r="C176" s="269" t="e">
        <f>SUM(C173:C175)</f>
        <v>#REF!</v>
      </c>
      <c r="D176" s="286">
        <f>SUM(D173:D175)</f>
        <v>2</v>
      </c>
      <c r="E176" s="286"/>
      <c r="F176" s="563" t="s">
        <v>484</v>
      </c>
      <c r="G176" s="79"/>
      <c r="H176" s="188">
        <f>SUM(H173:H175)</f>
        <v>8</v>
      </c>
      <c r="J176" s="10"/>
      <c r="K176" s="10"/>
      <c r="L176" s="10"/>
      <c r="M176" s="10"/>
      <c r="N176" s="10"/>
      <c r="O176" s="551"/>
      <c r="P176" s="148"/>
      <c r="Q176" s="148"/>
      <c r="T176" s="563"/>
      <c r="U176" s="551"/>
    </row>
    <row r="177" spans="2:21">
      <c r="B177" s="680"/>
      <c r="C177" s="10"/>
      <c r="D177" s="10"/>
      <c r="E177" s="10"/>
      <c r="F177" s="558"/>
      <c r="G177" s="10"/>
      <c r="H177" s="10"/>
      <c r="J177" s="601" t="s">
        <v>302</v>
      </c>
      <c r="K177" s="283" t="e">
        <f>INDICADORES!#REF!</f>
        <v>#REF!</v>
      </c>
      <c r="L177" s="283" t="str">
        <f>[7]Sheet1!$B$17</f>
        <v>Administración</v>
      </c>
      <c r="M177" s="283">
        <f>INDICADORES!C25</f>
        <v>0</v>
      </c>
      <c r="N177" s="283">
        <f>INDICADORES!X25</f>
        <v>220105.15636363631</v>
      </c>
      <c r="O177" s="283">
        <v>492393.5</v>
      </c>
      <c r="P177" s="283"/>
      <c r="Q177" s="283">
        <v>492393.5</v>
      </c>
      <c r="T177" s="558"/>
      <c r="U177" s="283">
        <v>492393.5</v>
      </c>
    </row>
    <row r="178" spans="2:21" ht="15.6">
      <c r="B178" s="680" t="s">
        <v>266</v>
      </c>
      <c r="C178" s="628">
        <v>0</v>
      </c>
      <c r="D178" s="630">
        <v>3</v>
      </c>
      <c r="E178" s="516"/>
      <c r="F178" s="551" t="s">
        <v>490</v>
      </c>
      <c r="G178" s="10"/>
      <c r="H178" s="188">
        <v>110</v>
      </c>
      <c r="J178" s="10"/>
      <c r="K178" s="10"/>
      <c r="L178" s="10"/>
      <c r="M178" s="10"/>
      <c r="N178" s="10"/>
      <c r="O178" s="558"/>
      <c r="P178" s="10"/>
      <c r="Q178" s="10"/>
      <c r="T178" s="551" t="s">
        <v>491</v>
      </c>
    </row>
    <row r="179" spans="2:21">
      <c r="B179" s="188"/>
      <c r="C179" s="148"/>
      <c r="F179" s="551"/>
      <c r="G179" s="10"/>
      <c r="H179" s="188"/>
      <c r="J179" s="10"/>
      <c r="K179" s="10"/>
      <c r="L179" s="10"/>
      <c r="M179" s="10"/>
      <c r="N179" s="10"/>
      <c r="O179" s="558"/>
      <c r="P179" s="10"/>
      <c r="Q179" s="10"/>
    </row>
    <row r="180" spans="2:21">
      <c r="O180" s="558"/>
      <c r="P180" s="10"/>
      <c r="Q180" s="10"/>
    </row>
    <row r="181" spans="2:21">
      <c r="O181" s="558"/>
      <c r="P181" s="10"/>
      <c r="Q181" s="10"/>
    </row>
    <row r="182" spans="2:21">
      <c r="O182" s="558"/>
      <c r="P182" s="10"/>
      <c r="Q182" s="10"/>
    </row>
  </sheetData>
  <mergeCells count="17">
    <mergeCell ref="G173:G174"/>
    <mergeCell ref="G132:G133"/>
    <mergeCell ref="G153:G154"/>
    <mergeCell ref="B162:C162"/>
    <mergeCell ref="G142:G143"/>
    <mergeCell ref="B140:C140"/>
    <mergeCell ref="G164:G165"/>
    <mergeCell ref="G3:G4"/>
    <mergeCell ref="T29:V29"/>
    <mergeCell ref="T40:V40"/>
    <mergeCell ref="T11:Z11"/>
    <mergeCell ref="B171:C171"/>
    <mergeCell ref="G110:G111"/>
    <mergeCell ref="G64:G65"/>
    <mergeCell ref="G76:G77"/>
    <mergeCell ref="G87:G88"/>
    <mergeCell ref="G99:G100"/>
  </mergeCells>
  <phoneticPr fontId="44" type="noConversion"/>
  <pageMargins left="0.75" right="0.75" top="1" bottom="1" header="0" footer="0"/>
  <pageSetup paperSize="9" orientation="portrait" r:id="rId1"/>
  <headerFooter alignWithMargins="0"/>
  <customProperties>
    <customPr name="_pios_id" r:id="rId2"/>
  </customProperties>
  <ignoredErrors>
    <ignoredError sqref="F31 F42 F8 F3:F6" numberStoredAsText="1"/>
    <ignoredError sqref="H6"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2"/>
  <dimension ref="B1:CM301"/>
  <sheetViews>
    <sheetView topLeftCell="F1" zoomScale="85" workbookViewId="0">
      <selection activeCell="T3" sqref="T3"/>
    </sheetView>
  </sheetViews>
  <sheetFormatPr baseColWidth="10" defaultColWidth="11.44140625" defaultRowHeight="13.2"/>
  <cols>
    <col min="2" max="2" width="23.44140625" customWidth="1"/>
    <col min="3" max="3" width="15.5546875" style="400" customWidth="1"/>
    <col min="4" max="4" width="18.5546875" style="357" customWidth="1"/>
    <col min="5" max="5" width="18.5546875" customWidth="1"/>
    <col min="6" max="6" width="21.44140625" style="453" customWidth="1"/>
    <col min="7" max="7" width="19.5546875" style="453" customWidth="1"/>
    <col min="9" max="9" width="11.44140625" style="400"/>
    <col min="10" max="10" width="10.5546875" style="357" customWidth="1"/>
    <col min="16" max="16" width="15.44140625" bestFit="1" customWidth="1"/>
    <col min="17" max="17" width="15.44140625" style="63" bestFit="1" customWidth="1"/>
    <col min="52" max="52" width="13" customWidth="1"/>
    <col min="53" max="53" width="12.44140625" customWidth="1"/>
    <col min="54" max="54" width="14.44140625" customWidth="1"/>
    <col min="57" max="57" width="0" hidden="1" customWidth="1"/>
    <col min="58" max="58" width="13.5546875" hidden="1" customWidth="1"/>
    <col min="59" max="59" width="0" hidden="1" customWidth="1"/>
    <col min="60" max="60" width="13.44140625" hidden="1" customWidth="1"/>
    <col min="61" max="63" width="0" hidden="1" customWidth="1"/>
    <col min="64" max="64" width="13.44140625" hidden="1" customWidth="1"/>
    <col min="65" max="65" width="0" hidden="1" customWidth="1"/>
    <col min="66" max="66" width="13.5546875" hidden="1" customWidth="1"/>
    <col min="67" max="69" width="0" hidden="1" customWidth="1"/>
    <col min="70" max="70" width="13.44140625" hidden="1" customWidth="1"/>
    <col min="71" max="71" width="0" hidden="1" customWidth="1"/>
    <col min="72" max="72" width="13.44140625" hidden="1" customWidth="1"/>
    <col min="73" max="73" width="0" hidden="1" customWidth="1"/>
    <col min="76" max="76" width="13" customWidth="1"/>
    <col min="77" max="77" width="12.44140625" customWidth="1"/>
    <col min="78" max="78" width="14.44140625" customWidth="1"/>
    <col min="79" max="79" width="12" customWidth="1"/>
    <col min="82" max="82" width="12.5546875" customWidth="1"/>
    <col min="84" max="84" width="12.5546875" customWidth="1"/>
    <col min="88" max="88" width="12.5546875" customWidth="1"/>
    <col min="90" max="90" width="12.5546875" customWidth="1"/>
  </cols>
  <sheetData>
    <row r="1" spans="2:91" ht="13.8" thickBot="1">
      <c r="AD1" s="410"/>
      <c r="AE1" s="410"/>
      <c r="AF1" s="410"/>
      <c r="AG1" s="410"/>
      <c r="AH1" s="410"/>
      <c r="AI1" s="410"/>
      <c r="AJ1" s="410"/>
      <c r="AK1" s="410"/>
      <c r="AL1" s="410"/>
      <c r="AM1" s="410"/>
      <c r="AN1" s="410"/>
      <c r="AO1" s="410"/>
      <c r="AP1" s="410"/>
      <c r="AQ1" s="410"/>
      <c r="AR1" s="410"/>
      <c r="AS1" s="410"/>
      <c r="AT1" s="410"/>
      <c r="AU1" s="410"/>
      <c r="AV1" s="410"/>
    </row>
    <row r="2" spans="2:91" ht="13.8" thickBot="1">
      <c r="B2" s="3258" t="s">
        <v>352</v>
      </c>
      <c r="C2" s="3259"/>
      <c r="D2" s="401">
        <v>39083</v>
      </c>
      <c r="E2" s="151"/>
      <c r="M2" s="3251" t="s">
        <v>2</v>
      </c>
      <c r="N2" s="3251"/>
      <c r="O2" s="3251"/>
      <c r="Q2" s="3251" t="s">
        <v>2</v>
      </c>
      <c r="R2" s="3251"/>
      <c r="S2" s="3251"/>
      <c r="U2" s="3251" t="s">
        <v>2</v>
      </c>
      <c r="V2" s="3251"/>
      <c r="W2" s="3251"/>
      <c r="Y2" s="3251" t="s">
        <v>2</v>
      </c>
      <c r="Z2" s="3251"/>
      <c r="AA2" s="3251"/>
      <c r="AB2" s="8"/>
      <c r="AC2" s="3251" t="s">
        <v>2</v>
      </c>
      <c r="AD2" s="3251"/>
      <c r="AE2" s="3251"/>
      <c r="AF2" s="8"/>
      <c r="AG2" s="3251" t="s">
        <v>2</v>
      </c>
      <c r="AH2" s="3251"/>
      <c r="AI2" s="3251"/>
      <c r="AJ2" s="8"/>
      <c r="AK2" s="3251" t="s">
        <v>2</v>
      </c>
      <c r="AL2" s="3251"/>
      <c r="AM2" s="3251"/>
      <c r="AN2" s="8"/>
      <c r="AO2" s="3251" t="s">
        <v>2</v>
      </c>
      <c r="AP2" s="3251"/>
      <c r="AQ2" s="3251"/>
      <c r="AR2" s="8"/>
      <c r="AS2" s="8"/>
      <c r="AT2" s="8"/>
      <c r="AU2" s="8"/>
      <c r="AV2" s="8"/>
      <c r="AY2" s="3252" t="s">
        <v>74</v>
      </c>
      <c r="AZ2" s="3252"/>
      <c r="BA2" s="3252"/>
      <c r="BB2" s="3252"/>
      <c r="BC2" s="3252"/>
      <c r="BE2" s="3252" t="s">
        <v>77</v>
      </c>
      <c r="BF2" s="3252"/>
      <c r="BG2" s="3252"/>
      <c r="BH2" s="3252"/>
      <c r="BI2" s="3252"/>
      <c r="BK2" s="3252" t="s">
        <v>416</v>
      </c>
      <c r="BL2" s="3252"/>
      <c r="BM2" s="3252"/>
      <c r="BN2" s="3252"/>
      <c r="BO2" s="3252"/>
      <c r="BQ2" s="3252" t="s">
        <v>75</v>
      </c>
      <c r="BR2" s="3252"/>
      <c r="BS2" s="3252"/>
      <c r="BT2" s="3252"/>
      <c r="BU2" s="3252"/>
      <c r="BW2" s="3252" t="s">
        <v>91</v>
      </c>
      <c r="BX2" s="3252"/>
      <c r="BY2" s="3252"/>
      <c r="BZ2" s="3252"/>
      <c r="CA2" s="3252"/>
      <c r="CC2" s="3252" t="s">
        <v>429</v>
      </c>
      <c r="CD2" s="3252"/>
      <c r="CE2" s="3252"/>
      <c r="CF2" s="3252"/>
      <c r="CG2" s="3252"/>
      <c r="CI2" s="3252" t="s">
        <v>430</v>
      </c>
      <c r="CJ2" s="3252"/>
      <c r="CK2" s="3252"/>
      <c r="CL2" s="3252"/>
      <c r="CM2" s="3252"/>
    </row>
    <row r="3" spans="2:91" s="402" customFormat="1" ht="51.75" customHeight="1" thickBot="1">
      <c r="B3" s="403" t="s">
        <v>353</v>
      </c>
      <c r="C3" s="404" t="s">
        <v>354</v>
      </c>
      <c r="D3" s="405" t="s">
        <v>355</v>
      </c>
      <c r="E3" s="403" t="s">
        <v>356</v>
      </c>
      <c r="F3" s="406" t="s">
        <v>357</v>
      </c>
      <c r="G3" s="407" t="s">
        <v>358</v>
      </c>
      <c r="I3" s="408" t="s">
        <v>359</v>
      </c>
      <c r="J3" s="409" t="s">
        <v>355</v>
      </c>
      <c r="K3" s="410" t="s">
        <v>356</v>
      </c>
      <c r="M3" s="408" t="s">
        <v>74</v>
      </c>
      <c r="N3" s="409" t="s">
        <v>355</v>
      </c>
      <c r="O3" s="410" t="s">
        <v>356</v>
      </c>
      <c r="Q3" s="408" t="s">
        <v>77</v>
      </c>
      <c r="R3" s="409" t="s">
        <v>355</v>
      </c>
      <c r="S3" s="410" t="s">
        <v>356</v>
      </c>
      <c r="U3" s="408" t="s">
        <v>416</v>
      </c>
      <c r="V3" s="409" t="s">
        <v>355</v>
      </c>
      <c r="W3" s="410" t="s">
        <v>356</v>
      </c>
      <c r="Y3" s="408" t="s">
        <v>75</v>
      </c>
      <c r="Z3" s="409" t="s">
        <v>355</v>
      </c>
      <c r="AA3" s="410" t="s">
        <v>356</v>
      </c>
      <c r="AB3" s="410"/>
      <c r="AC3" s="408" t="s">
        <v>91</v>
      </c>
      <c r="AD3" s="409" t="s">
        <v>355</v>
      </c>
      <c r="AE3" s="410" t="s">
        <v>356</v>
      </c>
      <c r="AF3" s="410"/>
      <c r="AG3" s="408" t="s">
        <v>428</v>
      </c>
      <c r="AH3" s="409" t="s">
        <v>355</v>
      </c>
      <c r="AI3" s="410" t="s">
        <v>356</v>
      </c>
      <c r="AJ3" s="410"/>
      <c r="AK3" s="408" t="s">
        <v>93</v>
      </c>
      <c r="AL3" s="409" t="s">
        <v>355</v>
      </c>
      <c r="AM3" s="410" t="s">
        <v>356</v>
      </c>
      <c r="AN3" s="410"/>
      <c r="AO3" s="408" t="s">
        <v>429</v>
      </c>
      <c r="AP3" s="409" t="s">
        <v>355</v>
      </c>
      <c r="AQ3" s="410" t="s">
        <v>356</v>
      </c>
      <c r="AR3" s="410"/>
      <c r="AS3" s="408" t="s">
        <v>433</v>
      </c>
      <c r="AT3" s="409" t="s">
        <v>355</v>
      </c>
      <c r="AU3" s="410" t="s">
        <v>356</v>
      </c>
      <c r="AV3" s="410"/>
      <c r="AY3" s="531" t="s">
        <v>3</v>
      </c>
      <c r="AZ3" s="532" t="s">
        <v>4</v>
      </c>
      <c r="BA3" s="532" t="s">
        <v>5</v>
      </c>
      <c r="BB3" s="532" t="s">
        <v>0</v>
      </c>
      <c r="BC3" s="532" t="s">
        <v>1</v>
      </c>
      <c r="BE3" s="531" t="s">
        <v>3</v>
      </c>
      <c r="BF3" s="532" t="s">
        <v>4</v>
      </c>
      <c r="BG3" s="532" t="s">
        <v>5</v>
      </c>
      <c r="BH3" s="532" t="s">
        <v>0</v>
      </c>
      <c r="BI3" s="532" t="s">
        <v>1</v>
      </c>
      <c r="BK3" s="531" t="s">
        <v>3</v>
      </c>
      <c r="BL3" s="532" t="s">
        <v>4</v>
      </c>
      <c r="BM3" s="532" t="s">
        <v>5</v>
      </c>
      <c r="BN3" s="532" t="s">
        <v>0</v>
      </c>
      <c r="BO3" s="532" t="s">
        <v>1</v>
      </c>
      <c r="BQ3" s="531" t="s">
        <v>3</v>
      </c>
      <c r="BR3" s="532" t="s">
        <v>4</v>
      </c>
      <c r="BS3" s="532" t="s">
        <v>5</v>
      </c>
      <c r="BT3" s="532" t="s">
        <v>0</v>
      </c>
      <c r="BU3" s="532" t="s">
        <v>1</v>
      </c>
      <c r="BW3" s="531" t="s">
        <v>3</v>
      </c>
      <c r="BX3" s="532" t="s">
        <v>4</v>
      </c>
      <c r="BY3" s="532" t="s">
        <v>5</v>
      </c>
      <c r="BZ3" s="532" t="s">
        <v>0</v>
      </c>
      <c r="CA3" s="532" t="s">
        <v>1</v>
      </c>
      <c r="CC3" s="531" t="s">
        <v>3</v>
      </c>
      <c r="CD3" s="532" t="s">
        <v>4</v>
      </c>
      <c r="CE3" s="532" t="s">
        <v>5</v>
      </c>
      <c r="CF3" s="532" t="s">
        <v>0</v>
      </c>
      <c r="CG3" s="532" t="s">
        <v>1</v>
      </c>
      <c r="CI3" s="531" t="s">
        <v>3</v>
      </c>
      <c r="CJ3" s="532" t="s">
        <v>4</v>
      </c>
      <c r="CK3" s="532" t="s">
        <v>5</v>
      </c>
      <c r="CL3" s="532" t="s">
        <v>0</v>
      </c>
      <c r="CM3" s="532" t="s">
        <v>1</v>
      </c>
    </row>
    <row r="4" spans="2:91" ht="12.6" customHeight="1">
      <c r="B4" s="3260" t="s">
        <v>81</v>
      </c>
      <c r="C4" s="411">
        <v>39761</v>
      </c>
      <c r="D4" s="412">
        <f>+C4-$D$2</f>
        <v>678</v>
      </c>
      <c r="E4" s="413">
        <v>8</v>
      </c>
      <c r="F4" s="485">
        <f>SUM(D4:D6)/COUNT(E4:E6)</f>
        <v>497</v>
      </c>
      <c r="G4" s="485">
        <f>SUM(E4:E6)/COUNT(E4:E6)</f>
        <v>12.666666666666666</v>
      </c>
      <c r="I4" s="463">
        <v>39091</v>
      </c>
      <c r="J4" s="412">
        <f>+I4-D2</f>
        <v>8</v>
      </c>
      <c r="K4" s="413">
        <v>2</v>
      </c>
      <c r="M4" s="534">
        <v>39127</v>
      </c>
      <c r="N4" s="460">
        <f>+M4-$D$2</f>
        <v>44</v>
      </c>
      <c r="O4" s="535">
        <v>2</v>
      </c>
      <c r="Q4" s="534">
        <v>39209</v>
      </c>
      <c r="R4" s="460">
        <f>+Q4-$D$2</f>
        <v>126</v>
      </c>
      <c r="S4" s="535">
        <v>3</v>
      </c>
      <c r="U4" s="534">
        <v>39125</v>
      </c>
      <c r="V4" s="460">
        <f>+U4-$D$2</f>
        <v>42</v>
      </c>
      <c r="W4" s="535">
        <v>4</v>
      </c>
      <c r="Y4" s="534">
        <v>39100</v>
      </c>
      <c r="Z4" s="460">
        <f>+Y4-$D$2</f>
        <v>17</v>
      </c>
      <c r="AA4" s="535">
        <v>41</v>
      </c>
      <c r="AB4" s="535"/>
      <c r="AC4" s="534">
        <v>39122</v>
      </c>
      <c r="AD4" s="460">
        <f>+AC4-$D$2</f>
        <v>39</v>
      </c>
      <c r="AE4" s="535">
        <v>2</v>
      </c>
      <c r="AF4" s="535"/>
      <c r="AG4" s="534">
        <v>39125</v>
      </c>
      <c r="AH4" s="460">
        <f>+AG4-$D$2</f>
        <v>42</v>
      </c>
      <c r="AI4" s="535">
        <v>2</v>
      </c>
      <c r="AJ4" s="535"/>
      <c r="AK4" s="534">
        <v>39227</v>
      </c>
      <c r="AL4" s="460">
        <v>144</v>
      </c>
      <c r="AM4" s="535">
        <v>2</v>
      </c>
      <c r="AN4" s="535"/>
      <c r="AO4" s="534">
        <v>39140</v>
      </c>
      <c r="AP4" s="460">
        <f>+AO4-$D$2</f>
        <v>57</v>
      </c>
      <c r="AQ4" s="535">
        <v>7</v>
      </c>
      <c r="AR4" s="535"/>
      <c r="AS4" s="534">
        <v>39140</v>
      </c>
      <c r="AT4" s="460">
        <f>+AS4-$D$2</f>
        <v>57</v>
      </c>
      <c r="AU4" s="535">
        <v>7</v>
      </c>
      <c r="AV4" s="535"/>
      <c r="AY4" s="531">
        <v>2007</v>
      </c>
      <c r="AZ4" s="533">
        <f>SUM(MTBA!N4:N12)/COUNT(MTBA!O4:O12)</f>
        <v>40.444444444444443</v>
      </c>
      <c r="BA4" s="533">
        <f>SUM(MTBA!N4:N12)/COUNT(MTBA!O4:O12)</f>
        <v>40.444444444444443</v>
      </c>
      <c r="BB4" s="533">
        <f>SUM(MTBA!O4:O12)/COUNT(MTBA!O4:O12)</f>
        <v>4.2222222222222223</v>
      </c>
      <c r="BC4" s="533">
        <f>SUM(MTBA!O4:O12)/COUNT(MTBA!O4:O12)</f>
        <v>4.2222222222222223</v>
      </c>
      <c r="BE4" s="531">
        <v>2007</v>
      </c>
      <c r="BF4" s="533">
        <f>SUM(MTBA!R4:R14)/COUNT(MTBA!R4:R14)</f>
        <v>33.090909090909093</v>
      </c>
      <c r="BG4" s="533">
        <f>SUM(MTBA!R4:R14)/COUNT(MTBA!R4:R14)</f>
        <v>33.090909090909093</v>
      </c>
      <c r="BH4" s="533">
        <f>SUM(MTBA!S4:S14)/COUNT(MTBA!S4:S14)</f>
        <v>12.454545454545455</v>
      </c>
      <c r="BI4" s="533">
        <f>SUM(MTBA!S4:S14)/COUNT(MTBA!S4:S14)</f>
        <v>12.454545454545455</v>
      </c>
      <c r="BK4" s="531">
        <v>2007</v>
      </c>
      <c r="BL4" s="533">
        <f>SUM(MTBA!$V$4:$V$10)/COUNT(MTBA!$V$4:$V$10)</f>
        <v>52</v>
      </c>
      <c r="BM4" s="533">
        <f>SUM(MTBA!$V$4:$V$10)/COUNT(MTBA!$V$4:$V$10)</f>
        <v>52</v>
      </c>
      <c r="BN4" s="533">
        <f>SUM(MTBA!$W$4:$W$10)/COUNT(MTBA!$W$4:$W$10)</f>
        <v>6.7142857142857144</v>
      </c>
      <c r="BO4" s="533">
        <f>SUM(MTBA!$W$4:$W$10)/COUNT(MTBA!$W$4:$W$10)</f>
        <v>6.7142857142857144</v>
      </c>
      <c r="BQ4" s="531">
        <v>2007</v>
      </c>
      <c r="BR4" s="533">
        <f>SUM(MTBA!$Z$4:$Z$12)/COUNT(MTBA!$Z$4:$Z$12)</f>
        <v>40.444444444444443</v>
      </c>
      <c r="BS4" s="533">
        <f>SUM(MTBA!$Z$4:$Z$12)/COUNT(MTBA!$Z$4:$Z$12)</f>
        <v>40.444444444444443</v>
      </c>
      <c r="BT4" s="533">
        <f>SUM(MTBA!$AA$4:$AA$12)/COUNT(MTBA!$AA$4:$AA$12)</f>
        <v>19.888888888888889</v>
      </c>
      <c r="BU4" s="533">
        <f>SUM(MTBA!$AA$4:$AA$12)/COUNT(MTBA!$AA$4:$AA$12)</f>
        <v>19.888888888888889</v>
      </c>
      <c r="BW4" s="531">
        <v>2007</v>
      </c>
      <c r="BX4" s="533">
        <f>SUM(MTBA!AD4:AD13)/COUNT(MTBA!AE4:AE13)</f>
        <v>36.4</v>
      </c>
      <c r="BY4" s="533">
        <f>SUM(MTBA!AD4:AD13)/COUNT(MTBA!AE4:AE13)</f>
        <v>36.4</v>
      </c>
      <c r="BZ4" s="533">
        <f>SUM(MTBA!AE4:AE13)/COUNT(MTBA!AE4:AE13)</f>
        <v>4.9000000000000004</v>
      </c>
      <c r="CA4" s="533">
        <f>SUM(MTBA!AE4:AE13)/COUNT(MTBA!AE4:AE13)</f>
        <v>4.9000000000000004</v>
      </c>
      <c r="CC4" s="531">
        <v>2007</v>
      </c>
      <c r="CD4" s="533">
        <f>SUM(MTBA!AP4:AP10)/COUNT(MTBA!AQ4:AQ10)</f>
        <v>52</v>
      </c>
      <c r="CE4" s="533">
        <f>SUM(MTBA!AJ4:AJ13)/COUNT(MTBA!AK4:AK13)</f>
        <v>0</v>
      </c>
      <c r="CF4" s="533">
        <f>SUM(MTBA!AK4:AK13)/COUNT(MTBA!AK4:AK13)</f>
        <v>39465.699999999997</v>
      </c>
      <c r="CG4" s="533">
        <f>SUM(MTBA!AK4:AK13)/COUNT(MTBA!AK4:AK13)</f>
        <v>39465.699999999997</v>
      </c>
      <c r="CI4" s="531">
        <v>2007</v>
      </c>
      <c r="CJ4" s="533">
        <f>SUM(MTBA!AP4:AP13)/COUNT(MTBA!AQ4:AQ13)</f>
        <v>70.2</v>
      </c>
      <c r="CK4" s="533">
        <f>SUM(MTBA!AP4:AP13)/COUNT(MTBA!AQ4:AQ13)</f>
        <v>70.2</v>
      </c>
      <c r="CL4" s="533">
        <f>SUM(MTBA!AQ4:AQ13)/COUNT(MTBA!AQ4:AQ13)</f>
        <v>8.1</v>
      </c>
      <c r="CM4" s="533">
        <f>SUM(MTBA!AQ4:AQ13)/COUNT(MTBA!AQ4:AQ13)</f>
        <v>8.1</v>
      </c>
    </row>
    <row r="5" spans="2:91" ht="12.6" customHeight="1">
      <c r="B5" s="3261"/>
      <c r="C5" s="414">
        <v>40287</v>
      </c>
      <c r="D5" s="415">
        <f>+C5-C4</f>
        <v>526</v>
      </c>
      <c r="E5" s="416">
        <v>30</v>
      </c>
      <c r="F5" s="486"/>
      <c r="G5" s="486"/>
      <c r="I5" s="414">
        <v>39100</v>
      </c>
      <c r="J5" s="460">
        <f>+I5-I4</f>
        <v>9</v>
      </c>
      <c r="K5" s="416">
        <v>41</v>
      </c>
      <c r="M5" s="534">
        <v>39190</v>
      </c>
      <c r="N5" s="460">
        <f>+M5-M4</f>
        <v>63</v>
      </c>
      <c r="O5" s="535">
        <v>3</v>
      </c>
      <c r="Q5" s="534">
        <v>39259</v>
      </c>
      <c r="R5" s="415">
        <f t="shared" ref="R5:R25" si="0">+Q5-Q4</f>
        <v>50</v>
      </c>
      <c r="S5" s="535">
        <v>3</v>
      </c>
      <c r="U5" s="534">
        <v>39125</v>
      </c>
      <c r="V5" s="415">
        <f t="shared" ref="V5:V26" si="1">+U5-U4</f>
        <v>0</v>
      </c>
      <c r="W5" s="535">
        <v>21</v>
      </c>
      <c r="Y5" s="534">
        <v>39129</v>
      </c>
      <c r="Z5" s="460">
        <f>+Y5-Y4</f>
        <v>29</v>
      </c>
      <c r="AA5" s="535">
        <v>72</v>
      </c>
      <c r="AB5" s="535"/>
      <c r="AC5" s="534">
        <v>39155</v>
      </c>
      <c r="AD5" s="415">
        <f t="shared" ref="AD5:AD46" si="2">+AC5-AC4</f>
        <v>33</v>
      </c>
      <c r="AE5" s="535">
        <v>1</v>
      </c>
      <c r="AF5" s="535"/>
      <c r="AG5" s="534">
        <v>39189</v>
      </c>
      <c r="AH5" s="460">
        <f t="shared" ref="AH5:AH18" si="3">+AG5-AG4</f>
        <v>64</v>
      </c>
      <c r="AI5" s="535">
        <v>30</v>
      </c>
      <c r="AJ5" s="535"/>
      <c r="AK5" s="534">
        <v>39231</v>
      </c>
      <c r="AL5" s="460">
        <v>4</v>
      </c>
      <c r="AM5" s="535">
        <v>92</v>
      </c>
      <c r="AN5" s="535"/>
      <c r="AO5" s="534">
        <v>39164</v>
      </c>
      <c r="AP5" s="415">
        <f t="shared" ref="AP5:AP10" si="4">+AO5-AO4</f>
        <v>24</v>
      </c>
      <c r="AQ5" s="535">
        <v>7</v>
      </c>
      <c r="AR5" s="535"/>
      <c r="AS5" s="534">
        <v>39164</v>
      </c>
      <c r="AT5" s="415">
        <f>+AS5-AS4</f>
        <v>24</v>
      </c>
      <c r="AU5" s="535">
        <v>7</v>
      </c>
      <c r="AV5" s="535"/>
      <c r="AY5" s="531">
        <v>2008</v>
      </c>
      <c r="AZ5" s="533">
        <f>SUM(MTBA!N4:N28)/COUNT(MTBA!O4:O28)</f>
        <v>29.2</v>
      </c>
      <c r="BA5" s="533">
        <f>SUM(MTBA!N13:N28)/COUNT(MTBA!O13:O28)</f>
        <v>22.875</v>
      </c>
      <c r="BB5" s="533">
        <f>SUM(MTBA!O4:O28)/COUNT(MTBA!O4:O28)</f>
        <v>10.08</v>
      </c>
      <c r="BC5" s="533">
        <f>SUM(MTBA!O13:O28)/COUNT(MTBA!O13:O28)</f>
        <v>13.375</v>
      </c>
      <c r="BE5" s="531">
        <v>2008</v>
      </c>
      <c r="BF5" s="533">
        <f>SUM(MTBA!R4:R17)/COUNT(MTBA!R4:R17)</f>
        <v>52.142857142857146</v>
      </c>
      <c r="BG5" s="533">
        <f>SUM(MTBA!R15:R17)/COUNT(MTBA!R15:R17)</f>
        <v>122</v>
      </c>
      <c r="BH5" s="533">
        <f>SUM(MTBA!S4:S17)/COUNT(MTBA!S4:S17)</f>
        <v>12.928571428571429</v>
      </c>
      <c r="BI5" s="533">
        <f>SUM(MTBA!S15:S17)/COUNT(MTBA!S15:S17)</f>
        <v>14.666666666666666</v>
      </c>
      <c r="BK5" s="531">
        <v>2008</v>
      </c>
      <c r="BL5" s="533">
        <f>SUM(MTBA!$V$4:$V$16)/COUNT(MTBA!$V$4:$V$16)</f>
        <v>56.153846153846153</v>
      </c>
      <c r="BM5" s="533">
        <f>SUM(MTBA!$V$11:$V$16)/COUNT(MTBA!$V$11:$V$16)</f>
        <v>61</v>
      </c>
      <c r="BN5" s="533">
        <f>SUM(MTBA!$W$4:$W$16)/COUNT(MTBA!$W$4:$W$16)</f>
        <v>5.4615384615384617</v>
      </c>
      <c r="BO5" s="533">
        <f>SUM(MTBA!$W$11:$W$16)/COUNT(MTBA!$W$11:$W$16)</f>
        <v>4</v>
      </c>
      <c r="BQ5" s="531">
        <v>2008</v>
      </c>
      <c r="BR5" s="533">
        <f>SUM(MTBA!$Z$4:$Z$18)/COUNT(MTBA!$Z$4:$Z$18)</f>
        <v>48.666666666666664</v>
      </c>
      <c r="BS5" s="533">
        <f>SUM(MTBA!$Z$13:$Z$18)/COUNT(MTBA!$Z$13:$Z$18)</f>
        <v>61</v>
      </c>
      <c r="BT5" s="533">
        <f>SUM(MTBA!$AA$4:$AA$18)/COUNT(MTBA!$AA$4:$AA$18)</f>
        <v>20.133333333333333</v>
      </c>
      <c r="BU5" s="533">
        <f>SUM(MTBA!$AA$13:$AA$18)/COUNT(MTBA!$AA$13:$AA$18)</f>
        <v>20.5</v>
      </c>
      <c r="BW5" s="531">
        <v>2008</v>
      </c>
      <c r="BX5" s="533">
        <f>SUM(MTBA!AD4:AD23)/COUNT(MTBA!AE4:AE23)</f>
        <v>36.5</v>
      </c>
      <c r="BY5" s="533">
        <f>SUM(MTBA!AD14:AD23)/COUNT(MTBA!AE14:AE23)</f>
        <v>36.6</v>
      </c>
      <c r="BZ5" s="533">
        <f>SUM(MTBA!AE4:AE23)/COUNT(MTBA!AE4:AE23)</f>
        <v>11.45</v>
      </c>
      <c r="CA5" s="533">
        <f>SUM(MTBA!AE14:AE23)/COUNT(MTBA!AE14:AE23)</f>
        <v>18</v>
      </c>
      <c r="CC5" s="531">
        <v>2008</v>
      </c>
      <c r="CD5" s="533">
        <f>SUM(MTBA!AP4:AP14)/COUNT(MTBA!AQ4:AQ14)</f>
        <v>79.454545454545453</v>
      </c>
      <c r="CE5" s="533">
        <f>SUM(MTBA!AJ14:AJ23)/COUNT(MTBA!AK14:AK23)</f>
        <v>0</v>
      </c>
      <c r="CF5" s="533">
        <f>SUM(MTBA!AK4:AK23)/COUNT(MTBA!AK4:AK23)</f>
        <v>39714.428571428572</v>
      </c>
      <c r="CG5" s="533">
        <f>SUM(MTBA!AK14:AK23)/COUNT(MTBA!AK14:AK23)</f>
        <v>40336.25</v>
      </c>
      <c r="CI5" s="531">
        <v>2008</v>
      </c>
      <c r="CJ5" s="533">
        <f>SUM(MTBA!AP4:AP23)/COUNT(MTBA!AQ4:AQ23)</f>
        <v>89.9</v>
      </c>
      <c r="CK5" s="533">
        <f>SUM(MTBA!AP14:AP23)/COUNT(MTBA!AQ14:AQ23)</f>
        <v>109.6</v>
      </c>
      <c r="CL5" s="533">
        <f>SUM(MTBA!AQ4:AQ23)/COUNT(MTBA!AQ4:AQ23)</f>
        <v>9.3000000000000007</v>
      </c>
      <c r="CM5" s="533">
        <f>SUM(MTBA!AQ14:AQ23)/COUNT(MTBA!AQ14:AQ23)</f>
        <v>10.5</v>
      </c>
    </row>
    <row r="6" spans="2:91" ht="13.5" customHeight="1" thickBot="1">
      <c r="B6" s="3262"/>
      <c r="C6" s="417">
        <v>40574</v>
      </c>
      <c r="D6" s="418">
        <f>+C6-C5</f>
        <v>287</v>
      </c>
      <c r="E6" s="419">
        <v>0</v>
      </c>
      <c r="F6" s="455"/>
      <c r="G6" s="455"/>
      <c r="I6" s="456">
        <v>39116</v>
      </c>
      <c r="J6" s="460">
        <f t="shared" ref="J6:J69" si="5">+I6-I5</f>
        <v>16</v>
      </c>
      <c r="K6" s="419">
        <v>3</v>
      </c>
      <c r="M6" s="534">
        <v>39246</v>
      </c>
      <c r="N6" s="460">
        <f t="shared" ref="N6:N48" si="6">+M6-M5</f>
        <v>56</v>
      </c>
      <c r="O6" s="535">
        <v>3</v>
      </c>
      <c r="Q6" s="534">
        <v>39271</v>
      </c>
      <c r="R6" s="415">
        <f t="shared" si="0"/>
        <v>12</v>
      </c>
      <c r="S6" s="535">
        <v>71</v>
      </c>
      <c r="U6" s="534">
        <v>39185</v>
      </c>
      <c r="V6" s="415">
        <f t="shared" si="1"/>
        <v>60</v>
      </c>
      <c r="W6" s="535">
        <v>4</v>
      </c>
      <c r="Y6" s="534">
        <v>39304</v>
      </c>
      <c r="Z6" s="460">
        <f t="shared" ref="Z6:Z32" si="7">+Y6-Y5</f>
        <v>175</v>
      </c>
      <c r="AA6" s="535">
        <v>2</v>
      </c>
      <c r="AB6" s="535"/>
      <c r="AC6" s="534">
        <v>39161</v>
      </c>
      <c r="AD6" s="415">
        <f t="shared" si="2"/>
        <v>6</v>
      </c>
      <c r="AE6" s="535">
        <v>11</v>
      </c>
      <c r="AF6" s="535"/>
      <c r="AG6" s="534">
        <v>39196</v>
      </c>
      <c r="AH6" s="460">
        <f t="shared" si="3"/>
        <v>7</v>
      </c>
      <c r="AI6" s="535">
        <v>3</v>
      </c>
      <c r="AJ6" s="535"/>
      <c r="AK6" s="534">
        <v>39331</v>
      </c>
      <c r="AL6" s="460">
        <v>100</v>
      </c>
      <c r="AM6" s="535">
        <v>2</v>
      </c>
      <c r="AN6" s="535"/>
      <c r="AO6" s="534">
        <v>39253</v>
      </c>
      <c r="AP6" s="415">
        <f t="shared" si="4"/>
        <v>89</v>
      </c>
      <c r="AQ6" s="535">
        <v>2</v>
      </c>
      <c r="AR6" s="535"/>
      <c r="AS6" s="534">
        <v>39253</v>
      </c>
      <c r="AT6" s="415">
        <f>+AS6-AS5</f>
        <v>89</v>
      </c>
      <c r="AU6" s="535">
        <v>2</v>
      </c>
      <c r="AV6" s="535"/>
      <c r="AY6" s="531">
        <v>2009</v>
      </c>
      <c r="AZ6" s="533">
        <f>SUM(MTBA!N4:N36)/COUNT(MTBA!O4:O36)</f>
        <v>33.18181818181818</v>
      </c>
      <c r="BA6" s="533">
        <f>SUM(MTBA!N29:N36)/COUNT(MTBA!O29:O36)</f>
        <v>45.625</v>
      </c>
      <c r="BB6" s="533">
        <f>SUM(MTBA!O4:O36)/COUNT(MTBA!O4:O36)</f>
        <v>10.606060606060606</v>
      </c>
      <c r="BC6" s="533">
        <f>SUM(MTBA!O29:O36)/COUNT(MTBA!O29:O36)</f>
        <v>12.25</v>
      </c>
      <c r="BE6" s="531">
        <v>2009</v>
      </c>
      <c r="BF6" s="533">
        <f>SUM(MTBA!R4:R18)/COUNT(MTBA!R4:R18)</f>
        <v>73</v>
      </c>
      <c r="BG6" s="533">
        <f>SUM(MTBA!R18:R18)/COUNT(MTBA!R18:R18)</f>
        <v>365</v>
      </c>
      <c r="BH6" s="533">
        <f>SUM(MTBA!S4:S18)/COUNT(MTBA!S4:S18)</f>
        <v>12.066666666666666</v>
      </c>
      <c r="BI6" s="533">
        <f>SUM(MTBA!S18:S18)/COUNT(MTBA!S18:S18)</f>
        <v>0</v>
      </c>
      <c r="BK6" s="531">
        <v>2009</v>
      </c>
      <c r="BL6" s="533">
        <f>SUM(MTBA!$V$4:$V$21)/COUNT(MTBA!$V$4:$V$21)</f>
        <v>60.833333333333336</v>
      </c>
      <c r="BM6" s="533">
        <f>SUM(MTBA!$V$17:$V$21)/COUNT(MTBA!$V$17:$V$21)</f>
        <v>73</v>
      </c>
      <c r="BN6" s="533">
        <f>SUM(MTBA!$W$4:$W$21)/COUNT(MTBA!$W$4:$W$21)</f>
        <v>7.9444444444444446</v>
      </c>
      <c r="BO6" s="533">
        <f>SUM(MTBA!$W$17:$W$21)/COUNT(MTBA!$W$17:$W$21)</f>
        <v>14.4</v>
      </c>
      <c r="BQ6" s="531">
        <v>2009</v>
      </c>
      <c r="BR6" s="533">
        <f>SUM(MTBA!$Z$4:$Z$22)/COUNT(MTBA!$Z$4:$Z$22)</f>
        <v>57.631578947368418</v>
      </c>
      <c r="BS6" s="533">
        <f>SUM(MTBA!$Z$19:$Z$22)/COUNT(MTBA!$Z$19:$Z$22)</f>
        <v>91.25</v>
      </c>
      <c r="BT6" s="533">
        <f>SUM(MTBA!$AA$4:$AA$22)/COUNT(MTBA!$AA$4:$AA$22)</f>
        <v>17.526315789473685</v>
      </c>
      <c r="BU6" s="533">
        <f>SUM(MTBA!$AA$19:$AA$22)/COUNT(MTBA!$AA$19:$AA$22)</f>
        <v>7.75</v>
      </c>
      <c r="BW6" s="531">
        <v>2009</v>
      </c>
      <c r="BX6" s="533">
        <f>SUM(MTBA!AD4:AD29)/COUNT(MTBA!AE4:AE29)</f>
        <v>42.115384615384613</v>
      </c>
      <c r="BY6" s="533">
        <f>SUM(MTBA!AD24:AD29)/COUNT(MTBA!AE24:AE29)</f>
        <v>60.833333333333336</v>
      </c>
      <c r="BZ6" s="533">
        <f>SUM(MTBA!AE4:AE29)/COUNT(MTBA!AE4:AE29)</f>
        <v>11.615384615384615</v>
      </c>
      <c r="CA6" s="533">
        <f>SUM(MTBA!AE24:AE29)/COUNT(MTBA!AE24:AE29)</f>
        <v>12.166666666666666</v>
      </c>
      <c r="CC6" s="531">
        <v>2009</v>
      </c>
      <c r="CD6" s="533">
        <f>SUM(MTBA!AP4:AP17)/COUNT(MTBA!AQ4:AQ17)</f>
        <v>100.78571428571429</v>
      </c>
      <c r="CE6" s="533" t="e">
        <f>SUM(MTBA!AJ24:AJ29)/COUNT(MTBA!AK24:AK29)</f>
        <v>#DIV/0!</v>
      </c>
      <c r="CF6" s="533">
        <f>SUM(MTBA!AK4:AK29)/COUNT(MTBA!AK4:AK29)</f>
        <v>39714.428571428572</v>
      </c>
      <c r="CG6" s="533" t="e">
        <f>SUM(MTBA!AK24:AK29)/COUNT(MTBA!AK24:AK29)</f>
        <v>#DIV/0!</v>
      </c>
      <c r="CI6" s="531">
        <v>2009</v>
      </c>
      <c r="CJ6" s="533">
        <f>SUM(MTBA!AP4:AP29)/COUNT(MTBA!AQ4:AQ29)</f>
        <v>87.095238095238102</v>
      </c>
      <c r="CK6" s="533">
        <f>SUM(MTBA!AP24:AP29)/COUNT(MTBA!AQ24:AQ29)</f>
        <v>31</v>
      </c>
      <c r="CL6" s="533">
        <f>SUM(MTBA!AQ4:AQ29)/COUNT(MTBA!AQ4:AQ29)</f>
        <v>8.8571428571428577</v>
      </c>
      <c r="CM6" s="533">
        <f>SUM(MTBA!AQ24:AQ29)/COUNT(MTBA!AQ24:AQ29)</f>
        <v>0</v>
      </c>
    </row>
    <row r="7" spans="2:91" ht="12.6" customHeight="1">
      <c r="B7" s="3253" t="s">
        <v>82</v>
      </c>
      <c r="C7" s="448">
        <v>39323</v>
      </c>
      <c r="D7" s="420">
        <f>+C7-$D$2</f>
        <v>240</v>
      </c>
      <c r="E7" s="421">
        <v>8</v>
      </c>
      <c r="F7" s="487">
        <f>SUM(D7:D24)/COUNT(E7:E24)</f>
        <v>82.833333333333329</v>
      </c>
      <c r="G7" s="487">
        <f>SUM(E7:E24)/COUNT(E7:E24)</f>
        <v>14.111111111111111</v>
      </c>
      <c r="I7" s="448">
        <v>39122</v>
      </c>
      <c r="J7" s="460">
        <f t="shared" si="5"/>
        <v>6</v>
      </c>
      <c r="K7" s="421">
        <v>2</v>
      </c>
      <c r="M7" s="534">
        <v>39268</v>
      </c>
      <c r="N7" s="460">
        <f t="shared" si="6"/>
        <v>22</v>
      </c>
      <c r="O7" s="535">
        <v>2</v>
      </c>
      <c r="Q7" s="534">
        <v>39291</v>
      </c>
      <c r="R7" s="415">
        <f t="shared" si="0"/>
        <v>20</v>
      </c>
      <c r="S7" s="535">
        <v>15</v>
      </c>
      <c r="U7" s="534">
        <v>39185</v>
      </c>
      <c r="V7" s="415">
        <f t="shared" si="1"/>
        <v>0</v>
      </c>
      <c r="W7" s="535">
        <v>4</v>
      </c>
      <c r="Y7" s="534">
        <v>39312</v>
      </c>
      <c r="Z7" s="460">
        <f t="shared" si="7"/>
        <v>8</v>
      </c>
      <c r="AA7" s="535">
        <v>2</v>
      </c>
      <c r="AB7" s="535"/>
      <c r="AC7" s="534">
        <v>39187</v>
      </c>
      <c r="AD7" s="415">
        <f t="shared" si="2"/>
        <v>26</v>
      </c>
      <c r="AE7" s="535">
        <v>1</v>
      </c>
      <c r="AF7" s="535"/>
      <c r="AG7" s="534">
        <v>39214</v>
      </c>
      <c r="AH7" s="460">
        <f t="shared" si="3"/>
        <v>18</v>
      </c>
      <c r="AI7" s="535">
        <v>3</v>
      </c>
      <c r="AJ7" s="535"/>
      <c r="AK7" s="534">
        <v>39420</v>
      </c>
      <c r="AL7" s="460">
        <v>89</v>
      </c>
      <c r="AM7" s="535">
        <v>4</v>
      </c>
      <c r="AN7" s="535"/>
      <c r="AO7" s="534">
        <v>39273</v>
      </c>
      <c r="AP7" s="415">
        <f t="shared" si="4"/>
        <v>20</v>
      </c>
      <c r="AQ7" s="535">
        <v>2</v>
      </c>
      <c r="AR7" s="535"/>
      <c r="AS7" s="534">
        <v>39273</v>
      </c>
      <c r="AT7" s="415">
        <f>+AS7-AS6</f>
        <v>20</v>
      </c>
      <c r="AU7" s="535">
        <v>2</v>
      </c>
      <c r="AV7" s="535"/>
      <c r="AY7" s="531">
        <v>2010</v>
      </c>
      <c r="AZ7" s="533">
        <f>SUM(MTBA!N4:N46)/COUNT(MTBA!O4:O46)</f>
        <v>33.953488372093027</v>
      </c>
      <c r="BA7" s="533">
        <f>SUM(MTBA!N37:N46)/COUNT(MTBA!O37:O46)</f>
        <v>36.5</v>
      </c>
      <c r="BB7" s="533">
        <f>SUM(MTBA!O4:O46)/COUNT(MTBA!O4:O46)</f>
        <v>12.418604651162791</v>
      </c>
      <c r="BC7" s="533">
        <f>SUM(MTBA!O37:O46)/COUNT(MTBA!O37:O46)</f>
        <v>18.399999999999999</v>
      </c>
      <c r="BE7" s="531">
        <v>2010</v>
      </c>
      <c r="BF7" s="533">
        <f>SUM(MTBA!R4:R24)/COUNT(MTBA!R4:R24)</f>
        <v>69.523809523809518</v>
      </c>
      <c r="BG7" s="533">
        <f>SUM(MTBA!R19:R24)/COUNT(MTBA!R19:R24)</f>
        <v>60.833333333333336</v>
      </c>
      <c r="BH7" s="533">
        <f>SUM(MTBA!S4:S24)/COUNT(MTBA!S4:S24)</f>
        <v>15.714285714285714</v>
      </c>
      <c r="BI7" s="533">
        <f>SUM(MTBA!S19:S24)/COUNT(MTBA!S19:S24)</f>
        <v>24.833333333333332</v>
      </c>
      <c r="BK7" s="531">
        <v>2010</v>
      </c>
      <c r="BL7" s="533">
        <f>SUM(MTBA!$V$4:$V$25)/COUNT(MTBA!$V$4:$V$25)</f>
        <v>66.36363636363636</v>
      </c>
      <c r="BM7" s="533">
        <f>SUM(MTBA!$V$22:$V$25)/COUNT(MTBA!$V$22:$V$25)</f>
        <v>91.25</v>
      </c>
      <c r="BN7" s="533">
        <f>SUM(MTBA!$W$4:$W$25)/COUNT(MTBA!$W$4:$W$25)</f>
        <v>8.2272727272727266</v>
      </c>
      <c r="BO7" s="533">
        <f>SUM(MTBA!$W$22:$W$25)/COUNT(MTBA!$W$22:$W$25)</f>
        <v>9.5</v>
      </c>
      <c r="BQ7" s="531">
        <v>2010</v>
      </c>
      <c r="BR7" s="533">
        <f>SUM(MTBA!$Z$4:$Z$31)/COUNT(MTBA!$Z$4:$Z$31)</f>
        <v>52.142857142857146</v>
      </c>
      <c r="BS7" s="533">
        <f>SUM(MTBA!$Z$23:$Z$31)/COUNT(MTBA!$Z$23:$Z$31)</f>
        <v>40.555555555555557</v>
      </c>
      <c r="BT7" s="533">
        <f>SUM(MTBA!$AA$4:$AA$31)/COUNT(MTBA!$AA$4:$AA$31)</f>
        <v>15.285714285714286</v>
      </c>
      <c r="BU7" s="533">
        <f>SUM(MTBA!$AA$23:$AA$31)/COUNT(MTBA!$AA$23:$AA$31)</f>
        <v>10.555555555555555</v>
      </c>
      <c r="BW7" s="531">
        <v>2010</v>
      </c>
      <c r="BX7" s="533">
        <f>SUM(MTBA!AD4:AD44)/COUNT(MTBA!AE4:AE44)</f>
        <v>35.609756097560975</v>
      </c>
      <c r="BY7" s="533">
        <f>SUM(MTBA!AD30:AD44)/COUNT(MTBA!AE30:AE44)</f>
        <v>24.333333333333332</v>
      </c>
      <c r="BZ7" s="533">
        <f>SUM(MTBA!AE4:AE44)/COUNT(MTBA!AE4:AE44)</f>
        <v>11.268292682926829</v>
      </c>
      <c r="CA7" s="533">
        <f>SUM(MTBA!AE30:AE44)/COUNT(MTBA!AE30:AE44)</f>
        <v>10.666666666666666</v>
      </c>
      <c r="CC7" s="531">
        <v>2010</v>
      </c>
      <c r="CD7" s="533">
        <f>SUM(MTBA!AP4:AP23)/COUNT(MTBA!AQ4:AQ23)</f>
        <v>89.9</v>
      </c>
      <c r="CE7" s="533" t="e">
        <f>SUM(MTBA!AJ30:AJ44)/COUNT(MTBA!AK30:AK44)</f>
        <v>#DIV/0!</v>
      </c>
      <c r="CF7" s="533">
        <f>SUM(MTBA!AK4:AK44)/COUNT(MTBA!AK4:AK44)</f>
        <v>39714.428571428572</v>
      </c>
      <c r="CG7" s="533" t="e">
        <f>SUM(MTBA!AK30:AK44)/COUNT(MTBA!AK30:AK44)</f>
        <v>#DIV/0!</v>
      </c>
      <c r="CI7" s="531">
        <v>2010</v>
      </c>
      <c r="CJ7" s="533">
        <f>SUM(MTBA!AP4:AP44)/COUNT(MTBA!AQ4:AQ44)</f>
        <v>87.095238095238102</v>
      </c>
      <c r="CK7" s="533" t="e">
        <f>SUM(MTBA!AP30:AP44)/COUNT(MTBA!AQ30:AQ44)</f>
        <v>#DIV/0!</v>
      </c>
      <c r="CL7" s="533">
        <f>SUM(MTBA!AQ4:AQ44)/COUNT(MTBA!AQ4:AQ44)</f>
        <v>8.8571428571428577</v>
      </c>
      <c r="CM7" s="533" t="e">
        <f>SUM(MTBA!AQ30:AQ44)/COUNT(MTBA!AQ30:AQ44)</f>
        <v>#DIV/0!</v>
      </c>
    </row>
    <row r="8" spans="2:91" ht="12.6" customHeight="1">
      <c r="B8" s="3254"/>
      <c r="C8" s="424">
        <v>39406</v>
      </c>
      <c r="D8" s="422">
        <f t="shared" ref="D8:D23" si="8">+C8-C7</f>
        <v>83</v>
      </c>
      <c r="E8" s="423">
        <v>3</v>
      </c>
      <c r="F8" s="488"/>
      <c r="G8" s="488"/>
      <c r="I8" s="424">
        <v>39125</v>
      </c>
      <c r="J8" s="460">
        <f t="shared" si="5"/>
        <v>3</v>
      </c>
      <c r="K8" s="423">
        <v>2</v>
      </c>
      <c r="M8" s="534">
        <v>39302</v>
      </c>
      <c r="N8" s="460">
        <f t="shared" si="6"/>
        <v>34</v>
      </c>
      <c r="O8" s="535">
        <v>6</v>
      </c>
      <c r="Q8" s="534">
        <v>39292</v>
      </c>
      <c r="R8" s="415">
        <f t="shared" si="0"/>
        <v>1</v>
      </c>
      <c r="S8" s="535">
        <v>2</v>
      </c>
      <c r="U8" s="534">
        <v>39224</v>
      </c>
      <c r="V8" s="415">
        <f t="shared" si="1"/>
        <v>39</v>
      </c>
      <c r="W8" s="535">
        <v>3</v>
      </c>
      <c r="Y8" s="534">
        <v>39321</v>
      </c>
      <c r="Z8" s="460">
        <f t="shared" si="7"/>
        <v>9</v>
      </c>
      <c r="AA8" s="535">
        <v>1</v>
      </c>
      <c r="AB8" s="535"/>
      <c r="AC8" s="534">
        <v>39256</v>
      </c>
      <c r="AD8" s="415">
        <f t="shared" si="2"/>
        <v>69</v>
      </c>
      <c r="AE8" s="535">
        <v>3</v>
      </c>
      <c r="AF8" s="535"/>
      <c r="AG8" s="534">
        <v>39229</v>
      </c>
      <c r="AH8" s="460">
        <f t="shared" si="3"/>
        <v>15</v>
      </c>
      <c r="AI8" s="535">
        <v>1</v>
      </c>
      <c r="AJ8" s="535"/>
      <c r="AK8" s="534">
        <v>39430</v>
      </c>
      <c r="AL8" s="460">
        <v>10</v>
      </c>
      <c r="AM8" s="535">
        <v>17</v>
      </c>
      <c r="AN8" s="535"/>
      <c r="AO8" s="534">
        <v>39279</v>
      </c>
      <c r="AP8" s="415">
        <f t="shared" si="4"/>
        <v>6</v>
      </c>
      <c r="AQ8" s="535">
        <v>1</v>
      </c>
      <c r="AR8" s="535"/>
      <c r="AS8" s="534">
        <v>39279</v>
      </c>
      <c r="AT8" s="415">
        <f>+AS8-AS7</f>
        <v>6</v>
      </c>
      <c r="AU8" s="535">
        <v>1</v>
      </c>
      <c r="AV8" s="535"/>
      <c r="AY8" s="538">
        <v>40574</v>
      </c>
      <c r="AZ8" s="533">
        <f>SUM(MTBA!N4:N48)/COUNT(MTBA!O4:O48)</f>
        <v>33.133333333333333</v>
      </c>
      <c r="BA8" s="533">
        <f>SUM(MTBA!N47:N48)/COUNT(MTBA!O47:O48)</f>
        <v>15.5</v>
      </c>
      <c r="BB8" s="533">
        <f>SUM(MTBA!O4:O48)/COUNT(MTBA!O4:O48)</f>
        <v>11.911111111111111</v>
      </c>
      <c r="BC8" s="533">
        <f>SUM(MTBA!O47:O48)/COUNT(MTBA!O47:O48)</f>
        <v>1</v>
      </c>
      <c r="BE8" s="538">
        <f>+AY8</f>
        <v>40574</v>
      </c>
      <c r="BF8" s="533">
        <f>SUM(MTBA!R4:R25)/COUNT(MTBA!R4:R25)</f>
        <v>67.772727272727266</v>
      </c>
      <c r="BG8" s="533">
        <f>SUM(MTBA!R25:R25)/COUNT(MTBA!R25:R25)</f>
        <v>31</v>
      </c>
      <c r="BH8" s="533">
        <f>SUM(MTBA!S4:S25)/COUNT(MTBA!S4:S25)</f>
        <v>15</v>
      </c>
      <c r="BI8" s="533">
        <f>SUM(MTBA!S25:S25)/COUNT(MTBA!S25:S25)</f>
        <v>0</v>
      </c>
      <c r="BK8" s="538">
        <f>+AY8</f>
        <v>40574</v>
      </c>
      <c r="BL8" s="533">
        <f>SUM(MTBA!$V$4:$V$26)/COUNT(MTBA!$V$4:$V$26)</f>
        <v>64.826086956521735</v>
      </c>
      <c r="BM8" s="533">
        <f>SUM(MTBA!$V$26:$V$26)/COUNT(MTBA!$V$26:$V$26)</f>
        <v>31</v>
      </c>
      <c r="BN8" s="533">
        <f>SUM(MTBA!$W$4:$W$26)/COUNT(MTBA!$W$4:$W$26)</f>
        <v>7.8695652173913047</v>
      </c>
      <c r="BO8" s="533">
        <f>SUM(MTBA!$W$26:$W$26)/COUNT(MTBA!$W$26:$W$26)</f>
        <v>0</v>
      </c>
      <c r="BQ8" s="538">
        <f>+AY8</f>
        <v>40574</v>
      </c>
      <c r="BR8" s="533">
        <f>SUM(MTBA!$Z$4:$Z$32)/COUNT(MTBA!$Z$4:$Z$32)</f>
        <v>51.413793103448278</v>
      </c>
      <c r="BS8" s="533">
        <f>SUM(MTBA!$Z$32:$Z$32)/COUNT(MTBA!$Z$32:$Z$32)</f>
        <v>31</v>
      </c>
      <c r="BT8" s="533">
        <f>SUM(MTBA!$AA$4:$AA$32)/COUNT(MTBA!$AA$4:$AA$32)</f>
        <v>14.758620689655173</v>
      </c>
      <c r="BU8" s="533">
        <f>SUM(MTBA!$AA$32:$AA$32)/COUNT(MTBA!$AA$32:$AA$32)</f>
        <v>0</v>
      </c>
      <c r="BW8" s="538">
        <v>40574</v>
      </c>
      <c r="BX8" s="533">
        <f>SUM(MTBA!AD4:AD46)/COUNT(MTBA!AE4:AE46)</f>
        <v>34.674418604651166</v>
      </c>
      <c r="BY8" s="533">
        <f>SUM(MTBA!AD45:AD46)/COUNT(MTBA!AE45:AE46)</f>
        <v>15.5</v>
      </c>
      <c r="BZ8" s="533">
        <f>SUM(MTBA!AE4:AE46)/COUNT(MTBA!AE4:AE46)</f>
        <v>11.255813953488373</v>
      </c>
      <c r="CA8" s="533">
        <f>SUM(MTBA!AE45:AE46)/COUNT(MTBA!AE45:AE46)</f>
        <v>11</v>
      </c>
      <c r="CC8" s="538">
        <v>40574</v>
      </c>
      <c r="CD8" s="533">
        <f>SUM(MTBA!AP4:AP14)/COUNT(MTBA!AQ4:AQ14)</f>
        <v>79.454545454545453</v>
      </c>
      <c r="CE8" s="533" t="e">
        <f>SUM(MTBA!AJ45:AJ46)/COUNT(MTBA!AK45:AK46)</f>
        <v>#DIV/0!</v>
      </c>
      <c r="CF8" s="533">
        <f>SUM(MTBA!AK4:AK46)/COUNT(MTBA!AK4:AK46)</f>
        <v>39714.428571428572</v>
      </c>
      <c r="CG8" s="533" t="e">
        <f>SUM(MTBA!AK45:AK46)/COUNT(MTBA!AK45:AK46)</f>
        <v>#DIV/0!</v>
      </c>
      <c r="CI8" s="538">
        <v>40574</v>
      </c>
      <c r="CJ8" s="533">
        <f>SUM(MTBA!AP4:AP46)/COUNT(MTBA!AQ4:AQ46)</f>
        <v>87.095238095238102</v>
      </c>
      <c r="CK8" s="533" t="e">
        <f>SUM(MTBA!AP45:AP46)/COUNT(MTBA!AQ45:AQ46)</f>
        <v>#DIV/0!</v>
      </c>
      <c r="CL8" s="533">
        <f>SUM(MTBA!AQ4:AQ46)/COUNT(MTBA!AQ4:AQ46)</f>
        <v>8.8571428571428577</v>
      </c>
      <c r="CM8" s="533" t="e">
        <f>SUM(MTBA!AQ45:AQ46)/COUNT(MTBA!AQ45:AQ46)</f>
        <v>#DIV/0!</v>
      </c>
    </row>
    <row r="9" spans="2:91" ht="12.6" customHeight="1">
      <c r="B9" s="3254"/>
      <c r="C9" s="424">
        <v>39534</v>
      </c>
      <c r="D9" s="422">
        <f t="shared" si="8"/>
        <v>128</v>
      </c>
      <c r="E9" s="423">
        <v>2</v>
      </c>
      <c r="F9" s="488"/>
      <c r="G9" s="488"/>
      <c r="I9" s="424">
        <v>39125</v>
      </c>
      <c r="J9" s="460">
        <f t="shared" si="5"/>
        <v>0</v>
      </c>
      <c r="K9" s="423">
        <v>4</v>
      </c>
      <c r="M9" s="534">
        <v>39319</v>
      </c>
      <c r="N9" s="460">
        <f t="shared" si="6"/>
        <v>17</v>
      </c>
      <c r="O9" s="535">
        <v>11</v>
      </c>
      <c r="Q9" s="534">
        <v>39332</v>
      </c>
      <c r="R9" s="415">
        <f t="shared" si="0"/>
        <v>40</v>
      </c>
      <c r="S9" s="535">
        <v>21</v>
      </c>
      <c r="U9" s="534">
        <v>39431</v>
      </c>
      <c r="V9" s="415">
        <f t="shared" si="1"/>
        <v>207</v>
      </c>
      <c r="W9" s="535">
        <v>11</v>
      </c>
      <c r="Y9" s="534">
        <v>39322</v>
      </c>
      <c r="Z9" s="460">
        <f t="shared" si="7"/>
        <v>1</v>
      </c>
      <c r="AA9" s="535">
        <v>3</v>
      </c>
      <c r="AB9" s="535"/>
      <c r="AC9" s="534">
        <v>39256</v>
      </c>
      <c r="AD9" s="415">
        <f t="shared" si="2"/>
        <v>0</v>
      </c>
      <c r="AE9" s="535">
        <v>5</v>
      </c>
      <c r="AF9" s="535"/>
      <c r="AG9" s="534">
        <v>39287</v>
      </c>
      <c r="AH9" s="460">
        <f t="shared" si="3"/>
        <v>58</v>
      </c>
      <c r="AI9" s="535">
        <v>28</v>
      </c>
      <c r="AJ9" s="535"/>
      <c r="AK9" s="534">
        <v>39433</v>
      </c>
      <c r="AL9" s="460">
        <v>3</v>
      </c>
      <c r="AM9" s="535">
        <v>3</v>
      </c>
      <c r="AN9" s="535"/>
      <c r="AO9" s="534">
        <v>39303</v>
      </c>
      <c r="AP9" s="415">
        <f t="shared" si="4"/>
        <v>24</v>
      </c>
      <c r="AQ9" s="535">
        <v>1</v>
      </c>
      <c r="AR9" s="535"/>
      <c r="AS9" s="534">
        <v>39303</v>
      </c>
      <c r="AT9" s="415">
        <f>+AS9-AS8</f>
        <v>24</v>
      </c>
      <c r="AU9" s="535">
        <v>1</v>
      </c>
      <c r="AV9" s="535"/>
    </row>
    <row r="10" spans="2:91" ht="12.6" customHeight="1">
      <c r="B10" s="3254"/>
      <c r="C10" s="424">
        <v>39646</v>
      </c>
      <c r="D10" s="422">
        <f t="shared" si="8"/>
        <v>112</v>
      </c>
      <c r="E10" s="423">
        <v>2</v>
      </c>
      <c r="F10" s="488"/>
      <c r="G10" s="488"/>
      <c r="I10" s="424">
        <v>39125</v>
      </c>
      <c r="J10" s="460">
        <f t="shared" si="5"/>
        <v>0</v>
      </c>
      <c r="K10" s="423">
        <v>21</v>
      </c>
      <c r="M10" s="534">
        <v>39323</v>
      </c>
      <c r="N10" s="460">
        <f t="shared" si="6"/>
        <v>4</v>
      </c>
      <c r="O10" s="535">
        <v>8</v>
      </c>
      <c r="Q10" s="534">
        <v>39338</v>
      </c>
      <c r="R10" s="415">
        <f t="shared" si="0"/>
        <v>6</v>
      </c>
      <c r="S10" s="535">
        <v>1</v>
      </c>
      <c r="U10" s="547">
        <v>39447</v>
      </c>
      <c r="V10" s="415">
        <f t="shared" si="1"/>
        <v>16</v>
      </c>
      <c r="W10" s="535">
        <v>0</v>
      </c>
      <c r="Y10" s="534">
        <v>39423</v>
      </c>
      <c r="Z10" s="460">
        <f t="shared" si="7"/>
        <v>101</v>
      </c>
      <c r="AA10" s="535">
        <v>12</v>
      </c>
      <c r="AB10" s="535"/>
      <c r="AC10" s="534">
        <v>39328</v>
      </c>
      <c r="AD10" s="415">
        <f t="shared" si="2"/>
        <v>72</v>
      </c>
      <c r="AE10" s="535">
        <v>3</v>
      </c>
      <c r="AF10" s="535"/>
      <c r="AG10" s="534">
        <v>39329</v>
      </c>
      <c r="AH10" s="460">
        <f t="shared" si="3"/>
        <v>42</v>
      </c>
      <c r="AI10" s="535">
        <v>2</v>
      </c>
      <c r="AJ10" s="535"/>
      <c r="AK10" s="534">
        <v>39475</v>
      </c>
      <c r="AL10" s="460">
        <v>42</v>
      </c>
      <c r="AM10" s="535">
        <v>3</v>
      </c>
      <c r="AN10" s="535"/>
      <c r="AO10" s="554">
        <v>39447</v>
      </c>
      <c r="AP10" s="415">
        <f t="shared" si="4"/>
        <v>144</v>
      </c>
      <c r="AQ10" s="535">
        <v>0</v>
      </c>
      <c r="AR10" s="535"/>
      <c r="AS10" s="554">
        <v>39447</v>
      </c>
      <c r="AV10" s="535"/>
    </row>
    <row r="11" spans="2:91" ht="12.6" customHeight="1">
      <c r="B11" s="3254"/>
      <c r="C11" s="424">
        <v>39648</v>
      </c>
      <c r="D11" s="422">
        <f t="shared" si="8"/>
        <v>2</v>
      </c>
      <c r="E11" s="423">
        <v>2</v>
      </c>
      <c r="F11" s="488"/>
      <c r="G11" s="488"/>
      <c r="I11" s="424">
        <v>39127</v>
      </c>
      <c r="J11" s="460">
        <f t="shared" si="5"/>
        <v>2</v>
      </c>
      <c r="K11" s="423">
        <v>2</v>
      </c>
      <c r="M11" s="534">
        <v>39406</v>
      </c>
      <c r="N11" s="460">
        <f t="shared" si="6"/>
        <v>83</v>
      </c>
      <c r="O11" s="535">
        <v>3</v>
      </c>
      <c r="Q11" s="534">
        <v>39353</v>
      </c>
      <c r="R11" s="415">
        <f t="shared" si="0"/>
        <v>15</v>
      </c>
      <c r="S11" s="535">
        <v>1</v>
      </c>
      <c r="U11" s="534">
        <v>39524</v>
      </c>
      <c r="V11" s="415">
        <f t="shared" si="1"/>
        <v>77</v>
      </c>
      <c r="W11" s="535">
        <v>2</v>
      </c>
      <c r="Y11" s="534">
        <v>39435</v>
      </c>
      <c r="Z11" s="460">
        <f t="shared" si="7"/>
        <v>12</v>
      </c>
      <c r="AA11" s="535">
        <v>46</v>
      </c>
      <c r="AB11" s="535"/>
      <c r="AC11" s="534">
        <v>39415</v>
      </c>
      <c r="AD11" s="415">
        <f t="shared" si="2"/>
        <v>87</v>
      </c>
      <c r="AE11" s="535">
        <v>21</v>
      </c>
      <c r="AF11" s="535"/>
      <c r="AG11" s="534">
        <v>39368</v>
      </c>
      <c r="AH11" s="460">
        <f t="shared" si="3"/>
        <v>39</v>
      </c>
      <c r="AI11" s="535">
        <v>1</v>
      </c>
      <c r="AJ11" s="535"/>
      <c r="AK11" s="534">
        <v>39541</v>
      </c>
      <c r="AL11" s="460">
        <v>66</v>
      </c>
      <c r="AM11" s="535">
        <v>20</v>
      </c>
      <c r="AN11" s="535"/>
      <c r="AO11" s="534">
        <v>39560</v>
      </c>
      <c r="AP11" s="415">
        <f>+AO11-AO9</f>
        <v>257</v>
      </c>
      <c r="AQ11" s="535">
        <v>2</v>
      </c>
      <c r="AR11" s="535"/>
      <c r="AS11" s="534">
        <v>39560</v>
      </c>
      <c r="AT11" s="415">
        <f>+AS11-AS9</f>
        <v>257</v>
      </c>
      <c r="AU11" s="535">
        <v>2</v>
      </c>
      <c r="AV11" s="535"/>
    </row>
    <row r="12" spans="2:91" ht="12.6" customHeight="1">
      <c r="B12" s="3254"/>
      <c r="C12" s="424">
        <v>39672</v>
      </c>
      <c r="D12" s="422">
        <f t="shared" si="8"/>
        <v>24</v>
      </c>
      <c r="E12" s="423">
        <v>17</v>
      </c>
      <c r="F12" s="488"/>
      <c r="G12" s="488"/>
      <c r="I12" s="424">
        <v>39129</v>
      </c>
      <c r="J12" s="460">
        <f t="shared" si="5"/>
        <v>2</v>
      </c>
      <c r="K12" s="423">
        <v>72</v>
      </c>
      <c r="M12" s="539">
        <v>39447</v>
      </c>
      <c r="N12" s="460">
        <f t="shared" si="6"/>
        <v>41</v>
      </c>
      <c r="O12" s="535">
        <v>0</v>
      </c>
      <c r="Q12" s="534">
        <v>39387</v>
      </c>
      <c r="R12" s="415">
        <f t="shared" si="0"/>
        <v>34</v>
      </c>
      <c r="S12" s="535">
        <v>9</v>
      </c>
      <c r="U12" s="534">
        <v>39532</v>
      </c>
      <c r="V12" s="415">
        <f t="shared" si="1"/>
        <v>8</v>
      </c>
      <c r="W12" s="535">
        <v>8</v>
      </c>
      <c r="Y12" s="547">
        <v>39447</v>
      </c>
      <c r="Z12" s="460">
        <f t="shared" si="7"/>
        <v>12</v>
      </c>
      <c r="AA12" s="535">
        <v>0</v>
      </c>
      <c r="AB12" s="535"/>
      <c r="AC12" s="555">
        <v>39434</v>
      </c>
      <c r="AD12" s="415">
        <f t="shared" si="2"/>
        <v>19</v>
      </c>
      <c r="AE12" s="535">
        <v>2</v>
      </c>
      <c r="AF12" s="535"/>
      <c r="AG12" s="534">
        <v>39458</v>
      </c>
      <c r="AH12" s="460">
        <f t="shared" si="3"/>
        <v>90</v>
      </c>
      <c r="AI12" s="535">
        <v>10</v>
      </c>
      <c r="AJ12" s="535"/>
      <c r="AK12" s="534">
        <v>39778</v>
      </c>
      <c r="AL12" s="460">
        <v>237</v>
      </c>
      <c r="AM12" s="535">
        <v>20</v>
      </c>
      <c r="AN12" s="535"/>
      <c r="AO12" s="534">
        <v>39626</v>
      </c>
      <c r="AP12" s="415">
        <f>+AO12-AO11</f>
        <v>66</v>
      </c>
      <c r="AQ12" s="535">
        <v>3</v>
      </c>
      <c r="AR12" s="535"/>
      <c r="AS12" s="534">
        <v>39626</v>
      </c>
      <c r="AT12" s="415">
        <f>+AS12-AS11</f>
        <v>66</v>
      </c>
      <c r="AU12" s="535">
        <v>3</v>
      </c>
      <c r="AV12" s="535"/>
    </row>
    <row r="13" spans="2:91" ht="12.6" customHeight="1">
      <c r="B13" s="3254"/>
      <c r="C13" s="424">
        <v>39692</v>
      </c>
      <c r="D13" s="422">
        <f t="shared" si="8"/>
        <v>20</v>
      </c>
      <c r="E13" s="423">
        <v>100</v>
      </c>
      <c r="F13" s="488"/>
      <c r="G13" s="488"/>
      <c r="I13" s="424">
        <v>39140</v>
      </c>
      <c r="J13" s="460">
        <f t="shared" si="5"/>
        <v>11</v>
      </c>
      <c r="K13" s="423">
        <v>7</v>
      </c>
      <c r="M13" s="534">
        <v>39534</v>
      </c>
      <c r="N13" s="460">
        <f t="shared" si="6"/>
        <v>87</v>
      </c>
      <c r="O13" s="535">
        <v>2</v>
      </c>
      <c r="Q13" s="534">
        <v>39387</v>
      </c>
      <c r="R13" s="415">
        <f t="shared" si="0"/>
        <v>0</v>
      </c>
      <c r="S13" s="535">
        <v>11</v>
      </c>
      <c r="U13" s="534">
        <v>39532</v>
      </c>
      <c r="V13" s="415">
        <f t="shared" si="1"/>
        <v>0</v>
      </c>
      <c r="W13" s="535">
        <v>1</v>
      </c>
      <c r="Y13" s="534">
        <v>39453</v>
      </c>
      <c r="Z13" s="460">
        <f t="shared" si="7"/>
        <v>6</v>
      </c>
      <c r="AA13" s="535">
        <v>7</v>
      </c>
      <c r="AB13" s="535"/>
      <c r="AC13" s="547">
        <v>39447</v>
      </c>
      <c r="AD13" s="415">
        <f t="shared" si="2"/>
        <v>13</v>
      </c>
      <c r="AE13" s="535">
        <v>0</v>
      </c>
      <c r="AF13" s="535"/>
      <c r="AG13" s="534">
        <v>39709</v>
      </c>
      <c r="AH13" s="460">
        <f t="shared" si="3"/>
        <v>251</v>
      </c>
      <c r="AI13" s="535">
        <v>4</v>
      </c>
      <c r="AJ13" s="535"/>
      <c r="AK13" s="534">
        <v>39791</v>
      </c>
      <c r="AL13" s="460">
        <v>13</v>
      </c>
      <c r="AM13" s="535">
        <v>21</v>
      </c>
      <c r="AN13" s="535"/>
      <c r="AO13" s="534">
        <v>39641</v>
      </c>
      <c r="AP13" s="415">
        <f>+AO13-AO12</f>
        <v>15</v>
      </c>
      <c r="AQ13" s="535">
        <v>56</v>
      </c>
      <c r="AR13" s="535"/>
      <c r="AS13" s="534">
        <v>39641</v>
      </c>
      <c r="AT13" s="415">
        <f>+AS13-AS12</f>
        <v>15</v>
      </c>
      <c r="AU13" s="535">
        <v>56</v>
      </c>
      <c r="AV13" s="535"/>
    </row>
    <row r="14" spans="2:91" ht="12.6" customHeight="1">
      <c r="B14" s="3254"/>
      <c r="C14" s="449">
        <v>39799</v>
      </c>
      <c r="D14" s="422">
        <f t="shared" si="8"/>
        <v>107</v>
      </c>
      <c r="E14" s="423">
        <v>5</v>
      </c>
      <c r="F14" s="488"/>
      <c r="G14" s="488"/>
      <c r="I14" s="424">
        <v>39143</v>
      </c>
      <c r="J14" s="460">
        <f t="shared" si="5"/>
        <v>3</v>
      </c>
      <c r="K14" s="423">
        <v>17</v>
      </c>
      <c r="M14" s="534">
        <v>39632</v>
      </c>
      <c r="N14" s="460">
        <f t="shared" si="6"/>
        <v>98</v>
      </c>
      <c r="O14" s="535">
        <v>10</v>
      </c>
      <c r="Q14" s="547">
        <v>39447</v>
      </c>
      <c r="R14" s="415">
        <f t="shared" si="0"/>
        <v>60</v>
      </c>
      <c r="S14" s="535">
        <v>0</v>
      </c>
      <c r="U14" s="536">
        <v>39771</v>
      </c>
      <c r="V14" s="415">
        <f t="shared" si="1"/>
        <v>239</v>
      </c>
      <c r="W14" s="535">
        <v>1</v>
      </c>
      <c r="Y14" s="534">
        <v>39487</v>
      </c>
      <c r="Z14" s="460">
        <f t="shared" si="7"/>
        <v>34</v>
      </c>
      <c r="AA14" s="535">
        <v>30</v>
      </c>
      <c r="AB14" s="535"/>
      <c r="AC14" s="534">
        <v>39472</v>
      </c>
      <c r="AD14" s="415">
        <f t="shared" si="2"/>
        <v>25</v>
      </c>
      <c r="AE14" s="535">
        <v>4</v>
      </c>
      <c r="AF14" s="535"/>
      <c r="AG14" s="536">
        <v>39834</v>
      </c>
      <c r="AH14" s="460">
        <f t="shared" si="3"/>
        <v>125</v>
      </c>
      <c r="AI14" s="535">
        <v>2</v>
      </c>
      <c r="AJ14" s="535"/>
      <c r="AK14" s="536">
        <v>40057</v>
      </c>
      <c r="AL14" s="460">
        <v>266</v>
      </c>
      <c r="AM14" s="535">
        <v>3</v>
      </c>
      <c r="AN14" s="535"/>
      <c r="AO14" s="554">
        <v>39813</v>
      </c>
      <c r="AP14" s="415">
        <f>+AO14-AO13</f>
        <v>172</v>
      </c>
      <c r="AQ14" s="535">
        <v>0</v>
      </c>
      <c r="AR14" s="535"/>
      <c r="AS14" s="554">
        <v>39813</v>
      </c>
      <c r="AV14" s="535"/>
    </row>
    <row r="15" spans="2:91" ht="12.6" customHeight="1">
      <c r="B15" s="3254"/>
      <c r="C15" s="449">
        <v>39860</v>
      </c>
      <c r="D15" s="422">
        <f t="shared" si="8"/>
        <v>61</v>
      </c>
      <c r="E15" s="423">
        <v>15</v>
      </c>
      <c r="F15" s="488"/>
      <c r="G15" s="488"/>
      <c r="I15" s="424">
        <v>39151</v>
      </c>
      <c r="J15" s="460">
        <f t="shared" si="5"/>
        <v>8</v>
      </c>
      <c r="K15" s="423">
        <v>3</v>
      </c>
      <c r="M15" s="534">
        <v>39646</v>
      </c>
      <c r="N15" s="460">
        <f t="shared" si="6"/>
        <v>14</v>
      </c>
      <c r="O15" s="535">
        <v>2</v>
      </c>
      <c r="P15" s="151"/>
      <c r="Q15" s="534">
        <v>39595</v>
      </c>
      <c r="R15" s="415">
        <f t="shared" si="0"/>
        <v>148</v>
      </c>
      <c r="S15" s="535">
        <v>27</v>
      </c>
      <c r="U15" s="536">
        <v>39811</v>
      </c>
      <c r="V15" s="415">
        <f t="shared" si="1"/>
        <v>40</v>
      </c>
      <c r="W15" s="535">
        <v>12</v>
      </c>
      <c r="Y15" s="534">
        <v>39513</v>
      </c>
      <c r="Z15" s="460">
        <f t="shared" si="7"/>
        <v>26</v>
      </c>
      <c r="AA15" s="535">
        <v>60</v>
      </c>
      <c r="AB15" s="535"/>
      <c r="AC15" s="534">
        <v>39485</v>
      </c>
      <c r="AD15" s="415">
        <f t="shared" si="2"/>
        <v>13</v>
      </c>
      <c r="AE15" s="535">
        <v>7</v>
      </c>
      <c r="AF15" s="535"/>
      <c r="AG15" s="536">
        <v>39862</v>
      </c>
      <c r="AH15" s="460">
        <f t="shared" si="3"/>
        <v>28</v>
      </c>
      <c r="AI15" s="535">
        <v>17</v>
      </c>
      <c r="AJ15" s="535"/>
      <c r="AK15" s="536">
        <v>40200</v>
      </c>
      <c r="AL15" s="460">
        <v>143</v>
      </c>
      <c r="AM15" s="535">
        <v>7</v>
      </c>
      <c r="AN15" s="535"/>
      <c r="AO15" s="536">
        <v>39928</v>
      </c>
      <c r="AP15" s="415">
        <f>+AO15-AO13</f>
        <v>287</v>
      </c>
      <c r="AQ15" s="535">
        <v>20</v>
      </c>
      <c r="AR15" s="535"/>
      <c r="AS15" s="536">
        <v>39928</v>
      </c>
      <c r="AT15" s="415">
        <f>+AS15-AS13</f>
        <v>287</v>
      </c>
      <c r="AU15" s="535">
        <v>20</v>
      </c>
      <c r="AV15" s="535"/>
    </row>
    <row r="16" spans="2:91" ht="12.6" customHeight="1">
      <c r="B16" s="3254"/>
      <c r="C16" s="449">
        <v>39981</v>
      </c>
      <c r="D16" s="422">
        <f t="shared" si="8"/>
        <v>121</v>
      </c>
      <c r="E16" s="423">
        <v>7</v>
      </c>
      <c r="F16" s="488"/>
      <c r="G16" s="488"/>
      <c r="I16" s="424">
        <v>39155</v>
      </c>
      <c r="J16" s="460">
        <f t="shared" si="5"/>
        <v>4</v>
      </c>
      <c r="K16" s="423">
        <v>1</v>
      </c>
      <c r="M16" s="534">
        <v>39648</v>
      </c>
      <c r="N16" s="460">
        <f t="shared" si="6"/>
        <v>2</v>
      </c>
      <c r="O16" s="535">
        <v>2</v>
      </c>
      <c r="Q16" s="534">
        <v>39667</v>
      </c>
      <c r="R16" s="415">
        <f t="shared" si="0"/>
        <v>72</v>
      </c>
      <c r="S16" s="535">
        <v>17</v>
      </c>
      <c r="U16" s="547">
        <v>39813</v>
      </c>
      <c r="V16" s="415">
        <f t="shared" si="1"/>
        <v>2</v>
      </c>
      <c r="W16" s="535">
        <v>0</v>
      </c>
      <c r="Y16" s="534">
        <v>39524</v>
      </c>
      <c r="Z16" s="460">
        <f t="shared" si="7"/>
        <v>11</v>
      </c>
      <c r="AA16" s="535">
        <v>22</v>
      </c>
      <c r="AB16" s="535"/>
      <c r="AC16" s="534">
        <v>39532</v>
      </c>
      <c r="AD16" s="415">
        <f t="shared" si="2"/>
        <v>47</v>
      </c>
      <c r="AE16" s="535">
        <v>14</v>
      </c>
      <c r="AF16" s="535"/>
      <c r="AG16" s="534">
        <v>40074</v>
      </c>
      <c r="AH16" s="460">
        <f t="shared" si="3"/>
        <v>212</v>
      </c>
      <c r="AI16" s="535">
        <v>7</v>
      </c>
      <c r="AJ16" s="535"/>
      <c r="AK16" s="534">
        <v>40514</v>
      </c>
      <c r="AL16" s="460">
        <v>314</v>
      </c>
      <c r="AM16" s="535">
        <v>12</v>
      </c>
      <c r="AN16" s="535"/>
      <c r="AO16" s="534">
        <v>40156</v>
      </c>
      <c r="AP16" s="415">
        <f>+AO16-AO15</f>
        <v>228</v>
      </c>
      <c r="AQ16" s="535">
        <v>2</v>
      </c>
      <c r="AR16" s="535"/>
      <c r="AS16" s="534">
        <v>40156</v>
      </c>
      <c r="AT16" s="415">
        <f>+AS16-AS15</f>
        <v>228</v>
      </c>
      <c r="AU16" s="535">
        <v>2</v>
      </c>
      <c r="AV16" s="535"/>
    </row>
    <row r="17" spans="2:74" ht="12.6" customHeight="1">
      <c r="B17" s="3254"/>
      <c r="C17" s="449">
        <v>40039</v>
      </c>
      <c r="D17" s="422">
        <f t="shared" si="8"/>
        <v>58</v>
      </c>
      <c r="E17" s="423">
        <v>27</v>
      </c>
      <c r="F17" s="488"/>
      <c r="G17" s="488"/>
      <c r="I17" s="424">
        <v>39161</v>
      </c>
      <c r="J17" s="460">
        <f t="shared" si="5"/>
        <v>6</v>
      </c>
      <c r="K17" s="423">
        <v>11</v>
      </c>
      <c r="M17" s="534">
        <v>39672</v>
      </c>
      <c r="N17" s="460">
        <f t="shared" si="6"/>
        <v>24</v>
      </c>
      <c r="O17" s="535">
        <v>17</v>
      </c>
      <c r="Q17" s="547">
        <v>39813</v>
      </c>
      <c r="R17" s="415">
        <f t="shared" si="0"/>
        <v>146</v>
      </c>
      <c r="S17" s="535">
        <v>0</v>
      </c>
      <c r="U17" s="536">
        <v>39823</v>
      </c>
      <c r="V17" s="415">
        <f t="shared" si="1"/>
        <v>10</v>
      </c>
      <c r="W17" s="535">
        <v>7</v>
      </c>
      <c r="Y17" s="536">
        <v>39750</v>
      </c>
      <c r="Z17" s="460">
        <f t="shared" si="7"/>
        <v>226</v>
      </c>
      <c r="AA17" s="535">
        <v>4</v>
      </c>
      <c r="AB17" s="535"/>
      <c r="AC17" s="534">
        <v>39580</v>
      </c>
      <c r="AD17" s="415">
        <f t="shared" si="2"/>
        <v>48</v>
      </c>
      <c r="AE17" s="535">
        <v>90</v>
      </c>
      <c r="AF17" s="535"/>
      <c r="AG17" s="534">
        <v>40156</v>
      </c>
      <c r="AH17" s="460">
        <f t="shared" si="3"/>
        <v>82</v>
      </c>
      <c r="AI17" s="535">
        <v>3</v>
      </c>
      <c r="AJ17" s="535"/>
      <c r="AK17" s="554">
        <v>40574</v>
      </c>
      <c r="AL17" s="460">
        <v>60</v>
      </c>
      <c r="AM17" s="535">
        <v>0</v>
      </c>
      <c r="AN17" s="535"/>
      <c r="AO17" s="554">
        <v>40178</v>
      </c>
      <c r="AP17" s="415">
        <f>+AO17-AO16</f>
        <v>22</v>
      </c>
      <c r="AQ17" s="535">
        <v>0</v>
      </c>
      <c r="AR17" s="535"/>
      <c r="AS17" s="554">
        <v>40178</v>
      </c>
      <c r="AV17" s="535"/>
    </row>
    <row r="18" spans="2:74" ht="12.6" customHeight="1">
      <c r="B18" s="3254"/>
      <c r="C18" s="424">
        <v>40101</v>
      </c>
      <c r="D18" s="422">
        <f t="shared" si="8"/>
        <v>62</v>
      </c>
      <c r="E18" s="423">
        <v>4</v>
      </c>
      <c r="F18" s="488"/>
      <c r="G18" s="488"/>
      <c r="I18" s="424">
        <v>39162</v>
      </c>
      <c r="J18" s="460">
        <f t="shared" si="5"/>
        <v>1</v>
      </c>
      <c r="K18" s="423">
        <v>19</v>
      </c>
      <c r="M18" s="534">
        <v>39678</v>
      </c>
      <c r="N18" s="460">
        <f t="shared" si="6"/>
        <v>6</v>
      </c>
      <c r="O18" s="535">
        <v>4</v>
      </c>
      <c r="Q18" s="547">
        <v>40178</v>
      </c>
      <c r="R18" s="415">
        <f t="shared" si="0"/>
        <v>365</v>
      </c>
      <c r="S18" s="535">
        <v>0</v>
      </c>
      <c r="U18" s="536">
        <v>39909</v>
      </c>
      <c r="V18" s="415">
        <f t="shared" si="1"/>
        <v>86</v>
      </c>
      <c r="W18" s="535">
        <v>19</v>
      </c>
      <c r="Y18" s="547">
        <v>39813</v>
      </c>
      <c r="Z18" s="460">
        <f t="shared" si="7"/>
        <v>63</v>
      </c>
      <c r="AA18" s="535">
        <v>0</v>
      </c>
      <c r="AB18" s="535"/>
      <c r="AC18" s="534">
        <v>39583</v>
      </c>
      <c r="AD18" s="415">
        <f t="shared" si="2"/>
        <v>3</v>
      </c>
      <c r="AE18" s="535">
        <v>12</v>
      </c>
      <c r="AF18" s="535"/>
      <c r="AG18" s="534">
        <v>40481</v>
      </c>
      <c r="AH18" s="460">
        <f t="shared" si="3"/>
        <v>325</v>
      </c>
      <c r="AI18" s="535">
        <v>5</v>
      </c>
      <c r="AJ18" s="535"/>
      <c r="AK18" s="534"/>
      <c r="AL18" s="460"/>
      <c r="AM18" s="535"/>
      <c r="AN18" s="535"/>
      <c r="AO18" s="534">
        <v>40226</v>
      </c>
      <c r="AP18" s="415">
        <f>+AO18-AO16</f>
        <v>70</v>
      </c>
      <c r="AQ18" s="535">
        <v>45</v>
      </c>
      <c r="AR18" s="535"/>
      <c r="AS18" s="534">
        <v>40226</v>
      </c>
      <c r="AT18" s="415">
        <f>+AS18-AS16</f>
        <v>70</v>
      </c>
      <c r="AU18" s="535">
        <v>45</v>
      </c>
      <c r="AV18" s="535"/>
    </row>
    <row r="19" spans="2:74" ht="12.6" customHeight="1">
      <c r="B19" s="3254"/>
      <c r="C19" s="424">
        <v>40204</v>
      </c>
      <c r="D19" s="422">
        <f t="shared" si="8"/>
        <v>103</v>
      </c>
      <c r="E19" s="423">
        <v>54</v>
      </c>
      <c r="F19" s="488"/>
      <c r="G19" s="488"/>
      <c r="I19" s="424">
        <v>39162</v>
      </c>
      <c r="J19" s="460">
        <f t="shared" si="5"/>
        <v>0</v>
      </c>
      <c r="K19" s="423">
        <v>2</v>
      </c>
      <c r="M19" s="534">
        <v>39680</v>
      </c>
      <c r="N19" s="460">
        <f t="shared" si="6"/>
        <v>2</v>
      </c>
      <c r="O19" s="535">
        <v>10</v>
      </c>
      <c r="Q19" s="534">
        <v>40200</v>
      </c>
      <c r="R19" s="415">
        <f t="shared" si="0"/>
        <v>22</v>
      </c>
      <c r="S19" s="535">
        <v>4</v>
      </c>
      <c r="U19" s="536">
        <v>39961</v>
      </c>
      <c r="V19" s="415">
        <f t="shared" si="1"/>
        <v>52</v>
      </c>
      <c r="W19" s="535">
        <v>7</v>
      </c>
      <c r="Y19" s="536">
        <v>39892</v>
      </c>
      <c r="Z19" s="460">
        <f t="shared" si="7"/>
        <v>79</v>
      </c>
      <c r="AA19" s="535">
        <v>18</v>
      </c>
      <c r="AB19" s="535"/>
      <c r="AC19" s="534">
        <v>39610</v>
      </c>
      <c r="AD19" s="415">
        <f t="shared" si="2"/>
        <v>27</v>
      </c>
      <c r="AE19" s="535">
        <v>4</v>
      </c>
      <c r="AF19" s="535"/>
      <c r="AG19" s="554">
        <v>40574</v>
      </c>
      <c r="AH19" s="460">
        <f>+AG19-AG18</f>
        <v>93</v>
      </c>
      <c r="AI19" s="535">
        <v>0</v>
      </c>
      <c r="AJ19" s="535"/>
      <c r="AK19" s="554"/>
      <c r="AL19" s="460"/>
      <c r="AM19" s="535"/>
      <c r="AN19" s="535"/>
      <c r="AO19" s="534">
        <v>40243</v>
      </c>
      <c r="AP19" s="415">
        <f t="shared" ref="AP19:AP24" si="9">+AO19-AO18</f>
        <v>17</v>
      </c>
      <c r="AQ19" s="535">
        <v>21</v>
      </c>
      <c r="AR19" s="535"/>
      <c r="AS19" s="534">
        <v>40243</v>
      </c>
      <c r="AT19" s="415">
        <f>+AS19-AS18</f>
        <v>17</v>
      </c>
      <c r="AU19" s="535">
        <v>21</v>
      </c>
      <c r="AV19" s="535"/>
    </row>
    <row r="20" spans="2:74" ht="12.6" customHeight="1">
      <c r="B20" s="3254"/>
      <c r="C20" s="424">
        <v>40357</v>
      </c>
      <c r="D20" s="422">
        <f t="shared" si="8"/>
        <v>153</v>
      </c>
      <c r="E20" s="423">
        <v>2</v>
      </c>
      <c r="F20" s="488"/>
      <c r="G20" s="488"/>
      <c r="I20" s="424">
        <v>39163</v>
      </c>
      <c r="J20" s="460">
        <f t="shared" si="5"/>
        <v>1</v>
      </c>
      <c r="K20" s="423">
        <v>7</v>
      </c>
      <c r="M20" s="534">
        <v>39692</v>
      </c>
      <c r="N20" s="460">
        <f t="shared" si="6"/>
        <v>12</v>
      </c>
      <c r="O20" s="535">
        <v>100</v>
      </c>
      <c r="Q20" s="534">
        <v>40254</v>
      </c>
      <c r="R20" s="415">
        <f t="shared" si="0"/>
        <v>54</v>
      </c>
      <c r="S20" s="535">
        <v>8</v>
      </c>
      <c r="U20" s="534">
        <v>40122</v>
      </c>
      <c r="V20" s="415">
        <f t="shared" si="1"/>
        <v>161</v>
      </c>
      <c r="W20" s="535">
        <v>39</v>
      </c>
      <c r="Y20" s="536">
        <v>39957</v>
      </c>
      <c r="Z20" s="460">
        <f t="shared" si="7"/>
        <v>65</v>
      </c>
      <c r="AA20" s="535">
        <v>2</v>
      </c>
      <c r="AB20" s="535"/>
      <c r="AC20" s="534">
        <v>39627</v>
      </c>
      <c r="AD20" s="415">
        <f t="shared" si="2"/>
        <v>17</v>
      </c>
      <c r="AE20" s="535">
        <v>30</v>
      </c>
      <c r="AF20" s="535"/>
      <c r="AG20" s="535"/>
      <c r="AH20" s="535"/>
      <c r="AI20" s="535"/>
      <c r="AJ20" s="535"/>
      <c r="AK20" s="535"/>
      <c r="AL20" s="535"/>
      <c r="AM20" s="535"/>
      <c r="AN20" s="535"/>
      <c r="AO20" s="534">
        <v>40295</v>
      </c>
      <c r="AP20" s="415">
        <f t="shared" si="9"/>
        <v>52</v>
      </c>
      <c r="AQ20" s="535">
        <v>7</v>
      </c>
      <c r="AR20" s="535"/>
      <c r="AS20" s="534">
        <v>40295</v>
      </c>
      <c r="AT20" s="415">
        <f>+AS20-AS19</f>
        <v>52</v>
      </c>
      <c r="AU20" s="535">
        <v>7</v>
      </c>
      <c r="AV20" s="535"/>
    </row>
    <row r="21" spans="2:74" ht="12.6" customHeight="1">
      <c r="B21" s="3254"/>
      <c r="C21" s="424">
        <v>40472</v>
      </c>
      <c r="D21" s="422">
        <f t="shared" si="8"/>
        <v>115</v>
      </c>
      <c r="E21" s="423">
        <v>2</v>
      </c>
      <c r="F21" s="488"/>
      <c r="G21" s="488"/>
      <c r="I21" s="424">
        <v>39164</v>
      </c>
      <c r="J21" s="460">
        <f t="shared" si="5"/>
        <v>1</v>
      </c>
      <c r="K21" s="423">
        <v>7</v>
      </c>
      <c r="M21" s="536">
        <v>39761</v>
      </c>
      <c r="N21" s="460">
        <f t="shared" si="6"/>
        <v>69</v>
      </c>
      <c r="O21" s="535">
        <v>8</v>
      </c>
      <c r="Q21" s="534">
        <v>40352</v>
      </c>
      <c r="R21" s="415">
        <f t="shared" si="0"/>
        <v>98</v>
      </c>
      <c r="S21" s="535">
        <v>30</v>
      </c>
      <c r="U21" s="547">
        <v>40178</v>
      </c>
      <c r="V21" s="415">
        <f t="shared" si="1"/>
        <v>56</v>
      </c>
      <c r="W21" s="535">
        <v>0</v>
      </c>
      <c r="Y21" s="536">
        <v>39961</v>
      </c>
      <c r="Z21" s="460">
        <f t="shared" si="7"/>
        <v>4</v>
      </c>
      <c r="AA21" s="535">
        <v>11</v>
      </c>
      <c r="AB21" s="535"/>
      <c r="AC21" s="534">
        <v>39693</v>
      </c>
      <c r="AD21" s="415">
        <f t="shared" si="2"/>
        <v>66</v>
      </c>
      <c r="AE21" s="535">
        <v>5</v>
      </c>
      <c r="AF21" s="535"/>
      <c r="AG21" s="535"/>
      <c r="AH21" s="535"/>
      <c r="AI21" s="535"/>
      <c r="AJ21" s="535"/>
      <c r="AK21" s="535"/>
      <c r="AL21" s="535"/>
      <c r="AM21" s="535"/>
      <c r="AN21" s="535"/>
      <c r="AO21" s="534">
        <v>40395</v>
      </c>
      <c r="AP21" s="415">
        <f t="shared" si="9"/>
        <v>100</v>
      </c>
      <c r="AQ21" s="535">
        <v>7</v>
      </c>
      <c r="AR21" s="535"/>
      <c r="AS21" s="534">
        <v>40395</v>
      </c>
      <c r="AT21" s="415">
        <f>+AS21-AS20</f>
        <v>100</v>
      </c>
      <c r="AU21" s="535">
        <v>7</v>
      </c>
      <c r="AV21" s="535"/>
    </row>
    <row r="22" spans="2:74" ht="12.6" customHeight="1">
      <c r="B22" s="3255"/>
      <c r="C22" s="424">
        <v>40522</v>
      </c>
      <c r="D22" s="422">
        <f t="shared" si="8"/>
        <v>50</v>
      </c>
      <c r="E22" s="423">
        <v>2</v>
      </c>
      <c r="F22" s="488"/>
      <c r="G22" s="488"/>
      <c r="I22" s="424">
        <v>39185</v>
      </c>
      <c r="J22" s="460">
        <f t="shared" si="5"/>
        <v>21</v>
      </c>
      <c r="K22" s="423">
        <v>4</v>
      </c>
      <c r="M22" s="536">
        <v>39762</v>
      </c>
      <c r="N22" s="460">
        <f t="shared" si="6"/>
        <v>1</v>
      </c>
      <c r="O22" s="535">
        <v>20</v>
      </c>
      <c r="Q22" s="534">
        <v>40390</v>
      </c>
      <c r="R22" s="415">
        <f t="shared" si="0"/>
        <v>38</v>
      </c>
      <c r="S22" s="535">
        <v>15</v>
      </c>
      <c r="U22" s="534">
        <v>40372</v>
      </c>
      <c r="V22" s="415">
        <f t="shared" si="1"/>
        <v>194</v>
      </c>
      <c r="W22" s="535">
        <v>30</v>
      </c>
      <c r="Y22" s="547">
        <v>40178</v>
      </c>
      <c r="Z22" s="460">
        <f t="shared" si="7"/>
        <v>217</v>
      </c>
      <c r="AA22" s="535">
        <v>0</v>
      </c>
      <c r="AB22" s="535"/>
      <c r="AC22" s="555">
        <v>39746</v>
      </c>
      <c r="AD22" s="415">
        <f t="shared" si="2"/>
        <v>53</v>
      </c>
      <c r="AE22" s="535">
        <v>14</v>
      </c>
      <c r="AF22" s="535"/>
      <c r="AG22" s="535"/>
      <c r="AH22" s="535"/>
      <c r="AI22" s="535"/>
      <c r="AJ22" s="535"/>
      <c r="AK22" s="535"/>
      <c r="AL22" s="535"/>
      <c r="AM22" s="535"/>
      <c r="AN22" s="535"/>
      <c r="AO22" s="534">
        <v>40526</v>
      </c>
      <c r="AP22" s="415">
        <f t="shared" si="9"/>
        <v>131</v>
      </c>
      <c r="AQ22" s="535">
        <v>3</v>
      </c>
      <c r="AR22" s="535"/>
      <c r="AS22" s="534">
        <v>40526</v>
      </c>
      <c r="AT22" s="415">
        <f>+AS22-AS21</f>
        <v>131</v>
      </c>
      <c r="AU22" s="535">
        <v>3</v>
      </c>
      <c r="AV22" s="535"/>
    </row>
    <row r="23" spans="2:74" ht="12.6" customHeight="1">
      <c r="B23" s="3255"/>
      <c r="C23" s="424">
        <v>40568</v>
      </c>
      <c r="D23" s="422">
        <f t="shared" si="8"/>
        <v>46</v>
      </c>
      <c r="E23" s="428">
        <v>2</v>
      </c>
      <c r="F23" s="488"/>
      <c r="G23" s="488"/>
      <c r="I23" s="424">
        <v>39185</v>
      </c>
      <c r="J23" s="460">
        <f t="shared" si="5"/>
        <v>0</v>
      </c>
      <c r="K23" s="428">
        <v>4</v>
      </c>
      <c r="M23" s="536">
        <v>39769</v>
      </c>
      <c r="N23" s="460">
        <f t="shared" si="6"/>
        <v>7</v>
      </c>
      <c r="O23" s="535">
        <v>10</v>
      </c>
      <c r="Q23" s="534">
        <v>40408</v>
      </c>
      <c r="R23" s="415">
        <f t="shared" si="0"/>
        <v>18</v>
      </c>
      <c r="S23" s="535">
        <v>92</v>
      </c>
      <c r="U23" s="534">
        <v>40409</v>
      </c>
      <c r="V23" s="415">
        <f t="shared" si="1"/>
        <v>37</v>
      </c>
      <c r="W23" s="535">
        <v>6</v>
      </c>
      <c r="Y23" s="534">
        <v>40249</v>
      </c>
      <c r="Z23" s="460">
        <f t="shared" si="7"/>
        <v>71</v>
      </c>
      <c r="AA23" s="535">
        <v>20</v>
      </c>
      <c r="AB23" s="535"/>
      <c r="AC23" s="547">
        <v>39813</v>
      </c>
      <c r="AD23" s="415">
        <f t="shared" si="2"/>
        <v>67</v>
      </c>
      <c r="AE23" s="535">
        <v>0</v>
      </c>
      <c r="AF23" s="535"/>
      <c r="AG23" s="535"/>
      <c r="AH23" s="535"/>
      <c r="AI23" s="535"/>
      <c r="AJ23" s="535"/>
      <c r="AK23" s="535"/>
      <c r="AL23" s="535"/>
      <c r="AM23" s="535"/>
      <c r="AN23" s="535"/>
      <c r="AO23" s="554">
        <v>40543</v>
      </c>
      <c r="AP23" s="415">
        <f t="shared" si="9"/>
        <v>17</v>
      </c>
      <c r="AQ23" s="535">
        <v>0</v>
      </c>
      <c r="AR23" s="535"/>
      <c r="AS23" s="554">
        <v>40543</v>
      </c>
      <c r="AT23" s="415">
        <f>+AS23-AS22</f>
        <v>17</v>
      </c>
      <c r="AU23" s="535">
        <v>0</v>
      </c>
      <c r="AV23" s="535"/>
    </row>
    <row r="24" spans="2:74" ht="12.6" customHeight="1" thickBot="1">
      <c r="B24" s="3256"/>
      <c r="C24" s="417">
        <v>40574</v>
      </c>
      <c r="D24" s="425">
        <f>+C24-C23</f>
        <v>6</v>
      </c>
      <c r="E24" s="426">
        <v>0</v>
      </c>
      <c r="F24" s="489"/>
      <c r="G24" s="489"/>
      <c r="I24" s="456">
        <v>39187</v>
      </c>
      <c r="J24" s="460">
        <f t="shared" si="5"/>
        <v>2</v>
      </c>
      <c r="K24" s="426">
        <v>1</v>
      </c>
      <c r="M24" s="536">
        <v>39784</v>
      </c>
      <c r="N24" s="460">
        <f t="shared" si="6"/>
        <v>15</v>
      </c>
      <c r="O24" s="535">
        <v>7</v>
      </c>
      <c r="Q24" s="547">
        <v>40543</v>
      </c>
      <c r="R24" s="415">
        <f t="shared" si="0"/>
        <v>135</v>
      </c>
      <c r="S24" s="535">
        <v>0</v>
      </c>
      <c r="U24" s="534">
        <v>40455</v>
      </c>
      <c r="V24" s="415">
        <f t="shared" si="1"/>
        <v>46</v>
      </c>
      <c r="W24" s="535">
        <v>2</v>
      </c>
      <c r="Y24" s="534">
        <v>40266</v>
      </c>
      <c r="Z24" s="460">
        <f t="shared" si="7"/>
        <v>17</v>
      </c>
      <c r="AA24" s="535">
        <v>6</v>
      </c>
      <c r="AB24" s="535"/>
      <c r="AC24" s="536">
        <v>39835</v>
      </c>
      <c r="AD24" s="415">
        <f t="shared" si="2"/>
        <v>22</v>
      </c>
      <c r="AE24" s="535">
        <v>30</v>
      </c>
      <c r="AF24" s="535"/>
      <c r="AG24" s="535"/>
      <c r="AH24" s="535"/>
      <c r="AI24" s="535"/>
      <c r="AJ24" s="535"/>
      <c r="AK24" s="535"/>
      <c r="AL24" s="535"/>
      <c r="AM24" s="535"/>
      <c r="AN24" s="535"/>
      <c r="AO24" s="554">
        <v>40574</v>
      </c>
      <c r="AP24" s="415">
        <f t="shared" si="9"/>
        <v>31</v>
      </c>
      <c r="AQ24" s="535">
        <v>0</v>
      </c>
      <c r="AR24" s="535"/>
      <c r="AS24" s="554">
        <v>40574</v>
      </c>
      <c r="AT24" s="415">
        <f>+AS24-AS22</f>
        <v>48</v>
      </c>
      <c r="AU24" s="535">
        <v>0</v>
      </c>
      <c r="AV24" s="535"/>
    </row>
    <row r="25" spans="2:74" ht="12.6" customHeight="1">
      <c r="B25" s="3253" t="s">
        <v>83</v>
      </c>
      <c r="C25" s="448">
        <v>39127</v>
      </c>
      <c r="D25" s="420">
        <f>+C25-$D$2</f>
        <v>44</v>
      </c>
      <c r="E25" s="421">
        <v>2</v>
      </c>
      <c r="F25" s="485">
        <f>SUM(D25:D46)/COUNT(E25:E46)</f>
        <v>67.772727272727266</v>
      </c>
      <c r="G25" s="485">
        <f>(SUM(E25:E46)-6000+30)/COUNT(E25:E46)</f>
        <v>11.090909090909092</v>
      </c>
      <c r="I25" s="448">
        <v>39189</v>
      </c>
      <c r="J25" s="460">
        <f t="shared" si="5"/>
        <v>2</v>
      </c>
      <c r="K25" s="421">
        <v>30</v>
      </c>
      <c r="M25" s="536">
        <v>39797</v>
      </c>
      <c r="N25" s="460">
        <f t="shared" si="6"/>
        <v>13</v>
      </c>
      <c r="O25" s="535">
        <v>15</v>
      </c>
      <c r="Q25" s="547">
        <v>40574</v>
      </c>
      <c r="R25" s="415">
        <f t="shared" si="0"/>
        <v>31</v>
      </c>
      <c r="S25" s="535">
        <v>0</v>
      </c>
      <c r="U25" s="547">
        <v>40543</v>
      </c>
      <c r="V25" s="415">
        <f t="shared" si="1"/>
        <v>88</v>
      </c>
      <c r="W25" s="535">
        <v>0</v>
      </c>
      <c r="Y25" s="534">
        <v>40379</v>
      </c>
      <c r="Z25" s="460">
        <f t="shared" si="7"/>
        <v>113</v>
      </c>
      <c r="AA25" s="548">
        <v>3</v>
      </c>
      <c r="AB25" s="548"/>
      <c r="AC25" s="536">
        <v>39932</v>
      </c>
      <c r="AD25" s="415">
        <f t="shared" si="2"/>
        <v>97</v>
      </c>
      <c r="AE25" s="535">
        <v>6</v>
      </c>
      <c r="AF25" s="535"/>
      <c r="AG25" s="535"/>
      <c r="AH25" s="535"/>
      <c r="AI25" s="535"/>
      <c r="AJ25" s="535"/>
      <c r="AK25" s="535"/>
      <c r="AL25" s="535"/>
      <c r="AM25" s="535"/>
      <c r="AN25" s="535"/>
      <c r="AO25" s="535"/>
      <c r="AP25" s="535"/>
      <c r="AQ25" s="535"/>
      <c r="AR25" s="535"/>
      <c r="AS25" s="535"/>
      <c r="AT25" s="535"/>
      <c r="AU25" s="535"/>
      <c r="AV25" s="535"/>
    </row>
    <row r="26" spans="2:74" ht="12.6" customHeight="1">
      <c r="B26" s="3254"/>
      <c r="C26" s="424">
        <v>39190</v>
      </c>
      <c r="D26" s="427">
        <f t="shared" ref="D26:D45" si="10">+C26-C25</f>
        <v>63</v>
      </c>
      <c r="E26" s="423">
        <v>3</v>
      </c>
      <c r="F26" s="486"/>
      <c r="G26" s="486"/>
      <c r="I26" s="424">
        <v>39190</v>
      </c>
      <c r="J26" s="460">
        <f t="shared" si="5"/>
        <v>1</v>
      </c>
      <c r="K26" s="423">
        <v>3</v>
      </c>
      <c r="M26" s="536">
        <v>39799</v>
      </c>
      <c r="N26" s="460">
        <f t="shared" si="6"/>
        <v>2</v>
      </c>
      <c r="O26" s="535">
        <v>5</v>
      </c>
      <c r="U26" s="547">
        <v>40574</v>
      </c>
      <c r="V26" s="415">
        <f t="shared" si="1"/>
        <v>31</v>
      </c>
      <c r="W26" s="535">
        <v>0</v>
      </c>
      <c r="Y26" s="534">
        <v>40404</v>
      </c>
      <c r="Z26" s="460">
        <f t="shared" si="7"/>
        <v>25</v>
      </c>
      <c r="AA26" s="535">
        <v>3</v>
      </c>
      <c r="AB26" s="535"/>
      <c r="AC26" s="536">
        <v>40046</v>
      </c>
      <c r="AD26" s="415">
        <f t="shared" si="2"/>
        <v>114</v>
      </c>
      <c r="AE26" s="535">
        <v>30</v>
      </c>
      <c r="AF26" s="535"/>
      <c r="AG26" s="535"/>
      <c r="AH26" s="535"/>
      <c r="AI26" s="535"/>
      <c r="AJ26" s="535"/>
      <c r="AK26" s="535"/>
      <c r="AL26" s="535"/>
      <c r="AM26" s="535"/>
      <c r="AN26" s="535"/>
      <c r="AO26" s="535"/>
      <c r="AP26" s="535"/>
      <c r="AQ26" s="535"/>
      <c r="AR26" s="535"/>
      <c r="AS26" s="535"/>
      <c r="AT26" s="535"/>
      <c r="AU26" s="535"/>
      <c r="AV26" s="535"/>
      <c r="BV26" s="556">
        <v>1800</v>
      </c>
    </row>
    <row r="27" spans="2:74" ht="12.6" customHeight="1">
      <c r="B27" s="3254"/>
      <c r="C27" s="424">
        <v>39246</v>
      </c>
      <c r="D27" s="427">
        <f t="shared" si="10"/>
        <v>56</v>
      </c>
      <c r="E27" s="423">
        <v>3</v>
      </c>
      <c r="F27" s="486"/>
      <c r="G27" s="486"/>
      <c r="I27" s="424">
        <v>39196</v>
      </c>
      <c r="J27" s="460">
        <f t="shared" si="5"/>
        <v>6</v>
      </c>
      <c r="K27" s="423">
        <v>1</v>
      </c>
      <c r="M27" s="536">
        <v>39801</v>
      </c>
      <c r="N27" s="460">
        <f t="shared" si="6"/>
        <v>2</v>
      </c>
      <c r="O27" s="535">
        <v>2</v>
      </c>
      <c r="Y27" s="534">
        <v>40429</v>
      </c>
      <c r="Z27" s="460">
        <f t="shared" si="7"/>
        <v>25</v>
      </c>
      <c r="AA27" s="535">
        <v>28</v>
      </c>
      <c r="AB27" s="535"/>
      <c r="AC27" s="534">
        <v>40115</v>
      </c>
      <c r="AD27" s="415">
        <f t="shared" si="2"/>
        <v>69</v>
      </c>
      <c r="AE27" s="535">
        <v>2</v>
      </c>
      <c r="AF27" s="535"/>
      <c r="AG27" s="535"/>
      <c r="AH27" s="535"/>
      <c r="AI27" s="535"/>
      <c r="AJ27" s="535"/>
      <c r="AK27" s="535"/>
      <c r="AL27" s="535"/>
      <c r="AM27" s="535"/>
      <c r="AN27" s="535"/>
      <c r="AO27" s="535"/>
      <c r="AP27" s="535"/>
      <c r="AQ27" s="535"/>
      <c r="AR27" s="535"/>
      <c r="AS27" s="535"/>
      <c r="AT27" s="535"/>
      <c r="AU27" s="535"/>
      <c r="AV27" s="535"/>
    </row>
    <row r="28" spans="2:74" ht="12.6" customHeight="1">
      <c r="B28" s="3254"/>
      <c r="C28" s="424">
        <v>39268</v>
      </c>
      <c r="D28" s="427">
        <f t="shared" si="10"/>
        <v>22</v>
      </c>
      <c r="E28" s="423">
        <v>2</v>
      </c>
      <c r="F28" s="486"/>
      <c r="G28" s="486"/>
      <c r="I28" s="424">
        <v>39196</v>
      </c>
      <c r="J28" s="460">
        <f t="shared" si="5"/>
        <v>0</v>
      </c>
      <c r="K28" s="423">
        <v>3</v>
      </c>
      <c r="M28" s="539">
        <v>39813</v>
      </c>
      <c r="N28" s="460">
        <f t="shared" si="6"/>
        <v>12</v>
      </c>
      <c r="O28" s="535">
        <v>0</v>
      </c>
      <c r="Y28" s="534">
        <v>40460</v>
      </c>
      <c r="Z28" s="460">
        <f t="shared" si="7"/>
        <v>31</v>
      </c>
      <c r="AA28" s="535">
        <v>3</v>
      </c>
      <c r="AB28" s="535"/>
      <c r="AC28" s="555">
        <v>40147</v>
      </c>
      <c r="AD28" s="415">
        <f t="shared" si="2"/>
        <v>32</v>
      </c>
      <c r="AE28" s="535">
        <v>5</v>
      </c>
      <c r="AF28" s="535"/>
      <c r="AG28" s="535"/>
      <c r="AH28" s="535"/>
      <c r="AI28" s="535"/>
      <c r="AJ28" s="535"/>
      <c r="AK28" s="535"/>
      <c r="AL28" s="535"/>
      <c r="AM28" s="535"/>
      <c r="AN28" s="535"/>
      <c r="AO28" s="535"/>
      <c r="AP28" s="535"/>
      <c r="AQ28" s="535"/>
      <c r="AR28" s="535"/>
      <c r="AS28" s="535"/>
      <c r="AT28" s="535"/>
      <c r="AU28" s="535"/>
      <c r="AV28" s="535"/>
    </row>
    <row r="29" spans="2:74" ht="12.6" customHeight="1">
      <c r="B29" s="3254"/>
      <c r="C29" s="424">
        <v>39302</v>
      </c>
      <c r="D29" s="427">
        <f t="shared" si="10"/>
        <v>34</v>
      </c>
      <c r="E29" s="423">
        <v>6</v>
      </c>
      <c r="F29" s="486"/>
      <c r="G29" s="486"/>
      <c r="I29" s="424">
        <v>39198</v>
      </c>
      <c r="J29" s="460">
        <f t="shared" si="5"/>
        <v>2</v>
      </c>
      <c r="K29" s="423">
        <v>9</v>
      </c>
      <c r="M29" s="536">
        <v>39860</v>
      </c>
      <c r="N29" s="460">
        <f t="shared" si="6"/>
        <v>47</v>
      </c>
      <c r="O29" s="535">
        <v>15</v>
      </c>
      <c r="Y29" s="534">
        <v>40516</v>
      </c>
      <c r="Z29" s="460">
        <f t="shared" si="7"/>
        <v>56</v>
      </c>
      <c r="AA29" s="535">
        <v>13</v>
      </c>
      <c r="AB29" s="535"/>
      <c r="AC29" s="547">
        <v>40178</v>
      </c>
      <c r="AD29" s="415">
        <f t="shared" si="2"/>
        <v>31</v>
      </c>
      <c r="AE29" s="535">
        <v>0</v>
      </c>
      <c r="AF29" s="535"/>
      <c r="AG29" s="535"/>
      <c r="AH29" s="535"/>
      <c r="AI29" s="535"/>
      <c r="AJ29" s="535"/>
      <c r="AK29" s="535"/>
      <c r="AL29" s="535"/>
      <c r="AM29" s="535"/>
      <c r="AN29" s="535"/>
      <c r="AO29" s="535"/>
      <c r="AP29" s="535"/>
      <c r="AQ29" s="535"/>
      <c r="AR29" s="535"/>
      <c r="AS29" s="535"/>
      <c r="AT29" s="535"/>
      <c r="AU29" s="535"/>
      <c r="AV29" s="535"/>
    </row>
    <row r="30" spans="2:74" ht="12.6" customHeight="1">
      <c r="B30" s="3254"/>
      <c r="C30" s="424">
        <v>39319</v>
      </c>
      <c r="D30" s="427">
        <f t="shared" si="10"/>
        <v>17</v>
      </c>
      <c r="E30" s="423">
        <v>11</v>
      </c>
      <c r="F30" s="486"/>
      <c r="G30" s="486"/>
      <c r="I30" s="424">
        <v>39209</v>
      </c>
      <c r="J30" s="460">
        <f t="shared" si="5"/>
        <v>11</v>
      </c>
      <c r="K30" s="423">
        <v>3</v>
      </c>
      <c r="M30" s="536">
        <v>39941</v>
      </c>
      <c r="N30" s="460">
        <f t="shared" si="6"/>
        <v>81</v>
      </c>
      <c r="O30" s="535">
        <v>8</v>
      </c>
      <c r="Y30" s="534">
        <v>40516</v>
      </c>
      <c r="Z30" s="460">
        <f t="shared" si="7"/>
        <v>0</v>
      </c>
      <c r="AA30" s="535">
        <v>19</v>
      </c>
      <c r="AB30" s="535"/>
      <c r="AC30" s="534">
        <v>40201</v>
      </c>
      <c r="AD30" s="415">
        <f t="shared" si="2"/>
        <v>23</v>
      </c>
      <c r="AE30" s="535">
        <v>15</v>
      </c>
      <c r="AF30" s="535"/>
      <c r="AG30" s="535"/>
      <c r="AH30" s="535"/>
      <c r="AI30" s="535"/>
      <c r="AJ30" s="535"/>
      <c r="AK30" s="535"/>
      <c r="AL30" s="535"/>
      <c r="AM30" s="535"/>
      <c r="AN30" s="535"/>
      <c r="AO30" s="535"/>
      <c r="AP30" s="535"/>
      <c r="AQ30" s="535"/>
      <c r="AR30" s="535"/>
      <c r="AS30" s="535"/>
      <c r="AT30" s="535"/>
      <c r="AU30" s="535"/>
      <c r="AV30" s="535"/>
    </row>
    <row r="31" spans="2:74" ht="12.6" customHeight="1">
      <c r="B31" s="3254"/>
      <c r="C31" s="424">
        <v>39632</v>
      </c>
      <c r="D31" s="427">
        <f t="shared" si="10"/>
        <v>313</v>
      </c>
      <c r="E31" s="423">
        <v>10</v>
      </c>
      <c r="F31" s="486"/>
      <c r="G31" s="486"/>
      <c r="I31" s="424">
        <v>39212</v>
      </c>
      <c r="J31" s="460">
        <f t="shared" si="5"/>
        <v>3</v>
      </c>
      <c r="K31" s="423">
        <v>7</v>
      </c>
      <c r="M31" s="536">
        <v>39945</v>
      </c>
      <c r="N31" s="460">
        <f t="shared" si="6"/>
        <v>4</v>
      </c>
      <c r="O31" s="535">
        <v>7</v>
      </c>
      <c r="Y31" s="547">
        <v>40543</v>
      </c>
      <c r="Z31" s="460">
        <f t="shared" si="7"/>
        <v>27</v>
      </c>
      <c r="AA31" s="548">
        <v>0</v>
      </c>
      <c r="AB31" s="548"/>
      <c r="AC31" s="534">
        <v>40203</v>
      </c>
      <c r="AD31" s="415">
        <f t="shared" si="2"/>
        <v>2</v>
      </c>
      <c r="AE31" s="535">
        <v>7</v>
      </c>
      <c r="AF31" s="535"/>
      <c r="AG31" s="535"/>
      <c r="AH31" s="535"/>
      <c r="AI31" s="535"/>
      <c r="AJ31" s="535"/>
      <c r="AK31" s="535"/>
      <c r="AL31" s="535"/>
      <c r="AM31" s="535"/>
      <c r="AN31" s="535"/>
      <c r="AO31" s="535"/>
      <c r="AP31" s="535"/>
      <c r="AQ31" s="535"/>
      <c r="AR31" s="535"/>
      <c r="AS31" s="535"/>
      <c r="AT31" s="535"/>
      <c r="AU31" s="535"/>
      <c r="AV31" s="535"/>
    </row>
    <row r="32" spans="2:74" ht="12.6" customHeight="1">
      <c r="B32" s="3254"/>
      <c r="C32" s="424">
        <v>39678</v>
      </c>
      <c r="D32" s="427">
        <f t="shared" si="10"/>
        <v>46</v>
      </c>
      <c r="E32" s="423">
        <v>4</v>
      </c>
      <c r="F32" s="486"/>
      <c r="G32" s="486"/>
      <c r="I32" s="424">
        <v>39214</v>
      </c>
      <c r="J32" s="460">
        <f t="shared" si="5"/>
        <v>2</v>
      </c>
      <c r="K32" s="423">
        <v>3</v>
      </c>
      <c r="M32" s="536">
        <v>39981</v>
      </c>
      <c r="N32" s="460">
        <f t="shared" si="6"/>
        <v>36</v>
      </c>
      <c r="O32" s="535">
        <v>7</v>
      </c>
      <c r="Y32" s="547">
        <v>40574</v>
      </c>
      <c r="Z32" s="460">
        <f t="shared" si="7"/>
        <v>31</v>
      </c>
      <c r="AA32" s="535">
        <v>0</v>
      </c>
      <c r="AB32" s="535"/>
      <c r="AC32" s="534">
        <v>40213</v>
      </c>
      <c r="AD32" s="415">
        <f t="shared" si="2"/>
        <v>10</v>
      </c>
      <c r="AE32" s="535">
        <v>15</v>
      </c>
      <c r="AF32" s="535"/>
      <c r="AG32" s="535"/>
      <c r="AH32" s="535"/>
      <c r="AI32" s="535"/>
      <c r="AJ32" s="535"/>
      <c r="AK32" s="535"/>
      <c r="AL32" s="535"/>
      <c r="AM32" s="535"/>
      <c r="AN32" s="535"/>
      <c r="AO32" s="535"/>
      <c r="AP32" s="535"/>
      <c r="AQ32" s="535"/>
      <c r="AR32" s="535"/>
      <c r="AS32" s="535"/>
      <c r="AT32" s="535"/>
      <c r="AU32" s="535"/>
      <c r="AV32" s="535"/>
    </row>
    <row r="33" spans="2:48" ht="12.6" customHeight="1">
      <c r="B33" s="3254"/>
      <c r="C33" s="424">
        <v>39680</v>
      </c>
      <c r="D33" s="427">
        <f t="shared" si="10"/>
        <v>2</v>
      </c>
      <c r="E33" s="423">
        <v>10</v>
      </c>
      <c r="F33" s="486"/>
      <c r="G33" s="486"/>
      <c r="I33" s="424">
        <v>39221</v>
      </c>
      <c r="J33" s="460">
        <f t="shared" si="5"/>
        <v>7</v>
      </c>
      <c r="K33" s="423">
        <v>2</v>
      </c>
      <c r="M33" s="537">
        <v>39991</v>
      </c>
      <c r="N33" s="460">
        <f t="shared" si="6"/>
        <v>10</v>
      </c>
      <c r="O33" s="535">
        <v>30</v>
      </c>
      <c r="Z33" s="460"/>
      <c r="AC33" s="534">
        <v>40217</v>
      </c>
      <c r="AD33" s="415">
        <f t="shared" si="2"/>
        <v>4</v>
      </c>
      <c r="AE33" s="535">
        <v>30</v>
      </c>
      <c r="AF33" s="535"/>
      <c r="AG33" s="535"/>
      <c r="AH33" s="535"/>
      <c r="AI33" s="535"/>
      <c r="AJ33" s="535"/>
      <c r="AK33" s="535"/>
      <c r="AL33" s="535"/>
      <c r="AM33" s="535"/>
      <c r="AN33" s="535"/>
      <c r="AO33" s="535"/>
      <c r="AP33" s="535"/>
      <c r="AQ33" s="535"/>
      <c r="AR33" s="535"/>
      <c r="AS33" s="535"/>
      <c r="AT33" s="535"/>
      <c r="AU33" s="535"/>
      <c r="AV33" s="535"/>
    </row>
    <row r="34" spans="2:48" ht="12.6" customHeight="1">
      <c r="B34" s="3254"/>
      <c r="C34" s="449">
        <v>39762</v>
      </c>
      <c r="D34" s="427">
        <f t="shared" si="10"/>
        <v>82</v>
      </c>
      <c r="E34" s="423">
        <v>20</v>
      </c>
      <c r="F34" s="486"/>
      <c r="G34" s="486"/>
      <c r="I34" s="424">
        <v>39224</v>
      </c>
      <c r="J34" s="460">
        <f t="shared" si="5"/>
        <v>3</v>
      </c>
      <c r="K34" s="423">
        <v>3</v>
      </c>
      <c r="M34" s="536">
        <v>40039</v>
      </c>
      <c r="N34" s="460">
        <f t="shared" si="6"/>
        <v>48</v>
      </c>
      <c r="O34" s="535">
        <v>27</v>
      </c>
      <c r="AC34" s="534">
        <v>40252</v>
      </c>
      <c r="AD34" s="415">
        <f t="shared" si="2"/>
        <v>35</v>
      </c>
      <c r="AE34" s="535">
        <v>48</v>
      </c>
      <c r="AF34" s="535"/>
      <c r="AG34" s="535"/>
      <c r="AH34" s="535"/>
      <c r="AI34" s="535"/>
      <c r="AJ34" s="535"/>
      <c r="AK34" s="535"/>
      <c r="AL34" s="535"/>
      <c r="AM34" s="535"/>
      <c r="AN34" s="535"/>
      <c r="AO34" s="535"/>
      <c r="AP34" s="535"/>
      <c r="AQ34" s="535"/>
      <c r="AR34" s="535"/>
      <c r="AS34" s="535"/>
      <c r="AT34" s="535"/>
      <c r="AU34" s="535"/>
      <c r="AV34" s="535"/>
    </row>
    <row r="35" spans="2:48" ht="12.6" customHeight="1">
      <c r="B35" s="3254"/>
      <c r="C35" s="449">
        <v>39769</v>
      </c>
      <c r="D35" s="427">
        <f t="shared" si="10"/>
        <v>7</v>
      </c>
      <c r="E35" s="423">
        <v>10</v>
      </c>
      <c r="F35" s="486"/>
      <c r="G35" s="486"/>
      <c r="I35" s="452">
        <v>39227</v>
      </c>
      <c r="J35" s="460">
        <f t="shared" si="5"/>
        <v>3</v>
      </c>
      <c r="K35" s="436">
        <v>2</v>
      </c>
      <c r="M35" s="534">
        <v>40101</v>
      </c>
      <c r="N35" s="460">
        <f t="shared" si="6"/>
        <v>62</v>
      </c>
      <c r="O35" s="535">
        <v>4</v>
      </c>
      <c r="AC35" s="534">
        <v>40303</v>
      </c>
      <c r="AD35" s="415">
        <f t="shared" si="2"/>
        <v>51</v>
      </c>
      <c r="AE35" s="535">
        <v>10</v>
      </c>
      <c r="AF35" s="535"/>
      <c r="AG35" s="535"/>
      <c r="AH35" s="535"/>
      <c r="AI35" s="535"/>
      <c r="AJ35" s="535"/>
      <c r="AK35" s="535"/>
      <c r="AL35" s="535"/>
      <c r="AM35" s="535"/>
      <c r="AN35" s="535"/>
      <c r="AO35" s="535"/>
      <c r="AP35" s="535"/>
      <c r="AQ35" s="535"/>
      <c r="AR35" s="535"/>
      <c r="AS35" s="535"/>
      <c r="AT35" s="535"/>
      <c r="AU35" s="535"/>
      <c r="AV35" s="535"/>
    </row>
    <row r="36" spans="2:48" ht="12.6" customHeight="1">
      <c r="B36" s="3254"/>
      <c r="C36" s="449">
        <v>39784</v>
      </c>
      <c r="D36" s="427">
        <f t="shared" si="10"/>
        <v>15</v>
      </c>
      <c r="E36" s="423">
        <v>7</v>
      </c>
      <c r="F36" s="486"/>
      <c r="G36" s="486"/>
      <c r="I36" s="424">
        <v>39229</v>
      </c>
      <c r="J36" s="460">
        <f t="shared" si="5"/>
        <v>2</v>
      </c>
      <c r="K36" s="423">
        <v>1</v>
      </c>
      <c r="M36" s="539">
        <v>40178</v>
      </c>
      <c r="N36" s="460">
        <f t="shared" si="6"/>
        <v>77</v>
      </c>
      <c r="O36" s="535">
        <v>0</v>
      </c>
      <c r="AC36" s="534">
        <v>40356</v>
      </c>
      <c r="AD36" s="415">
        <f t="shared" si="2"/>
        <v>53</v>
      </c>
      <c r="AE36" s="535">
        <v>3</v>
      </c>
      <c r="AF36" s="535"/>
      <c r="AG36" s="535"/>
      <c r="AH36" s="535"/>
      <c r="AI36" s="535"/>
      <c r="AJ36" s="535"/>
      <c r="AK36" s="535"/>
      <c r="AL36" s="535"/>
      <c r="AM36" s="535"/>
      <c r="AN36" s="535"/>
      <c r="AO36" s="535"/>
      <c r="AP36" s="535"/>
      <c r="AQ36" s="535"/>
      <c r="AR36" s="535"/>
      <c r="AS36" s="535"/>
      <c r="AT36" s="535"/>
      <c r="AU36" s="535"/>
      <c r="AV36" s="535"/>
    </row>
    <row r="37" spans="2:48" ht="12.6" customHeight="1">
      <c r="B37" s="3254"/>
      <c r="C37" s="449">
        <v>39797</v>
      </c>
      <c r="D37" s="427">
        <f t="shared" si="10"/>
        <v>13</v>
      </c>
      <c r="E37" s="423">
        <v>15</v>
      </c>
      <c r="F37" s="486"/>
      <c r="G37" s="486"/>
      <c r="I37" s="452">
        <v>39231</v>
      </c>
      <c r="J37" s="460">
        <f t="shared" si="5"/>
        <v>2</v>
      </c>
      <c r="K37" s="436">
        <v>92</v>
      </c>
      <c r="M37" s="534">
        <v>40204</v>
      </c>
      <c r="N37" s="460">
        <f t="shared" si="6"/>
        <v>26</v>
      </c>
      <c r="O37" s="535">
        <v>54</v>
      </c>
      <c r="AC37" s="534">
        <v>40392</v>
      </c>
      <c r="AD37" s="415">
        <f t="shared" si="2"/>
        <v>36</v>
      </c>
      <c r="AE37" s="535">
        <v>3</v>
      </c>
      <c r="AF37" s="535"/>
      <c r="AG37" s="535"/>
      <c r="AH37" s="535"/>
      <c r="AI37" s="535"/>
      <c r="AJ37" s="535"/>
      <c r="AK37" s="535"/>
      <c r="AL37" s="535"/>
      <c r="AM37" s="535"/>
      <c r="AN37" s="535"/>
      <c r="AO37" s="535"/>
      <c r="AP37" s="535"/>
      <c r="AQ37" s="535"/>
      <c r="AR37" s="535"/>
      <c r="AS37" s="535"/>
      <c r="AT37" s="535"/>
      <c r="AU37" s="535"/>
      <c r="AV37" s="535"/>
    </row>
    <row r="38" spans="2:48" ht="12.6" customHeight="1">
      <c r="B38" s="3254"/>
      <c r="C38" s="449">
        <v>39801</v>
      </c>
      <c r="D38" s="427">
        <f t="shared" si="10"/>
        <v>4</v>
      </c>
      <c r="E38" s="423">
        <v>2</v>
      </c>
      <c r="F38" s="486"/>
      <c r="G38" s="486"/>
      <c r="I38" s="424">
        <v>39241</v>
      </c>
      <c r="J38" s="460">
        <f t="shared" si="5"/>
        <v>10</v>
      </c>
      <c r="K38" s="423">
        <v>5</v>
      </c>
      <c r="M38" s="534">
        <v>40260</v>
      </c>
      <c r="N38" s="460">
        <f t="shared" si="6"/>
        <v>56</v>
      </c>
      <c r="O38" s="535">
        <v>30</v>
      </c>
      <c r="AC38" s="534">
        <v>40421</v>
      </c>
      <c r="AD38" s="415">
        <f t="shared" si="2"/>
        <v>29</v>
      </c>
      <c r="AE38" s="535">
        <v>3</v>
      </c>
      <c r="AF38" s="535"/>
      <c r="AG38" s="535"/>
      <c r="AH38" s="535"/>
      <c r="AI38" s="535"/>
      <c r="AJ38" s="535"/>
      <c r="AK38" s="535"/>
      <c r="AL38" s="535"/>
      <c r="AM38" s="535"/>
      <c r="AN38" s="535"/>
      <c r="AO38" s="535"/>
      <c r="AP38" s="535"/>
      <c r="AQ38" s="535"/>
      <c r="AR38" s="535"/>
      <c r="AS38" s="535"/>
      <c r="AT38" s="535"/>
      <c r="AU38" s="535"/>
      <c r="AV38" s="535"/>
    </row>
    <row r="39" spans="2:48" ht="12.6" customHeight="1">
      <c r="B39" s="3254"/>
      <c r="C39" s="449">
        <v>39941</v>
      </c>
      <c r="D39" s="427">
        <f t="shared" si="10"/>
        <v>140</v>
      </c>
      <c r="E39" s="423">
        <v>8</v>
      </c>
      <c r="F39" s="486"/>
      <c r="G39" s="486"/>
      <c r="I39" s="424">
        <v>39246</v>
      </c>
      <c r="J39" s="460">
        <f t="shared" si="5"/>
        <v>5</v>
      </c>
      <c r="K39" s="423">
        <v>3</v>
      </c>
      <c r="M39" s="534">
        <v>40287</v>
      </c>
      <c r="N39" s="460">
        <f t="shared" si="6"/>
        <v>27</v>
      </c>
      <c r="O39" s="535">
        <v>30</v>
      </c>
      <c r="AC39" s="534">
        <v>40429</v>
      </c>
      <c r="AD39" s="415">
        <f t="shared" si="2"/>
        <v>8</v>
      </c>
      <c r="AE39" s="535">
        <v>13</v>
      </c>
      <c r="AF39" s="535"/>
      <c r="AG39" s="535"/>
      <c r="AH39" s="535"/>
      <c r="AI39" s="535"/>
      <c r="AJ39" s="535"/>
      <c r="AK39" s="535"/>
      <c r="AL39" s="535"/>
      <c r="AM39" s="535"/>
      <c r="AN39" s="535"/>
      <c r="AO39" s="535"/>
      <c r="AP39" s="535"/>
      <c r="AQ39" s="535"/>
      <c r="AR39" s="535"/>
      <c r="AS39" s="535"/>
      <c r="AT39" s="535"/>
      <c r="AU39" s="535"/>
      <c r="AV39" s="535"/>
    </row>
    <row r="40" spans="2:48" ht="12.6" customHeight="1">
      <c r="B40" s="3254"/>
      <c r="C40" s="449">
        <v>39945</v>
      </c>
      <c r="D40" s="427">
        <f t="shared" si="10"/>
        <v>4</v>
      </c>
      <c r="E40" s="423">
        <v>7</v>
      </c>
      <c r="F40" s="486"/>
      <c r="G40" s="486"/>
      <c r="I40" s="424">
        <v>39248</v>
      </c>
      <c r="J40" s="460">
        <f t="shared" si="5"/>
        <v>2</v>
      </c>
      <c r="K40" s="423">
        <v>120</v>
      </c>
      <c r="M40" s="534">
        <v>40310</v>
      </c>
      <c r="N40" s="460">
        <f t="shared" si="6"/>
        <v>23</v>
      </c>
      <c r="O40" s="535">
        <v>20</v>
      </c>
      <c r="AC40" s="534">
        <v>40438</v>
      </c>
      <c r="AD40" s="415">
        <f t="shared" si="2"/>
        <v>9</v>
      </c>
      <c r="AE40" s="535">
        <v>2</v>
      </c>
      <c r="AF40" s="535"/>
      <c r="AG40" s="535"/>
      <c r="AH40" s="535"/>
      <c r="AI40" s="535"/>
      <c r="AJ40" s="535"/>
      <c r="AK40" s="535"/>
      <c r="AL40" s="535"/>
      <c r="AM40" s="535"/>
      <c r="AN40" s="535"/>
      <c r="AO40" s="535"/>
      <c r="AP40" s="535"/>
      <c r="AQ40" s="535"/>
      <c r="AR40" s="535"/>
      <c r="AS40" s="535"/>
      <c r="AT40" s="535"/>
      <c r="AU40" s="535"/>
      <c r="AV40" s="535"/>
    </row>
    <row r="41" spans="2:48" ht="12.6" customHeight="1">
      <c r="B41" s="3254"/>
      <c r="C41" s="450">
        <v>39991</v>
      </c>
      <c r="D41" s="427">
        <f t="shared" si="10"/>
        <v>46</v>
      </c>
      <c r="E41" s="423">
        <v>6000</v>
      </c>
      <c r="F41" s="486"/>
      <c r="G41" s="486"/>
      <c r="I41" s="424">
        <v>39253</v>
      </c>
      <c r="J41" s="460">
        <f t="shared" si="5"/>
        <v>5</v>
      </c>
      <c r="K41" s="423">
        <v>2</v>
      </c>
      <c r="M41" s="534">
        <v>40357</v>
      </c>
      <c r="N41" s="460">
        <f t="shared" si="6"/>
        <v>47</v>
      </c>
      <c r="O41" s="535">
        <v>2</v>
      </c>
      <c r="AC41" s="534">
        <v>40474</v>
      </c>
      <c r="AD41" s="415">
        <f t="shared" si="2"/>
        <v>36</v>
      </c>
      <c r="AE41" s="535">
        <v>5</v>
      </c>
      <c r="AF41" s="535"/>
      <c r="AG41" s="535"/>
      <c r="AH41" s="535"/>
      <c r="AI41" s="535"/>
      <c r="AJ41" s="535"/>
      <c r="AK41" s="535"/>
      <c r="AL41" s="535"/>
      <c r="AM41" s="535"/>
      <c r="AN41" s="535"/>
      <c r="AO41" s="535"/>
      <c r="AP41" s="535"/>
      <c r="AQ41" s="535"/>
      <c r="AR41" s="535"/>
      <c r="AS41" s="535"/>
      <c r="AT41" s="535"/>
      <c r="AU41" s="535"/>
      <c r="AV41" s="535"/>
    </row>
    <row r="42" spans="2:48" ht="12.6" customHeight="1">
      <c r="B42" s="3254"/>
      <c r="C42" s="424">
        <v>40260</v>
      </c>
      <c r="D42" s="427">
        <f t="shared" si="10"/>
        <v>269</v>
      </c>
      <c r="E42" s="423">
        <v>30</v>
      </c>
      <c r="F42" s="486"/>
      <c r="G42" s="486"/>
      <c r="I42" s="424">
        <v>39256</v>
      </c>
      <c r="J42" s="460">
        <f t="shared" si="5"/>
        <v>3</v>
      </c>
      <c r="K42" s="423">
        <v>3</v>
      </c>
      <c r="M42" s="534">
        <v>40391</v>
      </c>
      <c r="N42" s="460">
        <f t="shared" si="6"/>
        <v>34</v>
      </c>
      <c r="O42" s="535">
        <v>30</v>
      </c>
      <c r="AC42" s="534">
        <v>40526</v>
      </c>
      <c r="AD42" s="415">
        <f t="shared" si="2"/>
        <v>52</v>
      </c>
      <c r="AE42" s="535">
        <v>3</v>
      </c>
      <c r="AF42" s="535"/>
      <c r="AG42" s="535"/>
      <c r="AH42" s="535"/>
      <c r="AI42" s="535"/>
      <c r="AJ42" s="535"/>
      <c r="AK42" s="535"/>
      <c r="AL42" s="535"/>
      <c r="AM42" s="535"/>
      <c r="AN42" s="535"/>
      <c r="AO42" s="535"/>
      <c r="AP42" s="535"/>
      <c r="AQ42" s="535"/>
      <c r="AR42" s="535"/>
      <c r="AS42" s="535"/>
      <c r="AT42" s="535"/>
      <c r="AU42" s="535"/>
      <c r="AV42" s="535"/>
    </row>
    <row r="43" spans="2:48" ht="12.6" customHeight="1">
      <c r="B43" s="3254"/>
      <c r="C43" s="424">
        <v>40310</v>
      </c>
      <c r="D43" s="427">
        <f t="shared" si="10"/>
        <v>50</v>
      </c>
      <c r="E43" s="423">
        <v>20</v>
      </c>
      <c r="F43" s="486"/>
      <c r="G43" s="486"/>
      <c r="I43" s="424">
        <v>39256</v>
      </c>
      <c r="J43" s="460">
        <f t="shared" si="5"/>
        <v>0</v>
      </c>
      <c r="K43" s="423">
        <v>5</v>
      </c>
      <c r="M43" s="534">
        <v>40453</v>
      </c>
      <c r="N43" s="460">
        <f t="shared" si="6"/>
        <v>62</v>
      </c>
      <c r="O43" s="535">
        <v>14</v>
      </c>
      <c r="AC43" s="555">
        <v>40529</v>
      </c>
      <c r="AD43" s="415">
        <f t="shared" si="2"/>
        <v>3</v>
      </c>
      <c r="AE43" s="535">
        <v>3</v>
      </c>
      <c r="AF43" s="535"/>
      <c r="AG43" s="535"/>
      <c r="AH43" s="535"/>
      <c r="AI43" s="535"/>
      <c r="AJ43" s="535"/>
      <c r="AK43" s="535"/>
      <c r="AL43" s="535"/>
      <c r="AM43" s="535"/>
      <c r="AN43" s="535"/>
      <c r="AO43" s="535"/>
      <c r="AP43" s="535"/>
      <c r="AQ43" s="535"/>
      <c r="AR43" s="535"/>
      <c r="AS43" s="535"/>
      <c r="AT43" s="535"/>
      <c r="AU43" s="535"/>
      <c r="AV43" s="535"/>
    </row>
    <row r="44" spans="2:48" ht="12.6" customHeight="1">
      <c r="B44" s="3254"/>
      <c r="C44" s="424">
        <v>40391</v>
      </c>
      <c r="D44" s="427">
        <f t="shared" si="10"/>
        <v>81</v>
      </c>
      <c r="E44" s="423">
        <v>30</v>
      </c>
      <c r="F44" s="486"/>
      <c r="G44" s="486"/>
      <c r="I44" s="424">
        <v>39259</v>
      </c>
      <c r="J44" s="460">
        <f t="shared" si="5"/>
        <v>3</v>
      </c>
      <c r="K44" s="423">
        <v>3</v>
      </c>
      <c r="M44" s="534">
        <v>40472</v>
      </c>
      <c r="N44" s="460">
        <f t="shared" si="6"/>
        <v>19</v>
      </c>
      <c r="O44" s="535">
        <v>2</v>
      </c>
      <c r="AC44" s="547">
        <v>40543</v>
      </c>
      <c r="AD44" s="415">
        <f t="shared" si="2"/>
        <v>14</v>
      </c>
      <c r="AE44" s="535">
        <v>0</v>
      </c>
      <c r="AF44" s="535"/>
      <c r="AG44" s="535"/>
      <c r="AH44" s="535"/>
      <c r="AI44" s="535"/>
      <c r="AJ44" s="535"/>
      <c r="AK44" s="535"/>
      <c r="AL44" s="535"/>
      <c r="AM44" s="535"/>
      <c r="AN44" s="535"/>
      <c r="AO44" s="535"/>
      <c r="AP44" s="535"/>
      <c r="AQ44" s="535"/>
      <c r="AR44" s="535"/>
      <c r="AS44" s="535"/>
      <c r="AT44" s="535"/>
      <c r="AU44" s="535"/>
      <c r="AV44" s="535"/>
    </row>
    <row r="45" spans="2:48" ht="12.6" customHeight="1">
      <c r="B45" s="3255"/>
      <c r="C45" s="424">
        <v>40453</v>
      </c>
      <c r="D45" s="427">
        <f t="shared" si="10"/>
        <v>62</v>
      </c>
      <c r="E45" s="428">
        <v>14</v>
      </c>
      <c r="F45" s="486"/>
      <c r="G45" s="486"/>
      <c r="I45" s="424">
        <v>39268</v>
      </c>
      <c r="J45" s="460">
        <f t="shared" si="5"/>
        <v>9</v>
      </c>
      <c r="K45" s="428">
        <v>2</v>
      </c>
      <c r="M45" s="534">
        <v>40522</v>
      </c>
      <c r="N45" s="460">
        <f t="shared" si="6"/>
        <v>50</v>
      </c>
      <c r="O45" s="535">
        <v>2</v>
      </c>
      <c r="AC45" s="534">
        <v>40551</v>
      </c>
      <c r="AD45" s="415">
        <f t="shared" si="2"/>
        <v>8</v>
      </c>
      <c r="AE45" s="535">
        <v>20</v>
      </c>
      <c r="AF45" s="535"/>
      <c r="AG45" s="535"/>
      <c r="AH45" s="535"/>
      <c r="AI45" s="535"/>
      <c r="AJ45" s="535"/>
      <c r="AK45" s="535"/>
      <c r="AL45" s="535"/>
      <c r="AM45" s="535"/>
      <c r="AN45" s="535"/>
      <c r="AO45" s="535"/>
      <c r="AP45" s="535"/>
      <c r="AQ45" s="535"/>
      <c r="AR45" s="535"/>
      <c r="AS45" s="535"/>
      <c r="AT45" s="535"/>
      <c r="AU45" s="535"/>
      <c r="AV45" s="535"/>
    </row>
    <row r="46" spans="2:48" ht="12.6" customHeight="1" thickBot="1">
      <c r="B46" s="3256"/>
      <c r="C46" s="417">
        <v>40574</v>
      </c>
      <c r="D46" s="429">
        <f>+C46-C45</f>
        <v>121</v>
      </c>
      <c r="E46" s="426">
        <v>0</v>
      </c>
      <c r="F46" s="455"/>
      <c r="G46" s="455"/>
      <c r="I46" s="456">
        <v>39271</v>
      </c>
      <c r="J46" s="460">
        <f t="shared" si="5"/>
        <v>3</v>
      </c>
      <c r="K46" s="426">
        <v>71</v>
      </c>
      <c r="M46" s="539">
        <v>40543</v>
      </c>
      <c r="N46" s="460">
        <f t="shared" si="6"/>
        <v>21</v>
      </c>
      <c r="O46" s="535">
        <v>0</v>
      </c>
      <c r="AC46" s="534">
        <v>40574</v>
      </c>
      <c r="AD46" s="415">
        <f t="shared" si="2"/>
        <v>23</v>
      </c>
      <c r="AE46" s="535">
        <v>2</v>
      </c>
      <c r="AF46" s="535"/>
      <c r="AG46" s="535"/>
      <c r="AH46" s="535"/>
      <c r="AI46" s="535"/>
      <c r="AJ46" s="535"/>
      <c r="AK46" s="535"/>
      <c r="AL46" s="535"/>
      <c r="AM46" s="535"/>
      <c r="AN46" s="535"/>
      <c r="AO46" s="535"/>
      <c r="AP46" s="535"/>
      <c r="AQ46" s="535"/>
      <c r="AR46" s="535"/>
      <c r="AS46" s="535"/>
      <c r="AT46" s="535"/>
      <c r="AU46" s="535"/>
      <c r="AV46" s="535"/>
    </row>
    <row r="47" spans="2:48" ht="12.6" customHeight="1">
      <c r="B47" s="3253" t="s">
        <v>84</v>
      </c>
      <c r="C47" s="424">
        <v>39163</v>
      </c>
      <c r="D47" s="420">
        <f>+C47-$D$2</f>
        <v>80</v>
      </c>
      <c r="E47" s="421">
        <v>7</v>
      </c>
      <c r="F47" s="487">
        <f>SUM(D47:D60)/COUNT(E47:E60)</f>
        <v>106.5</v>
      </c>
      <c r="G47" s="487">
        <f>SUM(E47:E60)/COUNT(E47:E60)</f>
        <v>28.357142857142858</v>
      </c>
      <c r="I47" s="424">
        <v>39273</v>
      </c>
      <c r="J47" s="460">
        <f t="shared" si="5"/>
        <v>2</v>
      </c>
      <c r="K47" s="421">
        <v>2</v>
      </c>
      <c r="M47" s="534">
        <v>40568</v>
      </c>
      <c r="N47" s="460">
        <f t="shared" si="6"/>
        <v>25</v>
      </c>
      <c r="O47" s="535">
        <v>2</v>
      </c>
      <c r="AC47" s="554"/>
      <c r="AD47" s="415"/>
      <c r="AE47" s="535"/>
      <c r="AF47" s="535"/>
      <c r="AG47" s="535"/>
      <c r="AH47" s="535"/>
      <c r="AI47" s="535"/>
      <c r="AJ47" s="535"/>
      <c r="AK47" s="535"/>
      <c r="AL47" s="535"/>
      <c r="AM47" s="535"/>
      <c r="AN47" s="535"/>
      <c r="AO47" s="535"/>
      <c r="AP47" s="535"/>
      <c r="AQ47" s="535"/>
      <c r="AR47" s="535"/>
      <c r="AS47" s="535"/>
      <c r="AT47" s="535"/>
      <c r="AU47" s="535"/>
      <c r="AV47" s="535"/>
    </row>
    <row r="48" spans="2:48" ht="12.6" customHeight="1">
      <c r="B48" s="3254"/>
      <c r="C48" s="424">
        <v>39198</v>
      </c>
      <c r="D48" s="422">
        <f t="shared" ref="D48:D59" si="11">+C48-C47</f>
        <v>35</v>
      </c>
      <c r="E48" s="423">
        <v>9</v>
      </c>
      <c r="F48" s="488"/>
      <c r="G48" s="488"/>
      <c r="I48" s="424">
        <v>39274</v>
      </c>
      <c r="J48" s="460">
        <f t="shared" si="5"/>
        <v>1</v>
      </c>
      <c r="K48" s="423">
        <v>4</v>
      </c>
      <c r="M48" s="539">
        <v>40574</v>
      </c>
      <c r="N48" s="460">
        <f t="shared" si="6"/>
        <v>6</v>
      </c>
      <c r="O48" s="535">
        <v>0</v>
      </c>
    </row>
    <row r="49" spans="2:11" ht="12.6" customHeight="1">
      <c r="B49" s="3254"/>
      <c r="C49" s="424">
        <v>39274</v>
      </c>
      <c r="D49" s="422">
        <f t="shared" si="11"/>
        <v>76</v>
      </c>
      <c r="E49" s="423">
        <v>4</v>
      </c>
      <c r="F49" s="488"/>
      <c r="G49" s="488"/>
      <c r="I49" s="424">
        <v>39279</v>
      </c>
      <c r="J49" s="460">
        <f t="shared" si="5"/>
        <v>5</v>
      </c>
      <c r="K49" s="423">
        <v>1</v>
      </c>
    </row>
    <row r="50" spans="2:11" ht="12.6" customHeight="1">
      <c r="B50" s="3254"/>
      <c r="C50" s="424">
        <v>39314</v>
      </c>
      <c r="D50" s="422">
        <f t="shared" si="11"/>
        <v>40</v>
      </c>
      <c r="E50" s="423">
        <v>300</v>
      </c>
      <c r="F50" s="488"/>
      <c r="G50" s="488"/>
      <c r="I50" s="424">
        <v>39287</v>
      </c>
      <c r="J50" s="460">
        <f t="shared" si="5"/>
        <v>8</v>
      </c>
      <c r="K50" s="423">
        <v>28</v>
      </c>
    </row>
    <row r="51" spans="2:11" ht="12.6" customHeight="1">
      <c r="B51" s="3254"/>
      <c r="C51" s="424">
        <v>39316</v>
      </c>
      <c r="D51" s="422">
        <f t="shared" si="11"/>
        <v>2</v>
      </c>
      <c r="E51" s="423">
        <v>2</v>
      </c>
      <c r="F51" s="488"/>
      <c r="G51" s="488"/>
      <c r="I51" s="424">
        <v>39291</v>
      </c>
      <c r="J51" s="460">
        <f t="shared" si="5"/>
        <v>4</v>
      </c>
      <c r="K51" s="423">
        <v>15</v>
      </c>
    </row>
    <row r="52" spans="2:11" ht="12.6" customHeight="1">
      <c r="B52" s="3254"/>
      <c r="C52" s="424">
        <v>39322</v>
      </c>
      <c r="D52" s="422">
        <f t="shared" si="11"/>
        <v>6</v>
      </c>
      <c r="E52" s="423">
        <v>6</v>
      </c>
      <c r="F52" s="488"/>
      <c r="G52" s="488"/>
      <c r="I52" s="424">
        <v>39292</v>
      </c>
      <c r="J52" s="460">
        <f t="shared" si="5"/>
        <v>1</v>
      </c>
      <c r="K52" s="423">
        <v>2</v>
      </c>
    </row>
    <row r="53" spans="2:11" ht="12.6" customHeight="1">
      <c r="B53" s="3254"/>
      <c r="C53" s="424">
        <v>39359</v>
      </c>
      <c r="D53" s="422">
        <f t="shared" si="11"/>
        <v>37</v>
      </c>
      <c r="E53" s="423">
        <v>2</v>
      </c>
      <c r="F53" s="488"/>
      <c r="G53" s="488"/>
      <c r="I53" s="424">
        <v>39294</v>
      </c>
      <c r="J53" s="460">
        <f t="shared" si="5"/>
        <v>2</v>
      </c>
      <c r="K53" s="423">
        <v>3</v>
      </c>
    </row>
    <row r="54" spans="2:11" ht="12.6" customHeight="1">
      <c r="B54" s="3254"/>
      <c r="C54" s="424">
        <v>39407</v>
      </c>
      <c r="D54" s="422">
        <f t="shared" si="11"/>
        <v>48</v>
      </c>
      <c r="E54" s="423">
        <v>11</v>
      </c>
      <c r="F54" s="488"/>
      <c r="G54" s="488"/>
      <c r="I54" s="424">
        <v>39302</v>
      </c>
      <c r="J54" s="460">
        <f t="shared" si="5"/>
        <v>8</v>
      </c>
      <c r="K54" s="423">
        <v>6</v>
      </c>
    </row>
    <row r="55" spans="2:11" ht="12.6" customHeight="1">
      <c r="B55" s="3254"/>
      <c r="C55" s="424">
        <v>39412</v>
      </c>
      <c r="D55" s="422">
        <f t="shared" si="11"/>
        <v>5</v>
      </c>
      <c r="E55" s="423">
        <v>5</v>
      </c>
      <c r="F55" s="488"/>
      <c r="G55" s="488"/>
      <c r="I55" s="424">
        <v>39303</v>
      </c>
      <c r="J55" s="460">
        <f t="shared" si="5"/>
        <v>1</v>
      </c>
      <c r="K55" s="423">
        <v>1</v>
      </c>
    </row>
    <row r="56" spans="2:11" ht="12.6" customHeight="1">
      <c r="B56" s="3254"/>
      <c r="C56" s="424">
        <v>39599</v>
      </c>
      <c r="D56" s="422">
        <f t="shared" si="11"/>
        <v>187</v>
      </c>
      <c r="E56" s="423">
        <v>7</v>
      </c>
      <c r="F56" s="488"/>
      <c r="G56" s="488"/>
      <c r="I56" s="424">
        <v>39304</v>
      </c>
      <c r="J56" s="460">
        <f t="shared" si="5"/>
        <v>1</v>
      </c>
      <c r="K56" s="423">
        <v>2</v>
      </c>
    </row>
    <row r="57" spans="2:11" ht="12.6" customHeight="1">
      <c r="B57" s="3254"/>
      <c r="C57" s="424">
        <v>39608</v>
      </c>
      <c r="D57" s="422">
        <f t="shared" si="11"/>
        <v>9</v>
      </c>
      <c r="E57" s="423">
        <v>1</v>
      </c>
      <c r="F57" s="488"/>
      <c r="G57" s="488"/>
      <c r="I57" s="424">
        <v>39312</v>
      </c>
      <c r="J57" s="460">
        <f t="shared" si="5"/>
        <v>8</v>
      </c>
      <c r="K57" s="423">
        <v>2</v>
      </c>
    </row>
    <row r="58" spans="2:11" ht="12.6" customHeight="1">
      <c r="B58" s="3254"/>
      <c r="C58" s="424">
        <v>39624</v>
      </c>
      <c r="D58" s="422">
        <f t="shared" si="11"/>
        <v>16</v>
      </c>
      <c r="E58" s="423">
        <v>1</v>
      </c>
      <c r="F58" s="488"/>
      <c r="G58" s="488"/>
      <c r="I58" s="424">
        <v>39314</v>
      </c>
      <c r="J58" s="460">
        <f t="shared" si="5"/>
        <v>2</v>
      </c>
      <c r="K58" s="423">
        <v>300</v>
      </c>
    </row>
    <row r="59" spans="2:11" ht="12.6" customHeight="1">
      <c r="B59" s="3255"/>
      <c r="C59" s="424">
        <v>40228</v>
      </c>
      <c r="D59" s="422">
        <f t="shared" si="11"/>
        <v>604</v>
      </c>
      <c r="E59" s="428">
        <v>42</v>
      </c>
      <c r="F59" s="488"/>
      <c r="G59" s="488"/>
      <c r="I59" s="424">
        <v>39316</v>
      </c>
      <c r="J59" s="460">
        <f t="shared" si="5"/>
        <v>2</v>
      </c>
      <c r="K59" s="428">
        <v>2</v>
      </c>
    </row>
    <row r="60" spans="2:11" ht="12.6" customHeight="1" thickBot="1">
      <c r="B60" s="3256"/>
      <c r="C60" s="417">
        <v>40574</v>
      </c>
      <c r="D60" s="430">
        <f>+C60-C59</f>
        <v>346</v>
      </c>
      <c r="E60" s="431">
        <v>0</v>
      </c>
      <c r="F60" s="489"/>
      <c r="G60" s="489"/>
      <c r="I60" s="456">
        <v>39319</v>
      </c>
      <c r="J60" s="460">
        <f t="shared" si="5"/>
        <v>3</v>
      </c>
      <c r="K60" s="426">
        <v>11</v>
      </c>
    </row>
    <row r="61" spans="2:11" ht="12.6" customHeight="1">
      <c r="B61" s="3253" t="s">
        <v>85</v>
      </c>
      <c r="C61" s="448">
        <v>39129</v>
      </c>
      <c r="D61" s="420">
        <f>+C61-$D$2</f>
        <v>46</v>
      </c>
      <c r="E61" s="421">
        <v>72</v>
      </c>
      <c r="F61" s="487">
        <f>SUM(D61:D69)/COUNT(E61:E69)</f>
        <v>165.66666666666666</v>
      </c>
      <c r="G61" s="487">
        <f>SUM(E61:E69)/COUNT(E61:E69)</f>
        <v>19.333333333333332</v>
      </c>
      <c r="I61" s="448">
        <v>39321</v>
      </c>
      <c r="J61" s="460">
        <f t="shared" si="5"/>
        <v>2</v>
      </c>
      <c r="K61" s="421">
        <v>1</v>
      </c>
    </row>
    <row r="62" spans="2:11" ht="12.6" customHeight="1">
      <c r="B62" s="3254"/>
      <c r="C62" s="424">
        <v>39312</v>
      </c>
      <c r="D62" s="422">
        <f t="shared" ref="D62:D68" si="12">+C62-C61</f>
        <v>183</v>
      </c>
      <c r="E62" s="423">
        <v>2</v>
      </c>
      <c r="F62" s="488"/>
      <c r="G62" s="488"/>
      <c r="I62" s="424">
        <v>39322</v>
      </c>
      <c r="J62" s="460">
        <f t="shared" si="5"/>
        <v>1</v>
      </c>
      <c r="K62" s="423">
        <v>6</v>
      </c>
    </row>
    <row r="63" spans="2:11" ht="12.6" customHeight="1">
      <c r="B63" s="3254"/>
      <c r="C63" s="424">
        <v>39423</v>
      </c>
      <c r="D63" s="422">
        <f t="shared" si="12"/>
        <v>111</v>
      </c>
      <c r="E63" s="423">
        <v>12</v>
      </c>
      <c r="F63" s="488"/>
      <c r="G63" s="488"/>
      <c r="I63" s="424">
        <v>39322</v>
      </c>
      <c r="J63" s="460">
        <f t="shared" si="5"/>
        <v>0</v>
      </c>
      <c r="K63" s="423">
        <v>3</v>
      </c>
    </row>
    <row r="64" spans="2:11" ht="12.6" customHeight="1">
      <c r="B64" s="3254"/>
      <c r="C64" s="424">
        <v>39487</v>
      </c>
      <c r="D64" s="422">
        <f t="shared" si="12"/>
        <v>64</v>
      </c>
      <c r="E64" s="423">
        <v>30</v>
      </c>
      <c r="F64" s="488"/>
      <c r="G64" s="488"/>
      <c r="I64" s="424">
        <v>39323</v>
      </c>
      <c r="J64" s="460">
        <f t="shared" si="5"/>
        <v>1</v>
      </c>
      <c r="K64" s="423">
        <v>8</v>
      </c>
    </row>
    <row r="65" spans="2:11" ht="12.6" customHeight="1">
      <c r="B65" s="3254"/>
      <c r="C65" s="424">
        <v>39524</v>
      </c>
      <c r="D65" s="422">
        <f t="shared" si="12"/>
        <v>37</v>
      </c>
      <c r="E65" s="423">
        <v>22</v>
      </c>
      <c r="F65" s="488"/>
      <c r="G65" s="488"/>
      <c r="I65" s="424">
        <v>39328</v>
      </c>
      <c r="J65" s="460">
        <f t="shared" si="5"/>
        <v>5</v>
      </c>
      <c r="K65" s="423">
        <v>3</v>
      </c>
    </row>
    <row r="66" spans="2:11" ht="12.6" customHeight="1">
      <c r="B66" s="3254"/>
      <c r="C66" s="449">
        <v>39750</v>
      </c>
      <c r="D66" s="422">
        <f t="shared" si="12"/>
        <v>226</v>
      </c>
      <c r="E66" s="423">
        <v>4</v>
      </c>
      <c r="F66" s="488"/>
      <c r="G66" s="488"/>
      <c r="I66" s="424">
        <v>39329</v>
      </c>
      <c r="J66" s="460">
        <f t="shared" si="5"/>
        <v>1</v>
      </c>
      <c r="K66" s="423">
        <v>2</v>
      </c>
    </row>
    <row r="67" spans="2:11" ht="12.6" customHeight="1">
      <c r="B67" s="3254"/>
      <c r="C67" s="424">
        <v>40516</v>
      </c>
      <c r="D67" s="422">
        <f t="shared" si="12"/>
        <v>766</v>
      </c>
      <c r="E67" s="423">
        <v>13</v>
      </c>
      <c r="F67" s="488"/>
      <c r="G67" s="488"/>
      <c r="I67" s="452">
        <v>39331</v>
      </c>
      <c r="J67" s="460">
        <f t="shared" si="5"/>
        <v>2</v>
      </c>
      <c r="K67" s="436">
        <v>2</v>
      </c>
    </row>
    <row r="68" spans="2:11" ht="12.6" customHeight="1">
      <c r="B68" s="3255"/>
      <c r="C68" s="424">
        <v>40516</v>
      </c>
      <c r="D68" s="422">
        <f t="shared" si="12"/>
        <v>0</v>
      </c>
      <c r="E68" s="428">
        <v>19</v>
      </c>
      <c r="F68" s="488"/>
      <c r="G68" s="488"/>
      <c r="I68" s="424">
        <v>39332</v>
      </c>
      <c r="J68" s="460">
        <f t="shared" si="5"/>
        <v>1</v>
      </c>
      <c r="K68" s="428">
        <v>21</v>
      </c>
    </row>
    <row r="69" spans="2:11" ht="12.6" customHeight="1" thickBot="1">
      <c r="B69" s="3256"/>
      <c r="C69" s="417">
        <v>40574</v>
      </c>
      <c r="D69" s="430">
        <f>+C69-C68</f>
        <v>58</v>
      </c>
      <c r="E69" s="431">
        <v>0</v>
      </c>
      <c r="F69" s="489"/>
      <c r="G69" s="489"/>
      <c r="I69" s="456">
        <v>39338</v>
      </c>
      <c r="J69" s="460">
        <f t="shared" si="5"/>
        <v>6</v>
      </c>
      <c r="K69" s="426">
        <v>1</v>
      </c>
    </row>
    <row r="70" spans="2:11" ht="12.6" customHeight="1">
      <c r="B70" s="3253" t="s">
        <v>86</v>
      </c>
      <c r="C70" s="448">
        <v>39100</v>
      </c>
      <c r="D70" s="420">
        <f>+C70-$D$2</f>
        <v>17</v>
      </c>
      <c r="E70" s="421">
        <v>41</v>
      </c>
      <c r="F70" s="485">
        <f>SUM(D70:D86)/COUNT(E70:E86)</f>
        <v>87.705882352941174</v>
      </c>
      <c r="G70" s="485">
        <f>SUM(E70:E86)/COUNT(E70:E86)</f>
        <v>14.941176470588236</v>
      </c>
      <c r="I70" s="448">
        <v>39353</v>
      </c>
      <c r="J70" s="460">
        <f t="shared" ref="J70:J133" si="13">+I70-I69</f>
        <v>15</v>
      </c>
      <c r="K70" s="421">
        <v>1</v>
      </c>
    </row>
    <row r="71" spans="2:11" ht="12.6" customHeight="1">
      <c r="B71" s="3254"/>
      <c r="C71" s="424">
        <v>39304</v>
      </c>
      <c r="D71" s="422">
        <f t="shared" ref="D71:D85" si="14">+C71-C70</f>
        <v>204</v>
      </c>
      <c r="E71" s="423">
        <v>2</v>
      </c>
      <c r="F71" s="486"/>
      <c r="G71" s="486"/>
      <c r="I71" s="424">
        <v>39359</v>
      </c>
      <c r="J71" s="460">
        <f t="shared" si="13"/>
        <v>6</v>
      </c>
      <c r="K71" s="423">
        <v>2</v>
      </c>
    </row>
    <row r="72" spans="2:11" ht="12.6" customHeight="1">
      <c r="B72" s="3254"/>
      <c r="C72" s="424">
        <v>39321</v>
      </c>
      <c r="D72" s="422">
        <f t="shared" si="14"/>
        <v>17</v>
      </c>
      <c r="E72" s="423">
        <v>1</v>
      </c>
      <c r="F72" s="486"/>
      <c r="G72" s="486"/>
      <c r="I72" s="424">
        <v>39368</v>
      </c>
      <c r="J72" s="460">
        <f t="shared" si="13"/>
        <v>9</v>
      </c>
      <c r="K72" s="423">
        <v>1</v>
      </c>
    </row>
    <row r="73" spans="2:11" ht="12.6" customHeight="1">
      <c r="B73" s="3254"/>
      <c r="C73" s="424">
        <v>39322</v>
      </c>
      <c r="D73" s="422">
        <f t="shared" si="14"/>
        <v>1</v>
      </c>
      <c r="E73" s="423">
        <v>3</v>
      </c>
      <c r="F73" s="486"/>
      <c r="G73" s="486"/>
      <c r="I73" s="424">
        <v>39368</v>
      </c>
      <c r="J73" s="460">
        <f t="shared" si="13"/>
        <v>0</v>
      </c>
      <c r="K73" s="423">
        <v>4</v>
      </c>
    </row>
    <row r="74" spans="2:11" ht="12.6" customHeight="1">
      <c r="B74" s="3254"/>
      <c r="C74" s="424">
        <v>39435</v>
      </c>
      <c r="D74" s="422">
        <f t="shared" si="14"/>
        <v>113</v>
      </c>
      <c r="E74" s="423">
        <v>46</v>
      </c>
      <c r="F74" s="486"/>
      <c r="G74" s="486"/>
      <c r="I74" s="424">
        <v>39387</v>
      </c>
      <c r="J74" s="460">
        <f t="shared" si="13"/>
        <v>19</v>
      </c>
      <c r="K74" s="423">
        <v>9</v>
      </c>
    </row>
    <row r="75" spans="2:11" ht="12.6" customHeight="1">
      <c r="B75" s="3254"/>
      <c r="C75" s="424">
        <v>39453</v>
      </c>
      <c r="D75" s="422">
        <f t="shared" si="14"/>
        <v>18</v>
      </c>
      <c r="E75" s="423">
        <v>7</v>
      </c>
      <c r="F75" s="486"/>
      <c r="G75" s="486"/>
      <c r="I75" s="424">
        <v>39387</v>
      </c>
      <c r="J75" s="460">
        <f t="shared" si="13"/>
        <v>0</v>
      </c>
      <c r="K75" s="423">
        <v>11</v>
      </c>
    </row>
    <row r="76" spans="2:11" ht="12.6" customHeight="1">
      <c r="B76" s="3254"/>
      <c r="C76" s="424">
        <v>39513</v>
      </c>
      <c r="D76" s="422">
        <f t="shared" si="14"/>
        <v>60</v>
      </c>
      <c r="E76" s="423">
        <v>60</v>
      </c>
      <c r="F76" s="486"/>
      <c r="G76" s="486"/>
      <c r="I76" s="424">
        <v>39404</v>
      </c>
      <c r="J76" s="460">
        <f t="shared" si="13"/>
        <v>17</v>
      </c>
      <c r="K76" s="423">
        <v>3</v>
      </c>
    </row>
    <row r="77" spans="2:11" ht="12.6" customHeight="1">
      <c r="B77" s="3254"/>
      <c r="C77" s="449">
        <v>39892</v>
      </c>
      <c r="D77" s="422">
        <f t="shared" si="14"/>
        <v>379</v>
      </c>
      <c r="E77" s="423">
        <v>18</v>
      </c>
      <c r="F77" s="486"/>
      <c r="G77" s="486"/>
      <c r="I77" s="424">
        <v>39406</v>
      </c>
      <c r="J77" s="460">
        <f t="shared" si="13"/>
        <v>2</v>
      </c>
      <c r="K77" s="423">
        <v>3</v>
      </c>
    </row>
    <row r="78" spans="2:11" ht="12.6" customHeight="1">
      <c r="B78" s="3254"/>
      <c r="C78" s="449">
        <v>39957</v>
      </c>
      <c r="D78" s="422">
        <f t="shared" si="14"/>
        <v>65</v>
      </c>
      <c r="E78" s="423">
        <v>2</v>
      </c>
      <c r="F78" s="486"/>
      <c r="G78" s="486"/>
      <c r="I78" s="424">
        <v>39407</v>
      </c>
      <c r="J78" s="460">
        <f t="shared" si="13"/>
        <v>1</v>
      </c>
      <c r="K78" s="423">
        <v>11</v>
      </c>
    </row>
    <row r="79" spans="2:11" ht="12.6" customHeight="1">
      <c r="B79" s="3254"/>
      <c r="C79" s="449">
        <v>39961</v>
      </c>
      <c r="D79" s="422">
        <f t="shared" si="14"/>
        <v>4</v>
      </c>
      <c r="E79" s="423">
        <v>11</v>
      </c>
      <c r="F79" s="486"/>
      <c r="G79" s="486"/>
      <c r="I79" s="424">
        <v>39412</v>
      </c>
      <c r="J79" s="460">
        <f t="shared" si="13"/>
        <v>5</v>
      </c>
      <c r="K79" s="423">
        <v>5</v>
      </c>
    </row>
    <row r="80" spans="2:11" ht="12.6" customHeight="1">
      <c r="B80" s="3254"/>
      <c r="C80" s="424">
        <v>40249</v>
      </c>
      <c r="D80" s="422">
        <f t="shared" si="14"/>
        <v>288</v>
      </c>
      <c r="E80" s="423">
        <v>20</v>
      </c>
      <c r="F80" s="486"/>
      <c r="G80" s="486"/>
      <c r="I80" s="424">
        <v>39415</v>
      </c>
      <c r="J80" s="460">
        <f t="shared" si="13"/>
        <v>3</v>
      </c>
      <c r="K80" s="423">
        <v>21</v>
      </c>
    </row>
    <row r="81" spans="2:11" ht="12.6" customHeight="1">
      <c r="B81" s="3254"/>
      <c r="C81" s="424">
        <v>40266</v>
      </c>
      <c r="D81" s="422">
        <f t="shared" si="14"/>
        <v>17</v>
      </c>
      <c r="E81" s="423">
        <v>6</v>
      </c>
      <c r="F81" s="486"/>
      <c r="G81" s="486"/>
      <c r="I81" s="424">
        <v>39418</v>
      </c>
      <c r="J81" s="460">
        <f t="shared" si="13"/>
        <v>3</v>
      </c>
      <c r="K81" s="423">
        <v>6</v>
      </c>
    </row>
    <row r="82" spans="2:11" ht="12.6" customHeight="1">
      <c r="B82" s="3254"/>
      <c r="C82" s="424">
        <v>40379</v>
      </c>
      <c r="D82" s="422">
        <f t="shared" si="14"/>
        <v>113</v>
      </c>
      <c r="E82" s="432">
        <v>3</v>
      </c>
      <c r="F82" s="486"/>
      <c r="G82" s="486"/>
      <c r="I82" s="452">
        <v>39420</v>
      </c>
      <c r="J82" s="460">
        <f t="shared" si="13"/>
        <v>2</v>
      </c>
      <c r="K82" s="436">
        <v>4</v>
      </c>
    </row>
    <row r="83" spans="2:11" ht="12.6" customHeight="1">
      <c r="B83" s="3254"/>
      <c r="C83" s="424">
        <v>40404</v>
      </c>
      <c r="D83" s="422">
        <f t="shared" si="14"/>
        <v>25</v>
      </c>
      <c r="E83" s="423">
        <v>3</v>
      </c>
      <c r="F83" s="486"/>
      <c r="G83" s="486"/>
      <c r="I83" s="424">
        <v>39423</v>
      </c>
      <c r="J83" s="460">
        <f t="shared" si="13"/>
        <v>3</v>
      </c>
      <c r="K83" s="423">
        <v>12</v>
      </c>
    </row>
    <row r="84" spans="2:11" ht="12.6" customHeight="1">
      <c r="B84" s="3254"/>
      <c r="C84" s="424">
        <v>40429</v>
      </c>
      <c r="D84" s="422">
        <f t="shared" si="14"/>
        <v>25</v>
      </c>
      <c r="E84" s="423">
        <v>28</v>
      </c>
      <c r="F84" s="486"/>
      <c r="G84" s="486"/>
      <c r="I84" s="424">
        <v>39430</v>
      </c>
      <c r="J84" s="460">
        <f t="shared" si="13"/>
        <v>7</v>
      </c>
      <c r="K84" s="423">
        <v>2</v>
      </c>
    </row>
    <row r="85" spans="2:11" ht="12.6" customHeight="1">
      <c r="B85" s="3255"/>
      <c r="C85" s="424">
        <v>40460</v>
      </c>
      <c r="D85" s="422">
        <f t="shared" si="14"/>
        <v>31</v>
      </c>
      <c r="E85" s="428">
        <v>3</v>
      </c>
      <c r="F85" s="486"/>
      <c r="G85" s="486"/>
      <c r="I85" s="452">
        <v>39430</v>
      </c>
      <c r="J85" s="460">
        <f t="shared" si="13"/>
        <v>0</v>
      </c>
      <c r="K85" s="462">
        <v>17</v>
      </c>
    </row>
    <row r="86" spans="2:11" ht="12.6" customHeight="1" thickBot="1">
      <c r="B86" s="3256"/>
      <c r="C86" s="417">
        <v>40574</v>
      </c>
      <c r="D86" s="425">
        <f>+C86-C85</f>
        <v>114</v>
      </c>
      <c r="E86" s="426">
        <v>0</v>
      </c>
      <c r="F86" s="455"/>
      <c r="G86" s="455"/>
      <c r="I86" s="456">
        <v>39431</v>
      </c>
      <c r="J86" s="460">
        <f t="shared" si="13"/>
        <v>1</v>
      </c>
      <c r="K86" s="426">
        <v>11</v>
      </c>
    </row>
    <row r="87" spans="2:11" ht="12.6" customHeight="1">
      <c r="B87" s="3253" t="s">
        <v>87</v>
      </c>
      <c r="C87" s="448">
        <v>39091</v>
      </c>
      <c r="D87" s="420">
        <f>+C87-$D$2</f>
        <v>8</v>
      </c>
      <c r="E87" s="421">
        <v>2</v>
      </c>
      <c r="F87" s="487">
        <f>SUM(D87:D110)/COUNT(E87:E110)</f>
        <v>63.125</v>
      </c>
      <c r="G87" s="487">
        <f>SUM(E87:E110)/COUNT(E87:E110)</f>
        <v>13.25</v>
      </c>
      <c r="I87" s="451">
        <v>39433</v>
      </c>
      <c r="J87" s="460">
        <f t="shared" si="13"/>
        <v>2</v>
      </c>
      <c r="K87" s="435">
        <v>3</v>
      </c>
    </row>
    <row r="88" spans="2:11" ht="12.6" customHeight="1">
      <c r="B88" s="3254"/>
      <c r="C88" s="424">
        <v>39143</v>
      </c>
      <c r="D88" s="422">
        <f t="shared" ref="D88:D109" si="15">+C88-C87</f>
        <v>52</v>
      </c>
      <c r="E88" s="423">
        <v>17</v>
      </c>
      <c r="F88" s="488"/>
      <c r="G88" s="488"/>
      <c r="I88" s="424">
        <v>39434</v>
      </c>
      <c r="J88" s="460">
        <f t="shared" si="13"/>
        <v>1</v>
      </c>
      <c r="K88" s="423">
        <v>2</v>
      </c>
    </row>
    <row r="89" spans="2:11" ht="12.6" customHeight="1">
      <c r="B89" s="3254"/>
      <c r="C89" s="424">
        <v>39151</v>
      </c>
      <c r="D89" s="422">
        <f t="shared" si="15"/>
        <v>8</v>
      </c>
      <c r="E89" s="423">
        <v>3</v>
      </c>
      <c r="F89" s="488"/>
      <c r="G89" s="488"/>
      <c r="I89" s="424">
        <v>39435</v>
      </c>
      <c r="J89" s="460">
        <f t="shared" si="13"/>
        <v>1</v>
      </c>
      <c r="K89" s="423">
        <v>46</v>
      </c>
    </row>
    <row r="90" spans="2:11" ht="12.6" customHeight="1">
      <c r="B90" s="3254"/>
      <c r="C90" s="424">
        <v>39196</v>
      </c>
      <c r="D90" s="422">
        <f t="shared" si="15"/>
        <v>45</v>
      </c>
      <c r="E90" s="423">
        <v>1</v>
      </c>
      <c r="F90" s="488"/>
      <c r="G90" s="488"/>
      <c r="I90" s="424">
        <v>39443</v>
      </c>
      <c r="J90" s="460">
        <f t="shared" si="13"/>
        <v>8</v>
      </c>
      <c r="K90" s="423">
        <v>7</v>
      </c>
    </row>
    <row r="91" spans="2:11" ht="12.6" customHeight="1">
      <c r="B91" s="3254"/>
      <c r="C91" s="424">
        <v>39221</v>
      </c>
      <c r="D91" s="422">
        <f t="shared" si="15"/>
        <v>25</v>
      </c>
      <c r="E91" s="423">
        <v>2</v>
      </c>
      <c r="F91" s="488"/>
      <c r="G91" s="488"/>
      <c r="I91" s="424">
        <v>39453</v>
      </c>
      <c r="J91" s="460">
        <f t="shared" si="13"/>
        <v>10</v>
      </c>
      <c r="K91" s="423">
        <v>7</v>
      </c>
    </row>
    <row r="92" spans="2:11" ht="12.6" customHeight="1">
      <c r="B92" s="3254"/>
      <c r="C92" s="424">
        <v>39241</v>
      </c>
      <c r="D92" s="422">
        <f t="shared" si="15"/>
        <v>20</v>
      </c>
      <c r="E92" s="423">
        <v>5</v>
      </c>
      <c r="F92" s="488"/>
      <c r="G92" s="488"/>
      <c r="I92" s="424">
        <v>39458</v>
      </c>
      <c r="J92" s="460">
        <f t="shared" si="13"/>
        <v>5</v>
      </c>
      <c r="K92" s="423">
        <v>10</v>
      </c>
    </row>
    <row r="93" spans="2:11" ht="12.6" customHeight="1">
      <c r="B93" s="3254"/>
      <c r="C93" s="424">
        <v>39404</v>
      </c>
      <c r="D93" s="422">
        <f t="shared" si="15"/>
        <v>163</v>
      </c>
      <c r="E93" s="423">
        <v>3</v>
      </c>
      <c r="F93" s="488"/>
      <c r="G93" s="488"/>
      <c r="I93" s="424">
        <v>39472</v>
      </c>
      <c r="J93" s="460">
        <f t="shared" si="13"/>
        <v>14</v>
      </c>
      <c r="K93" s="423">
        <v>4</v>
      </c>
    </row>
    <row r="94" spans="2:11" ht="12.6" customHeight="1">
      <c r="B94" s="3254"/>
      <c r="C94" s="424">
        <v>39643</v>
      </c>
      <c r="D94" s="422">
        <f t="shared" si="15"/>
        <v>239</v>
      </c>
      <c r="E94" s="423">
        <v>15</v>
      </c>
      <c r="F94" s="488"/>
      <c r="G94" s="488"/>
      <c r="I94" s="452">
        <v>39475</v>
      </c>
      <c r="J94" s="460">
        <f t="shared" si="13"/>
        <v>3</v>
      </c>
      <c r="K94" s="436">
        <v>3</v>
      </c>
    </row>
    <row r="95" spans="2:11" ht="12.6" customHeight="1">
      <c r="B95" s="3254"/>
      <c r="C95" s="424">
        <v>39655</v>
      </c>
      <c r="D95" s="422">
        <f t="shared" si="15"/>
        <v>12</v>
      </c>
      <c r="E95" s="423">
        <v>15</v>
      </c>
      <c r="F95" s="488"/>
      <c r="G95" s="488"/>
      <c r="I95" s="424">
        <v>39476</v>
      </c>
      <c r="J95" s="460">
        <f t="shared" si="13"/>
        <v>1</v>
      </c>
      <c r="K95" s="423">
        <v>3</v>
      </c>
    </row>
    <row r="96" spans="2:11" ht="12.6" customHeight="1">
      <c r="B96" s="3254"/>
      <c r="C96" s="424">
        <v>39665</v>
      </c>
      <c r="D96" s="422">
        <f t="shared" si="15"/>
        <v>10</v>
      </c>
      <c r="E96" s="423">
        <v>8</v>
      </c>
      <c r="F96" s="488"/>
      <c r="G96" s="488"/>
      <c r="I96" s="424">
        <v>39485</v>
      </c>
      <c r="J96" s="460">
        <f t="shared" si="13"/>
        <v>9</v>
      </c>
      <c r="K96" s="423">
        <v>7</v>
      </c>
    </row>
    <row r="97" spans="2:11" ht="12.6" customHeight="1">
      <c r="B97" s="3254"/>
      <c r="C97" s="424">
        <v>39688</v>
      </c>
      <c r="D97" s="422">
        <f t="shared" si="15"/>
        <v>23</v>
      </c>
      <c r="E97" s="423">
        <v>30</v>
      </c>
      <c r="F97" s="488"/>
      <c r="G97" s="488"/>
      <c r="I97" s="424">
        <v>39487</v>
      </c>
      <c r="J97" s="460">
        <f t="shared" si="13"/>
        <v>2</v>
      </c>
      <c r="K97" s="423">
        <v>30</v>
      </c>
    </row>
    <row r="98" spans="2:11" ht="12.6" customHeight="1">
      <c r="B98" s="3254"/>
      <c r="C98" s="449">
        <v>39818</v>
      </c>
      <c r="D98" s="422">
        <f t="shared" si="15"/>
        <v>130</v>
      </c>
      <c r="E98" s="423">
        <v>16</v>
      </c>
      <c r="F98" s="488"/>
      <c r="G98" s="488"/>
      <c r="I98" s="424">
        <v>39510</v>
      </c>
      <c r="J98" s="460">
        <f t="shared" si="13"/>
        <v>23</v>
      </c>
      <c r="K98" s="423">
        <v>4</v>
      </c>
    </row>
    <row r="99" spans="2:11" ht="12.6" customHeight="1">
      <c r="B99" s="3254"/>
      <c r="C99" s="449">
        <v>39842</v>
      </c>
      <c r="D99" s="422">
        <f t="shared" si="15"/>
        <v>24</v>
      </c>
      <c r="E99" s="423">
        <v>10</v>
      </c>
      <c r="F99" s="488"/>
      <c r="G99" s="488"/>
      <c r="I99" s="424">
        <v>39513</v>
      </c>
      <c r="J99" s="460">
        <f t="shared" si="13"/>
        <v>3</v>
      </c>
      <c r="K99" s="423">
        <v>60</v>
      </c>
    </row>
    <row r="100" spans="2:11" ht="12.6" customHeight="1">
      <c r="B100" s="3254"/>
      <c r="C100" s="449">
        <v>39842</v>
      </c>
      <c r="D100" s="422">
        <f>+C100-C98</f>
        <v>24</v>
      </c>
      <c r="E100" s="423">
        <v>1</v>
      </c>
      <c r="F100" s="488"/>
      <c r="G100" s="488"/>
      <c r="I100" s="424">
        <v>39524</v>
      </c>
      <c r="J100" s="460">
        <f t="shared" si="13"/>
        <v>11</v>
      </c>
      <c r="K100" s="423">
        <v>22</v>
      </c>
    </row>
    <row r="101" spans="2:11" ht="12.6" customHeight="1">
      <c r="B101" s="3254"/>
      <c r="C101" s="449">
        <v>39856</v>
      </c>
      <c r="D101" s="422">
        <f>+C101-C99</f>
        <v>14</v>
      </c>
      <c r="E101" s="423">
        <v>5</v>
      </c>
      <c r="F101" s="488"/>
      <c r="G101" s="488"/>
      <c r="I101" s="424">
        <v>39524</v>
      </c>
      <c r="J101" s="460">
        <f t="shared" si="13"/>
        <v>0</v>
      </c>
      <c r="K101" s="423">
        <v>2</v>
      </c>
    </row>
    <row r="102" spans="2:11" ht="12.6" customHeight="1">
      <c r="B102" s="3254"/>
      <c r="C102" s="449">
        <v>39890</v>
      </c>
      <c r="D102" s="422">
        <f t="shared" si="15"/>
        <v>34</v>
      </c>
      <c r="E102" s="423">
        <v>6</v>
      </c>
      <c r="F102" s="488"/>
      <c r="G102" s="488"/>
      <c r="I102" s="424">
        <v>39532</v>
      </c>
      <c r="J102" s="460">
        <f t="shared" si="13"/>
        <v>8</v>
      </c>
      <c r="K102" s="423">
        <v>14</v>
      </c>
    </row>
    <row r="103" spans="2:11" ht="12.6" customHeight="1">
      <c r="B103" s="3254"/>
      <c r="C103" s="449">
        <v>39957</v>
      </c>
      <c r="D103" s="422">
        <f t="shared" si="15"/>
        <v>67</v>
      </c>
      <c r="E103" s="423">
        <v>11</v>
      </c>
      <c r="F103" s="488"/>
      <c r="G103" s="488"/>
      <c r="I103" s="424">
        <v>39532</v>
      </c>
      <c r="J103" s="460">
        <f t="shared" si="13"/>
        <v>0</v>
      </c>
      <c r="K103" s="423">
        <v>8</v>
      </c>
    </row>
    <row r="104" spans="2:11" ht="12.6" customHeight="1">
      <c r="B104" s="3254"/>
      <c r="C104" s="449">
        <v>40018</v>
      </c>
      <c r="D104" s="422">
        <f t="shared" si="15"/>
        <v>61</v>
      </c>
      <c r="E104" s="423">
        <v>51</v>
      </c>
      <c r="F104" s="488"/>
      <c r="G104" s="488"/>
      <c r="I104" s="424">
        <v>39532</v>
      </c>
      <c r="J104" s="460">
        <f t="shared" si="13"/>
        <v>0</v>
      </c>
      <c r="K104" s="423">
        <v>1</v>
      </c>
    </row>
    <row r="105" spans="2:11" ht="12.6" customHeight="1">
      <c r="B105" s="3254"/>
      <c r="C105" s="424">
        <v>40109</v>
      </c>
      <c r="D105" s="422">
        <f t="shared" si="15"/>
        <v>91</v>
      </c>
      <c r="E105" s="423">
        <v>30</v>
      </c>
      <c r="F105" s="488"/>
      <c r="G105" s="488"/>
      <c r="I105" s="424">
        <v>39534</v>
      </c>
      <c r="J105" s="460">
        <f t="shared" si="13"/>
        <v>2</v>
      </c>
      <c r="K105" s="423">
        <v>2</v>
      </c>
    </row>
    <row r="106" spans="2:11" ht="12.6" customHeight="1">
      <c r="B106" s="3254"/>
      <c r="C106" s="424">
        <v>40112</v>
      </c>
      <c r="D106" s="422">
        <f t="shared" si="15"/>
        <v>3</v>
      </c>
      <c r="E106" s="423">
        <v>16</v>
      </c>
      <c r="F106" s="488"/>
      <c r="G106" s="488"/>
      <c r="I106" s="424">
        <v>39539</v>
      </c>
      <c r="J106" s="460">
        <f t="shared" si="13"/>
        <v>5</v>
      </c>
      <c r="K106" s="423">
        <v>2</v>
      </c>
    </row>
    <row r="107" spans="2:11" ht="12.6" customHeight="1">
      <c r="B107" s="3254"/>
      <c r="C107" s="424">
        <v>40136</v>
      </c>
      <c r="D107" s="422">
        <f t="shared" si="15"/>
        <v>24</v>
      </c>
      <c r="E107" s="423">
        <v>9</v>
      </c>
      <c r="F107" s="488"/>
      <c r="G107" s="488"/>
      <c r="I107" s="452">
        <v>39541</v>
      </c>
      <c r="J107" s="460">
        <f t="shared" si="13"/>
        <v>2</v>
      </c>
      <c r="K107" s="436">
        <v>20</v>
      </c>
    </row>
    <row r="108" spans="2:11" ht="12.6" customHeight="1">
      <c r="B108" s="3254"/>
      <c r="C108" s="424">
        <v>40355</v>
      </c>
      <c r="D108" s="422">
        <f t="shared" si="15"/>
        <v>219</v>
      </c>
      <c r="E108" s="423">
        <v>60</v>
      </c>
      <c r="F108" s="488"/>
      <c r="G108" s="488"/>
      <c r="I108" s="424">
        <v>39560</v>
      </c>
      <c r="J108" s="460">
        <f t="shared" si="13"/>
        <v>19</v>
      </c>
      <c r="K108" s="423">
        <v>2</v>
      </c>
    </row>
    <row r="109" spans="2:11" ht="12.6" customHeight="1">
      <c r="B109" s="3255"/>
      <c r="C109" s="424">
        <v>40385</v>
      </c>
      <c r="D109" s="422">
        <f t="shared" si="15"/>
        <v>30</v>
      </c>
      <c r="E109" s="428">
        <v>2</v>
      </c>
      <c r="F109" s="488"/>
      <c r="G109" s="488"/>
      <c r="I109" s="424">
        <v>39570</v>
      </c>
      <c r="J109" s="460">
        <f t="shared" si="13"/>
        <v>10</v>
      </c>
      <c r="K109" s="428">
        <v>3</v>
      </c>
    </row>
    <row r="110" spans="2:11" ht="12.6" customHeight="1" thickBot="1">
      <c r="B110" s="3256"/>
      <c r="C110" s="417">
        <v>40574</v>
      </c>
      <c r="D110" s="425">
        <f>+C110-C109</f>
        <v>189</v>
      </c>
      <c r="E110" s="426">
        <v>0</v>
      </c>
      <c r="F110" s="489"/>
      <c r="G110" s="489"/>
      <c r="I110" s="456">
        <v>39574</v>
      </c>
      <c r="J110" s="460">
        <f t="shared" si="13"/>
        <v>4</v>
      </c>
      <c r="K110" s="426">
        <v>4</v>
      </c>
    </row>
    <row r="111" spans="2:11" ht="12.6" customHeight="1">
      <c r="B111" s="3253" t="s">
        <v>88</v>
      </c>
      <c r="C111" s="448">
        <v>39140</v>
      </c>
      <c r="D111" s="420">
        <f>+C111-$D$2</f>
        <v>57</v>
      </c>
      <c r="E111" s="421">
        <v>7</v>
      </c>
      <c r="F111" s="487">
        <f>SUM(D111:D127)/COUNT(E111:E127)</f>
        <v>87.705882352941174</v>
      </c>
      <c r="G111" s="487">
        <f>SUM(E111:E127)/COUNT(E111:E127)</f>
        <v>10.941176470588236</v>
      </c>
      <c r="I111" s="448">
        <v>39580</v>
      </c>
      <c r="J111" s="460">
        <f t="shared" si="13"/>
        <v>6</v>
      </c>
      <c r="K111" s="421">
        <v>90</v>
      </c>
    </row>
    <row r="112" spans="2:11" ht="12.6" customHeight="1">
      <c r="B112" s="3254"/>
      <c r="C112" s="424">
        <v>39164</v>
      </c>
      <c r="D112" s="422">
        <f t="shared" ref="D112:D126" si="16">+C112-C111</f>
        <v>24</v>
      </c>
      <c r="E112" s="423">
        <v>7</v>
      </c>
      <c r="F112" s="488"/>
      <c r="G112" s="488"/>
      <c r="I112" s="424">
        <v>39583</v>
      </c>
      <c r="J112" s="460">
        <f t="shared" si="13"/>
        <v>3</v>
      </c>
      <c r="K112" s="423">
        <v>12</v>
      </c>
    </row>
    <row r="113" spans="2:11" ht="12.6" customHeight="1">
      <c r="B113" s="3254"/>
      <c r="C113" s="424">
        <v>39253</v>
      </c>
      <c r="D113" s="422">
        <f t="shared" si="16"/>
        <v>89</v>
      </c>
      <c r="E113" s="423">
        <v>2</v>
      </c>
      <c r="F113" s="488"/>
      <c r="G113" s="488"/>
      <c r="I113" s="424">
        <v>39595</v>
      </c>
      <c r="J113" s="460">
        <f t="shared" si="13"/>
        <v>12</v>
      </c>
      <c r="K113" s="423">
        <v>27</v>
      </c>
    </row>
    <row r="114" spans="2:11" ht="12.6" customHeight="1">
      <c r="B114" s="3254"/>
      <c r="C114" s="424">
        <v>39273</v>
      </c>
      <c r="D114" s="422">
        <f t="shared" si="16"/>
        <v>20</v>
      </c>
      <c r="E114" s="423">
        <v>2</v>
      </c>
      <c r="F114" s="488"/>
      <c r="G114" s="488"/>
      <c r="I114" s="424">
        <v>39599</v>
      </c>
      <c r="J114" s="460">
        <f t="shared" si="13"/>
        <v>4</v>
      </c>
      <c r="K114" s="423">
        <v>7</v>
      </c>
    </row>
    <row r="115" spans="2:11" ht="12.6" customHeight="1">
      <c r="B115" s="3254"/>
      <c r="C115" s="424">
        <v>39279</v>
      </c>
      <c r="D115" s="422">
        <f t="shared" si="16"/>
        <v>6</v>
      </c>
      <c r="E115" s="423">
        <v>1</v>
      </c>
      <c r="F115" s="488"/>
      <c r="G115" s="488"/>
      <c r="I115" s="424">
        <v>39608</v>
      </c>
      <c r="J115" s="460">
        <f t="shared" si="13"/>
        <v>9</v>
      </c>
      <c r="K115" s="423">
        <v>1</v>
      </c>
    </row>
    <row r="116" spans="2:11" ht="12.6" customHeight="1">
      <c r="B116" s="3254"/>
      <c r="C116" s="424">
        <v>39303</v>
      </c>
      <c r="D116" s="422">
        <f t="shared" si="16"/>
        <v>24</v>
      </c>
      <c r="E116" s="423">
        <v>1</v>
      </c>
      <c r="F116" s="488"/>
      <c r="G116" s="488"/>
      <c r="I116" s="424">
        <v>39610</v>
      </c>
      <c r="J116" s="460">
        <f t="shared" si="13"/>
        <v>2</v>
      </c>
      <c r="K116" s="423">
        <v>4</v>
      </c>
    </row>
    <row r="117" spans="2:11" ht="12.6" customHeight="1">
      <c r="B117" s="3254"/>
      <c r="C117" s="424">
        <v>39560</v>
      </c>
      <c r="D117" s="422">
        <f t="shared" si="16"/>
        <v>257</v>
      </c>
      <c r="E117" s="423">
        <v>2</v>
      </c>
      <c r="F117" s="488"/>
      <c r="G117" s="488"/>
      <c r="I117" s="424">
        <v>39624</v>
      </c>
      <c r="J117" s="460">
        <f t="shared" si="13"/>
        <v>14</v>
      </c>
      <c r="K117" s="423">
        <v>1</v>
      </c>
    </row>
    <row r="118" spans="2:11" ht="12.6" customHeight="1">
      <c r="B118" s="3254"/>
      <c r="C118" s="424">
        <v>39626</v>
      </c>
      <c r="D118" s="422">
        <f t="shared" si="16"/>
        <v>66</v>
      </c>
      <c r="E118" s="423">
        <v>3</v>
      </c>
      <c r="F118" s="488"/>
      <c r="G118" s="488"/>
      <c r="I118" s="424">
        <v>39626</v>
      </c>
      <c r="J118" s="460">
        <f t="shared" si="13"/>
        <v>2</v>
      </c>
      <c r="K118" s="423">
        <v>3</v>
      </c>
    </row>
    <row r="119" spans="2:11" ht="12.6" customHeight="1">
      <c r="B119" s="3254"/>
      <c r="C119" s="424">
        <v>39641</v>
      </c>
      <c r="D119" s="422">
        <f t="shared" si="16"/>
        <v>15</v>
      </c>
      <c r="E119" s="423">
        <v>56</v>
      </c>
      <c r="F119" s="488"/>
      <c r="G119" s="488"/>
      <c r="I119" s="424">
        <v>39627</v>
      </c>
      <c r="J119" s="460">
        <f t="shared" si="13"/>
        <v>1</v>
      </c>
      <c r="K119" s="423">
        <v>30</v>
      </c>
    </row>
    <row r="120" spans="2:11" ht="12.6" customHeight="1">
      <c r="B120" s="3254"/>
      <c r="C120" s="449">
        <v>39928</v>
      </c>
      <c r="D120" s="422">
        <f t="shared" si="16"/>
        <v>287</v>
      </c>
      <c r="E120" s="423">
        <v>20</v>
      </c>
      <c r="F120" s="488"/>
      <c r="G120" s="488"/>
      <c r="I120" s="424">
        <v>39632</v>
      </c>
      <c r="J120" s="460">
        <f t="shared" si="13"/>
        <v>5</v>
      </c>
      <c r="K120" s="423">
        <v>10</v>
      </c>
    </row>
    <row r="121" spans="2:11" ht="12.6" customHeight="1">
      <c r="B121" s="3254"/>
      <c r="C121" s="424">
        <v>40156</v>
      </c>
      <c r="D121" s="422">
        <f t="shared" si="16"/>
        <v>228</v>
      </c>
      <c r="E121" s="423">
        <v>2</v>
      </c>
      <c r="F121" s="488"/>
      <c r="G121" s="488"/>
      <c r="I121" s="424">
        <v>39635</v>
      </c>
      <c r="J121" s="460">
        <f t="shared" si="13"/>
        <v>3</v>
      </c>
      <c r="K121" s="423">
        <v>15</v>
      </c>
    </row>
    <row r="122" spans="2:11" ht="12.6" customHeight="1">
      <c r="B122" s="3254"/>
      <c r="C122" s="424">
        <v>40226</v>
      </c>
      <c r="D122" s="422">
        <f t="shared" si="16"/>
        <v>70</v>
      </c>
      <c r="E122" s="423">
        <v>45</v>
      </c>
      <c r="F122" s="488"/>
      <c r="G122" s="488"/>
      <c r="I122" s="424">
        <v>39641</v>
      </c>
      <c r="J122" s="460">
        <f t="shared" si="13"/>
        <v>6</v>
      </c>
      <c r="K122" s="423">
        <v>56</v>
      </c>
    </row>
    <row r="123" spans="2:11" ht="12.6" customHeight="1">
      <c r="B123" s="3254"/>
      <c r="C123" s="424">
        <v>40243</v>
      </c>
      <c r="D123" s="422">
        <f t="shared" si="16"/>
        <v>17</v>
      </c>
      <c r="E123" s="423">
        <v>21</v>
      </c>
      <c r="F123" s="488"/>
      <c r="G123" s="488"/>
      <c r="I123" s="424">
        <v>39643</v>
      </c>
      <c r="J123" s="460">
        <f t="shared" si="13"/>
        <v>2</v>
      </c>
      <c r="K123" s="423">
        <v>15</v>
      </c>
    </row>
    <row r="124" spans="2:11" ht="12.6" customHeight="1">
      <c r="B124" s="3254"/>
      <c r="C124" s="424">
        <v>40295</v>
      </c>
      <c r="D124" s="422">
        <f t="shared" si="16"/>
        <v>52</v>
      </c>
      <c r="E124" s="423">
        <v>7</v>
      </c>
      <c r="F124" s="488"/>
      <c r="G124" s="488"/>
      <c r="I124" s="424">
        <v>39646</v>
      </c>
      <c r="J124" s="460">
        <f t="shared" si="13"/>
        <v>3</v>
      </c>
      <c r="K124" s="423">
        <v>2</v>
      </c>
    </row>
    <row r="125" spans="2:11" ht="12.6" customHeight="1">
      <c r="B125" s="3254"/>
      <c r="C125" s="424">
        <v>40395</v>
      </c>
      <c r="D125" s="422">
        <f t="shared" si="16"/>
        <v>100</v>
      </c>
      <c r="E125" s="423">
        <v>7</v>
      </c>
      <c r="F125" s="488"/>
      <c r="G125" s="488"/>
      <c r="I125" s="424">
        <v>39648</v>
      </c>
      <c r="J125" s="460">
        <f t="shared" si="13"/>
        <v>2</v>
      </c>
      <c r="K125" s="423">
        <v>2</v>
      </c>
    </row>
    <row r="126" spans="2:11" ht="12.6" customHeight="1">
      <c r="B126" s="3255"/>
      <c r="C126" s="424">
        <v>40526</v>
      </c>
      <c r="D126" s="422">
        <f t="shared" si="16"/>
        <v>131</v>
      </c>
      <c r="E126" s="428">
        <v>3</v>
      </c>
      <c r="F126" s="488"/>
      <c r="G126" s="488"/>
      <c r="I126" s="424">
        <v>39655</v>
      </c>
      <c r="J126" s="460">
        <f t="shared" si="13"/>
        <v>7</v>
      </c>
      <c r="K126" s="428">
        <v>15</v>
      </c>
    </row>
    <row r="127" spans="2:11" ht="12.6" customHeight="1" thickBot="1">
      <c r="B127" s="3256"/>
      <c r="C127" s="417">
        <v>40574</v>
      </c>
      <c r="D127" s="425">
        <f>+C127-C126</f>
        <v>48</v>
      </c>
      <c r="E127" s="426">
        <v>0</v>
      </c>
      <c r="F127" s="489"/>
      <c r="G127" s="489"/>
      <c r="I127" s="456">
        <v>39665</v>
      </c>
      <c r="J127" s="460">
        <f t="shared" si="13"/>
        <v>10</v>
      </c>
      <c r="K127" s="426">
        <v>8</v>
      </c>
    </row>
    <row r="128" spans="2:11" ht="12.6" customHeight="1">
      <c r="B128" s="3253" t="s">
        <v>89</v>
      </c>
      <c r="C128" s="448">
        <v>39125</v>
      </c>
      <c r="D128" s="420">
        <f>+C128-$D$2</f>
        <v>42</v>
      </c>
      <c r="E128" s="421">
        <v>2</v>
      </c>
      <c r="F128" s="485">
        <f>SUM(D128:D143)/COUNT(E128:E143)</f>
        <v>93.1875</v>
      </c>
      <c r="G128" s="485">
        <f>SUM(E128:E143)/COUNT(E128:E143)</f>
        <v>7.375</v>
      </c>
      <c r="I128" s="448">
        <v>39667</v>
      </c>
      <c r="J128" s="460">
        <f t="shared" si="13"/>
        <v>2</v>
      </c>
      <c r="K128" s="421">
        <v>17</v>
      </c>
    </row>
    <row r="129" spans="2:11" ht="12.6" customHeight="1">
      <c r="B129" s="3254"/>
      <c r="C129" s="424">
        <v>39189</v>
      </c>
      <c r="D129" s="427">
        <f t="shared" ref="D129:D142" si="17">+C129-C128</f>
        <v>64</v>
      </c>
      <c r="E129" s="423">
        <v>30</v>
      </c>
      <c r="F129" s="486"/>
      <c r="G129" s="486"/>
      <c r="I129" s="424">
        <v>39671</v>
      </c>
      <c r="J129" s="460">
        <f t="shared" si="13"/>
        <v>4</v>
      </c>
      <c r="K129" s="423">
        <v>2</v>
      </c>
    </row>
    <row r="130" spans="2:11" ht="12.6" customHeight="1">
      <c r="B130" s="3254"/>
      <c r="C130" s="424">
        <v>39196</v>
      </c>
      <c r="D130" s="427">
        <f t="shared" si="17"/>
        <v>7</v>
      </c>
      <c r="E130" s="423">
        <v>3</v>
      </c>
      <c r="F130" s="486"/>
      <c r="G130" s="486"/>
      <c r="I130" s="424">
        <v>39672</v>
      </c>
      <c r="J130" s="460">
        <f t="shared" si="13"/>
        <v>1</v>
      </c>
      <c r="K130" s="423">
        <v>17</v>
      </c>
    </row>
    <row r="131" spans="2:11" ht="12.6" customHeight="1">
      <c r="B131" s="3254"/>
      <c r="C131" s="424">
        <v>39214</v>
      </c>
      <c r="D131" s="427">
        <f t="shared" si="17"/>
        <v>18</v>
      </c>
      <c r="E131" s="423">
        <v>3</v>
      </c>
      <c r="F131" s="486"/>
      <c r="G131" s="486"/>
      <c r="I131" s="424">
        <v>39678</v>
      </c>
      <c r="J131" s="460">
        <f t="shared" si="13"/>
        <v>6</v>
      </c>
      <c r="K131" s="423">
        <v>4</v>
      </c>
    </row>
    <row r="132" spans="2:11" ht="12.6" customHeight="1">
      <c r="B132" s="3254"/>
      <c r="C132" s="424">
        <v>39229</v>
      </c>
      <c r="D132" s="427">
        <f t="shared" si="17"/>
        <v>15</v>
      </c>
      <c r="E132" s="423">
        <v>1</v>
      </c>
      <c r="F132" s="486"/>
      <c r="G132" s="486"/>
      <c r="I132" s="424">
        <v>39680</v>
      </c>
      <c r="J132" s="460">
        <f t="shared" si="13"/>
        <v>2</v>
      </c>
      <c r="K132" s="423">
        <v>10</v>
      </c>
    </row>
    <row r="133" spans="2:11" ht="12.6" customHeight="1">
      <c r="B133" s="3254"/>
      <c r="C133" s="424">
        <v>39287</v>
      </c>
      <c r="D133" s="427">
        <f t="shared" si="17"/>
        <v>58</v>
      </c>
      <c r="E133" s="423">
        <v>28</v>
      </c>
      <c r="F133" s="486"/>
      <c r="G133" s="486"/>
      <c r="I133" s="424">
        <v>39688</v>
      </c>
      <c r="J133" s="460">
        <f t="shared" si="13"/>
        <v>8</v>
      </c>
      <c r="K133" s="423">
        <v>30</v>
      </c>
    </row>
    <row r="134" spans="2:11" ht="12.6" customHeight="1">
      <c r="B134" s="3254"/>
      <c r="C134" s="424">
        <v>39329</v>
      </c>
      <c r="D134" s="427">
        <f t="shared" si="17"/>
        <v>42</v>
      </c>
      <c r="E134" s="423">
        <v>2</v>
      </c>
      <c r="F134" s="486"/>
      <c r="G134" s="486"/>
      <c r="I134" s="424">
        <v>39692</v>
      </c>
      <c r="J134" s="460">
        <f t="shared" ref="J134:J197" si="18">+I134-I133</f>
        <v>4</v>
      </c>
      <c r="K134" s="423">
        <v>100</v>
      </c>
    </row>
    <row r="135" spans="2:11" ht="12.6" customHeight="1">
      <c r="B135" s="3254"/>
      <c r="C135" s="424">
        <v>39368</v>
      </c>
      <c r="D135" s="427">
        <f t="shared" si="17"/>
        <v>39</v>
      </c>
      <c r="E135" s="423">
        <v>1</v>
      </c>
      <c r="F135" s="486"/>
      <c r="G135" s="486"/>
      <c r="I135" s="424">
        <v>39693</v>
      </c>
      <c r="J135" s="460">
        <f t="shared" si="18"/>
        <v>1</v>
      </c>
      <c r="K135" s="423">
        <v>5</v>
      </c>
    </row>
    <row r="136" spans="2:11" ht="12.6" customHeight="1">
      <c r="B136" s="3254"/>
      <c r="C136" s="424">
        <v>39458</v>
      </c>
      <c r="D136" s="427">
        <f t="shared" si="17"/>
        <v>90</v>
      </c>
      <c r="E136" s="423">
        <v>10</v>
      </c>
      <c r="F136" s="486"/>
      <c r="G136" s="486"/>
      <c r="I136" s="424">
        <v>39700</v>
      </c>
      <c r="J136" s="460">
        <f t="shared" si="18"/>
        <v>7</v>
      </c>
      <c r="K136" s="423">
        <v>2</v>
      </c>
    </row>
    <row r="137" spans="2:11" ht="12.6" customHeight="1">
      <c r="B137" s="3254"/>
      <c r="C137" s="424">
        <v>39709</v>
      </c>
      <c r="D137" s="427">
        <f t="shared" si="17"/>
        <v>251</v>
      </c>
      <c r="E137" s="423">
        <v>4</v>
      </c>
      <c r="F137" s="486"/>
      <c r="G137" s="486"/>
      <c r="I137" s="424">
        <v>39700</v>
      </c>
      <c r="J137" s="460">
        <f t="shared" si="18"/>
        <v>0</v>
      </c>
      <c r="K137" s="423">
        <v>1</v>
      </c>
    </row>
    <row r="138" spans="2:11" ht="12.6" customHeight="1">
      <c r="B138" s="3254"/>
      <c r="C138" s="449">
        <v>39834</v>
      </c>
      <c r="D138" s="427">
        <f t="shared" si="17"/>
        <v>125</v>
      </c>
      <c r="E138" s="423">
        <v>2</v>
      </c>
      <c r="F138" s="486"/>
      <c r="G138" s="486"/>
      <c r="I138" s="424">
        <v>39701</v>
      </c>
      <c r="J138" s="460">
        <f t="shared" si="18"/>
        <v>1</v>
      </c>
      <c r="K138" s="423">
        <v>3</v>
      </c>
    </row>
    <row r="139" spans="2:11" ht="12.6" customHeight="1">
      <c r="B139" s="3254"/>
      <c r="C139" s="449">
        <v>39862</v>
      </c>
      <c r="D139" s="427">
        <f t="shared" si="17"/>
        <v>28</v>
      </c>
      <c r="E139" s="423">
        <v>17</v>
      </c>
      <c r="F139" s="486"/>
      <c r="G139" s="486"/>
      <c r="I139" s="424">
        <v>39709</v>
      </c>
      <c r="J139" s="460">
        <f t="shared" si="18"/>
        <v>8</v>
      </c>
      <c r="K139" s="423">
        <v>4</v>
      </c>
    </row>
    <row r="140" spans="2:11" ht="12.6" customHeight="1">
      <c r="B140" s="3254"/>
      <c r="C140" s="424">
        <v>40074</v>
      </c>
      <c r="D140" s="427">
        <f t="shared" si="17"/>
        <v>212</v>
      </c>
      <c r="E140" s="423">
        <v>7</v>
      </c>
      <c r="F140" s="486"/>
      <c r="G140" s="486"/>
      <c r="I140" s="424">
        <v>39746</v>
      </c>
      <c r="J140" s="460">
        <f t="shared" si="18"/>
        <v>37</v>
      </c>
      <c r="K140" s="423">
        <v>14</v>
      </c>
    </row>
    <row r="141" spans="2:11" ht="12.6" customHeight="1">
      <c r="B141" s="3254"/>
      <c r="C141" s="424">
        <v>40156</v>
      </c>
      <c r="D141" s="427">
        <f t="shared" si="17"/>
        <v>82</v>
      </c>
      <c r="E141" s="423">
        <v>3</v>
      </c>
      <c r="F141" s="486"/>
      <c r="G141" s="486"/>
      <c r="I141" s="449">
        <v>39750</v>
      </c>
      <c r="J141" s="460">
        <f t="shared" si="18"/>
        <v>4</v>
      </c>
      <c r="K141" s="423">
        <v>4</v>
      </c>
    </row>
    <row r="142" spans="2:11" ht="12.6" customHeight="1">
      <c r="B142" s="3255"/>
      <c r="C142" s="424">
        <v>40481</v>
      </c>
      <c r="D142" s="427">
        <f t="shared" si="17"/>
        <v>325</v>
      </c>
      <c r="E142" s="428">
        <v>5</v>
      </c>
      <c r="F142" s="486"/>
      <c r="G142" s="486"/>
      <c r="I142" s="449">
        <v>39761</v>
      </c>
      <c r="J142" s="460">
        <f t="shared" si="18"/>
        <v>11</v>
      </c>
      <c r="K142" s="428">
        <v>8</v>
      </c>
    </row>
    <row r="143" spans="2:11" ht="12.6" customHeight="1" thickBot="1">
      <c r="B143" s="3256"/>
      <c r="C143" s="417">
        <v>40574</v>
      </c>
      <c r="D143" s="429">
        <f>+C143-C142</f>
        <v>93</v>
      </c>
      <c r="E143" s="426">
        <v>0</v>
      </c>
      <c r="F143" s="455"/>
      <c r="G143" s="455"/>
      <c r="I143" s="459">
        <v>39762</v>
      </c>
      <c r="J143" s="460">
        <f t="shared" si="18"/>
        <v>1</v>
      </c>
      <c r="K143" s="426">
        <v>20</v>
      </c>
    </row>
    <row r="144" spans="2:11" ht="12.6" customHeight="1">
      <c r="B144" s="3253" t="s">
        <v>90</v>
      </c>
      <c r="C144" s="448">
        <v>39116</v>
      </c>
      <c r="D144" s="420">
        <f>+C144-$D$2</f>
        <v>33</v>
      </c>
      <c r="E144" s="421">
        <v>3</v>
      </c>
      <c r="F144" s="487">
        <f>SUM(D144:E172)/COUNT(D144:E172)</f>
        <v>30.46551724137931</v>
      </c>
      <c r="G144" s="487">
        <f>SUM(E144:E172)/COUNT(E144:E172)</f>
        <v>9.5172413793103452</v>
      </c>
      <c r="I144" s="458">
        <v>39769</v>
      </c>
      <c r="J144" s="460">
        <f t="shared" si="18"/>
        <v>7</v>
      </c>
      <c r="K144" s="421">
        <v>10</v>
      </c>
    </row>
    <row r="145" spans="2:11" ht="12.6" customHeight="1">
      <c r="B145" s="3254"/>
      <c r="C145" s="424">
        <v>39162</v>
      </c>
      <c r="D145" s="433">
        <f t="shared" ref="D145:D171" si="19">+C145-C144</f>
        <v>46</v>
      </c>
      <c r="E145" s="423">
        <v>19</v>
      </c>
      <c r="F145" s="488"/>
      <c r="G145" s="488"/>
      <c r="I145" s="449">
        <v>39771</v>
      </c>
      <c r="J145" s="460">
        <f t="shared" si="18"/>
        <v>2</v>
      </c>
      <c r="K145" s="423">
        <v>1</v>
      </c>
    </row>
    <row r="146" spans="2:11" ht="12.6" customHeight="1">
      <c r="B146" s="3254"/>
      <c r="C146" s="424">
        <v>39162</v>
      </c>
      <c r="D146" s="433">
        <f t="shared" si="19"/>
        <v>0</v>
      </c>
      <c r="E146" s="423">
        <v>2</v>
      </c>
      <c r="F146" s="488"/>
      <c r="G146" s="488"/>
      <c r="I146" s="449">
        <v>39778</v>
      </c>
      <c r="J146" s="460">
        <f t="shared" si="18"/>
        <v>7</v>
      </c>
      <c r="K146" s="423">
        <v>20</v>
      </c>
    </row>
    <row r="147" spans="2:11" ht="12.6" customHeight="1">
      <c r="B147" s="3254"/>
      <c r="C147" s="424">
        <v>39212</v>
      </c>
      <c r="D147" s="433">
        <f t="shared" si="19"/>
        <v>50</v>
      </c>
      <c r="E147" s="423">
        <v>7</v>
      </c>
      <c r="F147" s="488"/>
      <c r="G147" s="488"/>
      <c r="I147" s="449">
        <v>39783</v>
      </c>
      <c r="J147" s="460">
        <f t="shared" si="18"/>
        <v>5</v>
      </c>
      <c r="K147" s="423">
        <v>5</v>
      </c>
    </row>
    <row r="148" spans="2:11" ht="12.6" customHeight="1">
      <c r="B148" s="3254"/>
      <c r="C148" s="424">
        <v>39248</v>
      </c>
      <c r="D148" s="433">
        <f t="shared" si="19"/>
        <v>36</v>
      </c>
      <c r="E148" s="423">
        <v>120</v>
      </c>
      <c r="F148" s="488"/>
      <c r="G148" s="488"/>
      <c r="I148" s="449">
        <v>39784</v>
      </c>
      <c r="J148" s="460">
        <f t="shared" si="18"/>
        <v>1</v>
      </c>
      <c r="K148" s="423">
        <v>7</v>
      </c>
    </row>
    <row r="149" spans="2:11" ht="12.6" customHeight="1">
      <c r="B149" s="3254"/>
      <c r="C149" s="424">
        <v>39294</v>
      </c>
      <c r="D149" s="433">
        <f t="shared" si="19"/>
        <v>46</v>
      </c>
      <c r="E149" s="423">
        <v>3</v>
      </c>
      <c r="F149" s="488"/>
      <c r="G149" s="488"/>
      <c r="I149" s="449">
        <v>39791</v>
      </c>
      <c r="J149" s="460">
        <f t="shared" si="18"/>
        <v>7</v>
      </c>
      <c r="K149" s="423">
        <v>21</v>
      </c>
    </row>
    <row r="150" spans="2:11" ht="12.6" customHeight="1">
      <c r="B150" s="3254"/>
      <c r="C150" s="424">
        <v>39418</v>
      </c>
      <c r="D150" s="433">
        <f t="shared" si="19"/>
        <v>124</v>
      </c>
      <c r="E150" s="423">
        <v>6</v>
      </c>
      <c r="F150" s="488"/>
      <c r="G150" s="488"/>
      <c r="I150" s="449">
        <v>39796</v>
      </c>
      <c r="J150" s="460">
        <f t="shared" si="18"/>
        <v>5</v>
      </c>
      <c r="K150" s="423">
        <v>5</v>
      </c>
    </row>
    <row r="151" spans="2:11" ht="12.6" customHeight="1">
      <c r="B151" s="3254"/>
      <c r="C151" s="424">
        <v>39430</v>
      </c>
      <c r="D151" s="433">
        <f t="shared" si="19"/>
        <v>12</v>
      </c>
      <c r="E151" s="423">
        <v>2</v>
      </c>
      <c r="F151" s="488"/>
      <c r="G151" s="488"/>
      <c r="I151" s="449">
        <v>39797</v>
      </c>
      <c r="J151" s="460">
        <f t="shared" si="18"/>
        <v>1</v>
      </c>
      <c r="K151" s="423">
        <v>15</v>
      </c>
    </row>
    <row r="152" spans="2:11" ht="12.6" customHeight="1">
      <c r="B152" s="3254"/>
      <c r="C152" s="424">
        <v>39443</v>
      </c>
      <c r="D152" s="433">
        <f t="shared" si="19"/>
        <v>13</v>
      </c>
      <c r="E152" s="423">
        <v>7</v>
      </c>
      <c r="F152" s="488"/>
      <c r="G152" s="488"/>
      <c r="I152" s="449">
        <v>39799</v>
      </c>
      <c r="J152" s="460">
        <f t="shared" si="18"/>
        <v>2</v>
      </c>
      <c r="K152" s="423">
        <v>5</v>
      </c>
    </row>
    <row r="153" spans="2:11" ht="12.6" customHeight="1">
      <c r="B153" s="3254"/>
      <c r="C153" s="424">
        <v>39476</v>
      </c>
      <c r="D153" s="433">
        <f t="shared" si="19"/>
        <v>33</v>
      </c>
      <c r="E153" s="423">
        <v>3</v>
      </c>
      <c r="F153" s="488"/>
      <c r="G153" s="488"/>
      <c r="I153" s="449">
        <v>39799</v>
      </c>
      <c r="J153" s="460">
        <f t="shared" si="18"/>
        <v>0</v>
      </c>
      <c r="K153" s="423">
        <v>30</v>
      </c>
    </row>
    <row r="154" spans="2:11" ht="12.6" customHeight="1">
      <c r="B154" s="3254"/>
      <c r="C154" s="424">
        <v>39539</v>
      </c>
      <c r="D154" s="433">
        <f t="shared" si="19"/>
        <v>63</v>
      </c>
      <c r="E154" s="423">
        <v>2</v>
      </c>
      <c r="F154" s="488"/>
      <c r="G154" s="488"/>
      <c r="I154" s="449">
        <v>39801</v>
      </c>
      <c r="J154" s="460">
        <f t="shared" si="18"/>
        <v>2</v>
      </c>
      <c r="K154" s="423">
        <v>2</v>
      </c>
    </row>
    <row r="155" spans="2:11" ht="12.6" customHeight="1">
      <c r="B155" s="3254"/>
      <c r="C155" s="424">
        <v>39570</v>
      </c>
      <c r="D155" s="433">
        <f t="shared" si="19"/>
        <v>31</v>
      </c>
      <c r="E155" s="423">
        <v>3</v>
      </c>
      <c r="F155" s="488"/>
      <c r="G155" s="488"/>
      <c r="I155" s="449">
        <v>39811</v>
      </c>
      <c r="J155" s="460">
        <f t="shared" si="18"/>
        <v>10</v>
      </c>
      <c r="K155" s="423">
        <v>12</v>
      </c>
    </row>
    <row r="156" spans="2:11" ht="12.6" customHeight="1">
      <c r="B156" s="3254"/>
      <c r="C156" s="424">
        <v>39574</v>
      </c>
      <c r="D156" s="433">
        <f t="shared" si="19"/>
        <v>4</v>
      </c>
      <c r="E156" s="423">
        <v>4</v>
      </c>
      <c r="F156" s="488"/>
      <c r="G156" s="488"/>
      <c r="I156" s="449">
        <v>39818</v>
      </c>
      <c r="J156" s="460">
        <f t="shared" si="18"/>
        <v>7</v>
      </c>
      <c r="K156" s="423">
        <v>16</v>
      </c>
    </row>
    <row r="157" spans="2:11" ht="12.6" customHeight="1">
      <c r="B157" s="3254"/>
      <c r="C157" s="424">
        <v>39635</v>
      </c>
      <c r="D157" s="433">
        <f t="shared" si="19"/>
        <v>61</v>
      </c>
      <c r="E157" s="423">
        <v>15</v>
      </c>
      <c r="F157" s="488"/>
      <c r="G157" s="488"/>
      <c r="I157" s="449">
        <v>39819</v>
      </c>
      <c r="J157" s="460">
        <f t="shared" si="18"/>
        <v>1</v>
      </c>
      <c r="K157" s="423">
        <v>4</v>
      </c>
    </row>
    <row r="158" spans="2:11" ht="12.6" customHeight="1">
      <c r="B158" s="3254"/>
      <c r="C158" s="424">
        <v>39671</v>
      </c>
      <c r="D158" s="433">
        <f t="shared" si="19"/>
        <v>36</v>
      </c>
      <c r="E158" s="423">
        <v>2</v>
      </c>
      <c r="F158" s="488"/>
      <c r="G158" s="488"/>
      <c r="I158" s="449">
        <v>39823</v>
      </c>
      <c r="J158" s="460">
        <f t="shared" si="18"/>
        <v>4</v>
      </c>
      <c r="K158" s="423">
        <v>7</v>
      </c>
    </row>
    <row r="159" spans="2:11" ht="12.6" customHeight="1">
      <c r="B159" s="3254"/>
      <c r="C159" s="424">
        <v>39701</v>
      </c>
      <c r="D159" s="433">
        <f t="shared" si="19"/>
        <v>30</v>
      </c>
      <c r="E159" s="423">
        <v>3</v>
      </c>
      <c r="F159" s="488"/>
      <c r="G159" s="488"/>
      <c r="I159" s="449">
        <v>39833</v>
      </c>
      <c r="J159" s="460">
        <f t="shared" si="18"/>
        <v>10</v>
      </c>
      <c r="K159" s="423">
        <v>10</v>
      </c>
    </row>
    <row r="160" spans="2:11" ht="12.6" customHeight="1">
      <c r="B160" s="3254"/>
      <c r="C160" s="449">
        <v>39783</v>
      </c>
      <c r="D160" s="433">
        <f t="shared" si="19"/>
        <v>82</v>
      </c>
      <c r="E160" s="423">
        <v>5</v>
      </c>
      <c r="F160" s="488"/>
      <c r="G160" s="488"/>
      <c r="I160" s="449">
        <v>39833</v>
      </c>
      <c r="J160" s="460">
        <f t="shared" si="18"/>
        <v>0</v>
      </c>
      <c r="K160" s="423">
        <v>2</v>
      </c>
    </row>
    <row r="161" spans="2:11" ht="12.6" customHeight="1">
      <c r="B161" s="3254"/>
      <c r="C161" s="449">
        <v>39796</v>
      </c>
      <c r="D161" s="433">
        <f t="shared" si="19"/>
        <v>13</v>
      </c>
      <c r="E161" s="423">
        <v>5</v>
      </c>
      <c r="F161" s="488"/>
      <c r="G161" s="488"/>
      <c r="I161" s="449">
        <v>39834</v>
      </c>
      <c r="J161" s="460">
        <f t="shared" si="18"/>
        <v>1</v>
      </c>
      <c r="K161" s="423">
        <v>2</v>
      </c>
    </row>
    <row r="162" spans="2:11" ht="12.6" customHeight="1">
      <c r="B162" s="3254"/>
      <c r="C162" s="449">
        <v>39819</v>
      </c>
      <c r="D162" s="433">
        <f t="shared" si="19"/>
        <v>23</v>
      </c>
      <c r="E162" s="423">
        <v>4</v>
      </c>
      <c r="F162" s="488"/>
      <c r="G162" s="488"/>
      <c r="I162" s="449">
        <v>39835</v>
      </c>
      <c r="J162" s="460">
        <f t="shared" si="18"/>
        <v>1</v>
      </c>
      <c r="K162" s="423">
        <v>30</v>
      </c>
    </row>
    <row r="163" spans="2:11" ht="12.6" customHeight="1">
      <c r="B163" s="3254"/>
      <c r="C163" s="449">
        <v>39833</v>
      </c>
      <c r="D163" s="433">
        <f t="shared" si="19"/>
        <v>14</v>
      </c>
      <c r="E163" s="423">
        <v>10</v>
      </c>
      <c r="F163" s="488"/>
      <c r="G163" s="488"/>
      <c r="I163" s="449">
        <v>39842</v>
      </c>
      <c r="J163" s="460">
        <f t="shared" si="18"/>
        <v>7</v>
      </c>
      <c r="K163" s="423">
        <v>10</v>
      </c>
    </row>
    <row r="164" spans="2:11" ht="12.6" customHeight="1">
      <c r="B164" s="3254"/>
      <c r="C164" s="449">
        <v>39833</v>
      </c>
      <c r="D164" s="433">
        <f t="shared" si="19"/>
        <v>0</v>
      </c>
      <c r="E164" s="423">
        <v>2</v>
      </c>
      <c r="F164" s="488"/>
      <c r="G164" s="488"/>
      <c r="I164" s="449">
        <v>39842</v>
      </c>
      <c r="J164" s="460">
        <f t="shared" si="18"/>
        <v>0</v>
      </c>
      <c r="K164" s="423">
        <v>1</v>
      </c>
    </row>
    <row r="165" spans="2:11" ht="12.6" customHeight="1">
      <c r="B165" s="3254"/>
      <c r="C165" s="449">
        <v>40051</v>
      </c>
      <c r="D165" s="433">
        <f t="shared" si="19"/>
        <v>218</v>
      </c>
      <c r="E165" s="423">
        <v>5</v>
      </c>
      <c r="F165" s="488"/>
      <c r="G165" s="488"/>
      <c r="I165" s="449">
        <v>39856</v>
      </c>
      <c r="J165" s="460">
        <f t="shared" si="18"/>
        <v>14</v>
      </c>
      <c r="K165" s="423">
        <v>5</v>
      </c>
    </row>
    <row r="166" spans="2:11" ht="12.6" customHeight="1">
      <c r="B166" s="3254"/>
      <c r="C166" s="424">
        <v>40107</v>
      </c>
      <c r="D166" s="433">
        <f t="shared" si="19"/>
        <v>56</v>
      </c>
      <c r="E166" s="423">
        <v>1</v>
      </c>
      <c r="F166" s="488"/>
      <c r="G166" s="488"/>
      <c r="I166" s="449">
        <v>39860</v>
      </c>
      <c r="J166" s="460">
        <f t="shared" si="18"/>
        <v>4</v>
      </c>
      <c r="K166" s="423">
        <v>15</v>
      </c>
    </row>
    <row r="167" spans="2:11" ht="12.6" customHeight="1">
      <c r="B167" s="3254"/>
      <c r="C167" s="424">
        <v>40142</v>
      </c>
      <c r="D167" s="433">
        <f t="shared" si="19"/>
        <v>35</v>
      </c>
      <c r="E167" s="423">
        <v>5</v>
      </c>
      <c r="F167" s="488"/>
      <c r="G167" s="488"/>
      <c r="I167" s="449">
        <v>39862</v>
      </c>
      <c r="J167" s="460">
        <f t="shared" si="18"/>
        <v>2</v>
      </c>
      <c r="K167" s="423">
        <v>17</v>
      </c>
    </row>
    <row r="168" spans="2:11" ht="12.6" customHeight="1">
      <c r="B168" s="3254"/>
      <c r="C168" s="424">
        <v>40175</v>
      </c>
      <c r="D168" s="433">
        <f t="shared" si="19"/>
        <v>33</v>
      </c>
      <c r="E168" s="423">
        <v>2</v>
      </c>
      <c r="F168" s="488"/>
      <c r="G168" s="488"/>
      <c r="I168" s="449">
        <v>39890</v>
      </c>
      <c r="J168" s="460">
        <f t="shared" si="18"/>
        <v>28</v>
      </c>
      <c r="K168" s="423">
        <v>6</v>
      </c>
    </row>
    <row r="169" spans="2:11" ht="12.6" customHeight="1">
      <c r="B169" s="3254"/>
      <c r="C169" s="424">
        <v>40366</v>
      </c>
      <c r="D169" s="433">
        <f t="shared" si="19"/>
        <v>191</v>
      </c>
      <c r="E169" s="423">
        <v>4</v>
      </c>
      <c r="F169" s="488"/>
      <c r="G169" s="488"/>
      <c r="I169" s="449">
        <v>39892</v>
      </c>
      <c r="J169" s="460">
        <f t="shared" si="18"/>
        <v>2</v>
      </c>
      <c r="K169" s="423">
        <v>18</v>
      </c>
    </row>
    <row r="170" spans="2:11" ht="12.6" customHeight="1">
      <c r="B170" s="3255"/>
      <c r="C170" s="424">
        <v>40389</v>
      </c>
      <c r="D170" s="433">
        <f t="shared" si="19"/>
        <v>23</v>
      </c>
      <c r="E170" s="428">
        <v>2</v>
      </c>
      <c r="F170" s="488"/>
      <c r="G170" s="488"/>
      <c r="I170" s="449">
        <v>39909</v>
      </c>
      <c r="J170" s="460">
        <f t="shared" si="18"/>
        <v>17</v>
      </c>
      <c r="K170" s="428">
        <v>19</v>
      </c>
    </row>
    <row r="171" spans="2:11" ht="12.6" customHeight="1">
      <c r="B171" s="3255"/>
      <c r="C171" s="424">
        <v>40559</v>
      </c>
      <c r="D171" s="433">
        <f t="shared" si="19"/>
        <v>170</v>
      </c>
      <c r="E171" s="428">
        <v>30</v>
      </c>
      <c r="F171" s="488"/>
      <c r="G171" s="488"/>
      <c r="I171" s="449">
        <v>39928</v>
      </c>
      <c r="J171" s="460">
        <f t="shared" si="18"/>
        <v>19</v>
      </c>
      <c r="K171" s="428">
        <v>20</v>
      </c>
    </row>
    <row r="172" spans="2:11" ht="12.6" customHeight="1" thickBot="1">
      <c r="B172" s="3256"/>
      <c r="C172" s="417">
        <v>40574</v>
      </c>
      <c r="D172" s="434">
        <f>+C172-C171</f>
        <v>15</v>
      </c>
      <c r="E172" s="426">
        <v>0</v>
      </c>
      <c r="F172" s="489"/>
      <c r="G172" s="489"/>
      <c r="I172" s="459">
        <v>39932</v>
      </c>
      <c r="J172" s="460">
        <f t="shared" si="18"/>
        <v>4</v>
      </c>
      <c r="K172" s="426">
        <v>6</v>
      </c>
    </row>
    <row r="173" spans="2:11" ht="12.6" customHeight="1">
      <c r="B173" s="3253" t="s">
        <v>91</v>
      </c>
      <c r="C173" s="448">
        <v>39122</v>
      </c>
      <c r="D173" s="420">
        <f>+C173-$D$2</f>
        <v>39</v>
      </c>
      <c r="E173" s="421">
        <v>2</v>
      </c>
      <c r="F173" s="487">
        <f>SUM(D173:D212)/COUNT(E173:E212)</f>
        <v>37.274999999999999</v>
      </c>
      <c r="G173" s="487">
        <f>(SUM(E173:E212)-1800+30)/COUNT(E173:E212)</f>
        <v>12.1</v>
      </c>
      <c r="I173" s="458">
        <v>39941</v>
      </c>
      <c r="J173" s="460">
        <f t="shared" si="18"/>
        <v>9</v>
      </c>
      <c r="K173" s="421">
        <v>8</v>
      </c>
    </row>
    <row r="174" spans="2:11" ht="12.6" customHeight="1">
      <c r="B174" s="3254"/>
      <c r="C174" s="424">
        <v>39155</v>
      </c>
      <c r="D174" s="422">
        <f t="shared" ref="D174:D211" si="20">+C174-C173</f>
        <v>33</v>
      </c>
      <c r="E174" s="423">
        <v>1</v>
      </c>
      <c r="F174" s="488"/>
      <c r="G174" s="488"/>
      <c r="I174" s="449">
        <v>39945</v>
      </c>
      <c r="J174" s="460">
        <f t="shared" si="18"/>
        <v>4</v>
      </c>
      <c r="K174" s="423">
        <v>7</v>
      </c>
    </row>
    <row r="175" spans="2:11" ht="12.6" customHeight="1">
      <c r="B175" s="3254"/>
      <c r="C175" s="424">
        <v>39161</v>
      </c>
      <c r="D175" s="422">
        <f t="shared" si="20"/>
        <v>6</v>
      </c>
      <c r="E175" s="423">
        <v>11</v>
      </c>
      <c r="F175" s="488"/>
      <c r="G175" s="488"/>
      <c r="I175" s="449">
        <v>39957</v>
      </c>
      <c r="J175" s="460">
        <f t="shared" si="18"/>
        <v>12</v>
      </c>
      <c r="K175" s="423">
        <v>2</v>
      </c>
    </row>
    <row r="176" spans="2:11" ht="12.6" customHeight="1">
      <c r="B176" s="3254"/>
      <c r="C176" s="424">
        <v>39187</v>
      </c>
      <c r="D176" s="422">
        <f t="shared" si="20"/>
        <v>26</v>
      </c>
      <c r="E176" s="423">
        <v>1</v>
      </c>
      <c r="F176" s="488"/>
      <c r="G176" s="488"/>
      <c r="I176" s="449">
        <v>39957</v>
      </c>
      <c r="J176" s="460">
        <f t="shared" si="18"/>
        <v>0</v>
      </c>
      <c r="K176" s="423">
        <v>11</v>
      </c>
    </row>
    <row r="177" spans="2:11" ht="12.6" customHeight="1">
      <c r="B177" s="3254"/>
      <c r="C177" s="424">
        <v>39256</v>
      </c>
      <c r="D177" s="422">
        <f t="shared" si="20"/>
        <v>69</v>
      </c>
      <c r="E177" s="423">
        <v>3</v>
      </c>
      <c r="F177" s="488"/>
      <c r="G177" s="488"/>
      <c r="I177" s="449">
        <v>39961</v>
      </c>
      <c r="J177" s="460">
        <f t="shared" si="18"/>
        <v>4</v>
      </c>
      <c r="K177" s="423">
        <v>11</v>
      </c>
    </row>
    <row r="178" spans="2:11" ht="12.6" customHeight="1">
      <c r="B178" s="3254"/>
      <c r="C178" s="424">
        <v>39256</v>
      </c>
      <c r="D178" s="422">
        <f t="shared" si="20"/>
        <v>0</v>
      </c>
      <c r="E178" s="423">
        <v>5</v>
      </c>
      <c r="F178" s="488"/>
      <c r="G178" s="488"/>
      <c r="I178" s="449">
        <v>39961</v>
      </c>
      <c r="J178" s="460">
        <f t="shared" si="18"/>
        <v>0</v>
      </c>
      <c r="K178" s="423">
        <v>7</v>
      </c>
    </row>
    <row r="179" spans="2:11" ht="12.6" customHeight="1">
      <c r="B179" s="3254"/>
      <c r="C179" s="424">
        <v>39328</v>
      </c>
      <c r="D179" s="422">
        <f t="shared" si="20"/>
        <v>72</v>
      </c>
      <c r="E179" s="423">
        <v>3</v>
      </c>
      <c r="F179" s="488"/>
      <c r="G179" s="488"/>
      <c r="I179" s="449">
        <v>39973</v>
      </c>
      <c r="J179" s="460">
        <f t="shared" si="18"/>
        <v>12</v>
      </c>
      <c r="K179" s="423">
        <v>18</v>
      </c>
    </row>
    <row r="180" spans="2:11" ht="12.6" customHeight="1">
      <c r="B180" s="3254"/>
      <c r="C180" s="424">
        <v>39415</v>
      </c>
      <c r="D180" s="422">
        <f t="shared" si="20"/>
        <v>87</v>
      </c>
      <c r="E180" s="423">
        <v>21</v>
      </c>
      <c r="F180" s="488"/>
      <c r="G180" s="488"/>
      <c r="I180" s="449">
        <v>39973</v>
      </c>
      <c r="J180" s="460">
        <f t="shared" si="18"/>
        <v>0</v>
      </c>
      <c r="K180" s="423">
        <v>29</v>
      </c>
    </row>
    <row r="181" spans="2:11" ht="12.6" customHeight="1">
      <c r="B181" s="3254"/>
      <c r="C181" s="424">
        <v>39434</v>
      </c>
      <c r="D181" s="422">
        <f t="shared" si="20"/>
        <v>19</v>
      </c>
      <c r="E181" s="423">
        <v>2</v>
      </c>
      <c r="F181" s="488"/>
      <c r="G181" s="488"/>
      <c r="I181" s="449">
        <v>39981</v>
      </c>
      <c r="J181" s="460">
        <f t="shared" si="18"/>
        <v>8</v>
      </c>
      <c r="K181" s="423">
        <v>7</v>
      </c>
    </row>
    <row r="182" spans="2:11" ht="12.6" customHeight="1">
      <c r="B182" s="3254"/>
      <c r="C182" s="424">
        <v>39472</v>
      </c>
      <c r="D182" s="422">
        <f t="shared" si="20"/>
        <v>38</v>
      </c>
      <c r="E182" s="423">
        <v>4</v>
      </c>
      <c r="F182" s="488"/>
      <c r="G182" s="488"/>
      <c r="I182" s="450">
        <v>39991</v>
      </c>
      <c r="J182" s="460">
        <f t="shared" si="18"/>
        <v>10</v>
      </c>
      <c r="K182" s="423">
        <v>30</v>
      </c>
    </row>
    <row r="183" spans="2:11" ht="12.6" customHeight="1">
      <c r="B183" s="3254"/>
      <c r="C183" s="424">
        <v>39485</v>
      </c>
      <c r="D183" s="422">
        <f t="shared" si="20"/>
        <v>13</v>
      </c>
      <c r="E183" s="423">
        <v>7</v>
      </c>
      <c r="F183" s="488"/>
      <c r="G183" s="488"/>
      <c r="I183" s="449">
        <v>40018</v>
      </c>
      <c r="J183" s="460">
        <f t="shared" si="18"/>
        <v>27</v>
      </c>
      <c r="K183" s="423">
        <v>51</v>
      </c>
    </row>
    <row r="184" spans="2:11" ht="12.6" customHeight="1">
      <c r="B184" s="3254"/>
      <c r="C184" s="424">
        <v>39532</v>
      </c>
      <c r="D184" s="422">
        <f t="shared" si="20"/>
        <v>47</v>
      </c>
      <c r="E184" s="423">
        <v>14</v>
      </c>
      <c r="F184" s="488"/>
      <c r="G184" s="488"/>
      <c r="I184" s="449">
        <v>40038</v>
      </c>
      <c r="J184" s="460">
        <f t="shared" si="18"/>
        <v>20</v>
      </c>
      <c r="K184" s="423">
        <v>7</v>
      </c>
    </row>
    <row r="185" spans="2:11" ht="12.6" customHeight="1">
      <c r="B185" s="3254"/>
      <c r="C185" s="424">
        <v>39580</v>
      </c>
      <c r="D185" s="422">
        <f t="shared" si="20"/>
        <v>48</v>
      </c>
      <c r="E185" s="423">
        <v>90</v>
      </c>
      <c r="F185" s="488"/>
      <c r="G185" s="488"/>
      <c r="I185" s="449">
        <v>40039</v>
      </c>
      <c r="J185" s="460">
        <f t="shared" si="18"/>
        <v>1</v>
      </c>
      <c r="K185" s="423">
        <v>27</v>
      </c>
    </row>
    <row r="186" spans="2:11" ht="12.6" customHeight="1">
      <c r="B186" s="3254"/>
      <c r="C186" s="424">
        <v>39583</v>
      </c>
      <c r="D186" s="422">
        <f t="shared" si="20"/>
        <v>3</v>
      </c>
      <c r="E186" s="423">
        <v>12</v>
      </c>
      <c r="F186" s="488"/>
      <c r="G186" s="488"/>
      <c r="I186" s="449">
        <v>40046</v>
      </c>
      <c r="J186" s="460">
        <f t="shared" si="18"/>
        <v>7</v>
      </c>
      <c r="K186" s="423">
        <v>30</v>
      </c>
    </row>
    <row r="187" spans="2:11" ht="12.6" customHeight="1">
      <c r="B187" s="3254"/>
      <c r="C187" s="424">
        <v>39610</v>
      </c>
      <c r="D187" s="422">
        <f t="shared" si="20"/>
        <v>27</v>
      </c>
      <c r="E187" s="423">
        <v>4</v>
      </c>
      <c r="F187" s="488"/>
      <c r="G187" s="488"/>
      <c r="I187" s="449">
        <v>40051</v>
      </c>
      <c r="J187" s="460">
        <f t="shared" si="18"/>
        <v>5</v>
      </c>
      <c r="K187" s="423">
        <v>5</v>
      </c>
    </row>
    <row r="188" spans="2:11" ht="12.6" customHeight="1">
      <c r="B188" s="3254"/>
      <c r="C188" s="424">
        <v>39627</v>
      </c>
      <c r="D188" s="422">
        <f t="shared" si="20"/>
        <v>17</v>
      </c>
      <c r="E188" s="423">
        <v>30</v>
      </c>
      <c r="F188" s="488"/>
      <c r="G188" s="488"/>
      <c r="I188" s="424">
        <v>40057</v>
      </c>
      <c r="J188" s="460">
        <f t="shared" si="18"/>
        <v>6</v>
      </c>
      <c r="K188" s="423">
        <v>3</v>
      </c>
    </row>
    <row r="189" spans="2:11" ht="12.6" customHeight="1">
      <c r="B189" s="3254"/>
      <c r="C189" s="424">
        <v>39693</v>
      </c>
      <c r="D189" s="422">
        <f t="shared" si="20"/>
        <v>66</v>
      </c>
      <c r="E189" s="423">
        <v>5</v>
      </c>
      <c r="F189" s="488"/>
      <c r="G189" s="488"/>
      <c r="I189" s="424">
        <v>40074</v>
      </c>
      <c r="J189" s="460">
        <f t="shared" si="18"/>
        <v>17</v>
      </c>
      <c r="K189" s="423">
        <v>7</v>
      </c>
    </row>
    <row r="190" spans="2:11" ht="12.6" customHeight="1">
      <c r="B190" s="3254"/>
      <c r="C190" s="424">
        <v>39746</v>
      </c>
      <c r="D190" s="422">
        <f t="shared" si="20"/>
        <v>53</v>
      </c>
      <c r="E190" s="423">
        <v>14</v>
      </c>
      <c r="F190" s="488"/>
      <c r="G190" s="488"/>
      <c r="I190" s="424">
        <v>40101</v>
      </c>
      <c r="J190" s="460">
        <f t="shared" si="18"/>
        <v>27</v>
      </c>
      <c r="K190" s="423">
        <v>4</v>
      </c>
    </row>
    <row r="191" spans="2:11" ht="12.6" customHeight="1">
      <c r="B191" s="3254"/>
      <c r="C191" s="449">
        <v>39835</v>
      </c>
      <c r="D191" s="422">
        <f t="shared" si="20"/>
        <v>89</v>
      </c>
      <c r="E191" s="423">
        <v>30</v>
      </c>
      <c r="F191" s="488"/>
      <c r="G191" s="488"/>
      <c r="I191" s="424">
        <v>40107</v>
      </c>
      <c r="J191" s="460">
        <f t="shared" si="18"/>
        <v>6</v>
      </c>
      <c r="K191" s="423">
        <v>1</v>
      </c>
    </row>
    <row r="192" spans="2:11" ht="12.6" customHeight="1">
      <c r="B192" s="3254"/>
      <c r="C192" s="449">
        <v>39932</v>
      </c>
      <c r="D192" s="422">
        <f t="shared" si="20"/>
        <v>97</v>
      </c>
      <c r="E192" s="423">
        <v>6</v>
      </c>
      <c r="F192" s="488"/>
      <c r="G192" s="488"/>
      <c r="I192" s="424">
        <v>40109</v>
      </c>
      <c r="J192" s="460">
        <f t="shared" si="18"/>
        <v>2</v>
      </c>
      <c r="K192" s="423">
        <v>30</v>
      </c>
    </row>
    <row r="193" spans="2:11" ht="12.6" customHeight="1">
      <c r="B193" s="3254"/>
      <c r="C193" s="449">
        <v>40046</v>
      </c>
      <c r="D193" s="422">
        <f t="shared" si="20"/>
        <v>114</v>
      </c>
      <c r="E193" s="423">
        <v>1800</v>
      </c>
      <c r="F193" s="488"/>
      <c r="G193" s="488"/>
      <c r="I193" s="424">
        <v>40112</v>
      </c>
      <c r="J193" s="460">
        <f t="shared" si="18"/>
        <v>3</v>
      </c>
      <c r="K193" s="423">
        <v>16</v>
      </c>
    </row>
    <row r="194" spans="2:11" ht="12.6" customHeight="1">
      <c r="B194" s="3254"/>
      <c r="C194" s="424">
        <v>40115</v>
      </c>
      <c r="D194" s="422">
        <f t="shared" si="20"/>
        <v>69</v>
      </c>
      <c r="E194" s="423">
        <v>2</v>
      </c>
      <c r="F194" s="488"/>
      <c r="G194" s="488"/>
      <c r="I194" s="424">
        <v>40115</v>
      </c>
      <c r="J194" s="460">
        <f t="shared" si="18"/>
        <v>3</v>
      </c>
      <c r="K194" s="423">
        <v>2</v>
      </c>
    </row>
    <row r="195" spans="2:11" ht="12.6" customHeight="1">
      <c r="B195" s="3254"/>
      <c r="C195" s="424">
        <v>40147</v>
      </c>
      <c r="D195" s="422">
        <f t="shared" si="20"/>
        <v>32</v>
      </c>
      <c r="E195" s="423">
        <v>5</v>
      </c>
      <c r="F195" s="488"/>
      <c r="G195" s="488"/>
      <c r="I195" s="424">
        <v>40122</v>
      </c>
      <c r="J195" s="460">
        <f t="shared" si="18"/>
        <v>7</v>
      </c>
      <c r="K195" s="423">
        <v>39</v>
      </c>
    </row>
    <row r="196" spans="2:11" ht="12.6" customHeight="1">
      <c r="B196" s="3254"/>
      <c r="C196" s="424">
        <v>40201</v>
      </c>
      <c r="D196" s="422">
        <f t="shared" si="20"/>
        <v>54</v>
      </c>
      <c r="E196" s="423">
        <v>15</v>
      </c>
      <c r="F196" s="488"/>
      <c r="G196" s="488"/>
      <c r="I196" s="424">
        <v>40136</v>
      </c>
      <c r="J196" s="460">
        <f t="shared" si="18"/>
        <v>14</v>
      </c>
      <c r="K196" s="423">
        <v>9</v>
      </c>
    </row>
    <row r="197" spans="2:11" ht="12.6" customHeight="1">
      <c r="B197" s="3254"/>
      <c r="C197" s="424">
        <v>40203</v>
      </c>
      <c r="D197" s="422">
        <f t="shared" si="20"/>
        <v>2</v>
      </c>
      <c r="E197" s="423">
        <v>7</v>
      </c>
      <c r="F197" s="488"/>
      <c r="G197" s="488"/>
      <c r="I197" s="424">
        <v>40142</v>
      </c>
      <c r="J197" s="460">
        <f t="shared" si="18"/>
        <v>6</v>
      </c>
      <c r="K197" s="423">
        <v>5</v>
      </c>
    </row>
    <row r="198" spans="2:11" ht="12.6" customHeight="1">
      <c r="B198" s="3254"/>
      <c r="C198" s="424">
        <v>40213</v>
      </c>
      <c r="D198" s="422">
        <f t="shared" si="20"/>
        <v>10</v>
      </c>
      <c r="E198" s="423">
        <v>15</v>
      </c>
      <c r="F198" s="488"/>
      <c r="G198" s="488"/>
      <c r="I198" s="424">
        <v>40147</v>
      </c>
      <c r="J198" s="460">
        <f t="shared" ref="J198:J262" si="21">+I198-I197</f>
        <v>5</v>
      </c>
      <c r="K198" s="423">
        <v>5</v>
      </c>
    </row>
    <row r="199" spans="2:11" ht="12.6" customHeight="1">
      <c r="B199" s="3254"/>
      <c r="C199" s="424">
        <v>40217</v>
      </c>
      <c r="D199" s="422">
        <f t="shared" si="20"/>
        <v>4</v>
      </c>
      <c r="E199" s="423">
        <v>30</v>
      </c>
      <c r="F199" s="488"/>
      <c r="G199" s="488"/>
      <c r="I199" s="424">
        <v>40156</v>
      </c>
      <c r="J199" s="460">
        <f t="shared" si="21"/>
        <v>9</v>
      </c>
      <c r="K199" s="423">
        <v>2</v>
      </c>
    </row>
    <row r="200" spans="2:11" ht="12.6" customHeight="1">
      <c r="B200" s="3254"/>
      <c r="C200" s="424">
        <v>40252</v>
      </c>
      <c r="D200" s="422">
        <f t="shared" si="20"/>
        <v>35</v>
      </c>
      <c r="E200" s="423">
        <v>48</v>
      </c>
      <c r="F200" s="488"/>
      <c r="G200" s="488"/>
      <c r="I200" s="424">
        <v>40156</v>
      </c>
      <c r="J200" s="460">
        <f t="shared" si="21"/>
        <v>0</v>
      </c>
      <c r="K200" s="423">
        <v>3</v>
      </c>
    </row>
    <row r="201" spans="2:11" ht="12.6" customHeight="1">
      <c r="B201" s="3254"/>
      <c r="C201" s="424">
        <v>40303</v>
      </c>
      <c r="D201" s="422">
        <f t="shared" si="20"/>
        <v>51</v>
      </c>
      <c r="E201" s="423">
        <v>10</v>
      </c>
      <c r="F201" s="488"/>
      <c r="G201" s="488"/>
      <c r="I201" s="424">
        <v>40175</v>
      </c>
      <c r="J201" s="460">
        <f t="shared" si="21"/>
        <v>19</v>
      </c>
      <c r="K201" s="423">
        <v>2</v>
      </c>
    </row>
    <row r="202" spans="2:11" ht="12.6" customHeight="1">
      <c r="B202" s="3254"/>
      <c r="C202" s="424">
        <v>40356</v>
      </c>
      <c r="D202" s="422">
        <f t="shared" si="20"/>
        <v>53</v>
      </c>
      <c r="E202" s="423">
        <v>3</v>
      </c>
      <c r="F202" s="488"/>
      <c r="G202" s="488"/>
      <c r="I202" s="424">
        <v>40200</v>
      </c>
      <c r="J202" s="460">
        <f t="shared" si="21"/>
        <v>25</v>
      </c>
      <c r="K202" s="423">
        <v>7</v>
      </c>
    </row>
    <row r="203" spans="2:11" ht="12.6" customHeight="1">
      <c r="B203" s="3254"/>
      <c r="C203" s="424">
        <v>40392</v>
      </c>
      <c r="D203" s="422">
        <f t="shared" si="20"/>
        <v>36</v>
      </c>
      <c r="E203" s="423">
        <v>3</v>
      </c>
      <c r="F203" s="488"/>
      <c r="G203" s="488"/>
      <c r="I203" s="424">
        <v>40200</v>
      </c>
      <c r="J203" s="460">
        <f t="shared" si="21"/>
        <v>0</v>
      </c>
      <c r="K203" s="423">
        <v>3</v>
      </c>
    </row>
    <row r="204" spans="2:11" ht="12.6" customHeight="1">
      <c r="B204" s="3254"/>
      <c r="C204" s="424">
        <v>40421</v>
      </c>
      <c r="D204" s="422">
        <f t="shared" si="20"/>
        <v>29</v>
      </c>
      <c r="E204" s="423">
        <v>3</v>
      </c>
      <c r="F204" s="488"/>
      <c r="G204" s="488"/>
      <c r="I204" s="424">
        <v>40200</v>
      </c>
      <c r="J204" s="460">
        <f t="shared" si="21"/>
        <v>0</v>
      </c>
      <c r="K204" s="423">
        <v>4</v>
      </c>
    </row>
    <row r="205" spans="2:11" ht="12.6" customHeight="1">
      <c r="B205" s="3254"/>
      <c r="C205" s="424">
        <v>40429</v>
      </c>
      <c r="D205" s="422">
        <f t="shared" si="20"/>
        <v>8</v>
      </c>
      <c r="E205" s="423">
        <v>13</v>
      </c>
      <c r="F205" s="488"/>
      <c r="G205" s="488"/>
      <c r="I205" s="424">
        <v>40201</v>
      </c>
      <c r="J205" s="460">
        <f t="shared" si="21"/>
        <v>1</v>
      </c>
      <c r="K205" s="423">
        <v>15</v>
      </c>
    </row>
    <row r="206" spans="2:11" ht="12.6" customHeight="1">
      <c r="B206" s="3254"/>
      <c r="C206" s="424">
        <v>40438</v>
      </c>
      <c r="D206" s="422">
        <f t="shared" si="20"/>
        <v>9</v>
      </c>
      <c r="E206" s="423">
        <v>2</v>
      </c>
      <c r="F206" s="488"/>
      <c r="G206" s="488"/>
      <c r="I206" s="424">
        <v>40203</v>
      </c>
      <c r="J206" s="460">
        <f t="shared" si="21"/>
        <v>2</v>
      </c>
      <c r="K206" s="423">
        <v>7</v>
      </c>
    </row>
    <row r="207" spans="2:11" ht="12.6" customHeight="1">
      <c r="B207" s="3254"/>
      <c r="C207" s="424">
        <v>40474</v>
      </c>
      <c r="D207" s="422">
        <f t="shared" si="20"/>
        <v>36</v>
      </c>
      <c r="E207" s="423">
        <v>5</v>
      </c>
      <c r="F207" s="488"/>
      <c r="G207" s="488"/>
      <c r="I207" s="424">
        <v>40204</v>
      </c>
      <c r="J207" s="460">
        <f t="shared" si="21"/>
        <v>1</v>
      </c>
      <c r="K207" s="423">
        <v>54</v>
      </c>
    </row>
    <row r="208" spans="2:11" ht="12.6" customHeight="1">
      <c r="B208" s="3254"/>
      <c r="C208" s="424">
        <v>40526</v>
      </c>
      <c r="D208" s="422">
        <f t="shared" si="20"/>
        <v>52</v>
      </c>
      <c r="E208" s="423">
        <v>3</v>
      </c>
      <c r="F208" s="488"/>
      <c r="G208" s="488"/>
      <c r="I208" s="424">
        <v>40213</v>
      </c>
      <c r="J208" s="460">
        <f t="shared" si="21"/>
        <v>9</v>
      </c>
      <c r="K208" s="423">
        <v>15</v>
      </c>
    </row>
    <row r="209" spans="2:11" ht="12.6" customHeight="1">
      <c r="B209" s="3255"/>
      <c r="C209" s="424">
        <v>40529</v>
      </c>
      <c r="D209" s="422">
        <f t="shared" si="20"/>
        <v>3</v>
      </c>
      <c r="E209" s="428">
        <v>3</v>
      </c>
      <c r="F209" s="488"/>
      <c r="G209" s="488"/>
      <c r="I209" s="424">
        <v>40217</v>
      </c>
      <c r="J209" s="460">
        <f t="shared" si="21"/>
        <v>4</v>
      </c>
      <c r="K209" s="428">
        <v>30</v>
      </c>
    </row>
    <row r="210" spans="2:11" ht="12.6" customHeight="1">
      <c r="B210" s="3255"/>
      <c r="C210" s="424">
        <v>40551</v>
      </c>
      <c r="D210" s="422">
        <f t="shared" si="20"/>
        <v>22</v>
      </c>
      <c r="E210" s="428">
        <v>20</v>
      </c>
      <c r="F210" s="488"/>
      <c r="G210" s="488"/>
      <c r="I210" s="424">
        <v>40226</v>
      </c>
      <c r="J210" s="460">
        <f t="shared" si="21"/>
        <v>9</v>
      </c>
      <c r="K210" s="428">
        <v>45</v>
      </c>
    </row>
    <row r="211" spans="2:11" ht="12.6" customHeight="1">
      <c r="B211" s="3255"/>
      <c r="C211" s="424">
        <v>40574</v>
      </c>
      <c r="D211" s="422">
        <f t="shared" si="20"/>
        <v>23</v>
      </c>
      <c r="E211" s="428">
        <v>2</v>
      </c>
      <c r="F211" s="488"/>
      <c r="G211" s="488"/>
      <c r="I211" s="424">
        <v>40228</v>
      </c>
      <c r="J211" s="460">
        <f t="shared" si="21"/>
        <v>2</v>
      </c>
      <c r="K211" s="428">
        <v>42</v>
      </c>
    </row>
    <row r="212" spans="2:11" ht="12.6" customHeight="1" thickBot="1">
      <c r="B212" s="3256"/>
      <c r="C212" s="417">
        <v>40574</v>
      </c>
      <c r="D212" s="425">
        <f>+C212-C211</f>
        <v>0</v>
      </c>
      <c r="E212" s="426">
        <v>0</v>
      </c>
      <c r="F212" s="489"/>
      <c r="G212" s="489"/>
      <c r="I212" s="456">
        <v>40243</v>
      </c>
      <c r="J212" s="460">
        <f t="shared" si="21"/>
        <v>15</v>
      </c>
      <c r="K212" s="426">
        <v>21</v>
      </c>
    </row>
    <row r="213" spans="2:11" ht="12.6" customHeight="1">
      <c r="B213" s="3253" t="s">
        <v>92</v>
      </c>
      <c r="C213" s="448">
        <v>39510</v>
      </c>
      <c r="D213" s="420">
        <f>+C213-$D$2</f>
        <v>427</v>
      </c>
      <c r="E213" s="421">
        <v>4</v>
      </c>
      <c r="F213" s="487">
        <f>SUM(D213:D217)/COUNT(E213:E217)</f>
        <v>298.2</v>
      </c>
      <c r="G213" s="487">
        <f>SUM(E213:E217)/COUNT(E213:E217)</f>
        <v>16.2</v>
      </c>
      <c r="I213" s="448">
        <v>40249</v>
      </c>
      <c r="J213" s="460">
        <f t="shared" si="21"/>
        <v>6</v>
      </c>
      <c r="K213" s="421">
        <v>20</v>
      </c>
    </row>
    <row r="214" spans="2:11" ht="12.6" customHeight="1">
      <c r="B214" s="3254"/>
      <c r="C214" s="449">
        <v>39799</v>
      </c>
      <c r="D214" s="422">
        <f>+C214-C213</f>
        <v>289</v>
      </c>
      <c r="E214" s="423">
        <v>30</v>
      </c>
      <c r="F214" s="488"/>
      <c r="G214" s="488"/>
      <c r="I214" s="424">
        <v>40252</v>
      </c>
      <c r="J214" s="460">
        <f t="shared" si="21"/>
        <v>3</v>
      </c>
      <c r="K214" s="423">
        <v>48</v>
      </c>
    </row>
    <row r="215" spans="2:11" ht="12.6" customHeight="1">
      <c r="B215" s="3254"/>
      <c r="C215" s="449">
        <v>39973</v>
      </c>
      <c r="D215" s="422">
        <f>+C215-C214</f>
        <v>174</v>
      </c>
      <c r="E215" s="423">
        <v>18</v>
      </c>
      <c r="F215" s="488"/>
      <c r="G215" s="488"/>
      <c r="I215" s="424">
        <v>40254</v>
      </c>
      <c r="J215" s="460">
        <f t="shared" si="21"/>
        <v>2</v>
      </c>
      <c r="K215" s="423">
        <v>8</v>
      </c>
    </row>
    <row r="216" spans="2:11" ht="12.6" customHeight="1">
      <c r="B216" s="3255"/>
      <c r="C216" s="449">
        <v>39973</v>
      </c>
      <c r="D216" s="422">
        <f>+C216-C215</f>
        <v>0</v>
      </c>
      <c r="E216" s="428">
        <v>29</v>
      </c>
      <c r="F216" s="488"/>
      <c r="G216" s="488"/>
      <c r="I216" s="424">
        <v>40260</v>
      </c>
      <c r="J216" s="460">
        <f t="shared" si="21"/>
        <v>6</v>
      </c>
      <c r="K216" s="428">
        <v>30</v>
      </c>
    </row>
    <row r="217" spans="2:11" ht="12.6" customHeight="1" thickBot="1">
      <c r="B217" s="3256"/>
      <c r="C217" s="417">
        <v>40574</v>
      </c>
      <c r="D217" s="430">
        <f>+C217-C216</f>
        <v>601</v>
      </c>
      <c r="E217" s="426">
        <v>0</v>
      </c>
      <c r="F217" s="489"/>
      <c r="G217" s="489"/>
      <c r="I217" s="456">
        <v>40266</v>
      </c>
      <c r="J217" s="460">
        <f t="shared" si="21"/>
        <v>6</v>
      </c>
      <c r="K217" s="426">
        <v>6</v>
      </c>
    </row>
    <row r="218" spans="2:11" ht="12.6" customHeight="1">
      <c r="B218" s="3253" t="s">
        <v>93</v>
      </c>
      <c r="C218" s="451">
        <v>39227</v>
      </c>
      <c r="D218" s="420">
        <f>+C218-$D$2</f>
        <v>144</v>
      </c>
      <c r="E218" s="435">
        <v>2</v>
      </c>
      <c r="F218" s="485">
        <f>SUM(D218:D231)/COUNT(E218:E231)</f>
        <v>106.5</v>
      </c>
      <c r="G218" s="485">
        <f>SUM(E218:E231)/COUNT(E218:E231)</f>
        <v>14.714285714285714</v>
      </c>
      <c r="I218" s="448">
        <v>40287</v>
      </c>
      <c r="J218" s="460">
        <f t="shared" si="21"/>
        <v>21</v>
      </c>
      <c r="K218" s="421">
        <v>30</v>
      </c>
    </row>
    <row r="219" spans="2:11" ht="12.6" customHeight="1">
      <c r="B219" s="3254"/>
      <c r="C219" s="452">
        <v>39231</v>
      </c>
      <c r="D219" s="422">
        <f t="shared" ref="D219:D230" si="22">+C219-C218</f>
        <v>4</v>
      </c>
      <c r="E219" s="436">
        <v>92</v>
      </c>
      <c r="F219" s="486"/>
      <c r="G219" s="486"/>
      <c r="I219" s="424">
        <v>40295</v>
      </c>
      <c r="J219" s="460">
        <f t="shared" si="21"/>
        <v>8</v>
      </c>
      <c r="K219" s="423">
        <v>7</v>
      </c>
    </row>
    <row r="220" spans="2:11" ht="12.6" customHeight="1">
      <c r="B220" s="3254"/>
      <c r="C220" s="452">
        <v>39331</v>
      </c>
      <c r="D220" s="422">
        <f t="shared" si="22"/>
        <v>100</v>
      </c>
      <c r="E220" s="436">
        <v>2</v>
      </c>
      <c r="F220" s="486"/>
      <c r="G220" s="486"/>
      <c r="I220" s="424">
        <v>40303</v>
      </c>
      <c r="J220" s="460">
        <f t="shared" si="21"/>
        <v>8</v>
      </c>
      <c r="K220" s="423">
        <v>10</v>
      </c>
    </row>
    <row r="221" spans="2:11" ht="12.6" customHeight="1">
      <c r="B221" s="3254"/>
      <c r="C221" s="452">
        <v>39420</v>
      </c>
      <c r="D221" s="422">
        <f t="shared" si="22"/>
        <v>89</v>
      </c>
      <c r="E221" s="436">
        <v>4</v>
      </c>
      <c r="F221" s="486"/>
      <c r="G221" s="486"/>
      <c r="I221" s="424">
        <v>40310</v>
      </c>
      <c r="J221" s="460">
        <f t="shared" si="21"/>
        <v>7</v>
      </c>
      <c r="K221" s="423">
        <v>20</v>
      </c>
    </row>
    <row r="222" spans="2:11" ht="12.6" customHeight="1">
      <c r="B222" s="3254"/>
      <c r="C222" s="452">
        <v>39430</v>
      </c>
      <c r="D222" s="422">
        <f t="shared" si="22"/>
        <v>10</v>
      </c>
      <c r="E222" s="436">
        <v>17</v>
      </c>
      <c r="F222" s="486"/>
      <c r="G222" s="486"/>
      <c r="I222" s="424">
        <v>40323</v>
      </c>
      <c r="J222" s="460">
        <f t="shared" si="21"/>
        <v>13</v>
      </c>
      <c r="K222" s="423">
        <v>2</v>
      </c>
    </row>
    <row r="223" spans="2:11" ht="12.6" customHeight="1">
      <c r="B223" s="3254"/>
      <c r="C223" s="452">
        <v>39433</v>
      </c>
      <c r="D223" s="422">
        <f t="shared" si="22"/>
        <v>3</v>
      </c>
      <c r="E223" s="436">
        <v>3</v>
      </c>
      <c r="F223" s="486"/>
      <c r="G223" s="486"/>
      <c r="I223" s="424">
        <v>40352</v>
      </c>
      <c r="J223" s="460">
        <f t="shared" si="21"/>
        <v>29</v>
      </c>
      <c r="K223" s="423">
        <v>30</v>
      </c>
    </row>
    <row r="224" spans="2:11" ht="12.6" customHeight="1">
      <c r="B224" s="3254"/>
      <c r="C224" s="452">
        <v>39475</v>
      </c>
      <c r="D224" s="422">
        <f t="shared" si="22"/>
        <v>42</v>
      </c>
      <c r="E224" s="436">
        <v>3</v>
      </c>
      <c r="F224" s="486"/>
      <c r="G224" s="486"/>
      <c r="I224" s="424">
        <v>40353</v>
      </c>
      <c r="J224" s="460">
        <f t="shared" si="21"/>
        <v>1</v>
      </c>
      <c r="K224" s="423">
        <v>2</v>
      </c>
    </row>
    <row r="225" spans="2:11" ht="12.6" customHeight="1">
      <c r="B225" s="3254"/>
      <c r="C225" s="452">
        <v>39541</v>
      </c>
      <c r="D225" s="422">
        <f t="shared" si="22"/>
        <v>66</v>
      </c>
      <c r="E225" s="436">
        <v>20</v>
      </c>
      <c r="F225" s="486"/>
      <c r="G225" s="486"/>
      <c r="I225" s="424">
        <v>40355</v>
      </c>
      <c r="J225" s="460">
        <f t="shared" si="21"/>
        <v>2</v>
      </c>
      <c r="K225" s="423">
        <v>60</v>
      </c>
    </row>
    <row r="226" spans="2:11" ht="12.6" customHeight="1">
      <c r="B226" s="3254"/>
      <c r="C226" s="449">
        <v>39778</v>
      </c>
      <c r="D226" s="422">
        <f t="shared" si="22"/>
        <v>237</v>
      </c>
      <c r="E226" s="423">
        <v>20</v>
      </c>
      <c r="F226" s="486"/>
      <c r="G226" s="486"/>
      <c r="I226" s="424">
        <v>40356</v>
      </c>
      <c r="J226" s="460">
        <f t="shared" si="21"/>
        <v>1</v>
      </c>
      <c r="K226" s="423">
        <v>3</v>
      </c>
    </row>
    <row r="227" spans="2:11" ht="12.6" customHeight="1">
      <c r="B227" s="3254"/>
      <c r="C227" s="449">
        <v>39791</v>
      </c>
      <c r="D227" s="422">
        <f t="shared" si="22"/>
        <v>13</v>
      </c>
      <c r="E227" s="423">
        <v>21</v>
      </c>
      <c r="F227" s="486"/>
      <c r="G227" s="486"/>
      <c r="I227" s="424">
        <v>40357</v>
      </c>
      <c r="J227" s="460">
        <f t="shared" si="21"/>
        <v>1</v>
      </c>
      <c r="K227" s="423">
        <v>2</v>
      </c>
    </row>
    <row r="228" spans="2:11" ht="12.6" customHeight="1">
      <c r="B228" s="3254"/>
      <c r="C228" s="424">
        <v>40057</v>
      </c>
      <c r="D228" s="422">
        <f t="shared" si="22"/>
        <v>266</v>
      </c>
      <c r="E228" s="423">
        <v>3</v>
      </c>
      <c r="F228" s="486"/>
      <c r="G228" s="486"/>
      <c r="I228" s="424">
        <v>40366</v>
      </c>
      <c r="J228" s="460">
        <f t="shared" si="21"/>
        <v>9</v>
      </c>
      <c r="K228" s="423">
        <v>4</v>
      </c>
    </row>
    <row r="229" spans="2:11" ht="12.6" customHeight="1">
      <c r="B229" s="3254"/>
      <c r="C229" s="424">
        <v>40200</v>
      </c>
      <c r="D229" s="422">
        <f t="shared" si="22"/>
        <v>143</v>
      </c>
      <c r="E229" s="423">
        <v>7</v>
      </c>
      <c r="F229" s="486"/>
      <c r="G229" s="486"/>
      <c r="I229" s="424">
        <v>40372</v>
      </c>
      <c r="J229" s="460">
        <f t="shared" si="21"/>
        <v>6</v>
      </c>
      <c r="K229" s="423">
        <v>30</v>
      </c>
    </row>
    <row r="230" spans="2:11" ht="12.6" customHeight="1">
      <c r="B230" s="3255"/>
      <c r="C230" s="424">
        <v>40514</v>
      </c>
      <c r="D230" s="422">
        <f t="shared" si="22"/>
        <v>314</v>
      </c>
      <c r="E230" s="428">
        <v>12</v>
      </c>
      <c r="F230" s="486"/>
      <c r="G230" s="486"/>
      <c r="I230" s="424">
        <v>40379</v>
      </c>
      <c r="J230" s="460">
        <f t="shared" si="21"/>
        <v>7</v>
      </c>
      <c r="K230" s="461">
        <v>3</v>
      </c>
    </row>
    <row r="231" spans="2:11" ht="12.6" customHeight="1" thickBot="1">
      <c r="B231" s="3256"/>
      <c r="C231" s="417">
        <v>40574</v>
      </c>
      <c r="D231" s="425">
        <f>+C231-C230</f>
        <v>60</v>
      </c>
      <c r="E231" s="426">
        <v>0</v>
      </c>
      <c r="F231" s="455"/>
      <c r="G231" s="455"/>
      <c r="I231" s="456">
        <v>40385</v>
      </c>
      <c r="J231" s="460">
        <f t="shared" si="21"/>
        <v>6</v>
      </c>
      <c r="K231" s="426">
        <v>2</v>
      </c>
    </row>
    <row r="232" spans="2:11" ht="12.6" customHeight="1" thickBot="1">
      <c r="B232" s="437" t="s">
        <v>94</v>
      </c>
      <c r="C232" s="417">
        <v>40574</v>
      </c>
      <c r="D232" s="438">
        <f>+C232-$D$2</f>
        <v>1491</v>
      </c>
      <c r="E232" s="439">
        <v>0</v>
      </c>
      <c r="F232" s="454">
        <f>SUM(D232:D232)/COUNT(E232:E232)</f>
        <v>1491</v>
      </c>
      <c r="G232" s="455">
        <f>SUM(E232:E232)/COUNT(E232:E232)</f>
        <v>0</v>
      </c>
      <c r="I232" s="456">
        <v>40389</v>
      </c>
      <c r="J232" s="460">
        <f t="shared" si="21"/>
        <v>4</v>
      </c>
      <c r="K232" s="419">
        <v>2</v>
      </c>
    </row>
    <row r="233" spans="2:11" ht="12.6" customHeight="1">
      <c r="B233" s="3257" t="s">
        <v>95</v>
      </c>
      <c r="C233" s="448">
        <v>39368</v>
      </c>
      <c r="D233" s="420">
        <f>+C233-$D$2</f>
        <v>285</v>
      </c>
      <c r="E233" s="421">
        <v>4</v>
      </c>
      <c r="F233" s="485">
        <f>SUM(D233:D242)/COUNT(E233:E242)</f>
        <v>149.1</v>
      </c>
      <c r="G233" s="485">
        <f>SUM(E233:E242)/COUNT(E233:E242)</f>
        <v>9.6</v>
      </c>
      <c r="I233" s="448">
        <v>40390</v>
      </c>
      <c r="J233" s="460">
        <f t="shared" si="21"/>
        <v>1</v>
      </c>
      <c r="K233" s="421">
        <v>15</v>
      </c>
    </row>
    <row r="234" spans="2:11" ht="12.6" customHeight="1">
      <c r="B234" s="3254"/>
      <c r="C234" s="424">
        <v>39700</v>
      </c>
      <c r="D234" s="422">
        <f t="shared" ref="D234:D241" si="23">+C234-C233</f>
        <v>332</v>
      </c>
      <c r="E234" s="423">
        <v>2</v>
      </c>
      <c r="F234" s="486"/>
      <c r="G234" s="486"/>
      <c r="I234" s="424">
        <v>40391</v>
      </c>
      <c r="J234" s="460">
        <f t="shared" si="21"/>
        <v>1</v>
      </c>
      <c r="K234" s="423">
        <v>30</v>
      </c>
    </row>
    <row r="235" spans="2:11" ht="12.6" customHeight="1">
      <c r="B235" s="3254"/>
      <c r="C235" s="424">
        <v>39700</v>
      </c>
      <c r="D235" s="422">
        <f t="shared" si="23"/>
        <v>0</v>
      </c>
      <c r="E235" s="423">
        <v>1</v>
      </c>
      <c r="F235" s="486"/>
      <c r="G235" s="486"/>
      <c r="I235" s="424">
        <v>40392</v>
      </c>
      <c r="J235" s="460">
        <f t="shared" si="21"/>
        <v>1</v>
      </c>
      <c r="K235" s="423">
        <v>3</v>
      </c>
    </row>
    <row r="236" spans="2:11" ht="12.6" customHeight="1">
      <c r="B236" s="3254"/>
      <c r="C236" s="449">
        <v>40038</v>
      </c>
      <c r="D236" s="422">
        <f t="shared" si="23"/>
        <v>338</v>
      </c>
      <c r="E236" s="423">
        <v>7</v>
      </c>
      <c r="F236" s="486"/>
      <c r="G236" s="486"/>
      <c r="I236" s="424">
        <v>40395</v>
      </c>
      <c r="J236" s="460">
        <f t="shared" si="21"/>
        <v>3</v>
      </c>
      <c r="K236" s="423">
        <v>7</v>
      </c>
    </row>
    <row r="237" spans="2:11" ht="12.6" customHeight="1">
      <c r="B237" s="3254"/>
      <c r="C237" s="424">
        <v>40200</v>
      </c>
      <c r="D237" s="422">
        <f t="shared" si="23"/>
        <v>162</v>
      </c>
      <c r="E237" s="423">
        <v>3</v>
      </c>
      <c r="F237" s="486"/>
      <c r="G237" s="486"/>
      <c r="I237" s="424">
        <v>40399</v>
      </c>
      <c r="J237" s="460">
        <f t="shared" si="21"/>
        <v>4</v>
      </c>
      <c r="K237" s="423">
        <v>40</v>
      </c>
    </row>
    <row r="238" spans="2:11" ht="12.6" customHeight="1">
      <c r="B238" s="3254"/>
      <c r="C238" s="424">
        <v>40323</v>
      </c>
      <c r="D238" s="422">
        <f t="shared" si="23"/>
        <v>123</v>
      </c>
      <c r="E238" s="423">
        <v>2</v>
      </c>
      <c r="F238" s="486"/>
      <c r="G238" s="486"/>
      <c r="I238" s="424">
        <v>40404</v>
      </c>
      <c r="J238" s="460">
        <f t="shared" si="21"/>
        <v>5</v>
      </c>
      <c r="K238" s="423">
        <v>3</v>
      </c>
    </row>
    <row r="239" spans="2:11" ht="12.6" customHeight="1">
      <c r="B239" s="3254"/>
      <c r="C239" s="424">
        <v>40353</v>
      </c>
      <c r="D239" s="422">
        <f t="shared" si="23"/>
        <v>30</v>
      </c>
      <c r="E239" s="423">
        <v>2</v>
      </c>
      <c r="F239" s="486"/>
      <c r="G239" s="486"/>
      <c r="I239" s="424">
        <v>40408</v>
      </c>
      <c r="J239" s="460">
        <f t="shared" si="21"/>
        <v>4</v>
      </c>
      <c r="K239" s="423">
        <v>92</v>
      </c>
    </row>
    <row r="240" spans="2:11" ht="12.6" customHeight="1">
      <c r="B240" s="3255"/>
      <c r="C240" s="424">
        <v>40399</v>
      </c>
      <c r="D240" s="422">
        <f t="shared" si="23"/>
        <v>46</v>
      </c>
      <c r="E240" s="428">
        <v>40</v>
      </c>
      <c r="F240" s="486"/>
      <c r="G240" s="486"/>
      <c r="I240" s="424">
        <v>40409</v>
      </c>
      <c r="J240" s="460">
        <f t="shared" si="21"/>
        <v>1</v>
      </c>
      <c r="K240" s="428">
        <v>6</v>
      </c>
    </row>
    <row r="241" spans="2:11" ht="12.6" customHeight="1">
      <c r="B241" s="3255"/>
      <c r="C241" s="424">
        <v>40569</v>
      </c>
      <c r="D241" s="422">
        <f t="shared" si="23"/>
        <v>170</v>
      </c>
      <c r="E241" s="428">
        <v>35</v>
      </c>
      <c r="F241" s="486"/>
      <c r="G241" s="486"/>
      <c r="I241" s="424">
        <v>40421</v>
      </c>
      <c r="J241" s="460">
        <f t="shared" si="21"/>
        <v>12</v>
      </c>
      <c r="K241" s="428">
        <v>3</v>
      </c>
    </row>
    <row r="242" spans="2:11" ht="12.6" customHeight="1" thickBot="1">
      <c r="B242" s="3256"/>
      <c r="C242" s="417">
        <v>40574</v>
      </c>
      <c r="D242" s="430">
        <f>+C242-C241</f>
        <v>5</v>
      </c>
      <c r="E242" s="426">
        <v>0</v>
      </c>
      <c r="F242" s="455"/>
      <c r="G242" s="455"/>
      <c r="I242" s="456">
        <v>40429</v>
      </c>
      <c r="J242" s="460">
        <f t="shared" si="21"/>
        <v>8</v>
      </c>
      <c r="K242" s="426">
        <v>28</v>
      </c>
    </row>
    <row r="243" spans="2:11" ht="12.6" customHeight="1">
      <c r="B243" s="3253" t="s">
        <v>77</v>
      </c>
      <c r="C243" s="448">
        <v>39209</v>
      </c>
      <c r="D243" s="420">
        <f>+C243-$D$2</f>
        <v>126</v>
      </c>
      <c r="E243" s="421">
        <v>3</v>
      </c>
      <c r="F243" s="487">
        <f>SUM(D243:D260)/COUNT(E243:E260)</f>
        <v>82.833333333333329</v>
      </c>
      <c r="G243" s="487">
        <f>SUM(E243:E260)/COUNT(E243:E260)</f>
        <v>18.333333333333332</v>
      </c>
      <c r="I243" s="448">
        <v>40429</v>
      </c>
      <c r="J243" s="460">
        <f t="shared" si="21"/>
        <v>0</v>
      </c>
      <c r="K243" s="421">
        <v>13</v>
      </c>
    </row>
    <row r="244" spans="2:11" ht="12.6" customHeight="1">
      <c r="B244" s="3254"/>
      <c r="C244" s="424">
        <v>39259</v>
      </c>
      <c r="D244" s="422">
        <f t="shared" ref="D244:D259" si="24">+C244-C243</f>
        <v>50</v>
      </c>
      <c r="E244" s="423">
        <v>3</v>
      </c>
      <c r="F244" s="488"/>
      <c r="G244" s="488"/>
      <c r="I244" s="424">
        <v>40438</v>
      </c>
      <c r="J244" s="460">
        <f t="shared" si="21"/>
        <v>9</v>
      </c>
      <c r="K244" s="423">
        <v>2</v>
      </c>
    </row>
    <row r="245" spans="2:11" ht="12.6" customHeight="1">
      <c r="B245" s="3254"/>
      <c r="C245" s="424">
        <v>39271</v>
      </c>
      <c r="D245" s="422">
        <f t="shared" si="24"/>
        <v>12</v>
      </c>
      <c r="E245" s="423">
        <v>71</v>
      </c>
      <c r="F245" s="488"/>
      <c r="G245" s="488"/>
      <c r="I245" s="424">
        <v>40453</v>
      </c>
      <c r="J245" s="460">
        <f t="shared" si="21"/>
        <v>15</v>
      </c>
      <c r="K245" s="423">
        <v>14</v>
      </c>
    </row>
    <row r="246" spans="2:11" ht="12.6" customHeight="1">
      <c r="B246" s="3254"/>
      <c r="C246" s="424">
        <v>39291</v>
      </c>
      <c r="D246" s="422">
        <f t="shared" si="24"/>
        <v>20</v>
      </c>
      <c r="E246" s="423">
        <v>15</v>
      </c>
      <c r="F246" s="488"/>
      <c r="G246" s="488"/>
      <c r="I246" s="424">
        <v>40455</v>
      </c>
      <c r="J246" s="460">
        <f t="shared" si="21"/>
        <v>2</v>
      </c>
      <c r="K246" s="423">
        <v>2</v>
      </c>
    </row>
    <row r="247" spans="2:11" ht="12.6" customHeight="1">
      <c r="B247" s="3254"/>
      <c r="C247" s="424">
        <v>39292</v>
      </c>
      <c r="D247" s="422">
        <f t="shared" si="24"/>
        <v>1</v>
      </c>
      <c r="E247" s="423">
        <v>2</v>
      </c>
      <c r="F247" s="488"/>
      <c r="G247" s="488"/>
      <c r="I247" s="424">
        <v>40460</v>
      </c>
      <c r="J247" s="460">
        <f t="shared" si="21"/>
        <v>5</v>
      </c>
      <c r="K247" s="423">
        <v>3</v>
      </c>
    </row>
    <row r="248" spans="2:11" ht="12.6" customHeight="1">
      <c r="B248" s="3254"/>
      <c r="C248" s="424">
        <v>39332</v>
      </c>
      <c r="D248" s="422">
        <f t="shared" si="24"/>
        <v>40</v>
      </c>
      <c r="E248" s="423">
        <v>21</v>
      </c>
      <c r="F248" s="488"/>
      <c r="G248" s="488"/>
      <c r="I248" s="424">
        <v>40472</v>
      </c>
      <c r="J248" s="460">
        <f t="shared" si="21"/>
        <v>12</v>
      </c>
      <c r="K248" s="423">
        <v>2</v>
      </c>
    </row>
    <row r="249" spans="2:11" ht="12.6" customHeight="1">
      <c r="B249" s="3254"/>
      <c r="C249" s="424">
        <v>39338</v>
      </c>
      <c r="D249" s="422">
        <f t="shared" si="24"/>
        <v>6</v>
      </c>
      <c r="E249" s="423">
        <v>1</v>
      </c>
      <c r="F249" s="488"/>
      <c r="G249" s="488"/>
      <c r="I249" s="424">
        <v>40474</v>
      </c>
      <c r="J249" s="460">
        <f t="shared" si="21"/>
        <v>2</v>
      </c>
      <c r="K249" s="423">
        <v>5</v>
      </c>
    </row>
    <row r="250" spans="2:11" ht="12.6" customHeight="1">
      <c r="B250" s="3254"/>
      <c r="C250" s="424">
        <v>39353</v>
      </c>
      <c r="D250" s="422">
        <f t="shared" si="24"/>
        <v>15</v>
      </c>
      <c r="E250" s="423">
        <v>1</v>
      </c>
      <c r="F250" s="488"/>
      <c r="G250" s="488"/>
      <c r="I250" s="424">
        <v>40481</v>
      </c>
      <c r="J250" s="460">
        <f t="shared" si="21"/>
        <v>7</v>
      </c>
      <c r="K250" s="423">
        <v>5</v>
      </c>
    </row>
    <row r="251" spans="2:11" ht="12.6" customHeight="1">
      <c r="B251" s="3254"/>
      <c r="C251" s="424">
        <v>39387</v>
      </c>
      <c r="D251" s="422">
        <f t="shared" si="24"/>
        <v>34</v>
      </c>
      <c r="E251" s="423">
        <v>9</v>
      </c>
      <c r="F251" s="488"/>
      <c r="G251" s="488"/>
      <c r="I251" s="424">
        <v>40514</v>
      </c>
      <c r="J251" s="460">
        <f t="shared" si="21"/>
        <v>33</v>
      </c>
      <c r="K251" s="423">
        <v>12</v>
      </c>
    </row>
    <row r="252" spans="2:11" ht="12.6" customHeight="1">
      <c r="B252" s="3254"/>
      <c r="C252" s="424">
        <v>39387</v>
      </c>
      <c r="D252" s="422">
        <f t="shared" si="24"/>
        <v>0</v>
      </c>
      <c r="E252" s="423">
        <v>11</v>
      </c>
      <c r="F252" s="488"/>
      <c r="G252" s="488"/>
      <c r="I252" s="424">
        <v>40516</v>
      </c>
      <c r="J252" s="460">
        <f t="shared" si="21"/>
        <v>2</v>
      </c>
      <c r="K252" s="423">
        <v>13</v>
      </c>
    </row>
    <row r="253" spans="2:11" ht="12.6" customHeight="1">
      <c r="B253" s="3254"/>
      <c r="C253" s="424">
        <v>39595</v>
      </c>
      <c r="D253" s="422">
        <f t="shared" si="24"/>
        <v>208</v>
      </c>
      <c r="E253" s="423">
        <v>27</v>
      </c>
      <c r="F253" s="488"/>
      <c r="G253" s="488"/>
      <c r="I253" s="424">
        <v>40516</v>
      </c>
      <c r="J253" s="460">
        <f t="shared" si="21"/>
        <v>0</v>
      </c>
      <c r="K253" s="423">
        <v>19</v>
      </c>
    </row>
    <row r="254" spans="2:11" ht="12.6" customHeight="1">
      <c r="B254" s="3254"/>
      <c r="C254" s="424">
        <v>39667</v>
      </c>
      <c r="D254" s="422">
        <f t="shared" si="24"/>
        <v>72</v>
      </c>
      <c r="E254" s="423">
        <v>17</v>
      </c>
      <c r="F254" s="488"/>
      <c r="G254" s="488"/>
      <c r="I254" s="424">
        <v>40522</v>
      </c>
      <c r="J254" s="460">
        <f t="shared" si="21"/>
        <v>6</v>
      </c>
      <c r="K254" s="423">
        <v>2</v>
      </c>
    </row>
    <row r="255" spans="2:11" ht="12.6" customHeight="1">
      <c r="B255" s="3254"/>
      <c r="C255" s="424">
        <v>40200</v>
      </c>
      <c r="D255" s="422">
        <f t="shared" si="24"/>
        <v>533</v>
      </c>
      <c r="E255" s="423">
        <v>4</v>
      </c>
      <c r="F255" s="488"/>
      <c r="G255" s="488"/>
      <c r="I255" s="424">
        <v>40526</v>
      </c>
      <c r="J255" s="460">
        <f t="shared" si="21"/>
        <v>4</v>
      </c>
      <c r="K255" s="423">
        <v>3</v>
      </c>
    </row>
    <row r="256" spans="2:11" ht="12.6" customHeight="1">
      <c r="B256" s="3254"/>
      <c r="C256" s="424">
        <v>40254</v>
      </c>
      <c r="D256" s="422">
        <f t="shared" si="24"/>
        <v>54</v>
      </c>
      <c r="E256" s="423">
        <v>8</v>
      </c>
      <c r="F256" s="488"/>
      <c r="G256" s="488"/>
      <c r="I256" s="424">
        <v>40526</v>
      </c>
      <c r="J256" s="460">
        <f t="shared" si="21"/>
        <v>0</v>
      </c>
      <c r="K256" s="423">
        <v>3</v>
      </c>
    </row>
    <row r="257" spans="2:11" ht="12.6" customHeight="1">
      <c r="B257" s="3254"/>
      <c r="C257" s="424">
        <v>40352</v>
      </c>
      <c r="D257" s="422">
        <f t="shared" si="24"/>
        <v>98</v>
      </c>
      <c r="E257" s="423">
        <v>30</v>
      </c>
      <c r="F257" s="488"/>
      <c r="G257" s="488"/>
      <c r="I257" s="424">
        <v>40529</v>
      </c>
      <c r="J257" s="460">
        <f t="shared" si="21"/>
        <v>3</v>
      </c>
      <c r="K257" s="423">
        <v>3</v>
      </c>
    </row>
    <row r="258" spans="2:11" ht="12.6" customHeight="1">
      <c r="B258" s="3254"/>
      <c r="C258" s="424">
        <v>40390</v>
      </c>
      <c r="D258" s="422">
        <f t="shared" si="24"/>
        <v>38</v>
      </c>
      <c r="E258" s="423">
        <v>15</v>
      </c>
      <c r="F258" s="488"/>
      <c r="G258" s="488"/>
      <c r="I258" s="424">
        <v>40551</v>
      </c>
      <c r="J258" s="460">
        <f t="shared" si="21"/>
        <v>22</v>
      </c>
      <c r="K258" s="423">
        <v>20</v>
      </c>
    </row>
    <row r="259" spans="2:11" ht="12.6" customHeight="1">
      <c r="B259" s="3255"/>
      <c r="C259" s="424">
        <v>40408</v>
      </c>
      <c r="D259" s="422">
        <f t="shared" si="24"/>
        <v>18</v>
      </c>
      <c r="E259" s="428">
        <v>92</v>
      </c>
      <c r="F259" s="488"/>
      <c r="G259" s="488"/>
      <c r="I259" s="424">
        <v>40559</v>
      </c>
      <c r="J259" s="460">
        <f t="shared" si="21"/>
        <v>8</v>
      </c>
      <c r="K259" s="428">
        <v>30</v>
      </c>
    </row>
    <row r="260" spans="2:11" ht="12.6" customHeight="1" thickBot="1">
      <c r="B260" s="3256"/>
      <c r="C260" s="417">
        <v>40574</v>
      </c>
      <c r="D260" s="425">
        <f>+C260-C259</f>
        <v>166</v>
      </c>
      <c r="E260" s="426">
        <v>0</v>
      </c>
      <c r="F260" s="489"/>
      <c r="G260" s="489"/>
      <c r="I260" s="456">
        <v>40568</v>
      </c>
      <c r="J260" s="460">
        <f t="shared" si="21"/>
        <v>9</v>
      </c>
      <c r="K260" s="426">
        <v>2</v>
      </c>
    </row>
    <row r="261" spans="2:11" ht="12.6" customHeight="1">
      <c r="B261" s="3253" t="s">
        <v>78</v>
      </c>
      <c r="C261" s="448">
        <v>39125</v>
      </c>
      <c r="D261" s="420">
        <f>+C261-$D$2</f>
        <v>42</v>
      </c>
      <c r="E261" s="421">
        <v>4</v>
      </c>
      <c r="F261" s="487">
        <f>SUM(D261:D279)/COUNT(E261:E279)</f>
        <v>78.473684210526315</v>
      </c>
      <c r="G261" s="487">
        <f>SUM(E261:E279)/COUNT(E261:E279)</f>
        <v>9.526315789473685</v>
      </c>
      <c r="I261" s="448">
        <v>40569</v>
      </c>
      <c r="J261" s="460">
        <f t="shared" si="21"/>
        <v>1</v>
      </c>
      <c r="K261" s="421">
        <v>35</v>
      </c>
    </row>
    <row r="262" spans="2:11" ht="12.6" customHeight="1">
      <c r="B262" s="3254"/>
      <c r="C262" s="424">
        <v>39125</v>
      </c>
      <c r="D262" s="422">
        <f t="shared" ref="D262:D278" si="25">+C262-C261</f>
        <v>0</v>
      </c>
      <c r="E262" s="423">
        <v>21</v>
      </c>
      <c r="F262" s="488"/>
      <c r="G262" s="488"/>
      <c r="I262" s="457">
        <v>40574</v>
      </c>
      <c r="J262" s="460">
        <f t="shared" si="21"/>
        <v>5</v>
      </c>
      <c r="K262" s="423">
        <v>2</v>
      </c>
    </row>
    <row r="263" spans="2:11" ht="12.6" customHeight="1">
      <c r="B263" s="3254"/>
      <c r="C263" s="424">
        <v>39185</v>
      </c>
      <c r="D263" s="422">
        <f t="shared" si="25"/>
        <v>60</v>
      </c>
      <c r="E263" s="423">
        <v>4</v>
      </c>
      <c r="F263" s="488"/>
      <c r="G263" s="488"/>
      <c r="J263" s="441">
        <f>SUM(J4:J262)</f>
        <v>1491</v>
      </c>
      <c r="K263">
        <f>SUM(K4:K262)</f>
        <v>3637</v>
      </c>
    </row>
    <row r="264" spans="2:11" ht="12.6" customHeight="1">
      <c r="B264" s="3254"/>
      <c r="C264" s="424">
        <v>39185</v>
      </c>
      <c r="D264" s="422">
        <f t="shared" si="25"/>
        <v>0</v>
      </c>
      <c r="E264" s="423">
        <v>4</v>
      </c>
      <c r="F264" s="488"/>
      <c r="G264" s="488"/>
      <c r="J264" s="441">
        <f>+J263/259</f>
        <v>5.756756756756757</v>
      </c>
      <c r="K264" s="441">
        <f>+K263/259</f>
        <v>14.042471042471043</v>
      </c>
    </row>
    <row r="265" spans="2:11" ht="12.6" customHeight="1">
      <c r="B265" s="3254"/>
      <c r="C265" s="424">
        <v>39224</v>
      </c>
      <c r="D265" s="422">
        <f t="shared" si="25"/>
        <v>39</v>
      </c>
      <c r="E265" s="423">
        <v>3</v>
      </c>
      <c r="F265" s="488"/>
      <c r="G265" s="488"/>
      <c r="J265" s="441">
        <f>MAX(J4:J262)</f>
        <v>37</v>
      </c>
    </row>
    <row r="266" spans="2:11" ht="12.6" customHeight="1">
      <c r="B266" s="3254"/>
      <c r="C266" s="424">
        <v>39431</v>
      </c>
      <c r="D266" s="422">
        <f t="shared" si="25"/>
        <v>207</v>
      </c>
      <c r="E266" s="423">
        <v>11</v>
      </c>
      <c r="F266" s="488"/>
      <c r="G266" s="488"/>
      <c r="J266" s="441"/>
    </row>
    <row r="267" spans="2:11" ht="12.6" customHeight="1">
      <c r="B267" s="3254"/>
      <c r="C267" s="424">
        <v>39524</v>
      </c>
      <c r="D267" s="422">
        <f t="shared" si="25"/>
        <v>93</v>
      </c>
      <c r="E267" s="423">
        <v>2</v>
      </c>
      <c r="F267" s="488"/>
      <c r="G267" s="488"/>
      <c r="J267" s="441"/>
    </row>
    <row r="268" spans="2:11" ht="12.6" customHeight="1">
      <c r="B268" s="3254"/>
      <c r="C268" s="424">
        <v>39532</v>
      </c>
      <c r="D268" s="422">
        <f t="shared" si="25"/>
        <v>8</v>
      </c>
      <c r="E268" s="423">
        <v>8</v>
      </c>
      <c r="F268" s="488"/>
      <c r="G268" s="488"/>
      <c r="J268" s="441"/>
    </row>
    <row r="269" spans="2:11" ht="12.6" customHeight="1">
      <c r="B269" s="3254"/>
      <c r="C269" s="424">
        <v>39532</v>
      </c>
      <c r="D269" s="422">
        <f t="shared" si="25"/>
        <v>0</v>
      </c>
      <c r="E269" s="423">
        <v>1</v>
      </c>
      <c r="F269" s="488"/>
      <c r="G269" s="488"/>
      <c r="J269" s="441"/>
    </row>
    <row r="270" spans="2:11" ht="12.6" customHeight="1">
      <c r="B270" s="3254"/>
      <c r="C270" s="449">
        <v>39771</v>
      </c>
      <c r="D270" s="422">
        <f t="shared" si="25"/>
        <v>239</v>
      </c>
      <c r="E270" s="423">
        <v>1</v>
      </c>
      <c r="F270" s="488"/>
      <c r="G270" s="488"/>
      <c r="J270" s="441"/>
    </row>
    <row r="271" spans="2:11" ht="12.6" customHeight="1">
      <c r="B271" s="3254"/>
      <c r="C271" s="449">
        <v>39811</v>
      </c>
      <c r="D271" s="422">
        <f t="shared" si="25"/>
        <v>40</v>
      </c>
      <c r="E271" s="423">
        <v>12</v>
      </c>
      <c r="F271" s="488"/>
      <c r="G271" s="488"/>
      <c r="J271" s="441"/>
    </row>
    <row r="272" spans="2:11" ht="12.6" customHeight="1">
      <c r="B272" s="3254"/>
      <c r="C272" s="449">
        <v>39823</v>
      </c>
      <c r="D272" s="422">
        <f t="shared" si="25"/>
        <v>12</v>
      </c>
      <c r="E272" s="423">
        <v>7</v>
      </c>
      <c r="F272" s="488"/>
      <c r="G272" s="488"/>
      <c r="J272" s="441"/>
    </row>
    <row r="273" spans="2:10" ht="12.6" customHeight="1">
      <c r="B273" s="3254"/>
      <c r="C273" s="449">
        <v>39909</v>
      </c>
      <c r="D273" s="422">
        <f t="shared" si="25"/>
        <v>86</v>
      </c>
      <c r="E273" s="423">
        <v>19</v>
      </c>
      <c r="F273" s="488"/>
      <c r="G273" s="488"/>
      <c r="J273" s="441"/>
    </row>
    <row r="274" spans="2:10" ht="12.6" customHeight="1">
      <c r="B274" s="3254"/>
      <c r="C274" s="449">
        <v>39961</v>
      </c>
      <c r="D274" s="422">
        <f t="shared" si="25"/>
        <v>52</v>
      </c>
      <c r="E274" s="423">
        <v>7</v>
      </c>
      <c r="F274" s="488"/>
      <c r="G274" s="488"/>
      <c r="J274" s="441"/>
    </row>
    <row r="275" spans="2:10" ht="12.6" customHeight="1">
      <c r="B275" s="3254"/>
      <c r="C275" s="424">
        <v>40122</v>
      </c>
      <c r="D275" s="422">
        <f t="shared" si="25"/>
        <v>161</v>
      </c>
      <c r="E275" s="423">
        <v>39</v>
      </c>
      <c r="F275" s="488"/>
      <c r="G275" s="488"/>
      <c r="J275" s="441"/>
    </row>
    <row r="276" spans="2:10" ht="12.6" customHeight="1">
      <c r="B276" s="3254"/>
      <c r="C276" s="424">
        <v>40372</v>
      </c>
      <c r="D276" s="422">
        <f t="shared" si="25"/>
        <v>250</v>
      </c>
      <c r="E276" s="423">
        <v>30</v>
      </c>
      <c r="F276" s="488"/>
      <c r="G276" s="488"/>
      <c r="J276" s="441"/>
    </row>
    <row r="277" spans="2:10" ht="12.6" customHeight="1">
      <c r="B277" s="3254"/>
      <c r="C277" s="424">
        <v>40409</v>
      </c>
      <c r="D277" s="422">
        <f t="shared" si="25"/>
        <v>37</v>
      </c>
      <c r="E277" s="423">
        <v>6</v>
      </c>
      <c r="F277" s="488"/>
      <c r="G277" s="488"/>
      <c r="J277" s="441"/>
    </row>
    <row r="278" spans="2:10" ht="12.6" customHeight="1">
      <c r="B278" s="3255"/>
      <c r="C278" s="424">
        <v>40455</v>
      </c>
      <c r="D278" s="422">
        <f t="shared" si="25"/>
        <v>46</v>
      </c>
      <c r="E278" s="428">
        <v>2</v>
      </c>
      <c r="F278" s="488"/>
      <c r="G278" s="488"/>
      <c r="J278" s="441"/>
    </row>
    <row r="279" spans="2:10" ht="12.6" customHeight="1" thickBot="1">
      <c r="B279" s="3256"/>
      <c r="C279" s="417">
        <v>40574</v>
      </c>
      <c r="D279" s="425">
        <f>+C279-C278</f>
        <v>119</v>
      </c>
      <c r="E279" s="426">
        <v>0</v>
      </c>
      <c r="F279" s="489"/>
      <c r="G279" s="489"/>
      <c r="J279" s="441"/>
    </row>
    <row r="280" spans="2:10" ht="18" customHeight="1">
      <c r="B280" s="440"/>
      <c r="D280" s="441"/>
      <c r="J280" s="441"/>
    </row>
    <row r="281" spans="2:10">
      <c r="D281" s="441"/>
      <c r="J281" s="441"/>
    </row>
    <row r="282" spans="2:10">
      <c r="D282" s="441"/>
      <c r="J282" s="441"/>
    </row>
    <row r="283" spans="2:10">
      <c r="D283" s="441"/>
      <c r="J283" s="441"/>
    </row>
    <row r="284" spans="2:10">
      <c r="D284" s="441"/>
      <c r="J284" s="441"/>
    </row>
    <row r="285" spans="2:10">
      <c r="D285" s="441"/>
    </row>
    <row r="286" spans="2:10">
      <c r="D286" s="441"/>
    </row>
    <row r="287" spans="2:10">
      <c r="D287" s="441"/>
    </row>
    <row r="288" spans="2:10">
      <c r="D288" s="441"/>
    </row>
    <row r="289" spans="4:4">
      <c r="D289" s="441"/>
    </row>
    <row r="290" spans="4:4">
      <c r="D290" s="441"/>
    </row>
    <row r="291" spans="4:4">
      <c r="D291" s="441"/>
    </row>
    <row r="292" spans="4:4">
      <c r="D292" s="441"/>
    </row>
    <row r="293" spans="4:4">
      <c r="D293" s="441"/>
    </row>
    <row r="294" spans="4:4">
      <c r="D294" s="441"/>
    </row>
    <row r="295" spans="4:4">
      <c r="D295" s="441"/>
    </row>
    <row r="296" spans="4:4">
      <c r="D296" s="441"/>
    </row>
    <row r="297" spans="4:4">
      <c r="D297" s="441"/>
    </row>
    <row r="298" spans="4:4">
      <c r="D298" s="441"/>
    </row>
    <row r="299" spans="4:4">
      <c r="D299" s="441"/>
    </row>
    <row r="300" spans="4:4">
      <c r="D300" s="441"/>
    </row>
    <row r="301" spans="4:4">
      <c r="D301" s="441"/>
    </row>
  </sheetData>
  <mergeCells count="32">
    <mergeCell ref="Q2:S2"/>
    <mergeCell ref="U2:W2"/>
    <mergeCell ref="CI2:CM2"/>
    <mergeCell ref="B7:B24"/>
    <mergeCell ref="B25:B46"/>
    <mergeCell ref="B2:C2"/>
    <mergeCell ref="B4:B6"/>
    <mergeCell ref="CC2:CG2"/>
    <mergeCell ref="AC2:AE2"/>
    <mergeCell ref="AG2:AI2"/>
    <mergeCell ref="AK2:AM2"/>
    <mergeCell ref="AO2:AQ2"/>
    <mergeCell ref="BW2:CA2"/>
    <mergeCell ref="BE2:BI2"/>
    <mergeCell ref="BK2:BO2"/>
    <mergeCell ref="BQ2:BU2"/>
    <mergeCell ref="Y2:AA2"/>
    <mergeCell ref="AY2:BC2"/>
    <mergeCell ref="B261:B279"/>
    <mergeCell ref="B233:B242"/>
    <mergeCell ref="B243:B260"/>
    <mergeCell ref="B213:B217"/>
    <mergeCell ref="B218:B231"/>
    <mergeCell ref="B144:B172"/>
    <mergeCell ref="B173:B212"/>
    <mergeCell ref="B111:B127"/>
    <mergeCell ref="B128:B143"/>
    <mergeCell ref="M2:O2"/>
    <mergeCell ref="B87:B110"/>
    <mergeCell ref="B47:B60"/>
    <mergeCell ref="B61:B69"/>
    <mergeCell ref="B70:B86"/>
  </mergeCells>
  <phoneticPr fontId="44" type="noConversion"/>
  <pageMargins left="0.75" right="0.75" top="1" bottom="1" header="0" footer="0"/>
  <pageSetup orientation="portrait" r:id="rId1"/>
  <headerFooter alignWithMargins="0"/>
  <customProperties>
    <customPr name="_pios_id" r:id="rId2"/>
  </customProperties>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3"/>
  <dimension ref="A1:CE201"/>
  <sheetViews>
    <sheetView topLeftCell="AG9" zoomScaleSheetLayoutView="85" workbookViewId="0">
      <selection activeCell="AP28" sqref="AP28:AQ37"/>
    </sheetView>
  </sheetViews>
  <sheetFormatPr baseColWidth="10" defaultColWidth="11.44140625" defaultRowHeight="13.2"/>
  <cols>
    <col min="1" max="1" width="21.44140625" customWidth="1"/>
    <col min="2" max="2" width="10" customWidth="1"/>
    <col min="3" max="3" width="9.5546875" customWidth="1"/>
    <col min="4" max="5" width="8.5546875" customWidth="1"/>
    <col min="6" max="6" width="7" customWidth="1"/>
    <col min="7" max="7" width="8" customWidth="1"/>
    <col min="8" max="8" width="8.44140625" customWidth="1"/>
    <col min="9" max="10" width="8.5546875" customWidth="1"/>
    <col min="11" max="11" width="9.44140625" customWidth="1"/>
    <col min="12" max="12" width="7" customWidth="1"/>
    <col min="13" max="13" width="13.44140625" customWidth="1"/>
    <col min="14" max="15" width="7.44140625" customWidth="1"/>
    <col min="16" max="16" width="8.5546875" customWidth="1"/>
    <col min="17" max="17" width="6.44140625" customWidth="1"/>
    <col min="18" max="26" width="7.44140625" customWidth="1"/>
    <col min="27" max="27" width="7.44140625" style="8" customWidth="1"/>
    <col min="28" max="37" width="9.44140625" style="8" customWidth="1"/>
    <col min="38" max="38" width="15.44140625" customWidth="1"/>
    <col min="39" max="39" width="23.5546875" customWidth="1"/>
    <col min="40" max="40" width="12.5546875" style="8" customWidth="1"/>
    <col min="42" max="42" width="13.5546875" customWidth="1"/>
    <col min="46" max="46" width="17.5546875" customWidth="1"/>
    <col min="56" max="56" width="16.5546875" customWidth="1"/>
    <col min="57" max="63" width="9.44140625" customWidth="1"/>
  </cols>
  <sheetData>
    <row r="1" spans="1:58" ht="13.8" thickBot="1">
      <c r="B1" s="3251" t="s">
        <v>14</v>
      </c>
      <c r="C1" s="3251"/>
      <c r="D1" s="3251"/>
      <c r="E1" s="3251"/>
      <c r="F1" s="3251"/>
      <c r="G1" s="3251"/>
      <c r="H1" s="3251"/>
      <c r="I1" s="3251"/>
      <c r="J1" s="3251"/>
      <c r="K1" s="3251"/>
      <c r="L1" s="3251"/>
      <c r="N1" s="3263" t="s">
        <v>529</v>
      </c>
      <c r="O1" s="3264"/>
      <c r="P1" s="3264"/>
      <c r="Q1" s="3264"/>
      <c r="R1" s="3264"/>
      <c r="S1" s="3265"/>
      <c r="T1" s="8"/>
      <c r="U1" s="8"/>
      <c r="V1" s="8"/>
      <c r="W1" s="8"/>
      <c r="X1" s="8"/>
      <c r="Y1" s="8"/>
      <c r="Z1" s="8"/>
    </row>
    <row r="2" spans="1:58" ht="13.8" thickBot="1">
      <c r="A2" s="271"/>
      <c r="B2" s="267" t="s">
        <v>298</v>
      </c>
      <c r="C2" s="267" t="s">
        <v>103</v>
      </c>
      <c r="D2" s="267" t="s">
        <v>104</v>
      </c>
      <c r="E2" s="267" t="s">
        <v>105</v>
      </c>
      <c r="F2" s="267" t="s">
        <v>106</v>
      </c>
      <c r="G2" s="267" t="s">
        <v>107</v>
      </c>
      <c r="H2" s="267" t="s">
        <v>108</v>
      </c>
      <c r="I2" s="267" t="s">
        <v>109</v>
      </c>
      <c r="J2" s="267" t="s">
        <v>110</v>
      </c>
      <c r="K2" s="267" t="s">
        <v>111</v>
      </c>
      <c r="L2" s="267" t="s">
        <v>112</v>
      </c>
      <c r="M2" s="267" t="s">
        <v>113</v>
      </c>
      <c r="N2" s="356">
        <v>40544</v>
      </c>
      <c r="O2" s="356">
        <v>40575</v>
      </c>
      <c r="P2" s="356">
        <v>40603</v>
      </c>
      <c r="Q2" s="356">
        <v>40634</v>
      </c>
      <c r="R2" s="356">
        <v>40664</v>
      </c>
      <c r="S2" s="356">
        <v>40695</v>
      </c>
      <c r="T2" s="356">
        <v>40725</v>
      </c>
      <c r="U2" s="356">
        <v>40756</v>
      </c>
      <c r="V2" s="356">
        <v>40787</v>
      </c>
      <c r="W2" s="356">
        <v>40817</v>
      </c>
      <c r="X2" s="356">
        <v>40848</v>
      </c>
      <c r="Y2" s="356">
        <v>40878</v>
      </c>
      <c r="Z2" s="671">
        <v>40909</v>
      </c>
      <c r="AA2" s="671">
        <v>40940</v>
      </c>
      <c r="AB2" s="671">
        <v>40969</v>
      </c>
      <c r="AC2" s="671">
        <v>41000</v>
      </c>
      <c r="AD2" s="671">
        <v>41030</v>
      </c>
      <c r="AE2" s="671">
        <v>41061</v>
      </c>
      <c r="AF2" s="671">
        <v>41091</v>
      </c>
      <c r="AG2" s="671">
        <v>41122</v>
      </c>
      <c r="AH2" s="671">
        <v>41153</v>
      </c>
      <c r="AI2" s="671">
        <v>41183</v>
      </c>
      <c r="AJ2" s="671">
        <v>41214</v>
      </c>
      <c r="AK2" s="671">
        <v>41244</v>
      </c>
      <c r="AL2" s="10"/>
      <c r="AM2" s="10"/>
      <c r="AN2" s="148"/>
      <c r="AO2" s="10"/>
      <c r="AP2" s="10"/>
      <c r="AQ2" s="10"/>
      <c r="AR2" s="10"/>
      <c r="AT2" t="s">
        <v>512</v>
      </c>
      <c r="AU2" t="s">
        <v>102</v>
      </c>
      <c r="AV2" t="s">
        <v>103</v>
      </c>
      <c r="AW2" t="s">
        <v>104</v>
      </c>
      <c r="AX2" t="s">
        <v>513</v>
      </c>
      <c r="AY2" t="s">
        <v>106</v>
      </c>
      <c r="AZ2" t="s">
        <v>107</v>
      </c>
      <c r="BA2" t="s">
        <v>108</v>
      </c>
      <c r="BB2" t="s">
        <v>109</v>
      </c>
      <c r="BC2" t="s">
        <v>110</v>
      </c>
      <c r="BD2" t="s">
        <v>111</v>
      </c>
      <c r="BE2" t="s">
        <v>112</v>
      </c>
      <c r="BF2" t="s">
        <v>113</v>
      </c>
    </row>
    <row r="3" spans="1:58">
      <c r="A3" t="s">
        <v>293</v>
      </c>
      <c r="B3" s="8">
        <v>6</v>
      </c>
      <c r="C3" s="8">
        <v>3</v>
      </c>
      <c r="D3" s="8">
        <v>5</v>
      </c>
      <c r="E3" s="8">
        <v>2</v>
      </c>
      <c r="F3" s="8">
        <v>2</v>
      </c>
      <c r="G3" s="8">
        <v>5</v>
      </c>
      <c r="H3" s="8">
        <v>4</v>
      </c>
      <c r="I3" s="8">
        <v>6</v>
      </c>
      <c r="J3" s="8">
        <v>3</v>
      </c>
      <c r="K3" s="8">
        <v>5</v>
      </c>
      <c r="L3" s="8">
        <v>0</v>
      </c>
      <c r="M3" s="8">
        <v>3</v>
      </c>
      <c r="N3" s="8">
        <v>5</v>
      </c>
      <c r="O3" s="8">
        <v>1</v>
      </c>
      <c r="P3" s="8">
        <v>6</v>
      </c>
      <c r="Q3" s="8">
        <v>3</v>
      </c>
      <c r="R3" s="8">
        <v>5</v>
      </c>
      <c r="S3" s="8">
        <v>6</v>
      </c>
      <c r="T3" s="8">
        <v>9</v>
      </c>
      <c r="U3" s="8">
        <v>6</v>
      </c>
      <c r="V3" s="8">
        <v>4</v>
      </c>
      <c r="W3" s="8">
        <v>2</v>
      </c>
      <c r="X3" s="8">
        <v>3</v>
      </c>
      <c r="Y3" s="8">
        <v>3</v>
      </c>
      <c r="Z3" s="8">
        <v>5</v>
      </c>
      <c r="AA3" s="148">
        <v>1</v>
      </c>
      <c r="AB3" s="148">
        <v>5</v>
      </c>
      <c r="AC3" s="148">
        <v>2</v>
      </c>
      <c r="AD3" s="148">
        <v>4</v>
      </c>
      <c r="AE3" s="148">
        <v>7</v>
      </c>
      <c r="AF3" s="148">
        <v>3</v>
      </c>
      <c r="AG3" s="148">
        <v>7</v>
      </c>
      <c r="AH3" s="148">
        <v>3</v>
      </c>
      <c r="AI3" s="148">
        <v>3</v>
      </c>
      <c r="AJ3" s="148">
        <v>8</v>
      </c>
      <c r="AK3" s="148">
        <v>3</v>
      </c>
      <c r="AL3" s="10"/>
      <c r="AM3" s="10"/>
      <c r="AN3" s="148"/>
      <c r="AO3" s="10"/>
      <c r="AP3" s="10"/>
      <c r="AQ3" s="10"/>
      <c r="AR3" s="10"/>
      <c r="AT3">
        <v>2009</v>
      </c>
      <c r="AU3">
        <f>+B9</f>
        <v>8</v>
      </c>
      <c r="AV3">
        <f t="shared" ref="AV3:BF4" si="0">+AU3+C9</f>
        <v>12</v>
      </c>
      <c r="AW3">
        <f t="shared" si="0"/>
        <v>14</v>
      </c>
      <c r="AX3">
        <f t="shared" si="0"/>
        <v>17</v>
      </c>
      <c r="AY3">
        <f t="shared" si="0"/>
        <v>23</v>
      </c>
      <c r="AZ3">
        <f t="shared" si="0"/>
        <v>28</v>
      </c>
      <c r="BA3">
        <f t="shared" si="0"/>
        <v>31</v>
      </c>
      <c r="BB3">
        <f t="shared" si="0"/>
        <v>36</v>
      </c>
      <c r="BC3">
        <f t="shared" si="0"/>
        <v>38</v>
      </c>
      <c r="BD3">
        <f t="shared" si="0"/>
        <v>44</v>
      </c>
      <c r="BE3">
        <f t="shared" si="0"/>
        <v>49</v>
      </c>
      <c r="BF3">
        <f t="shared" si="0"/>
        <v>52</v>
      </c>
    </row>
    <row r="4" spans="1:58">
      <c r="A4" t="s">
        <v>294</v>
      </c>
      <c r="B4" s="8">
        <v>0</v>
      </c>
      <c r="C4" s="8">
        <v>1</v>
      </c>
      <c r="D4" s="8">
        <v>0</v>
      </c>
      <c r="E4" s="8">
        <v>1</v>
      </c>
      <c r="F4" s="8">
        <v>0</v>
      </c>
      <c r="G4" s="8">
        <v>0</v>
      </c>
      <c r="H4" s="8">
        <v>1</v>
      </c>
      <c r="I4" s="8">
        <v>2</v>
      </c>
      <c r="J4" s="8">
        <v>0</v>
      </c>
      <c r="K4" s="8">
        <v>1</v>
      </c>
      <c r="L4" s="8">
        <v>0</v>
      </c>
      <c r="M4" s="8">
        <v>3</v>
      </c>
      <c r="N4" s="8">
        <v>0</v>
      </c>
      <c r="O4" s="8">
        <v>2</v>
      </c>
      <c r="P4" s="8">
        <v>0</v>
      </c>
      <c r="Q4" s="8">
        <v>1</v>
      </c>
      <c r="R4" s="8">
        <v>0</v>
      </c>
      <c r="S4" s="8">
        <v>0</v>
      </c>
      <c r="T4" s="8">
        <v>0</v>
      </c>
      <c r="U4" s="8">
        <v>0</v>
      </c>
      <c r="V4" s="8">
        <v>0</v>
      </c>
      <c r="W4" s="8">
        <v>0</v>
      </c>
      <c r="X4" s="8">
        <v>0</v>
      </c>
      <c r="Y4" s="8">
        <v>0</v>
      </c>
      <c r="Z4" s="8">
        <v>0</v>
      </c>
      <c r="AA4" s="148">
        <v>0</v>
      </c>
      <c r="AB4" s="148">
        <v>0</v>
      </c>
      <c r="AC4" s="148">
        <v>0</v>
      </c>
      <c r="AD4" s="148">
        <v>0</v>
      </c>
      <c r="AE4" s="148">
        <v>0</v>
      </c>
      <c r="AF4" s="148">
        <v>0</v>
      </c>
      <c r="AG4" s="148">
        <v>0</v>
      </c>
      <c r="AH4" s="148">
        <v>0</v>
      </c>
      <c r="AI4" s="148">
        <v>0</v>
      </c>
      <c r="AJ4" s="148">
        <v>0</v>
      </c>
      <c r="AK4" s="148">
        <v>0</v>
      </c>
      <c r="AL4" s="10"/>
      <c r="AM4" s="10"/>
      <c r="AN4" s="148"/>
      <c r="AO4" s="10"/>
      <c r="AP4" s="10"/>
      <c r="AQ4" s="10"/>
      <c r="AR4" s="10"/>
      <c r="AT4">
        <v>2010</v>
      </c>
      <c r="AU4">
        <f>+B10</f>
        <v>7</v>
      </c>
      <c r="AV4">
        <f t="shared" si="0"/>
        <v>11</v>
      </c>
      <c r="AW4">
        <f t="shared" si="0"/>
        <v>16</v>
      </c>
      <c r="AX4">
        <f t="shared" si="0"/>
        <v>21</v>
      </c>
      <c r="AY4">
        <f t="shared" si="0"/>
        <v>23</v>
      </c>
      <c r="AZ4">
        <f t="shared" si="0"/>
        <v>28</v>
      </c>
      <c r="BA4">
        <f t="shared" si="0"/>
        <v>34</v>
      </c>
      <c r="BB4">
        <f t="shared" si="0"/>
        <v>42</v>
      </c>
      <c r="BC4">
        <f t="shared" si="0"/>
        <v>45</v>
      </c>
      <c r="BD4">
        <f t="shared" si="0"/>
        <v>53</v>
      </c>
      <c r="BE4">
        <f t="shared" si="0"/>
        <v>53</v>
      </c>
      <c r="BF4">
        <f t="shared" si="0"/>
        <v>59</v>
      </c>
    </row>
    <row r="5" spans="1:58" ht="13.8" thickBot="1">
      <c r="A5" s="270" t="s">
        <v>295</v>
      </c>
      <c r="B5" s="267">
        <v>9</v>
      </c>
      <c r="C5" s="267">
        <v>6</v>
      </c>
      <c r="D5" s="267">
        <v>3</v>
      </c>
      <c r="E5" s="267">
        <v>4</v>
      </c>
      <c r="F5" s="267">
        <v>4</v>
      </c>
      <c r="G5" s="267">
        <v>6</v>
      </c>
      <c r="H5" s="267">
        <v>5</v>
      </c>
      <c r="I5" s="267">
        <v>4</v>
      </c>
      <c r="J5" s="267">
        <v>4</v>
      </c>
      <c r="K5" s="267">
        <v>1</v>
      </c>
      <c r="L5" s="267">
        <v>10</v>
      </c>
      <c r="M5" s="267">
        <v>2</v>
      </c>
      <c r="N5" s="267">
        <f>+N7+N8</f>
        <v>8</v>
      </c>
      <c r="O5" s="267">
        <f t="shared" ref="O5:Y5" si="1">+O7+O8</f>
        <v>5</v>
      </c>
      <c r="P5" s="267">
        <f t="shared" si="1"/>
        <v>8</v>
      </c>
      <c r="Q5" s="267">
        <f t="shared" si="1"/>
        <v>7</v>
      </c>
      <c r="R5" s="267">
        <f t="shared" si="1"/>
        <v>5</v>
      </c>
      <c r="S5" s="267">
        <f t="shared" si="1"/>
        <v>7</v>
      </c>
      <c r="T5" s="267">
        <f t="shared" si="1"/>
        <v>16</v>
      </c>
      <c r="U5" s="267">
        <f t="shared" si="1"/>
        <v>14</v>
      </c>
      <c r="V5" s="267">
        <f t="shared" si="1"/>
        <v>13</v>
      </c>
      <c r="W5" s="267">
        <f t="shared" si="1"/>
        <v>11</v>
      </c>
      <c r="X5" s="267">
        <f t="shared" si="1"/>
        <v>8</v>
      </c>
      <c r="Y5" s="267">
        <f t="shared" si="1"/>
        <v>8</v>
      </c>
      <c r="Z5" s="267">
        <v>1</v>
      </c>
      <c r="AA5" s="266">
        <v>12</v>
      </c>
      <c r="AB5" s="266">
        <v>9</v>
      </c>
      <c r="AC5" s="266">
        <v>8</v>
      </c>
      <c r="AD5" s="266">
        <v>9</v>
      </c>
      <c r="AE5" s="266">
        <v>9</v>
      </c>
      <c r="AF5" s="266">
        <v>4</v>
      </c>
      <c r="AG5" s="266">
        <v>0</v>
      </c>
      <c r="AH5" s="266">
        <v>0</v>
      </c>
      <c r="AI5" s="266">
        <v>0</v>
      </c>
      <c r="AJ5" s="266">
        <v>0</v>
      </c>
      <c r="AK5" s="266">
        <v>0</v>
      </c>
      <c r="AL5" s="10"/>
      <c r="AM5" s="10"/>
      <c r="AN5" s="148"/>
      <c r="AO5" s="10"/>
      <c r="AP5" s="10"/>
      <c r="AQ5" s="10"/>
      <c r="AR5" s="10"/>
      <c r="AT5">
        <v>2011</v>
      </c>
      <c r="AU5">
        <f>+N10</f>
        <v>5</v>
      </c>
      <c r="AV5">
        <f t="shared" ref="AV5:BF5" si="2">+AU5+O10</f>
        <v>8</v>
      </c>
      <c r="AW5">
        <f t="shared" si="2"/>
        <v>14</v>
      </c>
      <c r="AX5">
        <f t="shared" si="2"/>
        <v>18</v>
      </c>
      <c r="AY5">
        <f t="shared" si="2"/>
        <v>23</v>
      </c>
      <c r="AZ5">
        <f t="shared" si="2"/>
        <v>29</v>
      </c>
      <c r="BA5">
        <f t="shared" si="2"/>
        <v>38</v>
      </c>
      <c r="BB5">
        <f t="shared" si="2"/>
        <v>44</v>
      </c>
      <c r="BC5">
        <f t="shared" si="2"/>
        <v>48</v>
      </c>
      <c r="BD5">
        <f t="shared" si="2"/>
        <v>50</v>
      </c>
      <c r="BE5">
        <f t="shared" si="2"/>
        <v>53</v>
      </c>
      <c r="BF5">
        <f t="shared" si="2"/>
        <v>56</v>
      </c>
    </row>
    <row r="6" spans="1:58">
      <c r="A6" t="s">
        <v>55</v>
      </c>
      <c r="B6" s="8">
        <f t="shared" ref="B6:AE6" si="3">SUM(B3:B5)</f>
        <v>15</v>
      </c>
      <c r="C6" s="8">
        <f t="shared" si="3"/>
        <v>10</v>
      </c>
      <c r="D6" s="8">
        <f t="shared" si="3"/>
        <v>8</v>
      </c>
      <c r="E6" s="8">
        <f t="shared" si="3"/>
        <v>7</v>
      </c>
      <c r="F6" s="8">
        <f t="shared" si="3"/>
        <v>6</v>
      </c>
      <c r="G6" s="8">
        <f t="shared" si="3"/>
        <v>11</v>
      </c>
      <c r="H6" s="8">
        <f t="shared" si="3"/>
        <v>10</v>
      </c>
      <c r="I6" s="8">
        <f t="shared" si="3"/>
        <v>12</v>
      </c>
      <c r="J6" s="8">
        <f t="shared" si="3"/>
        <v>7</v>
      </c>
      <c r="K6" s="8">
        <f t="shared" si="3"/>
        <v>7</v>
      </c>
      <c r="L6" s="8">
        <f t="shared" si="3"/>
        <v>10</v>
      </c>
      <c r="M6" s="8">
        <f t="shared" si="3"/>
        <v>8</v>
      </c>
      <c r="N6" s="8">
        <f t="shared" si="3"/>
        <v>13</v>
      </c>
      <c r="O6" s="8">
        <f t="shared" si="3"/>
        <v>8</v>
      </c>
      <c r="P6" s="8">
        <f t="shared" si="3"/>
        <v>14</v>
      </c>
      <c r="Q6" s="8">
        <f t="shared" si="3"/>
        <v>11</v>
      </c>
      <c r="R6" s="8">
        <f t="shared" si="3"/>
        <v>10</v>
      </c>
      <c r="S6" s="8">
        <f t="shared" si="3"/>
        <v>13</v>
      </c>
      <c r="T6" s="8">
        <f t="shared" si="3"/>
        <v>25</v>
      </c>
      <c r="U6" s="8">
        <f t="shared" si="3"/>
        <v>20</v>
      </c>
      <c r="V6" s="8">
        <f t="shared" si="3"/>
        <v>17</v>
      </c>
      <c r="W6" s="8">
        <f t="shared" si="3"/>
        <v>13</v>
      </c>
      <c r="X6" s="8">
        <f t="shared" si="3"/>
        <v>11</v>
      </c>
      <c r="Y6" s="8">
        <f t="shared" si="3"/>
        <v>11</v>
      </c>
      <c r="Z6" s="8">
        <f t="shared" si="3"/>
        <v>6</v>
      </c>
      <c r="AA6" s="8">
        <f t="shared" si="3"/>
        <v>13</v>
      </c>
      <c r="AB6" s="8">
        <f t="shared" si="3"/>
        <v>14</v>
      </c>
      <c r="AC6" s="8">
        <f t="shared" si="3"/>
        <v>10</v>
      </c>
      <c r="AD6" s="8">
        <f t="shared" si="3"/>
        <v>13</v>
      </c>
      <c r="AE6" s="8">
        <f t="shared" si="3"/>
        <v>16</v>
      </c>
      <c r="AF6" s="8">
        <f t="shared" ref="AF6:AK6" si="4">SUM(AF3:AF5)</f>
        <v>7</v>
      </c>
      <c r="AG6" s="8">
        <f t="shared" si="4"/>
        <v>7</v>
      </c>
      <c r="AH6" s="8">
        <f t="shared" si="4"/>
        <v>3</v>
      </c>
      <c r="AI6" s="8">
        <f t="shared" si="4"/>
        <v>3</v>
      </c>
      <c r="AJ6" s="8">
        <f t="shared" si="4"/>
        <v>8</v>
      </c>
      <c r="AK6" s="8">
        <f t="shared" si="4"/>
        <v>3</v>
      </c>
      <c r="AL6" s="10"/>
      <c r="AM6" s="10"/>
      <c r="AN6" s="148"/>
      <c r="AO6" s="10"/>
      <c r="AP6" s="10"/>
      <c r="AQ6" s="10"/>
      <c r="AR6" s="10"/>
      <c r="AT6">
        <v>2012</v>
      </c>
      <c r="AU6">
        <v>5</v>
      </c>
      <c r="AV6">
        <f>+AA3+AU6</f>
        <v>6</v>
      </c>
      <c r="AW6">
        <f>+AB3+AV6</f>
        <v>11</v>
      </c>
      <c r="AX6">
        <v>13</v>
      </c>
      <c r="AY6">
        <v>17</v>
      </c>
      <c r="AZ6">
        <v>24</v>
      </c>
      <c r="BA6">
        <v>27</v>
      </c>
      <c r="BB6">
        <f>+BA6+7</f>
        <v>34</v>
      </c>
      <c r="BC6">
        <f>+BB6+3</f>
        <v>37</v>
      </c>
      <c r="BD6">
        <v>40</v>
      </c>
      <c r="BE6">
        <v>48</v>
      </c>
      <c r="BF6">
        <v>51</v>
      </c>
    </row>
    <row r="7" spans="1:58">
      <c r="B7" s="8"/>
      <c r="C7" s="8"/>
      <c r="D7" s="8"/>
      <c r="E7" s="8"/>
      <c r="F7" s="8"/>
      <c r="G7" s="8"/>
      <c r="H7" s="8"/>
      <c r="I7" s="8"/>
      <c r="J7" s="8"/>
      <c r="K7" s="8"/>
      <c r="L7" s="8"/>
      <c r="M7" s="8" t="s">
        <v>546</v>
      </c>
      <c r="N7" s="8">
        <v>0</v>
      </c>
      <c r="O7" s="8">
        <v>0</v>
      </c>
      <c r="P7" s="8">
        <v>1</v>
      </c>
      <c r="Q7" s="8">
        <v>0</v>
      </c>
      <c r="R7" s="8">
        <v>3</v>
      </c>
      <c r="S7" s="8">
        <v>1</v>
      </c>
      <c r="T7" s="8">
        <v>1</v>
      </c>
      <c r="U7" s="8">
        <v>0</v>
      </c>
      <c r="V7" s="8">
        <v>0</v>
      </c>
      <c r="W7" s="8">
        <v>0</v>
      </c>
      <c r="X7" s="8">
        <v>1</v>
      </c>
      <c r="Y7" s="8">
        <v>3</v>
      </c>
      <c r="Z7" s="8"/>
      <c r="AA7" s="148"/>
      <c r="AB7" s="148"/>
      <c r="AC7" s="148"/>
      <c r="AD7" s="148"/>
      <c r="AE7" s="148"/>
      <c r="AF7" s="148"/>
      <c r="AG7" s="148"/>
      <c r="AH7" s="148"/>
      <c r="AI7" s="148"/>
      <c r="AJ7" s="148"/>
      <c r="AK7" s="148"/>
      <c r="AL7" s="10"/>
      <c r="AM7" s="10"/>
      <c r="AN7" s="148"/>
      <c r="AO7" s="10"/>
      <c r="AP7" s="10"/>
      <c r="AQ7" s="10"/>
      <c r="AR7" s="10"/>
      <c r="AT7" s="675" t="s">
        <v>555</v>
      </c>
      <c r="AU7" s="242">
        <f>42/12</f>
        <v>3.5</v>
      </c>
      <c r="AV7" s="242">
        <f t="shared" ref="AV7:BB7" si="5">42/12+AU7</f>
        <v>7</v>
      </c>
      <c r="AW7" s="242">
        <f t="shared" si="5"/>
        <v>10.5</v>
      </c>
      <c r="AX7" s="242">
        <f t="shared" si="5"/>
        <v>14</v>
      </c>
      <c r="AY7" s="242">
        <f t="shared" si="5"/>
        <v>17.5</v>
      </c>
      <c r="AZ7" s="242">
        <f t="shared" si="5"/>
        <v>21</v>
      </c>
      <c r="BA7" s="242">
        <f t="shared" si="5"/>
        <v>24.5</v>
      </c>
      <c r="BB7" s="242">
        <f t="shared" si="5"/>
        <v>28</v>
      </c>
      <c r="BC7" s="242">
        <f>42/12+BB7</f>
        <v>31.5</v>
      </c>
      <c r="BD7" s="242">
        <f>42/12+BC7</f>
        <v>35</v>
      </c>
      <c r="BE7" s="242">
        <f>42/12+BD7</f>
        <v>38.5</v>
      </c>
      <c r="BF7" s="242">
        <f>42/12+BE7</f>
        <v>42</v>
      </c>
    </row>
    <row r="8" spans="1:58">
      <c r="A8" s="150" t="s">
        <v>528</v>
      </c>
      <c r="B8" s="8"/>
      <c r="C8" s="8"/>
      <c r="D8" s="8"/>
      <c r="E8" s="8"/>
      <c r="F8" s="8"/>
      <c r="G8" s="8"/>
      <c r="H8" s="8"/>
      <c r="I8" s="8"/>
      <c r="J8" s="8"/>
      <c r="K8" s="8"/>
      <c r="L8" s="8"/>
      <c r="M8" s="8" t="s">
        <v>545</v>
      </c>
      <c r="N8" s="8">
        <v>8</v>
      </c>
      <c r="O8" s="8">
        <v>5</v>
      </c>
      <c r="P8" s="8">
        <v>7</v>
      </c>
      <c r="Q8" s="8">
        <v>7</v>
      </c>
      <c r="R8" s="8">
        <v>2</v>
      </c>
      <c r="S8" s="8">
        <v>6</v>
      </c>
      <c r="T8" s="8">
        <v>15</v>
      </c>
      <c r="U8" s="8">
        <v>14</v>
      </c>
      <c r="V8" s="8">
        <v>13</v>
      </c>
      <c r="W8" s="8">
        <v>11</v>
      </c>
      <c r="X8" s="8">
        <v>7</v>
      </c>
      <c r="Y8" s="8">
        <v>5</v>
      </c>
      <c r="Z8" s="8"/>
      <c r="AA8" s="148"/>
      <c r="AB8" s="148"/>
      <c r="AC8" s="148"/>
      <c r="AD8" s="148"/>
      <c r="AE8" s="148"/>
      <c r="AF8" s="148"/>
      <c r="AG8" s="148"/>
      <c r="AH8" s="148"/>
      <c r="AI8" s="148"/>
      <c r="AJ8" s="148"/>
      <c r="AK8" s="148"/>
      <c r="AL8" s="10"/>
      <c r="AM8" s="10"/>
      <c r="AN8" s="148"/>
      <c r="AO8" s="10"/>
      <c r="AP8" s="10"/>
      <c r="AQ8" s="10"/>
      <c r="AR8" s="10"/>
    </row>
    <row r="9" spans="1:58">
      <c r="A9" t="s">
        <v>469</v>
      </c>
      <c r="B9" s="8">
        <v>8</v>
      </c>
      <c r="C9" s="8">
        <f>3+1</f>
        <v>4</v>
      </c>
      <c r="D9" s="8">
        <v>2</v>
      </c>
      <c r="E9" s="8">
        <v>3</v>
      </c>
      <c r="F9" s="8">
        <v>6</v>
      </c>
      <c r="G9" s="8">
        <f>4+1</f>
        <v>5</v>
      </c>
      <c r="H9" s="8">
        <f>1+2</f>
        <v>3</v>
      </c>
      <c r="I9" s="8">
        <f>4+1</f>
        <v>5</v>
      </c>
      <c r="J9" s="8">
        <v>2</v>
      </c>
      <c r="K9" s="8">
        <f>5+1</f>
        <v>6</v>
      </c>
      <c r="L9" s="8">
        <f>4+1</f>
        <v>5</v>
      </c>
      <c r="M9" s="8">
        <v>3</v>
      </c>
      <c r="N9" s="8"/>
      <c r="O9" s="8"/>
      <c r="P9" s="8"/>
      <c r="AA9" s="148"/>
      <c r="AB9" s="148"/>
      <c r="AC9" s="148"/>
      <c r="AD9" s="148"/>
      <c r="AE9" s="148"/>
      <c r="AF9" s="148"/>
      <c r="AG9" s="148"/>
      <c r="AH9" s="148"/>
      <c r="AI9" s="148"/>
      <c r="AJ9" s="148"/>
      <c r="AK9" s="148"/>
      <c r="AL9" s="10"/>
      <c r="AM9" s="10"/>
      <c r="AN9" s="148"/>
      <c r="AO9" s="10"/>
      <c r="AP9" s="10"/>
      <c r="AQ9" s="10"/>
      <c r="AR9" s="10"/>
    </row>
    <row r="10" spans="1:58">
      <c r="A10" t="s">
        <v>470</v>
      </c>
      <c r="B10" s="8">
        <f>+B3+B4+1</f>
        <v>7</v>
      </c>
      <c r="C10" s="8">
        <f t="shared" ref="C10:M10" si="6">+C3+C4</f>
        <v>4</v>
      </c>
      <c r="D10" s="8">
        <f t="shared" si="6"/>
        <v>5</v>
      </c>
      <c r="E10" s="8">
        <f>+E3+E4+2</f>
        <v>5</v>
      </c>
      <c r="F10" s="8">
        <f t="shared" si="6"/>
        <v>2</v>
      </c>
      <c r="G10" s="8">
        <f t="shared" si="6"/>
        <v>5</v>
      </c>
      <c r="H10" s="8">
        <f>+H3+H4+1</f>
        <v>6</v>
      </c>
      <c r="I10" s="8">
        <f t="shared" si="6"/>
        <v>8</v>
      </c>
      <c r="J10" s="8">
        <f t="shared" si="6"/>
        <v>3</v>
      </c>
      <c r="K10" s="8">
        <f>+K3+K4+2</f>
        <v>8</v>
      </c>
      <c r="L10" s="8">
        <f t="shared" si="6"/>
        <v>0</v>
      </c>
      <c r="M10" s="8">
        <f t="shared" si="6"/>
        <v>6</v>
      </c>
      <c r="N10" s="8">
        <f t="shared" ref="N10:AE10" si="7">+N3+N4</f>
        <v>5</v>
      </c>
      <c r="O10" s="8">
        <f t="shared" si="7"/>
        <v>3</v>
      </c>
      <c r="P10" s="8">
        <f t="shared" si="7"/>
        <v>6</v>
      </c>
      <c r="Q10" s="8">
        <f t="shared" si="7"/>
        <v>4</v>
      </c>
      <c r="R10" s="8">
        <f t="shared" si="7"/>
        <v>5</v>
      </c>
      <c r="S10" s="8">
        <f t="shared" si="7"/>
        <v>6</v>
      </c>
      <c r="T10" s="8">
        <f t="shared" si="7"/>
        <v>9</v>
      </c>
      <c r="U10" s="8">
        <f t="shared" si="7"/>
        <v>6</v>
      </c>
      <c r="V10" s="8">
        <f t="shared" si="7"/>
        <v>4</v>
      </c>
      <c r="W10" s="8">
        <f t="shared" si="7"/>
        <v>2</v>
      </c>
      <c r="X10" s="8">
        <f t="shared" si="7"/>
        <v>3</v>
      </c>
      <c r="Y10" s="8">
        <f t="shared" si="7"/>
        <v>3</v>
      </c>
      <c r="Z10" s="8">
        <f t="shared" si="7"/>
        <v>5</v>
      </c>
      <c r="AA10" s="8">
        <f t="shared" si="7"/>
        <v>1</v>
      </c>
      <c r="AB10" s="8">
        <f t="shared" si="7"/>
        <v>5</v>
      </c>
      <c r="AC10" s="8">
        <f t="shared" si="7"/>
        <v>2</v>
      </c>
      <c r="AD10" s="8">
        <f t="shared" si="7"/>
        <v>4</v>
      </c>
      <c r="AE10" s="8">
        <f t="shared" si="7"/>
        <v>7</v>
      </c>
      <c r="AF10" s="8">
        <f t="shared" ref="AF10:AK10" si="8">+AF3+AF4</f>
        <v>3</v>
      </c>
      <c r="AG10" s="8">
        <f t="shared" si="8"/>
        <v>7</v>
      </c>
      <c r="AH10" s="8">
        <f t="shared" si="8"/>
        <v>3</v>
      </c>
      <c r="AI10" s="8">
        <f t="shared" si="8"/>
        <v>3</v>
      </c>
      <c r="AJ10" s="8">
        <f t="shared" si="8"/>
        <v>8</v>
      </c>
      <c r="AK10" s="8">
        <f t="shared" si="8"/>
        <v>3</v>
      </c>
      <c r="AL10" s="10"/>
      <c r="AM10" s="10"/>
      <c r="AN10" s="148"/>
      <c r="AO10" s="10"/>
      <c r="AP10" s="10"/>
      <c r="AQ10" s="10"/>
      <c r="AR10" s="10"/>
    </row>
    <row r="11" spans="1:58">
      <c r="A11" t="s">
        <v>444</v>
      </c>
      <c r="B11" s="571">
        <v>3.65</v>
      </c>
      <c r="C11" s="571">
        <v>3.82</v>
      </c>
      <c r="D11" s="571">
        <v>3.89</v>
      </c>
      <c r="E11" s="571">
        <v>3.88</v>
      </c>
      <c r="F11" s="571">
        <v>3.52</v>
      </c>
      <c r="G11" s="571">
        <v>3.95</v>
      </c>
      <c r="H11" s="571">
        <v>4.1900000000000004</v>
      </c>
      <c r="I11" s="571">
        <v>4.22</v>
      </c>
      <c r="J11" s="571">
        <v>4.2699999999999996</v>
      </c>
      <c r="K11" s="571">
        <v>4.0999999999999996</v>
      </c>
      <c r="L11" s="571">
        <v>4</v>
      </c>
      <c r="M11" s="571">
        <v>4.0999999999999996</v>
      </c>
      <c r="N11" s="571">
        <v>4</v>
      </c>
      <c r="O11" s="571">
        <v>3.9</v>
      </c>
      <c r="P11" s="571">
        <v>4.2</v>
      </c>
      <c r="Q11" s="8">
        <v>4.2</v>
      </c>
      <c r="R11" s="8">
        <v>4.5</v>
      </c>
      <c r="S11" s="8">
        <v>4.8</v>
      </c>
      <c r="T11" s="8">
        <v>5.0999999999999996</v>
      </c>
      <c r="U11" s="8">
        <v>5</v>
      </c>
      <c r="V11" s="8">
        <v>5.0999999999999996</v>
      </c>
      <c r="W11" s="8">
        <v>4.7</v>
      </c>
      <c r="X11" s="8">
        <v>5.0999999999999996</v>
      </c>
      <c r="Y11" s="8">
        <v>4.7</v>
      </c>
      <c r="Z11" s="8">
        <v>4.7</v>
      </c>
      <c r="AA11" s="148">
        <v>4.5</v>
      </c>
      <c r="AB11" s="148">
        <v>4.4000000000000004</v>
      </c>
      <c r="AC11" s="148">
        <v>4.0999999999999996</v>
      </c>
      <c r="AD11" s="148"/>
      <c r="AE11" s="148"/>
      <c r="AF11" s="148"/>
      <c r="AG11" s="148"/>
      <c r="AH11" s="148"/>
      <c r="AI11" s="148"/>
      <c r="AJ11" s="148"/>
      <c r="AK11" s="148"/>
      <c r="AL11" s="10"/>
      <c r="AM11" s="10"/>
      <c r="AN11" s="148"/>
      <c r="AO11" s="10"/>
      <c r="AP11" s="10"/>
      <c r="AQ11" s="10"/>
      <c r="AR11" s="10"/>
    </row>
    <row r="12" spans="1:58">
      <c r="A12" s="372"/>
      <c r="N12" s="8">
        <v>67</v>
      </c>
      <c r="O12" s="8">
        <v>60</v>
      </c>
      <c r="P12" s="8">
        <v>63</v>
      </c>
      <c r="Q12" s="8">
        <v>58</v>
      </c>
      <c r="R12" s="8">
        <v>122</v>
      </c>
      <c r="S12" s="8">
        <v>132</v>
      </c>
      <c r="T12" s="8">
        <v>132</v>
      </c>
      <c r="U12" s="8">
        <v>129</v>
      </c>
      <c r="V12" s="8">
        <v>159</v>
      </c>
      <c r="W12" s="8">
        <v>159</v>
      </c>
      <c r="X12" s="8">
        <v>173</v>
      </c>
      <c r="Y12" s="8">
        <v>176</v>
      </c>
      <c r="Z12" s="8">
        <v>174</v>
      </c>
      <c r="AA12" s="148">
        <v>169</v>
      </c>
      <c r="AB12" s="148">
        <v>168</v>
      </c>
      <c r="AC12" s="148"/>
      <c r="AD12" s="148"/>
      <c r="AE12" s="148"/>
      <c r="AF12" s="148"/>
      <c r="AG12" s="148"/>
      <c r="AH12" s="148"/>
      <c r="AI12" s="148"/>
      <c r="AJ12" s="148"/>
      <c r="AK12" s="148"/>
      <c r="AL12" s="10"/>
      <c r="AM12" s="10"/>
      <c r="AN12" s="148"/>
      <c r="AO12" s="10"/>
      <c r="AP12" s="10"/>
      <c r="AQ12" s="10"/>
      <c r="AR12" s="10"/>
    </row>
    <row r="13" spans="1:58" ht="13.8" thickBot="1">
      <c r="A13" s="271" t="s">
        <v>304</v>
      </c>
      <c r="B13" s="267" t="s">
        <v>298</v>
      </c>
      <c r="C13" s="267" t="s">
        <v>103</v>
      </c>
      <c r="D13" s="267" t="s">
        <v>104</v>
      </c>
      <c r="E13" s="267" t="s">
        <v>105</v>
      </c>
      <c r="F13" s="267" t="s">
        <v>106</v>
      </c>
      <c r="G13" s="267" t="s">
        <v>107</v>
      </c>
      <c r="H13" s="267" t="s">
        <v>108</v>
      </c>
      <c r="I13" s="267" t="s">
        <v>109</v>
      </c>
      <c r="J13" s="267" t="s">
        <v>110</v>
      </c>
      <c r="K13" s="267" t="s">
        <v>111</v>
      </c>
      <c r="L13" s="267" t="s">
        <v>112</v>
      </c>
      <c r="M13" s="267" t="s">
        <v>113</v>
      </c>
      <c r="N13" s="356">
        <f>+N2</f>
        <v>40544</v>
      </c>
      <c r="O13" s="356">
        <f>+O2</f>
        <v>40575</v>
      </c>
      <c r="P13" s="356">
        <v>40603</v>
      </c>
      <c r="Q13" s="356">
        <v>40634</v>
      </c>
      <c r="R13" s="356">
        <v>40664</v>
      </c>
      <c r="S13" s="356">
        <v>40695</v>
      </c>
      <c r="T13" s="356">
        <v>40725</v>
      </c>
      <c r="U13" s="356">
        <v>40756</v>
      </c>
      <c r="V13" s="356">
        <v>40787</v>
      </c>
      <c r="W13" s="356">
        <v>40817</v>
      </c>
      <c r="X13" s="356">
        <v>40817</v>
      </c>
      <c r="Y13" s="606"/>
      <c r="Z13" s="606"/>
      <c r="AA13" s="148"/>
      <c r="AB13" s="148"/>
      <c r="AC13" s="148"/>
      <c r="AD13" s="148"/>
      <c r="AE13" s="148"/>
      <c r="AF13" s="148"/>
      <c r="AG13" s="148"/>
      <c r="AH13" s="148"/>
      <c r="AI13" s="148"/>
      <c r="AJ13" s="148"/>
      <c r="AK13" s="148"/>
      <c r="AL13" s="10"/>
      <c r="AM13" s="10"/>
      <c r="AN13" s="148"/>
      <c r="AO13" s="10"/>
      <c r="AP13" s="10"/>
      <c r="AQ13" s="10"/>
      <c r="AR13" s="10"/>
    </row>
    <row r="14" spans="1:58">
      <c r="A14" t="s">
        <v>293</v>
      </c>
      <c r="B14" s="8">
        <v>1</v>
      </c>
      <c r="C14" s="8">
        <v>0</v>
      </c>
      <c r="D14" s="8">
        <v>1</v>
      </c>
      <c r="E14" s="8">
        <v>1</v>
      </c>
      <c r="F14" s="8">
        <v>1</v>
      </c>
      <c r="G14" s="8">
        <v>1</v>
      </c>
      <c r="H14" s="8">
        <v>0</v>
      </c>
      <c r="I14" s="8">
        <v>1</v>
      </c>
      <c r="J14" s="8">
        <v>0</v>
      </c>
      <c r="K14" s="8">
        <v>2</v>
      </c>
      <c r="L14" s="8">
        <v>0</v>
      </c>
      <c r="M14" s="8">
        <v>1</v>
      </c>
      <c r="N14" s="8">
        <v>1</v>
      </c>
      <c r="O14" s="8">
        <v>0</v>
      </c>
      <c r="P14" s="8">
        <v>1</v>
      </c>
      <c r="Q14" s="8">
        <v>0</v>
      </c>
      <c r="R14" s="8">
        <v>1</v>
      </c>
      <c r="S14" s="8">
        <v>0</v>
      </c>
      <c r="T14" s="8">
        <v>0</v>
      </c>
      <c r="U14" s="8">
        <v>3</v>
      </c>
      <c r="V14" s="8">
        <v>0</v>
      </c>
      <c r="W14" s="8"/>
      <c r="X14" s="8"/>
      <c r="Y14" s="8"/>
      <c r="Z14" s="8"/>
      <c r="AA14" s="148"/>
      <c r="AB14" s="148"/>
      <c r="AC14" s="148"/>
      <c r="AD14" s="148"/>
      <c r="AE14" s="148"/>
      <c r="AF14" s="148"/>
      <c r="AG14" s="148"/>
      <c r="AH14" s="148"/>
      <c r="AI14" s="148"/>
      <c r="AJ14" s="148"/>
      <c r="AK14" s="148"/>
      <c r="AL14" s="10"/>
      <c r="AM14" s="10"/>
      <c r="AN14" s="148"/>
      <c r="AO14" s="10"/>
      <c r="AP14" s="10"/>
      <c r="AQ14" s="10"/>
      <c r="AR14" s="10"/>
    </row>
    <row r="15" spans="1:58">
      <c r="A15" t="s">
        <v>294</v>
      </c>
      <c r="B15" s="8">
        <v>0</v>
      </c>
      <c r="C15" s="8">
        <v>0</v>
      </c>
      <c r="D15" s="8">
        <v>0</v>
      </c>
      <c r="E15" s="8">
        <v>0</v>
      </c>
      <c r="F15" s="8">
        <v>0</v>
      </c>
      <c r="G15" s="8">
        <v>0</v>
      </c>
      <c r="H15" s="8">
        <v>0</v>
      </c>
      <c r="I15" s="8">
        <v>0</v>
      </c>
      <c r="J15" s="8">
        <v>0</v>
      </c>
      <c r="K15" s="8">
        <v>0</v>
      </c>
      <c r="L15" s="8">
        <v>0</v>
      </c>
      <c r="M15" s="8">
        <v>0</v>
      </c>
      <c r="N15" s="8">
        <v>0</v>
      </c>
      <c r="O15" s="8">
        <v>0</v>
      </c>
      <c r="P15" s="8">
        <v>0</v>
      </c>
      <c r="Q15" s="8">
        <v>0</v>
      </c>
      <c r="R15" s="8">
        <v>0</v>
      </c>
      <c r="S15" s="8">
        <v>0</v>
      </c>
      <c r="T15" s="8">
        <v>0</v>
      </c>
      <c r="U15" s="8">
        <v>0</v>
      </c>
      <c r="V15" s="8">
        <v>0</v>
      </c>
      <c r="W15" s="8"/>
      <c r="X15" s="8"/>
      <c r="Y15" s="8"/>
      <c r="Z15" s="8"/>
      <c r="AA15" s="148"/>
      <c r="AB15" s="148"/>
      <c r="AC15" s="148"/>
      <c r="AD15" s="148"/>
      <c r="AE15" s="148"/>
      <c r="AF15" s="148"/>
      <c r="AG15" s="148"/>
      <c r="AH15" s="148"/>
      <c r="AI15" s="148"/>
      <c r="AJ15" s="148"/>
      <c r="AK15" s="148"/>
      <c r="AL15" s="10"/>
      <c r="AM15" s="10"/>
      <c r="AN15" s="148"/>
      <c r="AO15" s="10"/>
      <c r="AP15" s="10"/>
      <c r="AQ15" s="10"/>
      <c r="AR15" s="10"/>
    </row>
    <row r="16" spans="1:58" ht="13.8" thickBot="1">
      <c r="A16" s="270" t="s">
        <v>295</v>
      </c>
      <c r="B16" s="267">
        <v>0</v>
      </c>
      <c r="C16" s="267">
        <v>1</v>
      </c>
      <c r="D16" s="267">
        <v>0</v>
      </c>
      <c r="E16" s="267">
        <v>0</v>
      </c>
      <c r="F16" s="267">
        <v>0</v>
      </c>
      <c r="G16" s="267">
        <v>2</v>
      </c>
      <c r="H16" s="267">
        <v>0</v>
      </c>
      <c r="I16" s="267">
        <v>0</v>
      </c>
      <c r="J16" s="267">
        <v>0</v>
      </c>
      <c r="K16" s="267">
        <v>0</v>
      </c>
      <c r="L16" s="267">
        <v>1</v>
      </c>
      <c r="M16" s="267">
        <v>1</v>
      </c>
      <c r="N16" s="267">
        <v>0</v>
      </c>
      <c r="O16" s="267">
        <v>0</v>
      </c>
      <c r="P16" s="267">
        <v>1</v>
      </c>
      <c r="Q16" s="267">
        <v>0</v>
      </c>
      <c r="R16" s="267">
        <v>0</v>
      </c>
      <c r="S16" s="267">
        <v>0</v>
      </c>
      <c r="T16" s="267">
        <v>0</v>
      </c>
      <c r="U16" s="267">
        <v>0</v>
      </c>
      <c r="V16" s="267">
        <v>0</v>
      </c>
      <c r="W16" s="267"/>
      <c r="X16" s="267"/>
      <c r="Y16" s="8"/>
      <c r="Z16" s="8"/>
      <c r="AA16" s="148"/>
      <c r="AB16" s="148"/>
      <c r="AC16" s="148"/>
      <c r="AD16" s="148"/>
      <c r="AE16" s="148"/>
      <c r="AF16" s="148"/>
      <c r="AG16" s="148"/>
      <c r="AH16" s="148"/>
      <c r="AI16" s="148"/>
      <c r="AJ16" s="148"/>
      <c r="AK16" s="148"/>
      <c r="AL16" s="10"/>
      <c r="AM16" s="10"/>
      <c r="AN16" s="148"/>
      <c r="AO16" s="10"/>
      <c r="AP16" s="10"/>
      <c r="AQ16" s="10"/>
      <c r="AR16" s="10"/>
    </row>
    <row r="17" spans="1:51">
      <c r="A17" t="s">
        <v>55</v>
      </c>
      <c r="B17" s="8">
        <f t="shared" ref="B17:O17" si="9">SUM(B14:B16)</f>
        <v>1</v>
      </c>
      <c r="C17" s="8">
        <f t="shared" si="9"/>
        <v>1</v>
      </c>
      <c r="D17" s="8">
        <f t="shared" si="9"/>
        <v>1</v>
      </c>
      <c r="E17" s="8">
        <f t="shared" si="9"/>
        <v>1</v>
      </c>
      <c r="F17" s="8">
        <f t="shared" si="9"/>
        <v>1</v>
      </c>
      <c r="G17" s="8">
        <f t="shared" si="9"/>
        <v>3</v>
      </c>
      <c r="H17" s="8">
        <f t="shared" si="9"/>
        <v>0</v>
      </c>
      <c r="I17" s="8">
        <f t="shared" si="9"/>
        <v>1</v>
      </c>
      <c r="J17" s="8">
        <f t="shared" si="9"/>
        <v>0</v>
      </c>
      <c r="K17" s="8">
        <f t="shared" si="9"/>
        <v>2</v>
      </c>
      <c r="L17" s="8">
        <f t="shared" si="9"/>
        <v>1</v>
      </c>
      <c r="M17" s="8">
        <f t="shared" si="9"/>
        <v>2</v>
      </c>
      <c r="N17" s="8">
        <f t="shared" si="9"/>
        <v>1</v>
      </c>
      <c r="O17" s="8">
        <f t="shared" si="9"/>
        <v>0</v>
      </c>
      <c r="P17" s="8">
        <f t="shared" ref="P17:U17" si="10">SUM(P14:P16)</f>
        <v>2</v>
      </c>
      <c r="Q17" s="8">
        <f t="shared" si="10"/>
        <v>0</v>
      </c>
      <c r="R17" s="8">
        <f t="shared" si="10"/>
        <v>1</v>
      </c>
      <c r="S17" s="8">
        <f t="shared" si="10"/>
        <v>0</v>
      </c>
      <c r="T17" s="8">
        <f t="shared" si="10"/>
        <v>0</v>
      </c>
      <c r="U17" s="8">
        <f t="shared" si="10"/>
        <v>3</v>
      </c>
      <c r="V17" s="8">
        <v>0</v>
      </c>
      <c r="W17" s="8"/>
      <c r="X17" s="8"/>
      <c r="Y17" s="8"/>
      <c r="Z17" s="8"/>
      <c r="AA17" s="148"/>
      <c r="AB17" s="148"/>
      <c r="AC17" s="148"/>
      <c r="AD17" s="148"/>
      <c r="AE17" s="148"/>
      <c r="AF17" s="148"/>
      <c r="AG17" s="148"/>
      <c r="AH17" s="148"/>
      <c r="AI17" s="148"/>
      <c r="AJ17" s="148"/>
      <c r="AK17" s="148"/>
      <c r="AL17" s="10"/>
      <c r="AM17" s="10"/>
      <c r="AN17" s="148"/>
      <c r="AO17" s="10"/>
      <c r="AP17" s="10"/>
      <c r="AQ17" s="10"/>
      <c r="AR17" s="10"/>
    </row>
    <row r="18" spans="1:51">
      <c r="A18" t="s">
        <v>444</v>
      </c>
      <c r="B18" s="479">
        <v>6.39</v>
      </c>
      <c r="C18" s="479">
        <v>5.67</v>
      </c>
      <c r="D18" s="479">
        <v>6.29</v>
      </c>
      <c r="E18" s="479">
        <v>7.04</v>
      </c>
      <c r="F18" s="479">
        <v>6.22</v>
      </c>
      <c r="G18" s="479">
        <v>5.55</v>
      </c>
      <c r="H18" s="479">
        <v>5.47</v>
      </c>
      <c r="I18" s="479">
        <v>5.28</v>
      </c>
      <c r="J18" s="479">
        <v>5.22</v>
      </c>
      <c r="K18" s="479">
        <v>5.91</v>
      </c>
      <c r="L18" s="479">
        <v>5.87</v>
      </c>
      <c r="M18" s="479">
        <v>6.56</v>
      </c>
      <c r="N18" s="8">
        <v>6.5</v>
      </c>
      <c r="O18" s="479">
        <v>6.6</v>
      </c>
      <c r="P18" s="479">
        <v>6.5</v>
      </c>
      <c r="Q18" s="8">
        <v>4.8</v>
      </c>
      <c r="R18" s="8">
        <v>4.8</v>
      </c>
      <c r="S18" s="8">
        <v>4.8</v>
      </c>
      <c r="T18" s="8">
        <v>4.0999999999999996</v>
      </c>
      <c r="U18" s="8">
        <v>7.3</v>
      </c>
      <c r="V18" s="8">
        <v>6.4</v>
      </c>
      <c r="W18" s="8"/>
      <c r="X18" s="8"/>
      <c r="Y18" s="8"/>
      <c r="Z18" s="8"/>
      <c r="AA18" s="148"/>
      <c r="AB18" s="148"/>
      <c r="AC18" s="148"/>
      <c r="AD18" s="148"/>
      <c r="AE18" s="148"/>
      <c r="AF18" s="148"/>
      <c r="AG18" s="148"/>
      <c r="AH18" s="148"/>
      <c r="AI18" s="148"/>
      <c r="AJ18" s="148"/>
      <c r="AK18" s="148"/>
      <c r="AL18" s="10"/>
      <c r="AM18" s="10"/>
      <c r="AN18" s="148"/>
      <c r="AO18" s="10"/>
      <c r="AP18" s="10"/>
      <c r="AQ18" s="10"/>
      <c r="AR18" s="10"/>
    </row>
    <row r="19" spans="1:51">
      <c r="AA19" s="148"/>
      <c r="AB19" s="148"/>
      <c r="AC19" s="148"/>
      <c r="AD19" s="148"/>
      <c r="AE19" s="148"/>
      <c r="AF19" s="148"/>
      <c r="AG19" s="148"/>
      <c r="AH19" s="148"/>
      <c r="AI19" s="148"/>
      <c r="AJ19" s="148"/>
      <c r="AK19" s="148"/>
      <c r="AL19" s="10"/>
      <c r="AM19" s="10"/>
      <c r="AN19" s="148"/>
      <c r="AO19" s="10"/>
      <c r="AP19" s="10"/>
      <c r="AQ19" s="10"/>
      <c r="AR19" s="10"/>
    </row>
    <row r="20" spans="1:51" ht="13.8" thickBot="1">
      <c r="A20" s="271" t="s">
        <v>91</v>
      </c>
      <c r="B20" s="267" t="s">
        <v>298</v>
      </c>
      <c r="C20" s="267" t="s">
        <v>103</v>
      </c>
      <c r="D20" s="267" t="s">
        <v>104</v>
      </c>
      <c r="E20" s="267" t="s">
        <v>105</v>
      </c>
      <c r="F20" s="267" t="s">
        <v>106</v>
      </c>
      <c r="G20" s="267" t="s">
        <v>107</v>
      </c>
      <c r="H20" s="267" t="s">
        <v>108</v>
      </c>
      <c r="I20" s="267" t="s">
        <v>109</v>
      </c>
      <c r="J20" s="267" t="s">
        <v>110</v>
      </c>
      <c r="K20" s="267" t="s">
        <v>111</v>
      </c>
      <c r="L20" s="267" t="s">
        <v>112</v>
      </c>
      <c r="M20" s="267" t="s">
        <v>113</v>
      </c>
      <c r="N20" s="356">
        <f>+N13</f>
        <v>40544</v>
      </c>
      <c r="O20" s="356">
        <f>+O13</f>
        <v>40575</v>
      </c>
      <c r="P20" s="356">
        <v>40603</v>
      </c>
      <c r="Q20" s="356">
        <v>40634</v>
      </c>
      <c r="R20" s="356">
        <v>40664</v>
      </c>
      <c r="S20" s="356">
        <v>40695</v>
      </c>
      <c r="T20" s="356">
        <v>40725</v>
      </c>
      <c r="U20" s="356">
        <v>40756</v>
      </c>
      <c r="V20" s="356">
        <v>40787</v>
      </c>
      <c r="W20" s="356">
        <v>40817</v>
      </c>
      <c r="X20" s="356"/>
      <c r="Y20" s="356"/>
      <c r="Z20" s="356"/>
      <c r="AA20" s="267" t="s">
        <v>98</v>
      </c>
      <c r="AL20" s="10"/>
      <c r="AM20" s="10"/>
      <c r="AN20" s="148"/>
      <c r="AO20" s="10"/>
      <c r="AP20" s="10"/>
      <c r="AQ20" s="10"/>
      <c r="AR20" s="10"/>
    </row>
    <row r="21" spans="1:51">
      <c r="A21" t="s">
        <v>293</v>
      </c>
      <c r="B21" s="8">
        <v>2</v>
      </c>
      <c r="C21" s="8">
        <v>2</v>
      </c>
      <c r="D21" s="8">
        <v>1</v>
      </c>
      <c r="E21" s="8">
        <v>0</v>
      </c>
      <c r="F21" s="8">
        <v>1</v>
      </c>
      <c r="G21" s="8">
        <v>1</v>
      </c>
      <c r="H21" s="8">
        <v>0</v>
      </c>
      <c r="I21" s="8">
        <v>1</v>
      </c>
      <c r="J21" s="8">
        <v>2</v>
      </c>
      <c r="K21" s="8">
        <v>1</v>
      </c>
      <c r="L21" s="8">
        <v>0</v>
      </c>
      <c r="M21" s="8">
        <v>0</v>
      </c>
      <c r="N21" s="8">
        <v>2</v>
      </c>
      <c r="O21" s="8">
        <v>0</v>
      </c>
      <c r="P21" s="8">
        <v>2</v>
      </c>
      <c r="Q21" s="8"/>
      <c r="R21" s="8">
        <f>SUM(B21:Q21)</f>
        <v>15</v>
      </c>
      <c r="S21" s="8"/>
      <c r="T21" s="8"/>
      <c r="U21" s="8"/>
      <c r="V21" s="8"/>
      <c r="W21" s="8"/>
      <c r="X21" s="8"/>
      <c r="Y21" s="8"/>
      <c r="Z21" s="8"/>
      <c r="AA21" s="148"/>
      <c r="AB21" s="148"/>
      <c r="AC21" s="148"/>
      <c r="AD21" s="148"/>
      <c r="AE21" s="148"/>
      <c r="AF21" s="148"/>
      <c r="AG21" s="148"/>
      <c r="AH21" s="148"/>
      <c r="AI21" s="148"/>
      <c r="AJ21" s="148"/>
      <c r="AK21" s="148"/>
      <c r="AL21" s="10"/>
      <c r="AM21" s="10"/>
      <c r="AN21" s="148"/>
      <c r="AO21" s="10"/>
      <c r="AP21" s="10"/>
      <c r="AQ21" s="10"/>
      <c r="AR21" s="10"/>
    </row>
    <row r="22" spans="1:51">
      <c r="A22" t="s">
        <v>294</v>
      </c>
      <c r="B22" s="8">
        <v>0</v>
      </c>
      <c r="C22" s="8">
        <v>0</v>
      </c>
      <c r="D22" s="8">
        <v>0</v>
      </c>
      <c r="E22" s="8">
        <v>0</v>
      </c>
      <c r="F22" s="8">
        <v>0</v>
      </c>
      <c r="G22" s="8">
        <v>0</v>
      </c>
      <c r="H22" s="8">
        <v>0</v>
      </c>
      <c r="I22" s="8">
        <v>1</v>
      </c>
      <c r="J22" s="8">
        <v>0</v>
      </c>
      <c r="K22" s="8">
        <v>0</v>
      </c>
      <c r="L22" s="8">
        <v>0</v>
      </c>
      <c r="M22" s="8">
        <v>2</v>
      </c>
      <c r="N22" s="8">
        <v>0</v>
      </c>
      <c r="O22" s="8">
        <v>0</v>
      </c>
      <c r="P22" s="8">
        <v>0</v>
      </c>
      <c r="Q22" s="8"/>
      <c r="R22" s="8">
        <f>SUM(B22:Q22)</f>
        <v>3</v>
      </c>
      <c r="S22" s="8"/>
      <c r="T22" s="8"/>
      <c r="U22" s="8"/>
      <c r="V22" s="8"/>
      <c r="W22" s="8"/>
      <c r="X22" s="8"/>
      <c r="Y22" s="8"/>
      <c r="Z22" s="8"/>
      <c r="AA22" s="148"/>
      <c r="AB22" s="148"/>
      <c r="AC22" s="148"/>
      <c r="AD22" s="148"/>
      <c r="AE22" s="148"/>
      <c r="AF22" s="148"/>
      <c r="AG22" s="148"/>
      <c r="AH22" s="148"/>
      <c r="AI22" s="148"/>
      <c r="AJ22" s="148"/>
      <c r="AK22" s="148"/>
      <c r="AL22" s="10"/>
      <c r="AM22" s="10"/>
      <c r="AN22" s="148"/>
      <c r="AO22" s="10"/>
      <c r="AP22" s="10"/>
      <c r="AQ22" s="10"/>
      <c r="AR22" s="10"/>
    </row>
    <row r="23" spans="1:51" ht="13.8" thickBot="1">
      <c r="A23" s="270" t="s">
        <v>295</v>
      </c>
      <c r="B23" s="267">
        <v>2</v>
      </c>
      <c r="C23" s="267">
        <v>0</v>
      </c>
      <c r="D23" s="267">
        <v>0</v>
      </c>
      <c r="E23" s="267">
        <v>0</v>
      </c>
      <c r="F23" s="267">
        <v>0</v>
      </c>
      <c r="G23" s="267">
        <v>2</v>
      </c>
      <c r="H23" s="267">
        <v>0</v>
      </c>
      <c r="I23" s="267">
        <v>1</v>
      </c>
      <c r="J23" s="267">
        <v>1</v>
      </c>
      <c r="K23" s="267">
        <v>1</v>
      </c>
      <c r="L23" s="267">
        <v>2</v>
      </c>
      <c r="M23" s="267">
        <v>0</v>
      </c>
      <c r="N23" s="267">
        <v>2</v>
      </c>
      <c r="O23" s="267">
        <v>2</v>
      </c>
      <c r="P23" s="267">
        <v>1</v>
      </c>
      <c r="Q23" s="267"/>
      <c r="R23" s="267">
        <f>SUM(B23:Q23)</f>
        <v>14</v>
      </c>
      <c r="S23" s="8"/>
      <c r="T23" s="8"/>
      <c r="U23" s="8"/>
      <c r="V23" s="8"/>
      <c r="W23" s="8"/>
      <c r="X23" s="8"/>
      <c r="Y23" s="8"/>
      <c r="Z23" s="8"/>
      <c r="AA23" s="148"/>
      <c r="AB23" s="148"/>
      <c r="AC23" s="682"/>
      <c r="AD23" s="682"/>
      <c r="AE23" s="682"/>
      <c r="AF23" s="682"/>
      <c r="AG23" s="682"/>
      <c r="AH23" s="682"/>
      <c r="AI23" s="682"/>
      <c r="AJ23" s="682"/>
      <c r="AK23" s="682"/>
      <c r="AL23" s="10"/>
      <c r="AM23" s="10"/>
      <c r="AN23" s="148"/>
      <c r="AO23" s="10"/>
      <c r="AP23" s="10"/>
      <c r="AQ23" s="10"/>
      <c r="AR23" s="10"/>
    </row>
    <row r="24" spans="1:51">
      <c r="A24" t="s">
        <v>55</v>
      </c>
      <c r="B24" s="8">
        <f t="shared" ref="B24:P24" si="11">SUM(B21:B23)</f>
        <v>4</v>
      </c>
      <c r="C24" s="8">
        <f t="shared" si="11"/>
        <v>2</v>
      </c>
      <c r="D24" s="8">
        <f t="shared" si="11"/>
        <v>1</v>
      </c>
      <c r="E24" s="8">
        <f t="shared" si="11"/>
        <v>0</v>
      </c>
      <c r="F24" s="8">
        <f t="shared" si="11"/>
        <v>1</v>
      </c>
      <c r="G24" s="8">
        <f t="shared" si="11"/>
        <v>3</v>
      </c>
      <c r="H24" s="8">
        <f t="shared" si="11"/>
        <v>0</v>
      </c>
      <c r="I24" s="8">
        <f t="shared" si="11"/>
        <v>3</v>
      </c>
      <c r="J24" s="8">
        <f t="shared" si="11"/>
        <v>3</v>
      </c>
      <c r="K24" s="8">
        <f t="shared" si="11"/>
        <v>2</v>
      </c>
      <c r="L24" s="8">
        <f t="shared" si="11"/>
        <v>2</v>
      </c>
      <c r="M24" s="8">
        <f t="shared" si="11"/>
        <v>2</v>
      </c>
      <c r="N24" s="8">
        <f t="shared" si="11"/>
        <v>4</v>
      </c>
      <c r="O24" s="8">
        <f t="shared" si="11"/>
        <v>2</v>
      </c>
      <c r="P24" s="8">
        <f t="shared" si="11"/>
        <v>3</v>
      </c>
      <c r="Q24" s="8"/>
      <c r="R24" s="8">
        <f>SUM(C24:N24)</f>
        <v>23</v>
      </c>
      <c r="S24" s="8"/>
      <c r="T24" s="8"/>
      <c r="U24" s="8"/>
      <c r="V24" s="8"/>
      <c r="W24" s="8"/>
      <c r="X24" s="8"/>
      <c r="Y24" s="8"/>
      <c r="Z24" s="8"/>
      <c r="AA24" s="148"/>
      <c r="AB24" s="148"/>
      <c r="AC24" s="148"/>
      <c r="AD24" s="148"/>
      <c r="AE24" s="148"/>
      <c r="AF24" s="148"/>
      <c r="AG24" s="148"/>
      <c r="AH24" s="148"/>
      <c r="AI24" s="148"/>
      <c r="AJ24" s="148"/>
      <c r="AK24" s="148"/>
      <c r="AL24" s="10"/>
      <c r="AM24" s="10"/>
      <c r="AN24" s="148"/>
      <c r="AO24" s="10"/>
      <c r="AP24" s="10"/>
      <c r="AQ24" s="10"/>
      <c r="AR24" s="10"/>
    </row>
    <row r="25" spans="1:51">
      <c r="A25" t="s">
        <v>444</v>
      </c>
      <c r="B25" s="479">
        <v>2.91</v>
      </c>
      <c r="C25" s="479">
        <v>3.83</v>
      </c>
      <c r="D25" s="479">
        <v>4.26</v>
      </c>
      <c r="E25" s="479">
        <v>3.76</v>
      </c>
      <c r="F25" s="479">
        <v>4.12</v>
      </c>
      <c r="G25" s="479">
        <v>4.51</v>
      </c>
      <c r="H25" s="479">
        <v>4.42</v>
      </c>
      <c r="I25" s="479">
        <v>4.34</v>
      </c>
      <c r="J25" s="479">
        <v>5.18</v>
      </c>
      <c r="K25" s="479">
        <v>5.18</v>
      </c>
      <c r="L25" s="479">
        <v>4.76</v>
      </c>
      <c r="M25" s="479">
        <v>4.79</v>
      </c>
      <c r="N25" s="8">
        <v>4.46</v>
      </c>
      <c r="O25" s="479">
        <v>3.61</v>
      </c>
      <c r="P25" s="571">
        <v>6</v>
      </c>
      <c r="AA25" s="148"/>
      <c r="AB25" s="148"/>
      <c r="AC25" s="148"/>
      <c r="AD25" s="148"/>
      <c r="AE25" s="148"/>
      <c r="AF25" s="148"/>
      <c r="AG25" s="148"/>
      <c r="AH25" s="148"/>
      <c r="AI25" s="148"/>
      <c r="AJ25" s="148"/>
      <c r="AK25" s="148"/>
      <c r="AL25" s="10"/>
      <c r="AM25" s="10"/>
      <c r="AN25" s="148"/>
      <c r="AO25" s="10"/>
      <c r="AP25" s="10"/>
      <c r="AQ25" s="10"/>
      <c r="AR25" s="10"/>
    </row>
    <row r="26" spans="1:51">
      <c r="B26" s="479"/>
      <c r="C26" s="479"/>
      <c r="D26" s="479"/>
      <c r="E26" s="479"/>
      <c r="F26" s="479"/>
      <c r="G26" s="479"/>
      <c r="H26" s="479"/>
      <c r="I26" s="479"/>
      <c r="J26" s="479"/>
      <c r="K26" s="479"/>
      <c r="L26" s="479"/>
      <c r="M26" s="479"/>
      <c r="N26" s="8"/>
      <c r="O26" s="479"/>
      <c r="P26" s="571"/>
      <c r="AA26" s="148"/>
      <c r="AB26" s="148"/>
      <c r="AC26" s="148"/>
      <c r="AD26" s="148"/>
      <c r="AE26" s="148"/>
      <c r="AF26" s="148"/>
      <c r="AG26" s="148"/>
      <c r="AH26" s="148"/>
      <c r="AI26" s="148"/>
      <c r="AJ26" s="148"/>
      <c r="AK26" s="148"/>
      <c r="AL26" s="10"/>
      <c r="AM26" s="10"/>
      <c r="AN26" s="148"/>
      <c r="AO26" s="10"/>
      <c r="AP26" s="10"/>
      <c r="AQ26" s="10"/>
      <c r="AR26" s="10"/>
    </row>
    <row r="27" spans="1:51" ht="13.8" thickBot="1">
      <c r="A27" s="271" t="s">
        <v>428</v>
      </c>
      <c r="B27" s="267" t="s">
        <v>298</v>
      </c>
      <c r="C27" s="267" t="s">
        <v>103</v>
      </c>
      <c r="D27" s="267" t="s">
        <v>104</v>
      </c>
      <c r="E27" s="267" t="s">
        <v>105</v>
      </c>
      <c r="F27" s="267" t="s">
        <v>106</v>
      </c>
      <c r="G27" s="267" t="s">
        <v>107</v>
      </c>
      <c r="H27" s="267" t="s">
        <v>108</v>
      </c>
      <c r="I27" s="267" t="s">
        <v>109</v>
      </c>
      <c r="J27" s="267" t="s">
        <v>110</v>
      </c>
      <c r="K27" s="267" t="s">
        <v>111</v>
      </c>
      <c r="L27" s="267" t="s">
        <v>112</v>
      </c>
      <c r="M27" s="267" t="s">
        <v>113</v>
      </c>
      <c r="N27" s="356">
        <f>+N20</f>
        <v>40544</v>
      </c>
      <c r="O27" s="356">
        <f>+O20</f>
        <v>40575</v>
      </c>
      <c r="P27" s="356">
        <v>40603</v>
      </c>
      <c r="Q27" s="356">
        <v>40634</v>
      </c>
      <c r="R27" s="356">
        <v>40664</v>
      </c>
      <c r="S27" s="356">
        <v>40695</v>
      </c>
      <c r="T27" s="356">
        <v>40725</v>
      </c>
      <c r="U27" s="356">
        <v>40756</v>
      </c>
      <c r="V27" s="356">
        <v>40787</v>
      </c>
      <c r="W27" s="356">
        <v>40817</v>
      </c>
      <c r="X27" s="356"/>
      <c r="Y27" s="356"/>
      <c r="Z27" s="356"/>
      <c r="AA27" s="267" t="s">
        <v>98</v>
      </c>
      <c r="AL27" s="10"/>
      <c r="AM27" s="10"/>
      <c r="AN27" s="148"/>
      <c r="AO27" s="10"/>
      <c r="AP27" s="10"/>
      <c r="AQ27" s="10"/>
      <c r="AR27" s="10"/>
    </row>
    <row r="28" spans="1:51" ht="17.25" customHeight="1">
      <c r="A28" t="s">
        <v>293</v>
      </c>
      <c r="B28" s="8">
        <v>0</v>
      </c>
      <c r="C28" s="8">
        <v>0</v>
      </c>
      <c r="D28" s="8">
        <v>0</v>
      </c>
      <c r="E28" s="8">
        <v>0</v>
      </c>
      <c r="F28" s="8">
        <v>0</v>
      </c>
      <c r="G28" s="8">
        <v>0</v>
      </c>
      <c r="H28" s="8">
        <v>0</v>
      </c>
      <c r="I28" s="8">
        <v>0</v>
      </c>
      <c r="J28" s="8">
        <v>0</v>
      </c>
      <c r="K28" s="8">
        <v>0</v>
      </c>
      <c r="L28" s="8">
        <v>0</v>
      </c>
      <c r="M28" s="8">
        <v>0</v>
      </c>
      <c r="N28" s="8">
        <v>0</v>
      </c>
      <c r="O28" s="8">
        <v>0</v>
      </c>
      <c r="P28" s="8">
        <v>0</v>
      </c>
      <c r="Q28" s="8"/>
      <c r="R28" s="8">
        <f>SUM(B28:Q28)</f>
        <v>0</v>
      </c>
      <c r="S28" s="8"/>
      <c r="T28" s="8"/>
      <c r="U28" s="8"/>
      <c r="V28" s="8"/>
      <c r="W28" s="8"/>
      <c r="X28" s="8"/>
      <c r="Y28" s="8"/>
      <c r="Z28" s="8"/>
      <c r="AA28" s="148"/>
      <c r="AB28" s="148"/>
      <c r="AC28" s="148"/>
      <c r="AD28" s="148"/>
      <c r="AE28" s="148"/>
      <c r="AF28" s="148"/>
      <c r="AG28" s="148"/>
      <c r="AH28" s="148"/>
      <c r="AI28" s="148"/>
      <c r="AJ28" s="148"/>
      <c r="AK28" s="148"/>
      <c r="AO28" s="10"/>
      <c r="AP28" s="572" t="s">
        <v>537</v>
      </c>
      <c r="AQ28" s="572" t="s">
        <v>467</v>
      </c>
      <c r="AR28" s="10"/>
      <c r="AY28" s="556"/>
    </row>
    <row r="29" spans="1:51">
      <c r="A29" t="s">
        <v>294</v>
      </c>
      <c r="B29" s="8">
        <v>0</v>
      </c>
      <c r="C29" s="8">
        <v>0</v>
      </c>
      <c r="D29" s="8">
        <v>0</v>
      </c>
      <c r="E29" s="8">
        <v>0</v>
      </c>
      <c r="F29" s="8">
        <v>0</v>
      </c>
      <c r="G29" s="8">
        <v>0</v>
      </c>
      <c r="H29" s="8">
        <v>0</v>
      </c>
      <c r="I29" s="8">
        <v>0</v>
      </c>
      <c r="J29" s="8">
        <v>0</v>
      </c>
      <c r="K29" s="8">
        <v>1</v>
      </c>
      <c r="L29" s="8">
        <v>0</v>
      </c>
      <c r="M29" s="8">
        <v>0</v>
      </c>
      <c r="N29" s="8">
        <v>0</v>
      </c>
      <c r="O29" s="8">
        <v>0</v>
      </c>
      <c r="P29" s="8">
        <v>0</v>
      </c>
      <c r="Q29" s="8"/>
      <c r="R29" s="8">
        <f>SUM(B29:Q29)</f>
        <v>1</v>
      </c>
      <c r="S29" s="8"/>
      <c r="T29" s="8"/>
      <c r="U29" s="8"/>
      <c r="V29" s="8"/>
      <c r="W29" s="8"/>
      <c r="X29" s="8"/>
      <c r="Y29" s="8"/>
      <c r="Z29" s="8"/>
      <c r="AA29" s="148"/>
      <c r="AB29" s="148"/>
      <c r="AC29" s="148"/>
      <c r="AD29" s="148"/>
      <c r="AE29" s="148"/>
      <c r="AF29" s="148"/>
      <c r="AG29" s="148"/>
      <c r="AH29" s="148"/>
      <c r="AI29" s="148"/>
      <c r="AJ29" s="148"/>
      <c r="AK29" s="148"/>
      <c r="AL29" s="572" t="s">
        <v>461</v>
      </c>
      <c r="AM29" s="572" t="s">
        <v>462</v>
      </c>
      <c r="AN29" s="572" t="s">
        <v>463</v>
      </c>
      <c r="AO29" s="10"/>
      <c r="AP29" s="138" t="s">
        <v>454</v>
      </c>
      <c r="AQ29" s="469">
        <v>25</v>
      </c>
      <c r="AR29" s="10"/>
    </row>
    <row r="30" spans="1:51" ht="13.8" thickBot="1">
      <c r="A30" s="270" t="s">
        <v>295</v>
      </c>
      <c r="B30" s="267">
        <v>0</v>
      </c>
      <c r="C30" s="267">
        <v>0</v>
      </c>
      <c r="D30" s="267">
        <v>0</v>
      </c>
      <c r="E30" s="267">
        <v>1</v>
      </c>
      <c r="F30" s="267">
        <v>0</v>
      </c>
      <c r="G30" s="267">
        <v>0</v>
      </c>
      <c r="H30" s="267">
        <v>0</v>
      </c>
      <c r="I30" s="267">
        <v>0</v>
      </c>
      <c r="J30" s="267">
        <v>1</v>
      </c>
      <c r="K30" s="267">
        <v>0</v>
      </c>
      <c r="L30" s="267">
        <v>0</v>
      </c>
      <c r="M30" s="267">
        <v>0</v>
      </c>
      <c r="N30" s="267">
        <v>1</v>
      </c>
      <c r="O30" s="267">
        <v>0</v>
      </c>
      <c r="P30" s="267">
        <v>2</v>
      </c>
      <c r="Q30" s="267"/>
      <c r="R30" s="267">
        <f>SUM(B30:Q30)</f>
        <v>5</v>
      </c>
      <c r="S30" s="8"/>
      <c r="T30" s="8"/>
      <c r="U30" s="8"/>
      <c r="V30" s="8"/>
      <c r="W30" s="8"/>
      <c r="X30" s="8"/>
      <c r="Y30" s="8"/>
      <c r="Z30" s="8"/>
      <c r="AA30" s="148" t="s">
        <v>380</v>
      </c>
      <c r="AB30" s="148"/>
      <c r="AC30" s="148"/>
      <c r="AD30" s="148"/>
      <c r="AE30" s="148"/>
      <c r="AF30" s="148"/>
      <c r="AG30" s="148"/>
      <c r="AH30" s="148"/>
      <c r="AI30" s="148"/>
      <c r="AJ30" s="148"/>
      <c r="AK30" s="148"/>
      <c r="AL30" s="3266" t="s">
        <v>447</v>
      </c>
      <c r="AM30" s="469" t="s">
        <v>457</v>
      </c>
      <c r="AN30" s="469">
        <v>1</v>
      </c>
      <c r="AO30" s="10"/>
      <c r="AP30" s="138" t="s">
        <v>468</v>
      </c>
      <c r="AQ30" s="469">
        <v>11</v>
      </c>
      <c r="AR30" s="10"/>
    </row>
    <row r="31" spans="1:51">
      <c r="A31" t="s">
        <v>55</v>
      </c>
      <c r="B31" s="8">
        <f t="shared" ref="B31:N31" si="12">SUM(B28:B30)</f>
        <v>0</v>
      </c>
      <c r="C31" s="8">
        <f t="shared" si="12"/>
        <v>0</v>
      </c>
      <c r="D31" s="8">
        <f t="shared" si="12"/>
        <v>0</v>
      </c>
      <c r="E31" s="8">
        <f t="shared" si="12"/>
        <v>1</v>
      </c>
      <c r="F31" s="8">
        <f t="shared" si="12"/>
        <v>0</v>
      </c>
      <c r="G31" s="8">
        <f t="shared" si="12"/>
        <v>0</v>
      </c>
      <c r="H31" s="8">
        <f t="shared" si="12"/>
        <v>0</v>
      </c>
      <c r="I31" s="8">
        <f t="shared" si="12"/>
        <v>0</v>
      </c>
      <c r="J31" s="8">
        <f t="shared" si="12"/>
        <v>1</v>
      </c>
      <c r="K31" s="8">
        <f t="shared" si="12"/>
        <v>1</v>
      </c>
      <c r="L31" s="8">
        <f t="shared" si="12"/>
        <v>0</v>
      </c>
      <c r="M31" s="8">
        <f t="shared" si="12"/>
        <v>0</v>
      </c>
      <c r="N31" s="8">
        <f t="shared" si="12"/>
        <v>1</v>
      </c>
      <c r="O31" s="8">
        <f>SUM(O28:O30)</f>
        <v>0</v>
      </c>
      <c r="P31" s="8">
        <f>SUM(P28:P30)</f>
        <v>2</v>
      </c>
      <c r="Q31" s="8"/>
      <c r="R31" s="8">
        <f>SUM(C31:N31)</f>
        <v>4</v>
      </c>
      <c r="S31" s="8"/>
      <c r="T31" s="8"/>
      <c r="U31" s="8"/>
      <c r="V31" s="8"/>
      <c r="W31" s="8"/>
      <c r="X31" s="8"/>
      <c r="Y31" s="8"/>
      <c r="Z31" s="8"/>
      <c r="AA31" s="148"/>
      <c r="AB31" s="148"/>
      <c r="AC31" s="148"/>
      <c r="AD31" s="148"/>
      <c r="AE31" s="148"/>
      <c r="AF31" s="148"/>
      <c r="AG31" s="148"/>
      <c r="AH31" s="148"/>
      <c r="AI31" s="148"/>
      <c r="AJ31" s="148"/>
      <c r="AK31" s="148"/>
      <c r="AL31" s="3268"/>
      <c r="AM31" s="469" t="s">
        <v>458</v>
      </c>
      <c r="AN31" s="469">
        <v>1</v>
      </c>
      <c r="AO31" s="10"/>
      <c r="AP31" s="138" t="s">
        <v>448</v>
      </c>
      <c r="AQ31" s="469">
        <v>6</v>
      </c>
      <c r="AR31" s="10"/>
    </row>
    <row r="32" spans="1:51">
      <c r="A32" t="s">
        <v>444</v>
      </c>
      <c r="B32" s="479">
        <v>0</v>
      </c>
      <c r="C32" s="479">
        <v>0</v>
      </c>
      <c r="D32" s="479">
        <v>0</v>
      </c>
      <c r="E32" s="479">
        <v>0</v>
      </c>
      <c r="F32" s="479">
        <v>0</v>
      </c>
      <c r="G32" s="479">
        <v>0</v>
      </c>
      <c r="H32" s="479">
        <v>0</v>
      </c>
      <c r="I32" s="479">
        <v>0</v>
      </c>
      <c r="J32" s="479">
        <v>0</v>
      </c>
      <c r="K32" s="479">
        <v>3.06</v>
      </c>
      <c r="L32" s="479">
        <v>0</v>
      </c>
      <c r="M32" s="479">
        <v>0</v>
      </c>
      <c r="N32" s="8">
        <v>0</v>
      </c>
      <c r="O32" s="479">
        <v>0</v>
      </c>
      <c r="P32" s="479">
        <v>3.4</v>
      </c>
      <c r="AA32" s="148"/>
      <c r="AB32" s="148"/>
      <c r="AC32" s="148"/>
      <c r="AD32" s="148"/>
      <c r="AE32" s="148"/>
      <c r="AF32" s="148"/>
      <c r="AG32" s="148"/>
      <c r="AH32" s="148"/>
      <c r="AI32" s="148"/>
      <c r="AJ32" s="148"/>
      <c r="AK32" s="148"/>
      <c r="AL32" s="3268"/>
      <c r="AM32" s="469" t="s">
        <v>460</v>
      </c>
      <c r="AN32" s="469">
        <v>1</v>
      </c>
      <c r="AO32" s="10"/>
      <c r="AP32" s="690" t="s">
        <v>558</v>
      </c>
      <c r="AQ32" s="355">
        <v>3</v>
      </c>
      <c r="AR32" s="10"/>
    </row>
    <row r="33" spans="1:59">
      <c r="B33" s="479"/>
      <c r="C33" s="479"/>
      <c r="D33" s="479"/>
      <c r="E33" s="479"/>
      <c r="F33" s="479"/>
      <c r="G33" s="479"/>
      <c r="H33" s="479"/>
      <c r="I33" s="479"/>
      <c r="J33" s="479"/>
      <c r="K33" s="479"/>
      <c r="L33" s="479"/>
      <c r="M33" s="479"/>
      <c r="N33" s="8"/>
      <c r="O33" s="479"/>
      <c r="P33" s="479"/>
      <c r="AA33" s="148"/>
      <c r="AB33" s="148"/>
      <c r="AC33" s="148"/>
      <c r="AD33" s="148"/>
      <c r="AE33" s="148"/>
      <c r="AF33" s="148"/>
      <c r="AG33" s="148"/>
      <c r="AH33" s="148"/>
      <c r="AI33" s="148"/>
      <c r="AJ33" s="148"/>
      <c r="AK33" s="148"/>
      <c r="AL33" s="3268"/>
      <c r="AM33" s="469" t="s">
        <v>464</v>
      </c>
      <c r="AN33" s="469">
        <v>1</v>
      </c>
      <c r="AO33" s="10"/>
      <c r="AP33" s="689" t="s">
        <v>557</v>
      </c>
      <c r="AQ33" s="469">
        <v>2</v>
      </c>
      <c r="AR33" s="10"/>
      <c r="AT33" t="s">
        <v>512</v>
      </c>
      <c r="AU33" s="8" t="s">
        <v>102</v>
      </c>
      <c r="AV33" s="8" t="s">
        <v>103</v>
      </c>
      <c r="AW33" s="8" t="s">
        <v>104</v>
      </c>
      <c r="AX33" s="8" t="s">
        <v>513</v>
      </c>
      <c r="AY33" s="8" t="s">
        <v>106</v>
      </c>
      <c r="AZ33" s="8" t="s">
        <v>107</v>
      </c>
      <c r="BA33" s="8" t="s">
        <v>108</v>
      </c>
      <c r="BB33" s="8" t="s">
        <v>109</v>
      </c>
      <c r="BC33" s="8" t="s">
        <v>110</v>
      </c>
      <c r="BD33" s="8" t="s">
        <v>111</v>
      </c>
      <c r="BE33" s="8" t="s">
        <v>112</v>
      </c>
      <c r="BF33" s="8" t="s">
        <v>113</v>
      </c>
    </row>
    <row r="34" spans="1:59" ht="13.8" thickBot="1">
      <c r="A34" s="271" t="s">
        <v>542</v>
      </c>
      <c r="B34" s="267" t="s">
        <v>298</v>
      </c>
      <c r="C34" s="267" t="s">
        <v>103</v>
      </c>
      <c r="D34" s="267" t="s">
        <v>104</v>
      </c>
      <c r="E34" s="267" t="s">
        <v>105</v>
      </c>
      <c r="F34" s="267" t="s">
        <v>106</v>
      </c>
      <c r="G34" s="267" t="s">
        <v>107</v>
      </c>
      <c r="H34" s="267" t="s">
        <v>108</v>
      </c>
      <c r="I34" s="267" t="s">
        <v>109</v>
      </c>
      <c r="J34" s="267" t="s">
        <v>110</v>
      </c>
      <c r="K34" s="267" t="s">
        <v>111</v>
      </c>
      <c r="L34" s="267" t="s">
        <v>112</v>
      </c>
      <c r="M34" s="267" t="s">
        <v>113</v>
      </c>
      <c r="N34" s="356">
        <f>+N27</f>
        <v>40544</v>
      </c>
      <c r="O34" s="356">
        <f>+O27</f>
        <v>40575</v>
      </c>
      <c r="P34" s="356">
        <v>40603</v>
      </c>
      <c r="Q34" s="356">
        <v>40634</v>
      </c>
      <c r="R34" s="356">
        <v>40664</v>
      </c>
      <c r="S34" s="356">
        <v>40695</v>
      </c>
      <c r="T34" s="356">
        <v>40725</v>
      </c>
      <c r="U34" s="356">
        <v>40756</v>
      </c>
      <c r="V34" s="356">
        <v>40787</v>
      </c>
      <c r="W34" s="356">
        <v>40817</v>
      </c>
      <c r="X34" s="356"/>
      <c r="Y34" s="356"/>
      <c r="Z34" s="356"/>
      <c r="AA34" s="267" t="s">
        <v>98</v>
      </c>
      <c r="AL34" s="3267"/>
      <c r="AM34" s="469" t="s">
        <v>532</v>
      </c>
      <c r="AN34" s="543">
        <v>1</v>
      </c>
      <c r="AO34" s="10"/>
      <c r="AP34" s="672" t="s">
        <v>552</v>
      </c>
      <c r="AQ34" s="469">
        <v>2</v>
      </c>
      <c r="AR34" s="10"/>
      <c r="AT34">
        <v>2009</v>
      </c>
      <c r="AU34">
        <v>49</v>
      </c>
      <c r="AV34">
        <f>+AU34+37</f>
        <v>86</v>
      </c>
      <c r="AW34">
        <f>+AV34+24</f>
        <v>110</v>
      </c>
      <c r="AX34">
        <f>+AW34+25</f>
        <v>135</v>
      </c>
      <c r="AY34">
        <f>+AX34+39</f>
        <v>174</v>
      </c>
      <c r="AZ34">
        <f>+AY34+6054</f>
        <v>6228</v>
      </c>
      <c r="BA34">
        <f>+AZ34+51</f>
        <v>6279</v>
      </c>
      <c r="BB34">
        <f>+BA34+1827</f>
        <v>8106</v>
      </c>
      <c r="BC34">
        <f>+BB34+13</f>
        <v>8119</v>
      </c>
      <c r="BD34">
        <f>+BC34+52</f>
        <v>8171</v>
      </c>
      <c r="BE34">
        <f>+BD34+58</f>
        <v>8229</v>
      </c>
      <c r="BF34">
        <f>+BE34+2</f>
        <v>8231</v>
      </c>
      <c r="BG34" s="242" t="s">
        <v>559</v>
      </c>
    </row>
    <row r="35" spans="1:59">
      <c r="A35" t="s">
        <v>293</v>
      </c>
      <c r="B35" s="8">
        <v>0</v>
      </c>
      <c r="C35" s="8">
        <v>1</v>
      </c>
      <c r="D35" s="8">
        <v>1</v>
      </c>
      <c r="E35" s="8">
        <v>1</v>
      </c>
      <c r="F35" s="8">
        <v>0</v>
      </c>
      <c r="G35" s="8">
        <v>0</v>
      </c>
      <c r="H35" s="8">
        <v>0</v>
      </c>
      <c r="I35" s="8">
        <v>1</v>
      </c>
      <c r="J35" s="8">
        <v>0</v>
      </c>
      <c r="K35" s="8">
        <v>0</v>
      </c>
      <c r="L35" s="8">
        <v>0</v>
      </c>
      <c r="M35" s="8">
        <v>0</v>
      </c>
      <c r="N35" s="8">
        <v>0</v>
      </c>
      <c r="O35" s="8">
        <v>0</v>
      </c>
      <c r="P35" s="8">
        <v>0</v>
      </c>
      <c r="Q35" s="8">
        <v>1</v>
      </c>
      <c r="R35" s="8">
        <v>0</v>
      </c>
      <c r="S35" s="8">
        <v>0</v>
      </c>
      <c r="T35" s="8">
        <v>0</v>
      </c>
      <c r="U35" s="8">
        <v>0</v>
      </c>
      <c r="V35" s="8">
        <v>0</v>
      </c>
      <c r="W35" s="8">
        <v>0</v>
      </c>
      <c r="X35" s="8"/>
      <c r="Y35" s="8"/>
      <c r="Z35" s="8"/>
      <c r="AA35" s="8">
        <f>SUM(N35:W35)</f>
        <v>1</v>
      </c>
      <c r="AL35" s="3266" t="s">
        <v>448</v>
      </c>
      <c r="AM35" s="469" t="s">
        <v>459</v>
      </c>
      <c r="AN35" s="469">
        <v>1</v>
      </c>
      <c r="AO35" s="10"/>
      <c r="AP35" s="137" t="s">
        <v>570</v>
      </c>
      <c r="AQ35" s="469">
        <v>1</v>
      </c>
      <c r="AR35" s="10"/>
      <c r="AT35">
        <v>2010</v>
      </c>
      <c r="AU35">
        <v>90</v>
      </c>
      <c r="AV35">
        <f>+AU35+90</f>
        <v>180</v>
      </c>
      <c r="AW35">
        <f>+AV35+146</f>
        <v>326</v>
      </c>
      <c r="AX35">
        <f>+AW35+37</f>
        <v>363</v>
      </c>
      <c r="AY35">
        <f>+AX35+35</f>
        <v>398</v>
      </c>
      <c r="AZ35">
        <f>+AY35+97</f>
        <v>495</v>
      </c>
      <c r="BA35">
        <f>+AZ35+56+110</f>
        <v>661</v>
      </c>
      <c r="BB35">
        <f>+BA35+178</f>
        <v>839</v>
      </c>
      <c r="BC35">
        <f>+BB35+43</f>
        <v>882</v>
      </c>
      <c r="BD35">
        <f>+BC35+56</f>
        <v>938</v>
      </c>
      <c r="BE35">
        <f>+BD35+0</f>
        <v>938</v>
      </c>
      <c r="BF35">
        <f>+BE35+33+140</f>
        <v>1111</v>
      </c>
      <c r="BG35" s="242" t="s">
        <v>571</v>
      </c>
    </row>
    <row r="36" spans="1:59">
      <c r="A36" t="s">
        <v>294</v>
      </c>
      <c r="B36" s="8">
        <v>0</v>
      </c>
      <c r="C36" s="8">
        <v>0</v>
      </c>
      <c r="D36" s="8">
        <v>0</v>
      </c>
      <c r="E36" s="8">
        <v>0</v>
      </c>
      <c r="F36" s="8">
        <v>0</v>
      </c>
      <c r="G36" s="8">
        <v>0</v>
      </c>
      <c r="H36" s="8">
        <v>0</v>
      </c>
      <c r="I36" s="8">
        <v>0</v>
      </c>
      <c r="J36" s="8">
        <v>0</v>
      </c>
      <c r="K36" s="8">
        <v>0</v>
      </c>
      <c r="L36" s="8">
        <v>0</v>
      </c>
      <c r="M36" s="8">
        <v>1</v>
      </c>
      <c r="N36" s="8">
        <v>0</v>
      </c>
      <c r="O36" s="8">
        <v>0</v>
      </c>
      <c r="P36" s="8">
        <v>0</v>
      </c>
      <c r="Q36" s="8">
        <v>1</v>
      </c>
      <c r="R36" s="8">
        <v>0</v>
      </c>
      <c r="S36" s="8">
        <v>0</v>
      </c>
      <c r="T36" s="8">
        <v>0</v>
      </c>
      <c r="U36" s="8">
        <v>0</v>
      </c>
      <c r="V36" s="8">
        <v>0</v>
      </c>
      <c r="W36" s="8">
        <v>0</v>
      </c>
      <c r="X36" s="8"/>
      <c r="Y36" s="8"/>
      <c r="Z36" s="8"/>
      <c r="AA36" s="8">
        <f>SUM(N36:W36)</f>
        <v>1</v>
      </c>
      <c r="AL36" s="3268"/>
      <c r="AM36" s="469" t="s">
        <v>530</v>
      </c>
      <c r="AN36" s="469">
        <v>1</v>
      </c>
      <c r="AO36" s="10"/>
      <c r="AP36" s="689" t="s">
        <v>565</v>
      </c>
      <c r="AQ36" s="469">
        <v>1</v>
      </c>
      <c r="AR36" s="10"/>
      <c r="AT36">
        <v>2011</v>
      </c>
      <c r="AU36">
        <v>254</v>
      </c>
      <c r="AV36">
        <f>+AU36+73</f>
        <v>327</v>
      </c>
      <c r="AW36">
        <f>+AV36+65</f>
        <v>392</v>
      </c>
      <c r="AX36">
        <f>+AW36+20+400</f>
        <v>812</v>
      </c>
      <c r="AY36">
        <f>+AX36+460</f>
        <v>1272</v>
      </c>
      <c r="AZ36">
        <f>+AY36+136+3</f>
        <v>1411</v>
      </c>
      <c r="BA36">
        <f>+AZ36+55+4</f>
        <v>1470</v>
      </c>
      <c r="BB36">
        <f>+BA36+50+7</f>
        <v>1527</v>
      </c>
      <c r="BC36">
        <f>+BB36+399</f>
        <v>1926</v>
      </c>
      <c r="BD36">
        <f>+BC36+5</f>
        <v>1931</v>
      </c>
      <c r="BE36">
        <f>+BD36+30+130</f>
        <v>2091</v>
      </c>
      <c r="BF36">
        <f>+BE36+100-70</f>
        <v>2121</v>
      </c>
      <c r="BG36" s="242" t="s">
        <v>571</v>
      </c>
    </row>
    <row r="37" spans="1:59" ht="13.8" thickBot="1">
      <c r="A37" s="270" t="s">
        <v>295</v>
      </c>
      <c r="B37" s="267">
        <v>1</v>
      </c>
      <c r="C37" s="267">
        <v>1</v>
      </c>
      <c r="D37" s="267">
        <v>1</v>
      </c>
      <c r="E37" s="267">
        <v>0</v>
      </c>
      <c r="F37" s="267">
        <v>0</v>
      </c>
      <c r="G37" s="267">
        <v>1</v>
      </c>
      <c r="H37" s="267">
        <v>1</v>
      </c>
      <c r="I37" s="267">
        <v>1</v>
      </c>
      <c r="J37" s="267">
        <v>0</v>
      </c>
      <c r="K37" s="267">
        <v>0</v>
      </c>
      <c r="L37" s="267">
        <v>2</v>
      </c>
      <c r="M37" s="267">
        <v>0</v>
      </c>
      <c r="N37" s="267">
        <v>0</v>
      </c>
      <c r="O37" s="267">
        <v>1</v>
      </c>
      <c r="P37" s="267">
        <v>1</v>
      </c>
      <c r="Q37" s="267">
        <v>2</v>
      </c>
      <c r="R37" s="267">
        <v>0</v>
      </c>
      <c r="S37" s="267">
        <v>1</v>
      </c>
      <c r="T37" s="267">
        <v>1</v>
      </c>
      <c r="U37" s="267">
        <v>8</v>
      </c>
      <c r="V37" s="267">
        <v>5</v>
      </c>
      <c r="W37" s="267">
        <v>4</v>
      </c>
      <c r="X37" s="267"/>
      <c r="Y37" s="267"/>
      <c r="Z37" s="267"/>
      <c r="AA37" s="267">
        <f>SUM(N37:W37)</f>
        <v>23</v>
      </c>
      <c r="AL37" s="3268"/>
      <c r="AM37" s="469" t="s">
        <v>465</v>
      </c>
      <c r="AN37" s="469">
        <v>1</v>
      </c>
      <c r="AO37" s="10"/>
      <c r="AP37" s="10"/>
      <c r="AQ37" s="148">
        <f>SUM(AQ29:AQ36)</f>
        <v>51</v>
      </c>
      <c r="AR37" s="10"/>
      <c r="AT37">
        <v>2012</v>
      </c>
      <c r="AU37">
        <v>202</v>
      </c>
      <c r="AV37">
        <f>+AU37+15</f>
        <v>217</v>
      </c>
      <c r="AW37">
        <f>+AV37+56</f>
        <v>273</v>
      </c>
      <c r="AX37">
        <f>+AW37+15</f>
        <v>288</v>
      </c>
      <c r="AY37">
        <f>+AX37+39</f>
        <v>327</v>
      </c>
      <c r="AZ37">
        <f>+AY37+67</f>
        <v>394</v>
      </c>
      <c r="BA37">
        <f>+AZ37+31+7</f>
        <v>432</v>
      </c>
      <c r="BB37">
        <f>+BA37+74+7</f>
        <v>513</v>
      </c>
      <c r="BC37">
        <f>+BB37+18+180</f>
        <v>711</v>
      </c>
      <c r="BD37">
        <f>+BC37+12</f>
        <v>723</v>
      </c>
      <c r="BE37">
        <f>+BD37+136+400</f>
        <v>1259</v>
      </c>
      <c r="BF37">
        <f>+BE37+44</f>
        <v>1303</v>
      </c>
      <c r="BG37" s="242" t="s">
        <v>571</v>
      </c>
    </row>
    <row r="38" spans="1:59">
      <c r="A38" t="s">
        <v>55</v>
      </c>
      <c r="B38" s="8">
        <f t="shared" ref="B38:W38" si="13">SUM(B35:B37)</f>
        <v>1</v>
      </c>
      <c r="C38" s="8">
        <f t="shared" si="13"/>
        <v>2</v>
      </c>
      <c r="D38" s="8">
        <f t="shared" si="13"/>
        <v>2</v>
      </c>
      <c r="E38" s="8">
        <f t="shared" si="13"/>
        <v>1</v>
      </c>
      <c r="F38" s="8">
        <f t="shared" si="13"/>
        <v>0</v>
      </c>
      <c r="G38" s="8">
        <f t="shared" si="13"/>
        <v>1</v>
      </c>
      <c r="H38" s="8">
        <f t="shared" si="13"/>
        <v>1</v>
      </c>
      <c r="I38" s="8">
        <f t="shared" si="13"/>
        <v>2</v>
      </c>
      <c r="J38" s="8">
        <f t="shared" si="13"/>
        <v>0</v>
      </c>
      <c r="K38" s="8">
        <f t="shared" si="13"/>
        <v>0</v>
      </c>
      <c r="L38" s="8">
        <f t="shared" si="13"/>
        <v>2</v>
      </c>
      <c r="M38" s="8">
        <f t="shared" si="13"/>
        <v>1</v>
      </c>
      <c r="N38" s="8">
        <f t="shared" si="13"/>
        <v>0</v>
      </c>
      <c r="O38" s="8">
        <f t="shared" si="13"/>
        <v>1</v>
      </c>
      <c r="P38" s="8">
        <f t="shared" si="13"/>
        <v>1</v>
      </c>
      <c r="Q38" s="8">
        <f t="shared" si="13"/>
        <v>4</v>
      </c>
      <c r="R38" s="8">
        <f t="shared" si="13"/>
        <v>0</v>
      </c>
      <c r="S38" s="8">
        <f t="shared" si="13"/>
        <v>1</v>
      </c>
      <c r="T38" s="8">
        <f t="shared" si="13"/>
        <v>1</v>
      </c>
      <c r="U38" s="8">
        <f t="shared" si="13"/>
        <v>8</v>
      </c>
      <c r="V38" s="8">
        <f t="shared" si="13"/>
        <v>5</v>
      </c>
      <c r="W38" s="8">
        <f t="shared" si="13"/>
        <v>4</v>
      </c>
      <c r="X38" s="8"/>
      <c r="Y38" s="8"/>
      <c r="Z38" s="8"/>
      <c r="AA38" s="8">
        <f>SUM(I38:T38)</f>
        <v>13</v>
      </c>
      <c r="AL38" s="3268"/>
      <c r="AM38" s="543" t="s">
        <v>531</v>
      </c>
      <c r="AN38" s="543">
        <v>1</v>
      </c>
      <c r="AO38" s="10"/>
      <c r="AR38" s="10"/>
      <c r="AT38" s="675" t="s">
        <v>555</v>
      </c>
      <c r="AU38" s="691">
        <f>+$BF$38/12</f>
        <v>58.333333333333336</v>
      </c>
      <c r="AV38" s="691">
        <f t="shared" ref="AV38:BE38" si="14">+$BF$38/12+AU38</f>
        <v>116.66666666666667</v>
      </c>
      <c r="AW38" s="691">
        <f t="shared" si="14"/>
        <v>175</v>
      </c>
      <c r="AX38" s="691">
        <f t="shared" si="14"/>
        <v>233.33333333333334</v>
      </c>
      <c r="AY38" s="691">
        <f t="shared" si="14"/>
        <v>291.66666666666669</v>
      </c>
      <c r="AZ38" s="691">
        <f t="shared" si="14"/>
        <v>350</v>
      </c>
      <c r="BA38" s="691">
        <f t="shared" si="14"/>
        <v>408.33333333333331</v>
      </c>
      <c r="BB38" s="691">
        <f t="shared" si="14"/>
        <v>466.66666666666663</v>
      </c>
      <c r="BC38" s="691">
        <f t="shared" si="14"/>
        <v>525</v>
      </c>
      <c r="BD38" s="691">
        <f t="shared" si="14"/>
        <v>583.33333333333337</v>
      </c>
      <c r="BE38" s="691">
        <f t="shared" si="14"/>
        <v>641.66666666666674</v>
      </c>
      <c r="BF38" s="691">
        <v>700</v>
      </c>
    </row>
    <row r="39" spans="1:59">
      <c r="A39" t="s">
        <v>444</v>
      </c>
      <c r="B39" s="8">
        <v>0</v>
      </c>
      <c r="C39" s="8">
        <v>0.94</v>
      </c>
      <c r="D39" s="8">
        <v>1.87</v>
      </c>
      <c r="E39" s="8">
        <v>2.81</v>
      </c>
      <c r="F39" s="8">
        <v>2.8</v>
      </c>
      <c r="G39" s="8">
        <v>2.82</v>
      </c>
      <c r="H39" s="8">
        <v>2.85</v>
      </c>
      <c r="I39" s="8">
        <v>3.79</v>
      </c>
      <c r="J39" s="8">
        <v>3.81</v>
      </c>
      <c r="K39" s="8">
        <v>3.81</v>
      </c>
      <c r="L39" s="8">
        <v>3.82</v>
      </c>
      <c r="M39" s="8">
        <v>3.82</v>
      </c>
      <c r="N39" s="8">
        <v>3.8</v>
      </c>
      <c r="O39" s="8">
        <v>3.8</v>
      </c>
      <c r="P39" s="8">
        <v>3.9</v>
      </c>
      <c r="Q39" s="8">
        <v>3.9</v>
      </c>
      <c r="R39" s="8">
        <v>3.9</v>
      </c>
      <c r="S39" s="8">
        <v>4.8</v>
      </c>
      <c r="T39" s="8">
        <v>3.9</v>
      </c>
      <c r="U39" s="8">
        <v>2.9</v>
      </c>
      <c r="V39" s="8">
        <v>2.9</v>
      </c>
      <c r="W39" s="8">
        <v>2.8</v>
      </c>
      <c r="X39" s="8"/>
      <c r="Y39" s="8"/>
      <c r="Z39" s="8"/>
      <c r="AA39" s="148"/>
      <c r="AB39" s="148"/>
      <c r="AC39" s="148"/>
      <c r="AD39" s="148"/>
      <c r="AE39" s="148"/>
      <c r="AF39" s="148"/>
      <c r="AG39" s="148"/>
      <c r="AH39" s="148"/>
      <c r="AI39" s="148"/>
      <c r="AJ39" s="148"/>
      <c r="AK39" s="148"/>
      <c r="AL39" s="3267"/>
      <c r="AM39" s="469" t="s">
        <v>533</v>
      </c>
      <c r="AN39" s="543">
        <v>1</v>
      </c>
      <c r="AO39" s="10"/>
      <c r="AR39" s="10"/>
    </row>
    <row r="40" spans="1:59">
      <c r="B40" s="8"/>
      <c r="C40" s="8"/>
      <c r="D40" s="8"/>
      <c r="E40" s="8"/>
      <c r="F40" s="8"/>
      <c r="G40" s="8"/>
      <c r="H40" s="8"/>
      <c r="I40" s="8"/>
      <c r="J40" s="8"/>
      <c r="K40" s="8"/>
      <c r="L40" s="8"/>
      <c r="M40" s="8"/>
      <c r="N40" s="8"/>
      <c r="O40" s="8"/>
      <c r="P40" s="8"/>
      <c r="AA40" s="148" t="s">
        <v>380</v>
      </c>
      <c r="AB40" s="148"/>
      <c r="AC40" s="148"/>
      <c r="AD40" s="148"/>
      <c r="AE40" s="148"/>
      <c r="AF40" s="148"/>
      <c r="AG40" s="148"/>
      <c r="AH40" s="148"/>
      <c r="AI40" s="148"/>
      <c r="AJ40" s="148"/>
      <c r="AK40" s="148"/>
      <c r="AL40" s="469" t="s">
        <v>449</v>
      </c>
      <c r="AM40" s="469" t="s">
        <v>454</v>
      </c>
      <c r="AN40" s="469">
        <v>3</v>
      </c>
      <c r="AO40" s="10"/>
      <c r="AR40" s="10"/>
    </row>
    <row r="41" spans="1:59" ht="13.8" thickBot="1">
      <c r="A41" s="271" t="s">
        <v>436</v>
      </c>
      <c r="B41" s="267" t="s">
        <v>298</v>
      </c>
      <c r="C41" s="267" t="s">
        <v>103</v>
      </c>
      <c r="D41" s="267" t="s">
        <v>104</v>
      </c>
      <c r="E41" s="267" t="s">
        <v>105</v>
      </c>
      <c r="F41" s="267" t="s">
        <v>106</v>
      </c>
      <c r="G41" s="267" t="s">
        <v>107</v>
      </c>
      <c r="H41" s="267" t="s">
        <v>108</v>
      </c>
      <c r="I41" s="267" t="s">
        <v>109</v>
      </c>
      <c r="J41" s="267" t="s">
        <v>110</v>
      </c>
      <c r="K41" s="267" t="s">
        <v>111</v>
      </c>
      <c r="L41" s="267" t="s">
        <v>112</v>
      </c>
      <c r="M41" s="267" t="s">
        <v>113</v>
      </c>
      <c r="N41" s="356">
        <f>+N34</f>
        <v>40544</v>
      </c>
      <c r="O41" s="356">
        <f>+O34</f>
        <v>40575</v>
      </c>
      <c r="P41" s="356">
        <v>40603</v>
      </c>
      <c r="Q41" s="356">
        <v>40634</v>
      </c>
      <c r="R41" s="356">
        <v>40664</v>
      </c>
      <c r="S41" s="356">
        <v>40695</v>
      </c>
      <c r="T41" s="356">
        <v>40725</v>
      </c>
      <c r="U41" s="356">
        <v>40756</v>
      </c>
      <c r="V41" s="356">
        <v>40787</v>
      </c>
      <c r="W41" s="356">
        <v>40817</v>
      </c>
      <c r="X41" s="356"/>
      <c r="Y41" s="356"/>
      <c r="Z41" s="356"/>
      <c r="AA41" s="267" t="s">
        <v>98</v>
      </c>
      <c r="AL41" s="469" t="s">
        <v>466</v>
      </c>
      <c r="AM41" s="469" t="s">
        <v>454</v>
      </c>
      <c r="AN41" s="469">
        <v>3</v>
      </c>
      <c r="AO41" s="10"/>
      <c r="AR41" s="10"/>
    </row>
    <row r="42" spans="1:59">
      <c r="A42" t="s">
        <v>293</v>
      </c>
      <c r="B42" s="8">
        <v>0</v>
      </c>
      <c r="C42" s="8">
        <v>0</v>
      </c>
      <c r="D42" s="8">
        <v>0</v>
      </c>
      <c r="E42" s="8">
        <v>0</v>
      </c>
      <c r="F42" s="8">
        <v>0</v>
      </c>
      <c r="G42" s="8">
        <v>0</v>
      </c>
      <c r="H42" s="8">
        <v>0</v>
      </c>
      <c r="I42" s="8">
        <v>0</v>
      </c>
      <c r="J42" s="8">
        <v>0</v>
      </c>
      <c r="K42" s="8">
        <v>0</v>
      </c>
      <c r="L42" s="8">
        <v>0</v>
      </c>
      <c r="M42" s="8">
        <v>0</v>
      </c>
      <c r="N42" s="8">
        <v>0</v>
      </c>
      <c r="O42" s="8">
        <v>0</v>
      </c>
      <c r="P42" s="8">
        <v>0</v>
      </c>
      <c r="Q42" s="8">
        <v>0</v>
      </c>
      <c r="R42" s="8">
        <v>0</v>
      </c>
      <c r="S42" s="8">
        <v>1</v>
      </c>
      <c r="T42" s="8">
        <v>0</v>
      </c>
      <c r="U42" s="8">
        <v>0</v>
      </c>
      <c r="V42" s="8">
        <v>0</v>
      </c>
      <c r="W42" s="8">
        <v>0</v>
      </c>
      <c r="X42" s="8"/>
      <c r="Y42" s="8"/>
      <c r="Z42" s="8"/>
      <c r="AA42" s="8">
        <f>SUM(N42:W42)</f>
        <v>1</v>
      </c>
      <c r="AL42" s="469" t="s">
        <v>522</v>
      </c>
      <c r="AM42" s="469" t="s">
        <v>454</v>
      </c>
      <c r="AN42" s="469">
        <v>1</v>
      </c>
      <c r="AO42" s="10"/>
      <c r="AP42" s="10"/>
      <c r="AQ42" s="10"/>
      <c r="AR42" s="10"/>
    </row>
    <row r="43" spans="1:59">
      <c r="A43" t="s">
        <v>294</v>
      </c>
      <c r="B43" s="8">
        <v>0</v>
      </c>
      <c r="C43" s="8">
        <v>1</v>
      </c>
      <c r="D43" s="8">
        <v>0</v>
      </c>
      <c r="E43" s="8">
        <v>0</v>
      </c>
      <c r="F43" s="8">
        <v>0</v>
      </c>
      <c r="G43" s="8">
        <v>0</v>
      </c>
      <c r="H43" s="8">
        <v>0</v>
      </c>
      <c r="I43" s="8">
        <v>0</v>
      </c>
      <c r="J43" s="8">
        <v>0</v>
      </c>
      <c r="K43" s="8">
        <v>0</v>
      </c>
      <c r="L43" s="8">
        <v>0</v>
      </c>
      <c r="M43" s="8">
        <v>0</v>
      </c>
      <c r="N43" s="8">
        <v>0</v>
      </c>
      <c r="O43" s="8">
        <v>0</v>
      </c>
      <c r="P43" s="8">
        <v>0</v>
      </c>
      <c r="Q43" s="8">
        <v>1</v>
      </c>
      <c r="R43" s="8">
        <v>0</v>
      </c>
      <c r="S43" s="8">
        <v>0</v>
      </c>
      <c r="T43" s="8">
        <v>0</v>
      </c>
      <c r="U43" s="8">
        <v>0</v>
      </c>
      <c r="V43" s="8">
        <v>0</v>
      </c>
      <c r="W43" s="8">
        <v>0</v>
      </c>
      <c r="X43" s="8"/>
      <c r="Y43" s="8"/>
      <c r="Z43" s="8"/>
      <c r="AA43" s="8">
        <f>SUM(N43:W43)</f>
        <v>1</v>
      </c>
      <c r="AL43" s="3266" t="s">
        <v>452</v>
      </c>
      <c r="AM43" s="469" t="s">
        <v>453</v>
      </c>
      <c r="AN43" s="469">
        <v>1</v>
      </c>
      <c r="AO43" s="10"/>
      <c r="AP43" s="10"/>
      <c r="AQ43" s="10"/>
      <c r="AR43" s="10"/>
    </row>
    <row r="44" spans="1:59" ht="13.8" thickBot="1">
      <c r="A44" s="270" t="s">
        <v>295</v>
      </c>
      <c r="B44" s="267">
        <v>3</v>
      </c>
      <c r="C44" s="267">
        <v>1</v>
      </c>
      <c r="D44" s="267">
        <v>0</v>
      </c>
      <c r="E44" s="267">
        <v>1</v>
      </c>
      <c r="F44" s="267">
        <v>0</v>
      </c>
      <c r="G44" s="267">
        <v>0</v>
      </c>
      <c r="H44" s="267">
        <v>0</v>
      </c>
      <c r="I44" s="267">
        <v>0</v>
      </c>
      <c r="J44" s="267">
        <v>0</v>
      </c>
      <c r="K44" s="267">
        <v>0</v>
      </c>
      <c r="L44" s="267">
        <v>2</v>
      </c>
      <c r="M44" s="267">
        <v>0</v>
      </c>
      <c r="N44" s="267">
        <v>1</v>
      </c>
      <c r="O44" s="267">
        <v>1</v>
      </c>
      <c r="P44" s="267">
        <v>0</v>
      </c>
      <c r="Q44" s="267">
        <v>0</v>
      </c>
      <c r="R44" s="267">
        <v>0</v>
      </c>
      <c r="S44" s="267">
        <v>1</v>
      </c>
      <c r="T44" s="267">
        <v>0</v>
      </c>
      <c r="U44" s="267">
        <v>1</v>
      </c>
      <c r="V44" s="267">
        <v>0</v>
      </c>
      <c r="W44" s="267">
        <v>0</v>
      </c>
      <c r="X44" s="267"/>
      <c r="Y44" s="267"/>
      <c r="Z44" s="267"/>
      <c r="AA44" s="267">
        <f>SUM(N44:W44)</f>
        <v>4</v>
      </c>
      <c r="AL44" s="3267"/>
      <c r="AM44" s="469" t="s">
        <v>454</v>
      </c>
      <c r="AN44" s="543">
        <v>1</v>
      </c>
      <c r="AO44" s="10"/>
      <c r="AP44" s="10"/>
      <c r="AQ44" s="10"/>
      <c r="AR44" s="10"/>
    </row>
    <row r="45" spans="1:59">
      <c r="A45" t="s">
        <v>55</v>
      </c>
      <c r="B45" s="8">
        <f t="shared" ref="B45:W45" si="15">SUM(B42:B44)</f>
        <v>3</v>
      </c>
      <c r="C45" s="8">
        <f t="shared" si="15"/>
        <v>2</v>
      </c>
      <c r="D45" s="8">
        <f t="shared" si="15"/>
        <v>0</v>
      </c>
      <c r="E45" s="8">
        <f t="shared" si="15"/>
        <v>1</v>
      </c>
      <c r="F45" s="8">
        <f t="shared" si="15"/>
        <v>0</v>
      </c>
      <c r="G45" s="8">
        <f t="shared" si="15"/>
        <v>0</v>
      </c>
      <c r="H45" s="8">
        <f t="shared" si="15"/>
        <v>0</v>
      </c>
      <c r="I45" s="8">
        <f t="shared" si="15"/>
        <v>0</v>
      </c>
      <c r="J45" s="8">
        <f t="shared" si="15"/>
        <v>0</v>
      </c>
      <c r="K45" s="8">
        <f t="shared" si="15"/>
        <v>0</v>
      </c>
      <c r="L45" s="8">
        <f t="shared" si="15"/>
        <v>2</v>
      </c>
      <c r="M45" s="8">
        <f t="shared" si="15"/>
        <v>0</v>
      </c>
      <c r="N45" s="8">
        <f t="shared" si="15"/>
        <v>1</v>
      </c>
      <c r="O45" s="8">
        <f t="shared" si="15"/>
        <v>1</v>
      </c>
      <c r="P45" s="8">
        <f t="shared" si="15"/>
        <v>0</v>
      </c>
      <c r="Q45" s="8">
        <f t="shared" si="15"/>
        <v>1</v>
      </c>
      <c r="R45" s="8">
        <f t="shared" si="15"/>
        <v>0</v>
      </c>
      <c r="S45" s="8">
        <f t="shared" si="15"/>
        <v>2</v>
      </c>
      <c r="T45" s="8">
        <f t="shared" si="15"/>
        <v>0</v>
      </c>
      <c r="U45" s="8">
        <f t="shared" si="15"/>
        <v>1</v>
      </c>
      <c r="V45" s="8">
        <f t="shared" si="15"/>
        <v>0</v>
      </c>
      <c r="W45" s="8">
        <f t="shared" si="15"/>
        <v>0</v>
      </c>
      <c r="X45" s="8"/>
      <c r="Y45" s="8"/>
      <c r="Z45" s="8"/>
      <c r="AA45" s="8">
        <f>SUM(N45:W45)</f>
        <v>6</v>
      </c>
      <c r="AL45" s="469" t="s">
        <v>509</v>
      </c>
      <c r="AM45" s="469" t="s">
        <v>510</v>
      </c>
      <c r="AN45" s="543">
        <v>1</v>
      </c>
      <c r="AO45" s="10"/>
      <c r="AP45" s="10"/>
      <c r="AQ45" s="10"/>
      <c r="AR45" s="10"/>
    </row>
    <row r="46" spans="1:59">
      <c r="A46" t="s">
        <v>444</v>
      </c>
      <c r="B46" s="8">
        <v>0</v>
      </c>
      <c r="C46" s="8">
        <v>0</v>
      </c>
      <c r="D46" s="8">
        <v>0</v>
      </c>
      <c r="E46" s="8">
        <v>0</v>
      </c>
      <c r="F46" s="8">
        <v>0</v>
      </c>
      <c r="G46" s="8">
        <v>0</v>
      </c>
      <c r="H46" s="8">
        <v>0</v>
      </c>
      <c r="I46" s="8">
        <v>0</v>
      </c>
      <c r="J46" s="8">
        <v>0</v>
      </c>
      <c r="K46" s="8">
        <v>0</v>
      </c>
      <c r="L46" s="8">
        <v>0</v>
      </c>
      <c r="M46" s="8">
        <v>0</v>
      </c>
      <c r="N46" s="8">
        <v>0</v>
      </c>
      <c r="O46" s="8">
        <v>0</v>
      </c>
      <c r="P46" s="8">
        <v>0</v>
      </c>
      <c r="Q46" s="8">
        <v>2.5</v>
      </c>
      <c r="R46" s="8">
        <v>2.5</v>
      </c>
      <c r="S46" s="8">
        <v>5.2</v>
      </c>
      <c r="T46" s="8">
        <v>5.7</v>
      </c>
      <c r="U46" s="8">
        <v>5.7</v>
      </c>
      <c r="V46" s="8">
        <v>5.8</v>
      </c>
      <c r="W46" s="8">
        <v>5.9</v>
      </c>
      <c r="X46" s="8"/>
      <c r="Y46" s="8"/>
      <c r="Z46" s="8"/>
      <c r="AL46" s="469" t="s">
        <v>450</v>
      </c>
      <c r="AM46" s="469" t="s">
        <v>455</v>
      </c>
      <c r="AN46" s="469">
        <v>1</v>
      </c>
      <c r="AP46" s="10"/>
      <c r="AQ46" s="10"/>
    </row>
    <row r="47" spans="1:59">
      <c r="B47" s="8"/>
      <c r="C47" s="8"/>
      <c r="D47" s="8"/>
      <c r="E47" s="8"/>
      <c r="F47" s="8"/>
      <c r="G47" s="8"/>
      <c r="H47" s="8"/>
      <c r="I47" s="8"/>
      <c r="J47" s="8"/>
      <c r="K47" s="8"/>
      <c r="L47" s="8"/>
      <c r="M47" s="8"/>
      <c r="N47" s="8"/>
      <c r="O47" s="8"/>
      <c r="P47" s="8"/>
      <c r="AL47" s="469" t="s">
        <v>451</v>
      </c>
      <c r="AM47" s="469" t="s">
        <v>456</v>
      </c>
      <c r="AN47" s="469">
        <v>1</v>
      </c>
      <c r="AP47" s="10"/>
      <c r="AQ47" s="10"/>
    </row>
    <row r="48" spans="1:59" ht="13.8" thickBot="1">
      <c r="A48" s="271" t="s">
        <v>437</v>
      </c>
      <c r="B48" s="267" t="s">
        <v>298</v>
      </c>
      <c r="C48" s="267" t="s">
        <v>103</v>
      </c>
      <c r="D48" s="267" t="s">
        <v>104</v>
      </c>
      <c r="E48" s="267" t="s">
        <v>105</v>
      </c>
      <c r="F48" s="267" t="s">
        <v>106</v>
      </c>
      <c r="G48" s="267" t="s">
        <v>107</v>
      </c>
      <c r="H48" s="267" t="s">
        <v>108</v>
      </c>
      <c r="I48" s="267" t="s">
        <v>109</v>
      </c>
      <c r="J48" s="267" t="s">
        <v>110</v>
      </c>
      <c r="K48" s="267" t="s">
        <v>111</v>
      </c>
      <c r="L48" s="267" t="s">
        <v>112</v>
      </c>
      <c r="M48" s="267" t="s">
        <v>113</v>
      </c>
      <c r="N48" s="356">
        <f>+N41</f>
        <v>40544</v>
      </c>
      <c r="O48" s="356">
        <f>+O41</f>
        <v>40575</v>
      </c>
      <c r="P48" s="356">
        <v>40603</v>
      </c>
      <c r="Q48" s="356">
        <v>40634</v>
      </c>
      <c r="R48" s="356">
        <v>40664</v>
      </c>
      <c r="S48" s="356">
        <v>40695</v>
      </c>
      <c r="T48" s="356">
        <v>40725</v>
      </c>
      <c r="U48" s="356">
        <v>40756</v>
      </c>
      <c r="V48" s="356">
        <v>40787</v>
      </c>
      <c r="W48" s="356">
        <v>40817</v>
      </c>
      <c r="X48" s="356"/>
      <c r="Y48" s="356"/>
      <c r="Z48" s="356"/>
      <c r="AA48" s="267" t="s">
        <v>98</v>
      </c>
      <c r="AL48" s="469" t="s">
        <v>471</v>
      </c>
      <c r="AM48" s="469" t="s">
        <v>472</v>
      </c>
      <c r="AN48" s="469">
        <v>2</v>
      </c>
      <c r="AP48" s="10"/>
      <c r="AQ48" s="10"/>
    </row>
    <row r="49" spans="1:68">
      <c r="A49" t="s">
        <v>293</v>
      </c>
      <c r="B49" s="8">
        <v>1</v>
      </c>
      <c r="C49" s="8">
        <v>0</v>
      </c>
      <c r="D49" s="8">
        <v>0</v>
      </c>
      <c r="E49" s="8">
        <v>0</v>
      </c>
      <c r="F49" s="8">
        <v>0</v>
      </c>
      <c r="G49" s="8">
        <v>0</v>
      </c>
      <c r="H49" s="8">
        <v>1</v>
      </c>
      <c r="I49" s="8">
        <v>0</v>
      </c>
      <c r="J49" s="8">
        <v>0</v>
      </c>
      <c r="K49" s="8">
        <v>2</v>
      </c>
      <c r="L49" s="8">
        <v>0</v>
      </c>
      <c r="M49" s="8">
        <v>0</v>
      </c>
      <c r="N49" s="8">
        <v>0</v>
      </c>
      <c r="O49" s="8">
        <v>0</v>
      </c>
      <c r="P49" s="8">
        <v>0</v>
      </c>
      <c r="Q49" s="8">
        <v>0</v>
      </c>
      <c r="R49" s="8">
        <v>0</v>
      </c>
      <c r="S49" s="8">
        <v>1</v>
      </c>
      <c r="T49" s="8">
        <v>0</v>
      </c>
      <c r="U49" s="8">
        <v>0</v>
      </c>
      <c r="V49" s="8">
        <v>0</v>
      </c>
      <c r="W49" s="8">
        <v>0</v>
      </c>
      <c r="X49" s="8"/>
      <c r="Y49" s="8"/>
      <c r="Z49" s="8"/>
      <c r="AA49" s="8">
        <f>SUM(N49:W49)</f>
        <v>1</v>
      </c>
      <c r="AL49" s="469" t="s">
        <v>519</v>
      </c>
      <c r="AM49" s="543" t="s">
        <v>520</v>
      </c>
      <c r="AN49" s="543">
        <v>1</v>
      </c>
      <c r="AP49" s="10"/>
      <c r="AQ49" s="10"/>
    </row>
    <row r="50" spans="1:68">
      <c r="A50" t="s">
        <v>294</v>
      </c>
      <c r="B50" s="8">
        <v>0</v>
      </c>
      <c r="C50" s="8">
        <v>0</v>
      </c>
      <c r="D50" s="8">
        <v>0</v>
      </c>
      <c r="E50" s="8">
        <v>0</v>
      </c>
      <c r="F50" s="8">
        <v>0</v>
      </c>
      <c r="G50" s="8">
        <v>0</v>
      </c>
      <c r="H50" s="8">
        <v>0</v>
      </c>
      <c r="I50" s="8">
        <v>0</v>
      </c>
      <c r="J50" s="8">
        <v>0</v>
      </c>
      <c r="K50" s="8">
        <v>0</v>
      </c>
      <c r="L50" s="8">
        <v>0</v>
      </c>
      <c r="M50" s="8">
        <v>0</v>
      </c>
      <c r="N50" s="8">
        <v>0</v>
      </c>
      <c r="O50" s="8">
        <v>0</v>
      </c>
      <c r="P50" s="8">
        <v>0</v>
      </c>
      <c r="Q50" s="8">
        <v>0</v>
      </c>
      <c r="R50" s="8">
        <f>SUM(B50:Q50)</f>
        <v>0</v>
      </c>
      <c r="S50" s="8">
        <v>0</v>
      </c>
      <c r="T50" s="8">
        <v>0</v>
      </c>
      <c r="U50" s="8">
        <v>0</v>
      </c>
      <c r="V50" s="8">
        <v>0</v>
      </c>
      <c r="W50" s="8">
        <v>0</v>
      </c>
      <c r="X50" s="8"/>
      <c r="Y50" s="8"/>
      <c r="Z50" s="8"/>
      <c r="AA50" s="8">
        <f>SUM(N50:W50)</f>
        <v>0</v>
      </c>
      <c r="AL50" s="469" t="s">
        <v>521</v>
      </c>
      <c r="AM50" s="543" t="s">
        <v>454</v>
      </c>
      <c r="AN50" s="543">
        <v>1</v>
      </c>
      <c r="AP50" s="10"/>
      <c r="AQ50" s="10"/>
    </row>
    <row r="51" spans="1:68" ht="13.8" thickBot="1">
      <c r="A51" s="270" t="s">
        <v>295</v>
      </c>
      <c r="B51" s="267">
        <v>1</v>
      </c>
      <c r="C51" s="267">
        <v>1</v>
      </c>
      <c r="D51" s="267">
        <v>0</v>
      </c>
      <c r="E51" s="267">
        <v>2</v>
      </c>
      <c r="F51" s="267">
        <v>0</v>
      </c>
      <c r="G51" s="267">
        <v>0</v>
      </c>
      <c r="H51" s="267">
        <v>0</v>
      </c>
      <c r="I51" s="267">
        <v>0</v>
      </c>
      <c r="J51" s="267">
        <v>0</v>
      </c>
      <c r="K51" s="267">
        <v>0</v>
      </c>
      <c r="L51" s="267">
        <v>0</v>
      </c>
      <c r="M51" s="267">
        <v>0</v>
      </c>
      <c r="N51" s="267">
        <v>0</v>
      </c>
      <c r="O51" s="267">
        <v>0</v>
      </c>
      <c r="P51" s="267">
        <v>1</v>
      </c>
      <c r="Q51" s="267">
        <v>0</v>
      </c>
      <c r="R51" s="267">
        <v>1</v>
      </c>
      <c r="S51" s="267">
        <v>1</v>
      </c>
      <c r="T51" s="267">
        <v>0</v>
      </c>
      <c r="U51" s="267">
        <v>0</v>
      </c>
      <c r="V51" s="267">
        <v>0</v>
      </c>
      <c r="W51" s="267">
        <v>0</v>
      </c>
      <c r="X51" s="267"/>
      <c r="Y51" s="267"/>
      <c r="Z51" s="267"/>
      <c r="AA51" s="267">
        <f>SUM(N51:W51)</f>
        <v>3</v>
      </c>
      <c r="AL51" s="469" t="s">
        <v>523</v>
      </c>
      <c r="AM51" s="543" t="s">
        <v>454</v>
      </c>
      <c r="AN51" s="543">
        <v>2</v>
      </c>
    </row>
    <row r="52" spans="1:68">
      <c r="A52" t="s">
        <v>55</v>
      </c>
      <c r="B52" s="8">
        <f t="shared" ref="B52:W52" si="16">SUM(B49:B51)</f>
        <v>2</v>
      </c>
      <c r="C52" s="8">
        <f t="shared" si="16"/>
        <v>1</v>
      </c>
      <c r="D52" s="8">
        <f t="shared" si="16"/>
        <v>0</v>
      </c>
      <c r="E52" s="8">
        <f t="shared" si="16"/>
        <v>2</v>
      </c>
      <c r="F52" s="8">
        <f t="shared" si="16"/>
        <v>0</v>
      </c>
      <c r="G52" s="8">
        <f t="shared" si="16"/>
        <v>0</v>
      </c>
      <c r="H52" s="8">
        <f t="shared" si="16"/>
        <v>1</v>
      </c>
      <c r="I52" s="8">
        <f t="shared" si="16"/>
        <v>0</v>
      </c>
      <c r="J52" s="8">
        <f t="shared" si="16"/>
        <v>0</v>
      </c>
      <c r="K52" s="8">
        <f t="shared" si="16"/>
        <v>2</v>
      </c>
      <c r="L52" s="8">
        <f t="shared" si="16"/>
        <v>0</v>
      </c>
      <c r="M52" s="8">
        <f t="shared" si="16"/>
        <v>0</v>
      </c>
      <c r="N52" s="8">
        <f t="shared" si="16"/>
        <v>0</v>
      </c>
      <c r="O52" s="8">
        <f t="shared" si="16"/>
        <v>0</v>
      </c>
      <c r="P52" s="8">
        <f t="shared" si="16"/>
        <v>1</v>
      </c>
      <c r="Q52" s="8">
        <f t="shared" si="16"/>
        <v>0</v>
      </c>
      <c r="R52" s="8">
        <f t="shared" si="16"/>
        <v>1</v>
      </c>
      <c r="S52" s="8">
        <f t="shared" si="16"/>
        <v>2</v>
      </c>
      <c r="T52" s="8">
        <f t="shared" si="16"/>
        <v>0</v>
      </c>
      <c r="U52" s="8">
        <f t="shared" si="16"/>
        <v>0</v>
      </c>
      <c r="V52" s="8">
        <f t="shared" si="16"/>
        <v>0</v>
      </c>
      <c r="W52" s="8">
        <f t="shared" si="16"/>
        <v>0</v>
      </c>
      <c r="X52" s="8"/>
      <c r="Y52" s="8"/>
      <c r="Z52" s="8"/>
      <c r="AA52" s="8">
        <f>SUM(N52:W52)</f>
        <v>4</v>
      </c>
      <c r="AL52" s="3266" t="s">
        <v>385</v>
      </c>
      <c r="AM52" s="469" t="s">
        <v>474</v>
      </c>
      <c r="AN52" s="543">
        <v>1</v>
      </c>
    </row>
    <row r="53" spans="1:68">
      <c r="A53" s="575" t="s">
        <v>444</v>
      </c>
      <c r="B53" s="497">
        <v>8.81</v>
      </c>
      <c r="C53" s="497">
        <v>9.02</v>
      </c>
      <c r="D53" s="497">
        <v>9.1</v>
      </c>
      <c r="E53" s="497">
        <v>8.91</v>
      </c>
      <c r="F53" s="497">
        <v>8.9</v>
      </c>
      <c r="G53" s="497">
        <v>6.56</v>
      </c>
      <c r="H53" s="497">
        <v>6.52</v>
      </c>
      <c r="I53" s="497">
        <v>6.5</v>
      </c>
      <c r="J53" s="497">
        <v>6.36</v>
      </c>
      <c r="K53" s="497">
        <v>8.34</v>
      </c>
      <c r="L53" s="497">
        <v>8.27</v>
      </c>
      <c r="M53" s="497">
        <v>8.1199999999999992</v>
      </c>
      <c r="N53" s="497">
        <v>5.9</v>
      </c>
      <c r="O53" s="497">
        <v>5.8</v>
      </c>
      <c r="P53" s="497">
        <v>5.8</v>
      </c>
      <c r="Q53" s="497">
        <v>5.8</v>
      </c>
      <c r="R53" s="497">
        <v>5.9</v>
      </c>
      <c r="S53" s="623">
        <v>8</v>
      </c>
      <c r="T53" s="497">
        <v>6.1</v>
      </c>
      <c r="U53" s="497">
        <v>6.2</v>
      </c>
      <c r="V53" s="497">
        <v>6.3</v>
      </c>
      <c r="W53" s="497">
        <v>2.1</v>
      </c>
      <c r="X53" s="497"/>
      <c r="Y53" s="497"/>
      <c r="Z53" s="497"/>
      <c r="AL53" s="3267"/>
      <c r="AM53" s="543" t="s">
        <v>534</v>
      </c>
      <c r="AN53" s="543">
        <v>1</v>
      </c>
    </row>
    <row r="54" spans="1:68">
      <c r="B54" s="8"/>
      <c r="C54" s="8"/>
      <c r="D54" s="8"/>
      <c r="E54" s="8"/>
      <c r="F54" s="8"/>
      <c r="G54" s="8"/>
      <c r="H54" s="8"/>
      <c r="I54" s="8"/>
      <c r="J54" s="8"/>
      <c r="K54" s="8"/>
      <c r="L54" s="8"/>
      <c r="M54" s="8"/>
      <c r="N54" s="8"/>
      <c r="O54" s="8"/>
      <c r="P54" s="8"/>
      <c r="Q54" s="8"/>
      <c r="AN54" s="148">
        <f>SUM(AN30:AN53)</f>
        <v>30</v>
      </c>
    </row>
    <row r="55" spans="1:68" ht="13.8" thickBot="1">
      <c r="A55" s="271" t="s">
        <v>93</v>
      </c>
      <c r="B55" s="267" t="s">
        <v>298</v>
      </c>
      <c r="C55" s="267" t="s">
        <v>103</v>
      </c>
      <c r="D55" s="267" t="s">
        <v>104</v>
      </c>
      <c r="E55" s="267" t="s">
        <v>105</v>
      </c>
      <c r="F55" s="267" t="s">
        <v>106</v>
      </c>
      <c r="G55" s="267" t="s">
        <v>107</v>
      </c>
      <c r="H55" s="267" t="s">
        <v>108</v>
      </c>
      <c r="I55" s="267" t="s">
        <v>109</v>
      </c>
      <c r="J55" s="267" t="s">
        <v>110</v>
      </c>
      <c r="K55" s="267" t="s">
        <v>111</v>
      </c>
      <c r="L55" s="267" t="s">
        <v>112</v>
      </c>
      <c r="M55" s="267" t="s">
        <v>113</v>
      </c>
      <c r="N55" s="356">
        <v>40544</v>
      </c>
      <c r="O55" s="356">
        <v>40575</v>
      </c>
      <c r="P55" s="356">
        <v>40603</v>
      </c>
      <c r="Q55" s="356">
        <v>40634</v>
      </c>
    </row>
    <row r="56" spans="1:68">
      <c r="A56" t="s">
        <v>293</v>
      </c>
      <c r="B56" s="8"/>
      <c r="C56" s="8"/>
      <c r="D56" s="8"/>
      <c r="E56" s="8"/>
      <c r="F56" s="8"/>
      <c r="G56" s="8"/>
      <c r="H56" s="8"/>
      <c r="I56" s="8"/>
      <c r="J56" s="8"/>
      <c r="K56" s="8"/>
      <c r="L56" s="8"/>
      <c r="M56" s="8"/>
      <c r="N56" s="8"/>
      <c r="O56" s="8"/>
      <c r="P56" s="8"/>
    </row>
    <row r="57" spans="1:68">
      <c r="A57" t="s">
        <v>294</v>
      </c>
      <c r="B57" s="8"/>
      <c r="C57" s="8"/>
      <c r="D57" s="8"/>
      <c r="E57" s="8"/>
      <c r="F57" s="8"/>
      <c r="G57" s="8"/>
      <c r="H57" s="8"/>
      <c r="I57" s="8"/>
      <c r="J57" s="8"/>
      <c r="K57" s="8"/>
      <c r="L57" s="8"/>
      <c r="M57" s="8"/>
      <c r="N57" s="8"/>
      <c r="O57" s="8"/>
      <c r="P57" s="8"/>
    </row>
    <row r="58" spans="1:68" ht="13.8" thickBot="1">
      <c r="A58" s="270" t="s">
        <v>295</v>
      </c>
      <c r="B58" s="267"/>
      <c r="C58" s="267"/>
      <c r="D58" s="267"/>
      <c r="E58" s="267"/>
      <c r="F58" s="267"/>
      <c r="G58" s="267"/>
      <c r="H58" s="267"/>
      <c r="I58" s="267"/>
      <c r="J58" s="267"/>
      <c r="K58" s="267"/>
      <c r="L58" s="267"/>
      <c r="M58" s="267"/>
      <c r="N58" s="267"/>
      <c r="O58" s="267"/>
      <c r="P58" s="267"/>
    </row>
    <row r="59" spans="1:68">
      <c r="A59" t="s">
        <v>55</v>
      </c>
      <c r="B59" s="8">
        <f t="shared" ref="B59:N59" si="17">SUM(B56:B58)</f>
        <v>0</v>
      </c>
      <c r="C59" s="8">
        <f t="shared" si="17"/>
        <v>0</v>
      </c>
      <c r="D59" s="8">
        <f t="shared" si="17"/>
        <v>0</v>
      </c>
      <c r="E59" s="8">
        <f t="shared" si="17"/>
        <v>0</v>
      </c>
      <c r="F59" s="8">
        <f t="shared" si="17"/>
        <v>0</v>
      </c>
      <c r="G59" s="8">
        <f t="shared" si="17"/>
        <v>0</v>
      </c>
      <c r="H59" s="8">
        <f t="shared" si="17"/>
        <v>0</v>
      </c>
      <c r="I59" s="8">
        <f t="shared" si="17"/>
        <v>0</v>
      </c>
      <c r="J59" s="8">
        <f t="shared" si="17"/>
        <v>0</v>
      </c>
      <c r="K59" s="8">
        <f t="shared" si="17"/>
        <v>0</v>
      </c>
      <c r="L59" s="8">
        <f t="shared" si="17"/>
        <v>0</v>
      </c>
      <c r="M59" s="8">
        <f t="shared" si="17"/>
        <v>0</v>
      </c>
      <c r="N59" s="8">
        <f t="shared" si="17"/>
        <v>0</v>
      </c>
      <c r="O59" s="8"/>
      <c r="P59" s="8"/>
    </row>
    <row r="60" spans="1:68">
      <c r="B60" s="8"/>
      <c r="C60" s="8"/>
      <c r="D60" s="8"/>
      <c r="E60" s="8"/>
      <c r="F60" s="8"/>
      <c r="G60" s="8"/>
      <c r="H60" s="8"/>
      <c r="I60" s="8"/>
      <c r="J60" s="8"/>
      <c r="K60" s="8"/>
      <c r="L60" s="8"/>
      <c r="M60" s="8"/>
      <c r="N60" s="8"/>
      <c r="O60" s="8"/>
      <c r="P60" s="8"/>
    </row>
    <row r="61" spans="1:68" ht="13.8" thickBot="1">
      <c r="A61" s="271" t="s">
        <v>575</v>
      </c>
      <c r="B61" s="267" t="s">
        <v>298</v>
      </c>
      <c r="C61" s="267" t="s">
        <v>103</v>
      </c>
      <c r="D61" s="267" t="s">
        <v>104</v>
      </c>
      <c r="E61" s="267" t="s">
        <v>105</v>
      </c>
      <c r="F61" s="267" t="s">
        <v>106</v>
      </c>
      <c r="G61" s="267" t="s">
        <v>107</v>
      </c>
      <c r="H61" s="267" t="s">
        <v>108</v>
      </c>
      <c r="I61" s="267" t="s">
        <v>109</v>
      </c>
      <c r="J61" s="267" t="s">
        <v>110</v>
      </c>
      <c r="K61" s="267" t="s">
        <v>111</v>
      </c>
      <c r="L61" s="267" t="s">
        <v>112</v>
      </c>
      <c r="M61" s="267" t="s">
        <v>113</v>
      </c>
      <c r="N61" s="356">
        <f>N55</f>
        <v>40544</v>
      </c>
      <c r="O61" s="356">
        <f>+O2</f>
        <v>40575</v>
      </c>
      <c r="P61" s="356">
        <f>+P2</f>
        <v>40603</v>
      </c>
      <c r="Q61" s="356">
        <f>+Q2</f>
        <v>40634</v>
      </c>
      <c r="R61" s="356">
        <v>40664</v>
      </c>
      <c r="S61" s="356">
        <v>40695</v>
      </c>
      <c r="T61" s="356">
        <v>40725</v>
      </c>
      <c r="U61" s="356">
        <v>40756</v>
      </c>
      <c r="V61" s="356">
        <v>40787</v>
      </c>
      <c r="W61" s="356">
        <v>40817</v>
      </c>
      <c r="X61" s="356">
        <v>40848</v>
      </c>
      <c r="Y61" s="356">
        <v>40878</v>
      </c>
      <c r="Z61" s="356">
        <v>40909</v>
      </c>
      <c r="AA61" s="356">
        <v>40940</v>
      </c>
      <c r="AB61" s="356">
        <v>40969</v>
      </c>
      <c r="AC61" s="671">
        <v>41000</v>
      </c>
      <c r="AD61" s="671">
        <v>41030</v>
      </c>
      <c r="AE61" s="671">
        <v>41061</v>
      </c>
      <c r="AF61" s="671">
        <v>41091</v>
      </c>
      <c r="AG61" s="671">
        <v>41122</v>
      </c>
      <c r="AH61" s="671">
        <v>41153</v>
      </c>
      <c r="AI61" s="356">
        <v>40817</v>
      </c>
      <c r="AJ61" s="671">
        <v>41214</v>
      </c>
      <c r="AK61" s="671">
        <v>41244</v>
      </c>
    </row>
    <row r="62" spans="1:68">
      <c r="A62" t="s">
        <v>293</v>
      </c>
      <c r="B62" s="8">
        <v>0</v>
      </c>
      <c r="C62" s="8">
        <v>0</v>
      </c>
      <c r="D62" s="8">
        <v>2</v>
      </c>
      <c r="E62" s="8">
        <v>0</v>
      </c>
      <c r="F62" s="8">
        <v>0</v>
      </c>
      <c r="G62" s="8">
        <v>0</v>
      </c>
      <c r="H62" s="8">
        <v>1</v>
      </c>
      <c r="I62" s="8">
        <v>0</v>
      </c>
      <c r="J62" s="8">
        <v>1</v>
      </c>
      <c r="K62" s="8">
        <v>1</v>
      </c>
      <c r="L62" s="8">
        <v>0</v>
      </c>
      <c r="M62" s="8">
        <v>1</v>
      </c>
      <c r="N62" s="8">
        <v>0</v>
      </c>
      <c r="O62" s="8">
        <v>1</v>
      </c>
      <c r="P62" s="8">
        <v>0</v>
      </c>
      <c r="Q62" s="148">
        <v>0</v>
      </c>
      <c r="R62" s="576">
        <v>1</v>
      </c>
      <c r="S62" s="8">
        <v>1</v>
      </c>
      <c r="T62" s="8">
        <v>1</v>
      </c>
      <c r="U62" s="8">
        <v>0</v>
      </c>
      <c r="V62" s="8">
        <v>0</v>
      </c>
      <c r="W62" s="8">
        <v>0</v>
      </c>
      <c r="X62" s="8">
        <v>1</v>
      </c>
      <c r="Y62" s="576">
        <v>1</v>
      </c>
      <c r="Z62" s="8">
        <v>0</v>
      </c>
      <c r="AA62" s="8">
        <v>0</v>
      </c>
      <c r="AB62" s="8">
        <v>0</v>
      </c>
      <c r="AC62" s="8">
        <v>1</v>
      </c>
      <c r="AD62" s="8">
        <v>0</v>
      </c>
      <c r="AE62" s="8">
        <v>3</v>
      </c>
      <c r="AF62" s="8">
        <v>0</v>
      </c>
      <c r="AG62" s="8">
        <v>2</v>
      </c>
      <c r="AH62" s="8">
        <v>0</v>
      </c>
      <c r="AI62" s="8">
        <v>0</v>
      </c>
      <c r="AJ62" s="8">
        <v>0</v>
      </c>
      <c r="AK62" s="8">
        <v>0</v>
      </c>
      <c r="BD62" s="692" t="s">
        <v>331</v>
      </c>
      <c r="BE62" s="543" t="s">
        <v>102</v>
      </c>
      <c r="BF62" s="543" t="s">
        <v>103</v>
      </c>
      <c r="BG62" s="543" t="s">
        <v>104</v>
      </c>
      <c r="BH62" s="543" t="s">
        <v>513</v>
      </c>
      <c r="BI62" s="543" t="s">
        <v>106</v>
      </c>
      <c r="BJ62" s="543" t="s">
        <v>107</v>
      </c>
      <c r="BK62" s="692" t="s">
        <v>108</v>
      </c>
      <c r="BL62" s="692" t="s">
        <v>109</v>
      </c>
      <c r="BM62" s="692" t="s">
        <v>544</v>
      </c>
      <c r="BN62" s="692" t="s">
        <v>111</v>
      </c>
      <c r="BO62" s="692" t="s">
        <v>112</v>
      </c>
      <c r="BP62" s="692" t="s">
        <v>113</v>
      </c>
    </row>
    <row r="63" spans="1:68">
      <c r="A63" t="s">
        <v>294</v>
      </c>
      <c r="B63" s="8">
        <v>0</v>
      </c>
      <c r="C63" s="8">
        <v>0</v>
      </c>
      <c r="D63" s="8">
        <v>0</v>
      </c>
      <c r="E63" s="8">
        <v>0</v>
      </c>
      <c r="F63" s="8">
        <v>0</v>
      </c>
      <c r="G63" s="8">
        <v>0</v>
      </c>
      <c r="H63" s="8">
        <v>0</v>
      </c>
      <c r="I63" s="8">
        <v>1</v>
      </c>
      <c r="J63" s="8">
        <v>0</v>
      </c>
      <c r="K63" s="8">
        <v>0</v>
      </c>
      <c r="L63" s="8">
        <v>0</v>
      </c>
      <c r="M63" s="8">
        <v>0</v>
      </c>
      <c r="N63" s="8">
        <v>0</v>
      </c>
      <c r="O63" s="8">
        <v>0</v>
      </c>
      <c r="P63" s="8">
        <v>0</v>
      </c>
      <c r="Q63" s="148">
        <v>0</v>
      </c>
      <c r="R63" s="8">
        <v>0</v>
      </c>
      <c r="S63" s="8">
        <v>0</v>
      </c>
      <c r="T63" s="8">
        <v>0</v>
      </c>
      <c r="U63" s="8">
        <v>0</v>
      </c>
      <c r="V63" s="8">
        <v>0</v>
      </c>
      <c r="W63" s="8">
        <v>0</v>
      </c>
      <c r="X63" s="8">
        <v>0</v>
      </c>
      <c r="Y63" s="8">
        <v>0</v>
      </c>
      <c r="Z63" s="8">
        <v>0</v>
      </c>
      <c r="AA63" s="8">
        <v>0</v>
      </c>
      <c r="AB63" s="8">
        <v>0</v>
      </c>
      <c r="AC63" s="8">
        <v>0</v>
      </c>
      <c r="AD63" s="8">
        <v>0</v>
      </c>
      <c r="AE63" s="8">
        <v>0</v>
      </c>
      <c r="AF63" s="8">
        <v>0</v>
      </c>
      <c r="AG63" s="8">
        <v>0</v>
      </c>
      <c r="AH63" s="8">
        <v>0</v>
      </c>
      <c r="AI63" s="8">
        <v>0</v>
      </c>
      <c r="AJ63" s="8">
        <v>0</v>
      </c>
      <c r="AK63" s="8">
        <v>0</v>
      </c>
      <c r="BD63" s="543" t="s">
        <v>560</v>
      </c>
      <c r="BE63" s="543">
        <v>1</v>
      </c>
      <c r="BF63" s="543">
        <f t="shared" ref="BF63:BJ67" si="18">+BE63+AV69</f>
        <v>2</v>
      </c>
      <c r="BG63" s="543">
        <f t="shared" si="18"/>
        <v>6</v>
      </c>
      <c r="BH63" s="543">
        <f t="shared" si="18"/>
        <v>7</v>
      </c>
      <c r="BI63" s="543">
        <f t="shared" si="18"/>
        <v>11</v>
      </c>
      <c r="BJ63" s="543">
        <f t="shared" si="18"/>
        <v>12</v>
      </c>
      <c r="BK63" s="543">
        <v>14</v>
      </c>
      <c r="BL63" s="543">
        <v>17</v>
      </c>
      <c r="BM63" s="543">
        <f t="shared" ref="BM63:BP67" si="19">+BL63+BC69</f>
        <v>18</v>
      </c>
      <c r="BN63" s="543">
        <f t="shared" si="19"/>
        <v>20</v>
      </c>
      <c r="BO63" s="543">
        <f t="shared" si="19"/>
        <v>22</v>
      </c>
      <c r="BP63" s="543">
        <f t="shared" si="19"/>
        <v>25</v>
      </c>
    </row>
    <row r="64" spans="1:68" ht="13.8" thickBot="1">
      <c r="A64" s="270" t="s">
        <v>295</v>
      </c>
      <c r="B64" s="267">
        <v>0</v>
      </c>
      <c r="C64" s="267">
        <v>1</v>
      </c>
      <c r="D64" s="267">
        <v>1</v>
      </c>
      <c r="E64" s="267">
        <v>0</v>
      </c>
      <c r="F64" s="267">
        <v>0</v>
      </c>
      <c r="G64" s="267">
        <v>0</v>
      </c>
      <c r="H64" s="267">
        <v>0</v>
      </c>
      <c r="I64" s="267">
        <v>0</v>
      </c>
      <c r="J64" s="267">
        <v>0</v>
      </c>
      <c r="K64" s="267">
        <v>0</v>
      </c>
      <c r="L64" s="267">
        <v>1</v>
      </c>
      <c r="M64" s="267">
        <v>1</v>
      </c>
      <c r="N64" s="267">
        <v>0</v>
      </c>
      <c r="O64" s="267">
        <v>1</v>
      </c>
      <c r="P64" s="267">
        <v>0</v>
      </c>
      <c r="Q64" s="266">
        <v>0</v>
      </c>
      <c r="R64" s="267">
        <v>0</v>
      </c>
      <c r="S64" s="267">
        <v>0</v>
      </c>
      <c r="T64" s="267">
        <v>1</v>
      </c>
      <c r="U64" s="267">
        <v>0</v>
      </c>
      <c r="V64" s="267">
        <v>0</v>
      </c>
      <c r="W64" s="267">
        <v>0</v>
      </c>
      <c r="X64" s="267">
        <v>0</v>
      </c>
      <c r="Y64" s="267">
        <v>0</v>
      </c>
      <c r="Z64" s="267">
        <v>0</v>
      </c>
      <c r="AA64" s="267">
        <v>0</v>
      </c>
      <c r="AB64" s="267">
        <v>2</v>
      </c>
      <c r="AC64" s="267">
        <v>0</v>
      </c>
      <c r="AD64" s="267">
        <v>1</v>
      </c>
      <c r="AE64" s="267">
        <v>0</v>
      </c>
      <c r="AF64" s="267">
        <v>0</v>
      </c>
      <c r="AG64" s="267">
        <v>0</v>
      </c>
      <c r="AH64" s="267">
        <v>1</v>
      </c>
      <c r="AI64" s="267">
        <v>0</v>
      </c>
      <c r="AJ64" s="267">
        <v>2</v>
      </c>
      <c r="AK64" s="267">
        <v>0</v>
      </c>
      <c r="BD64" s="543" t="s">
        <v>561</v>
      </c>
      <c r="BE64" s="543">
        <v>2</v>
      </c>
      <c r="BF64" s="543">
        <f t="shared" si="18"/>
        <v>2</v>
      </c>
      <c r="BG64" s="543">
        <f t="shared" si="18"/>
        <v>2</v>
      </c>
      <c r="BH64" s="543">
        <f t="shared" si="18"/>
        <v>2</v>
      </c>
      <c r="BI64" s="543">
        <f t="shared" si="18"/>
        <v>2</v>
      </c>
      <c r="BJ64" s="543">
        <f t="shared" si="18"/>
        <v>2</v>
      </c>
      <c r="BK64" s="543">
        <f t="shared" ref="BK64:BL66" si="20">+BJ64+BA70</f>
        <v>2</v>
      </c>
      <c r="BL64" s="543">
        <f t="shared" si="20"/>
        <v>3</v>
      </c>
      <c r="BM64" s="543">
        <f t="shared" si="19"/>
        <v>3</v>
      </c>
      <c r="BN64" s="543">
        <f t="shared" si="19"/>
        <v>3</v>
      </c>
      <c r="BO64" s="543">
        <f t="shared" si="19"/>
        <v>5</v>
      </c>
      <c r="BP64" s="543">
        <f t="shared" si="19"/>
        <v>5</v>
      </c>
    </row>
    <row r="65" spans="1:68">
      <c r="A65" t="s">
        <v>55</v>
      </c>
      <c r="B65" s="8">
        <f t="shared" ref="B65:O65" si="21">SUM(B62:B64)</f>
        <v>0</v>
      </c>
      <c r="C65" s="8">
        <f t="shared" si="21"/>
        <v>1</v>
      </c>
      <c r="D65" s="8">
        <f t="shared" si="21"/>
        <v>3</v>
      </c>
      <c r="E65" s="8">
        <f t="shared" si="21"/>
        <v>0</v>
      </c>
      <c r="F65" s="8">
        <f t="shared" si="21"/>
        <v>0</v>
      </c>
      <c r="G65" s="8">
        <f t="shared" si="21"/>
        <v>0</v>
      </c>
      <c r="H65" s="8">
        <f t="shared" si="21"/>
        <v>1</v>
      </c>
      <c r="I65" s="8">
        <f t="shared" si="21"/>
        <v>1</v>
      </c>
      <c r="J65" s="8">
        <f t="shared" si="21"/>
        <v>1</v>
      </c>
      <c r="K65" s="8">
        <f t="shared" si="21"/>
        <v>1</v>
      </c>
      <c r="L65" s="8">
        <f t="shared" si="21"/>
        <v>1</v>
      </c>
      <c r="M65" s="8">
        <f t="shared" si="21"/>
        <v>2</v>
      </c>
      <c r="N65" s="8">
        <f t="shared" si="21"/>
        <v>0</v>
      </c>
      <c r="O65" s="8">
        <f t="shared" si="21"/>
        <v>2</v>
      </c>
      <c r="P65" s="8">
        <f t="shared" ref="P65:AA65" si="22">SUM(P62:P64)</f>
        <v>0</v>
      </c>
      <c r="Q65" s="8">
        <f t="shared" si="22"/>
        <v>0</v>
      </c>
      <c r="R65" s="8">
        <f t="shared" si="22"/>
        <v>1</v>
      </c>
      <c r="S65" s="592">
        <f t="shared" si="22"/>
        <v>1</v>
      </c>
      <c r="T65" s="592">
        <f t="shared" si="22"/>
        <v>2</v>
      </c>
      <c r="U65" s="592">
        <f t="shared" si="22"/>
        <v>0</v>
      </c>
      <c r="V65" s="592">
        <f t="shared" si="22"/>
        <v>0</v>
      </c>
      <c r="W65" s="592">
        <f t="shared" si="22"/>
        <v>0</v>
      </c>
      <c r="X65" s="592">
        <f t="shared" si="22"/>
        <v>1</v>
      </c>
      <c r="Y65" s="592">
        <f t="shared" si="22"/>
        <v>1</v>
      </c>
      <c r="Z65" s="592">
        <f>SUM(Z62:Z64)</f>
        <v>0</v>
      </c>
      <c r="AA65" s="592">
        <f t="shared" si="22"/>
        <v>0</v>
      </c>
      <c r="AB65" s="592">
        <f t="shared" ref="AB65:AK65" si="23">SUM(AB62:AB64)</f>
        <v>2</v>
      </c>
      <c r="AC65" s="592">
        <f t="shared" si="23"/>
        <v>1</v>
      </c>
      <c r="AD65" s="592">
        <f t="shared" si="23"/>
        <v>1</v>
      </c>
      <c r="AE65" s="592">
        <f t="shared" si="23"/>
        <v>3</v>
      </c>
      <c r="AF65" s="592">
        <f t="shared" si="23"/>
        <v>0</v>
      </c>
      <c r="AG65" s="592">
        <f t="shared" si="23"/>
        <v>2</v>
      </c>
      <c r="AH65" s="592">
        <f t="shared" si="23"/>
        <v>1</v>
      </c>
      <c r="AI65" s="592">
        <f t="shared" si="23"/>
        <v>0</v>
      </c>
      <c r="AJ65" s="592">
        <f t="shared" si="23"/>
        <v>2</v>
      </c>
      <c r="AK65" s="592">
        <f t="shared" si="23"/>
        <v>0</v>
      </c>
      <c r="BD65" s="543" t="s">
        <v>562</v>
      </c>
      <c r="BE65" s="543">
        <v>0</v>
      </c>
      <c r="BF65" s="543">
        <f t="shared" si="18"/>
        <v>0</v>
      </c>
      <c r="BG65" s="543">
        <f t="shared" si="18"/>
        <v>1</v>
      </c>
      <c r="BH65" s="543">
        <f t="shared" si="18"/>
        <v>1</v>
      </c>
      <c r="BI65" s="543">
        <f t="shared" si="18"/>
        <v>1</v>
      </c>
      <c r="BJ65" s="543">
        <f t="shared" si="18"/>
        <v>3</v>
      </c>
      <c r="BK65" s="543">
        <f t="shared" si="20"/>
        <v>3</v>
      </c>
      <c r="BL65" s="543">
        <f t="shared" si="20"/>
        <v>3</v>
      </c>
      <c r="BM65" s="543">
        <f t="shared" si="19"/>
        <v>4</v>
      </c>
      <c r="BN65" s="543">
        <f t="shared" si="19"/>
        <v>5</v>
      </c>
      <c r="BO65" s="543">
        <f t="shared" si="19"/>
        <v>7</v>
      </c>
      <c r="BP65" s="543">
        <f t="shared" si="19"/>
        <v>7</v>
      </c>
    </row>
    <row r="66" spans="1:68">
      <c r="A66" t="s">
        <v>444</v>
      </c>
      <c r="B66" s="479">
        <v>3.12</v>
      </c>
      <c r="C66" s="479">
        <v>3.15</v>
      </c>
      <c r="D66" s="479">
        <v>3.88</v>
      </c>
      <c r="E66" s="479">
        <v>3.88</v>
      </c>
      <c r="F66" s="479">
        <v>1.77</v>
      </c>
      <c r="G66" s="479">
        <v>1.89</v>
      </c>
      <c r="H66" s="479">
        <v>2.82</v>
      </c>
      <c r="I66" s="479">
        <v>3.75</v>
      </c>
      <c r="J66" s="479">
        <v>4.62</v>
      </c>
      <c r="K66" s="479">
        <v>5.5</v>
      </c>
      <c r="L66" s="479">
        <v>5.46</v>
      </c>
      <c r="M66" s="479">
        <v>6.48</v>
      </c>
      <c r="N66" s="571">
        <v>6.42</v>
      </c>
      <c r="O66" s="479">
        <v>7.25</v>
      </c>
      <c r="P66" s="479">
        <v>5.4</v>
      </c>
      <c r="Q66" s="591">
        <v>5.38</v>
      </c>
      <c r="R66" s="587">
        <v>6.3</v>
      </c>
      <c r="S66" s="587">
        <v>9.1999999999999993</v>
      </c>
      <c r="T66" s="587">
        <v>6.2</v>
      </c>
      <c r="U66" s="587">
        <v>7.2</v>
      </c>
      <c r="V66" s="587">
        <v>5.3</v>
      </c>
      <c r="W66" s="587">
        <v>6.4</v>
      </c>
      <c r="X66" s="587">
        <v>6.2</v>
      </c>
      <c r="Y66" s="587">
        <v>6.2</v>
      </c>
      <c r="Z66" s="571">
        <v>7.1</v>
      </c>
      <c r="AA66" s="571">
        <v>6.2</v>
      </c>
      <c r="AB66" s="571">
        <v>6.3</v>
      </c>
      <c r="AC66" s="571">
        <v>7.3</v>
      </c>
      <c r="AD66" s="571">
        <v>6.2</v>
      </c>
      <c r="AE66" s="571">
        <v>8.1</v>
      </c>
      <c r="AF66" s="571">
        <v>7.2</v>
      </c>
      <c r="AG66" s="571" t="e">
        <f>+INDICADORES!#REF!</f>
        <v>#REF!</v>
      </c>
      <c r="AH66" s="571" t="e">
        <f>+INDICADORES!#REF!</f>
        <v>#REF!</v>
      </c>
      <c r="AI66" s="571" t="e">
        <f>+INDICADORES!#REF!</f>
        <v>#REF!</v>
      </c>
      <c r="AJ66" s="571" t="e">
        <f>+INDICADORES!#REF!</f>
        <v>#REF!</v>
      </c>
      <c r="AK66" s="571" t="e">
        <f>+INDICADORES!#REF!</f>
        <v>#REF!</v>
      </c>
      <c r="BD66" s="543" t="s">
        <v>563</v>
      </c>
      <c r="BE66" s="543">
        <v>1</v>
      </c>
      <c r="BF66" s="543">
        <f t="shared" si="18"/>
        <v>1</v>
      </c>
      <c r="BG66" s="543">
        <f t="shared" si="18"/>
        <v>1</v>
      </c>
      <c r="BH66" s="543">
        <f t="shared" si="18"/>
        <v>1</v>
      </c>
      <c r="BI66" s="543">
        <f t="shared" si="18"/>
        <v>1</v>
      </c>
      <c r="BJ66" s="543">
        <f t="shared" si="18"/>
        <v>3</v>
      </c>
      <c r="BK66" s="543">
        <f t="shared" si="20"/>
        <v>3</v>
      </c>
      <c r="BL66" s="543">
        <f t="shared" si="20"/>
        <v>4</v>
      </c>
      <c r="BM66" s="543">
        <f t="shared" si="19"/>
        <v>5</v>
      </c>
      <c r="BN66" s="543">
        <f t="shared" si="19"/>
        <v>5</v>
      </c>
      <c r="BO66" s="543">
        <f t="shared" si="19"/>
        <v>6</v>
      </c>
      <c r="BP66" s="543">
        <f t="shared" si="19"/>
        <v>6</v>
      </c>
    </row>
    <row r="67" spans="1:68">
      <c r="B67" s="8"/>
      <c r="C67" s="8"/>
      <c r="D67" s="8"/>
      <c r="E67" s="8"/>
      <c r="F67" s="8"/>
      <c r="G67" s="8"/>
      <c r="H67" s="8"/>
      <c r="I67" s="8"/>
      <c r="J67" s="8"/>
      <c r="K67" s="8"/>
      <c r="L67" s="8"/>
      <c r="M67" s="8"/>
      <c r="N67" s="8"/>
      <c r="O67" s="8"/>
      <c r="P67" s="8"/>
      <c r="BD67" s="543" t="s">
        <v>564</v>
      </c>
      <c r="BE67" s="543">
        <v>1</v>
      </c>
      <c r="BF67" s="543">
        <f t="shared" si="18"/>
        <v>1</v>
      </c>
      <c r="BG67" s="543">
        <f t="shared" si="18"/>
        <v>1</v>
      </c>
      <c r="BH67" s="543">
        <f t="shared" si="18"/>
        <v>2</v>
      </c>
      <c r="BI67" s="543">
        <f t="shared" si="18"/>
        <v>2</v>
      </c>
      <c r="BJ67" s="543">
        <f t="shared" si="18"/>
        <v>4</v>
      </c>
      <c r="BK67" s="543">
        <v>5</v>
      </c>
      <c r="BL67" s="543">
        <v>7</v>
      </c>
      <c r="BM67" s="543">
        <f t="shared" si="19"/>
        <v>7</v>
      </c>
      <c r="BN67" s="543">
        <f t="shared" si="19"/>
        <v>7</v>
      </c>
      <c r="BO67" s="543">
        <f t="shared" si="19"/>
        <v>8</v>
      </c>
      <c r="BP67" s="543">
        <f t="shared" si="19"/>
        <v>8</v>
      </c>
    </row>
    <row r="68" spans="1:68" ht="13.8" thickBot="1">
      <c r="A68" s="271" t="s">
        <v>77</v>
      </c>
      <c r="B68" s="267" t="s">
        <v>298</v>
      </c>
      <c r="C68" s="267" t="s">
        <v>103</v>
      </c>
      <c r="D68" s="267" t="s">
        <v>104</v>
      </c>
      <c r="E68" s="267" t="s">
        <v>105</v>
      </c>
      <c r="F68" s="267" t="s">
        <v>106</v>
      </c>
      <c r="G68" s="267" t="s">
        <v>107</v>
      </c>
      <c r="H68" s="267" t="s">
        <v>108</v>
      </c>
      <c r="I68" s="267" t="s">
        <v>109</v>
      </c>
      <c r="J68" s="267" t="s">
        <v>110</v>
      </c>
      <c r="K68" s="267" t="s">
        <v>111</v>
      </c>
      <c r="L68" s="267" t="s">
        <v>112</v>
      </c>
      <c r="M68" s="267" t="s">
        <v>113</v>
      </c>
      <c r="N68" s="356">
        <f>+N61</f>
        <v>40544</v>
      </c>
      <c r="O68" s="356">
        <f>+O61</f>
        <v>40575</v>
      </c>
      <c r="P68" s="356">
        <f>+P61</f>
        <v>40603</v>
      </c>
      <c r="Q68" s="574">
        <f>+Q61</f>
        <v>40634</v>
      </c>
      <c r="R68" s="356">
        <v>40664</v>
      </c>
      <c r="S68" s="356">
        <v>40695</v>
      </c>
      <c r="T68" s="356">
        <v>40725</v>
      </c>
      <c r="U68" s="356">
        <v>40756</v>
      </c>
      <c r="V68" s="356">
        <v>40787</v>
      </c>
      <c r="W68" s="356">
        <v>40817</v>
      </c>
      <c r="X68" s="356">
        <v>40848</v>
      </c>
      <c r="Y68" s="356">
        <v>40878</v>
      </c>
      <c r="Z68" s="356">
        <v>40909</v>
      </c>
      <c r="AA68" s="356">
        <v>40940</v>
      </c>
      <c r="AB68" s="356">
        <v>40969</v>
      </c>
      <c r="AC68" s="671">
        <v>41000</v>
      </c>
      <c r="AD68" s="671">
        <v>41030</v>
      </c>
      <c r="AE68" s="671">
        <v>41061</v>
      </c>
      <c r="AF68" s="671">
        <v>41091</v>
      </c>
      <c r="AG68" s="671">
        <v>41122</v>
      </c>
      <c r="AH68" s="671">
        <v>41153</v>
      </c>
      <c r="AI68" s="356">
        <v>41183</v>
      </c>
      <c r="AJ68" s="671">
        <v>41214</v>
      </c>
      <c r="AK68" s="671">
        <v>41244</v>
      </c>
      <c r="AL68" s="267" t="s">
        <v>98</v>
      </c>
      <c r="AT68" s="137"/>
      <c r="AU68" s="543" t="s">
        <v>102</v>
      </c>
      <c r="AV68" s="543" t="s">
        <v>103</v>
      </c>
      <c r="AW68" s="543" t="s">
        <v>104</v>
      </c>
      <c r="AX68" s="543" t="s">
        <v>513</v>
      </c>
      <c r="AY68" s="543" t="s">
        <v>106</v>
      </c>
      <c r="AZ68" s="543" t="s">
        <v>107</v>
      </c>
      <c r="BA68" s="692" t="s">
        <v>108</v>
      </c>
      <c r="BB68" s="692" t="s">
        <v>109</v>
      </c>
      <c r="BC68" s="692" t="s">
        <v>544</v>
      </c>
      <c r="BD68" s="692" t="s">
        <v>568</v>
      </c>
      <c r="BE68" s="692" t="s">
        <v>112</v>
      </c>
      <c r="BF68" s="692" t="s">
        <v>113</v>
      </c>
    </row>
    <row r="69" spans="1:68">
      <c r="A69" t="s">
        <v>293</v>
      </c>
      <c r="B69" s="8">
        <v>1</v>
      </c>
      <c r="C69" s="8">
        <v>0</v>
      </c>
      <c r="D69" s="8">
        <v>0</v>
      </c>
      <c r="E69" s="8">
        <v>0</v>
      </c>
      <c r="F69" s="8">
        <v>0</v>
      </c>
      <c r="G69" s="8">
        <v>1</v>
      </c>
      <c r="H69" s="8">
        <v>1</v>
      </c>
      <c r="I69" s="8">
        <v>1</v>
      </c>
      <c r="J69" s="8">
        <v>0</v>
      </c>
      <c r="K69" s="8">
        <v>0</v>
      </c>
      <c r="L69" s="8">
        <v>0</v>
      </c>
      <c r="M69" s="8">
        <v>0</v>
      </c>
      <c r="N69" s="8">
        <v>0</v>
      </c>
      <c r="O69" s="8">
        <v>0</v>
      </c>
      <c r="P69" s="8">
        <v>0</v>
      </c>
      <c r="Q69" s="148">
        <v>0</v>
      </c>
      <c r="R69" s="586">
        <v>1</v>
      </c>
      <c r="S69" s="148">
        <v>0</v>
      </c>
      <c r="T69" s="148">
        <v>0</v>
      </c>
      <c r="U69" s="586">
        <v>0</v>
      </c>
      <c r="V69" s="148">
        <v>0</v>
      </c>
      <c r="W69" s="148">
        <v>0</v>
      </c>
      <c r="X69" s="148">
        <v>0</v>
      </c>
      <c r="Y69" s="148">
        <v>0</v>
      </c>
      <c r="Z69" s="148">
        <v>0</v>
      </c>
      <c r="AA69" s="148">
        <v>0</v>
      </c>
      <c r="AB69" s="148">
        <v>2</v>
      </c>
      <c r="AC69" s="148">
        <v>0</v>
      </c>
      <c r="AD69" s="148">
        <v>0</v>
      </c>
      <c r="AE69" s="148">
        <v>0</v>
      </c>
      <c r="AF69" s="148">
        <v>0</v>
      </c>
      <c r="AG69" s="148">
        <v>0</v>
      </c>
      <c r="AH69" s="148">
        <v>0</v>
      </c>
      <c r="AI69" s="148">
        <v>0</v>
      </c>
      <c r="AJ69" s="148">
        <v>0</v>
      </c>
      <c r="AK69" s="148">
        <v>2</v>
      </c>
      <c r="AL69" s="8">
        <f>SUM(Z69:AK69)</f>
        <v>4</v>
      </c>
      <c r="AT69" s="543" t="s">
        <v>560</v>
      </c>
      <c r="AU69" s="543">
        <v>1</v>
      </c>
      <c r="AV69" s="543">
        <v>1</v>
      </c>
      <c r="AW69" s="543">
        <v>4</v>
      </c>
      <c r="AX69" s="543">
        <v>1</v>
      </c>
      <c r="AY69" s="543">
        <v>4</v>
      </c>
      <c r="AZ69" s="543">
        <v>1</v>
      </c>
      <c r="BA69" s="543">
        <v>2</v>
      </c>
      <c r="BB69" s="543">
        <v>3</v>
      </c>
      <c r="BC69" s="543">
        <v>1</v>
      </c>
      <c r="BD69" s="543">
        <v>2</v>
      </c>
      <c r="BE69" s="543">
        <v>2</v>
      </c>
      <c r="BF69" s="543">
        <v>3</v>
      </c>
    </row>
    <row r="70" spans="1:68">
      <c r="A70" t="s">
        <v>294</v>
      </c>
      <c r="B70" s="8">
        <v>0</v>
      </c>
      <c r="C70" s="8">
        <v>0</v>
      </c>
      <c r="D70" s="8">
        <v>1</v>
      </c>
      <c r="E70" s="8">
        <v>0</v>
      </c>
      <c r="F70" s="8">
        <v>0</v>
      </c>
      <c r="G70" s="8">
        <v>1</v>
      </c>
      <c r="H70" s="8">
        <v>0</v>
      </c>
      <c r="I70" s="8">
        <v>0</v>
      </c>
      <c r="J70" s="8">
        <v>0</v>
      </c>
      <c r="K70" s="8">
        <v>0</v>
      </c>
      <c r="L70" s="8">
        <v>0</v>
      </c>
      <c r="M70" s="8">
        <v>0</v>
      </c>
      <c r="N70" s="8">
        <v>0</v>
      </c>
      <c r="O70" s="8">
        <v>0</v>
      </c>
      <c r="P70" s="8">
        <v>0</v>
      </c>
      <c r="Q70" s="148">
        <v>0</v>
      </c>
      <c r="R70" s="8">
        <v>0</v>
      </c>
      <c r="S70" s="8">
        <v>0</v>
      </c>
      <c r="T70" s="8">
        <v>0</v>
      </c>
      <c r="U70" s="8">
        <v>0</v>
      </c>
      <c r="V70" s="8">
        <v>0</v>
      </c>
      <c r="W70" s="8">
        <v>0</v>
      </c>
      <c r="X70" s="8">
        <v>0</v>
      </c>
      <c r="Y70" s="8">
        <v>0</v>
      </c>
      <c r="Z70" s="8">
        <v>0</v>
      </c>
      <c r="AA70" s="8">
        <v>0</v>
      </c>
      <c r="AB70" s="8">
        <v>0</v>
      </c>
      <c r="AC70" s="8">
        <v>0</v>
      </c>
      <c r="AD70" s="8">
        <v>0</v>
      </c>
      <c r="AE70" s="8">
        <v>0</v>
      </c>
      <c r="AF70" s="8">
        <v>0</v>
      </c>
      <c r="AG70" s="8">
        <v>0</v>
      </c>
      <c r="AH70" s="8">
        <v>0</v>
      </c>
      <c r="AI70" s="8">
        <v>0</v>
      </c>
      <c r="AJ70" s="8">
        <v>0</v>
      </c>
      <c r="AK70" s="8">
        <v>0</v>
      </c>
      <c r="AL70" s="8">
        <f>SUM(O70:X70)</f>
        <v>0</v>
      </c>
      <c r="AT70" s="543" t="s">
        <v>561</v>
      </c>
      <c r="AU70" s="543">
        <v>2</v>
      </c>
      <c r="AV70" s="543">
        <v>0</v>
      </c>
      <c r="AW70" s="543">
        <v>0</v>
      </c>
      <c r="AX70" s="543">
        <v>0</v>
      </c>
      <c r="AY70" s="543">
        <v>0</v>
      </c>
      <c r="AZ70" s="543">
        <v>0</v>
      </c>
      <c r="BA70" s="543">
        <v>0</v>
      </c>
      <c r="BB70" s="543">
        <v>1</v>
      </c>
      <c r="BC70" s="543">
        <v>0</v>
      </c>
      <c r="BD70" s="543">
        <v>0</v>
      </c>
      <c r="BE70" s="543">
        <v>2</v>
      </c>
      <c r="BF70" s="543">
        <v>0</v>
      </c>
    </row>
    <row r="71" spans="1:68" ht="13.8" thickBot="1">
      <c r="A71" s="270" t="s">
        <v>295</v>
      </c>
      <c r="B71" s="267">
        <v>1</v>
      </c>
      <c r="C71" s="267">
        <v>0</v>
      </c>
      <c r="D71" s="267">
        <v>0</v>
      </c>
      <c r="E71" s="267">
        <v>0</v>
      </c>
      <c r="F71" s="267">
        <v>0</v>
      </c>
      <c r="G71" s="267">
        <v>1</v>
      </c>
      <c r="H71" s="267">
        <v>0</v>
      </c>
      <c r="I71" s="267">
        <v>0</v>
      </c>
      <c r="J71" s="267">
        <v>0</v>
      </c>
      <c r="K71" s="267">
        <v>0</v>
      </c>
      <c r="L71" s="267">
        <v>0</v>
      </c>
      <c r="M71" s="267">
        <v>0</v>
      </c>
      <c r="N71" s="267">
        <v>1</v>
      </c>
      <c r="O71" s="267">
        <v>0</v>
      </c>
      <c r="P71" s="267">
        <v>0</v>
      </c>
      <c r="Q71" s="266">
        <v>0</v>
      </c>
      <c r="R71" s="267">
        <v>0</v>
      </c>
      <c r="S71" s="593">
        <v>0</v>
      </c>
      <c r="T71" s="593">
        <v>0</v>
      </c>
      <c r="U71" s="267">
        <v>0</v>
      </c>
      <c r="V71" s="267">
        <v>0</v>
      </c>
      <c r="W71" s="267">
        <v>0</v>
      </c>
      <c r="X71" s="267">
        <v>0</v>
      </c>
      <c r="Y71" s="267">
        <v>0</v>
      </c>
      <c r="Z71" s="267">
        <v>0</v>
      </c>
      <c r="AA71" s="267">
        <v>0</v>
      </c>
      <c r="AB71" s="267">
        <v>0</v>
      </c>
      <c r="AC71" s="267">
        <v>0</v>
      </c>
      <c r="AD71" s="267">
        <v>0</v>
      </c>
      <c r="AE71" s="267">
        <v>0</v>
      </c>
      <c r="AF71" s="267">
        <v>0</v>
      </c>
      <c r="AG71" s="267">
        <v>0</v>
      </c>
      <c r="AH71" s="267">
        <v>0</v>
      </c>
      <c r="AI71" s="267">
        <v>0</v>
      </c>
      <c r="AJ71" s="267">
        <v>0</v>
      </c>
      <c r="AK71" s="267">
        <v>0</v>
      </c>
      <c r="AL71" s="267">
        <f>SUM(O71:X71)</f>
        <v>0</v>
      </c>
      <c r="AT71" s="543" t="s">
        <v>562</v>
      </c>
      <c r="AU71" s="543">
        <v>0</v>
      </c>
      <c r="AV71" s="543">
        <v>0</v>
      </c>
      <c r="AW71" s="543">
        <v>1</v>
      </c>
      <c r="AX71" s="543">
        <v>0</v>
      </c>
      <c r="AY71" s="543">
        <v>0</v>
      </c>
      <c r="AZ71" s="543">
        <v>2</v>
      </c>
      <c r="BA71" s="543">
        <v>0</v>
      </c>
      <c r="BB71" s="543">
        <v>0</v>
      </c>
      <c r="BC71" s="543">
        <v>1</v>
      </c>
      <c r="BD71" s="543">
        <v>1</v>
      </c>
      <c r="BE71" s="543">
        <v>2</v>
      </c>
      <c r="BF71" s="543">
        <v>0</v>
      </c>
    </row>
    <row r="72" spans="1:68">
      <c r="A72" t="s">
        <v>55</v>
      </c>
      <c r="B72" s="8">
        <f t="shared" ref="B72:AL72" si="24">SUM(B69:B71)</f>
        <v>2</v>
      </c>
      <c r="C72" s="8">
        <f t="shared" si="24"/>
        <v>0</v>
      </c>
      <c r="D72" s="8">
        <f t="shared" si="24"/>
        <v>1</v>
      </c>
      <c r="E72" s="8">
        <f t="shared" si="24"/>
        <v>0</v>
      </c>
      <c r="F72" s="8">
        <f t="shared" si="24"/>
        <v>0</v>
      </c>
      <c r="G72" s="8">
        <f t="shared" si="24"/>
        <v>3</v>
      </c>
      <c r="H72" s="8">
        <f t="shared" si="24"/>
        <v>1</v>
      </c>
      <c r="I72" s="8">
        <f t="shared" si="24"/>
        <v>1</v>
      </c>
      <c r="J72" s="8">
        <f t="shared" si="24"/>
        <v>0</v>
      </c>
      <c r="K72" s="8">
        <f t="shared" si="24"/>
        <v>0</v>
      </c>
      <c r="L72" s="8">
        <f t="shared" si="24"/>
        <v>0</v>
      </c>
      <c r="M72" s="8">
        <f t="shared" si="24"/>
        <v>0</v>
      </c>
      <c r="N72" s="8">
        <f t="shared" si="24"/>
        <v>1</v>
      </c>
      <c r="O72" s="8">
        <f t="shared" si="24"/>
        <v>0</v>
      </c>
      <c r="P72" s="8">
        <f t="shared" si="24"/>
        <v>0</v>
      </c>
      <c r="Q72" s="8">
        <f t="shared" si="24"/>
        <v>0</v>
      </c>
      <c r="R72" s="8">
        <f t="shared" si="24"/>
        <v>1</v>
      </c>
      <c r="S72" s="8">
        <f t="shared" si="24"/>
        <v>0</v>
      </c>
      <c r="T72" s="8">
        <f t="shared" si="24"/>
        <v>0</v>
      </c>
      <c r="U72" s="8">
        <f t="shared" si="24"/>
        <v>0</v>
      </c>
      <c r="V72" s="8">
        <f t="shared" si="24"/>
        <v>0</v>
      </c>
      <c r="W72" s="8">
        <f t="shared" si="24"/>
        <v>0</v>
      </c>
      <c r="X72" s="8">
        <f t="shared" si="24"/>
        <v>0</v>
      </c>
      <c r="Y72" s="8">
        <f t="shared" si="24"/>
        <v>0</v>
      </c>
      <c r="Z72" s="8">
        <f>SUM(Z69:Z71)</f>
        <v>0</v>
      </c>
      <c r="AA72" s="8">
        <f t="shared" si="24"/>
        <v>0</v>
      </c>
      <c r="AB72" s="8">
        <f t="shared" si="24"/>
        <v>2</v>
      </c>
      <c r="AC72" s="8">
        <f t="shared" si="24"/>
        <v>0</v>
      </c>
      <c r="AD72" s="8">
        <f t="shared" si="24"/>
        <v>0</v>
      </c>
      <c r="AE72" s="8">
        <f t="shared" si="24"/>
        <v>0</v>
      </c>
      <c r="AF72" s="8">
        <f t="shared" si="24"/>
        <v>0</v>
      </c>
      <c r="AG72" s="8">
        <f t="shared" si="24"/>
        <v>0</v>
      </c>
      <c r="AH72" s="8">
        <f t="shared" si="24"/>
        <v>0</v>
      </c>
      <c r="AI72" s="8">
        <f t="shared" si="24"/>
        <v>0</v>
      </c>
      <c r="AJ72" s="8">
        <f t="shared" si="24"/>
        <v>0</v>
      </c>
      <c r="AK72" s="8">
        <f t="shared" si="24"/>
        <v>2</v>
      </c>
      <c r="AL72" s="8">
        <f t="shared" si="24"/>
        <v>4</v>
      </c>
      <c r="AT72" s="543" t="s">
        <v>563</v>
      </c>
      <c r="AU72" s="543">
        <v>1</v>
      </c>
      <c r="AV72" s="543">
        <v>0</v>
      </c>
      <c r="AW72" s="543">
        <v>0</v>
      </c>
      <c r="AX72" s="543">
        <v>0</v>
      </c>
      <c r="AY72" s="543">
        <v>0</v>
      </c>
      <c r="AZ72" s="543">
        <v>2</v>
      </c>
      <c r="BA72" s="543">
        <v>0</v>
      </c>
      <c r="BB72" s="543">
        <v>1</v>
      </c>
      <c r="BC72" s="543">
        <v>1</v>
      </c>
      <c r="BD72" s="543">
        <v>0</v>
      </c>
      <c r="BE72" s="543">
        <v>1</v>
      </c>
      <c r="BF72" s="543">
        <v>0</v>
      </c>
    </row>
    <row r="73" spans="1:68">
      <c r="A73" t="s">
        <v>444</v>
      </c>
      <c r="B73" s="479">
        <v>2.77</v>
      </c>
      <c r="C73" s="479">
        <v>2.82</v>
      </c>
      <c r="D73" s="479">
        <v>2.69</v>
      </c>
      <c r="E73" s="479">
        <v>2.75</v>
      </c>
      <c r="F73" s="479">
        <v>5.7</v>
      </c>
      <c r="G73" s="479">
        <v>8.3000000000000007</v>
      </c>
      <c r="H73" s="479">
        <v>8.3000000000000007</v>
      </c>
      <c r="I73" s="479">
        <v>8.3000000000000007</v>
      </c>
      <c r="J73" s="479">
        <v>10.3</v>
      </c>
      <c r="K73" s="479">
        <v>10.199999999999999</v>
      </c>
      <c r="L73" s="479">
        <v>10.199999999999999</v>
      </c>
      <c r="M73" s="479">
        <v>10.1</v>
      </c>
      <c r="N73" s="8">
        <v>7.4</v>
      </c>
      <c r="O73" s="479">
        <v>7.4</v>
      </c>
      <c r="P73" s="479">
        <v>7.5</v>
      </c>
      <c r="Q73" s="148">
        <v>7.3</v>
      </c>
      <c r="R73" s="587">
        <v>9.9</v>
      </c>
      <c r="S73" s="587">
        <v>7.6</v>
      </c>
      <c r="T73" s="587">
        <v>2.4</v>
      </c>
      <c r="U73" s="587">
        <v>2.4</v>
      </c>
      <c r="V73" s="587">
        <v>2.4</v>
      </c>
      <c r="W73" s="587">
        <v>2.4</v>
      </c>
      <c r="X73" s="587">
        <v>2.4</v>
      </c>
      <c r="Y73" s="587">
        <v>2.4</v>
      </c>
      <c r="Z73" s="587">
        <v>2.4</v>
      </c>
      <c r="AA73" s="571">
        <v>2.4</v>
      </c>
      <c r="AB73" s="571">
        <v>7.3</v>
      </c>
      <c r="AC73" s="571">
        <v>7.3</v>
      </c>
      <c r="AD73" s="571">
        <v>4.9000000000000004</v>
      </c>
      <c r="AE73" s="571">
        <v>4.8</v>
      </c>
      <c r="AF73" s="571">
        <v>4.9000000000000004</v>
      </c>
      <c r="AG73" s="571">
        <v>4.9000000000000004</v>
      </c>
      <c r="AH73" s="571">
        <v>5.0999999999999996</v>
      </c>
      <c r="AI73" s="571">
        <v>5.0999999999999996</v>
      </c>
      <c r="AJ73" s="571">
        <v>5.0999999999999996</v>
      </c>
      <c r="AK73" s="571">
        <f>+INDICADORES!H15</f>
        <v>8.8790032040327009</v>
      </c>
      <c r="AT73" s="543" t="s">
        <v>564</v>
      </c>
      <c r="AU73" s="543">
        <v>1</v>
      </c>
      <c r="AV73" s="543">
        <v>0</v>
      </c>
      <c r="AW73" s="543">
        <v>0</v>
      </c>
      <c r="AX73" s="543">
        <v>1</v>
      </c>
      <c r="AY73" s="543">
        <v>0</v>
      </c>
      <c r="AZ73" s="543">
        <v>2</v>
      </c>
      <c r="BA73" s="543">
        <v>1</v>
      </c>
      <c r="BB73" s="543">
        <v>2</v>
      </c>
      <c r="BC73" s="543">
        <v>0</v>
      </c>
      <c r="BD73" s="543">
        <v>0</v>
      </c>
      <c r="BE73" s="543">
        <v>1</v>
      </c>
      <c r="BF73" s="543">
        <v>0</v>
      </c>
    </row>
    <row r="74" spans="1:68">
      <c r="B74" s="8"/>
      <c r="C74" s="8"/>
      <c r="D74" s="8"/>
      <c r="E74" s="8"/>
      <c r="F74" s="8"/>
      <c r="G74" s="8"/>
      <c r="H74" s="8"/>
      <c r="I74" s="8"/>
      <c r="J74" s="8"/>
      <c r="K74" s="8"/>
      <c r="L74" s="8"/>
      <c r="M74" s="8"/>
      <c r="N74" s="8"/>
      <c r="O74" s="8"/>
      <c r="P74" s="8"/>
    </row>
    <row r="75" spans="1:68" ht="13.8" thickBot="1">
      <c r="A75" s="271" t="s">
        <v>416</v>
      </c>
      <c r="B75" s="267" t="s">
        <v>298</v>
      </c>
      <c r="C75" s="267" t="s">
        <v>103</v>
      </c>
      <c r="D75" s="267" t="s">
        <v>104</v>
      </c>
      <c r="E75" s="267" t="s">
        <v>105</v>
      </c>
      <c r="F75" s="267" t="s">
        <v>106</v>
      </c>
      <c r="G75" s="267" t="s">
        <v>107</v>
      </c>
      <c r="H75" s="267" t="s">
        <v>108</v>
      </c>
      <c r="I75" s="267" t="s">
        <v>109</v>
      </c>
      <c r="J75" s="267" t="s">
        <v>110</v>
      </c>
      <c r="K75" s="267" t="s">
        <v>111</v>
      </c>
      <c r="L75" s="267" t="s">
        <v>112</v>
      </c>
      <c r="M75" s="267" t="s">
        <v>113</v>
      </c>
      <c r="N75" s="356">
        <f>+N68</f>
        <v>40544</v>
      </c>
      <c r="O75" s="356">
        <f>+O68</f>
        <v>40575</v>
      </c>
      <c r="P75" s="356">
        <f>+P61</f>
        <v>40603</v>
      </c>
      <c r="Q75" s="574">
        <f>+Q61</f>
        <v>40634</v>
      </c>
      <c r="R75" s="356">
        <v>40664</v>
      </c>
      <c r="S75" s="356">
        <v>40695</v>
      </c>
      <c r="T75" s="356">
        <v>40725</v>
      </c>
      <c r="U75" s="606"/>
      <c r="V75" s="606"/>
      <c r="W75" s="606"/>
      <c r="X75" s="606"/>
      <c r="Y75" s="606"/>
      <c r="Z75" s="606"/>
    </row>
    <row r="76" spans="1:68">
      <c r="A76" t="s">
        <v>293</v>
      </c>
      <c r="B76" s="8">
        <v>0</v>
      </c>
      <c r="C76" s="8">
        <v>0</v>
      </c>
      <c r="D76" s="8">
        <v>0</v>
      </c>
      <c r="E76" s="8">
        <v>0</v>
      </c>
      <c r="F76" s="8">
        <v>0</v>
      </c>
      <c r="G76" s="8">
        <v>0</v>
      </c>
      <c r="H76" s="8">
        <v>1</v>
      </c>
      <c r="I76" s="8">
        <v>1</v>
      </c>
      <c r="J76" s="8">
        <v>0</v>
      </c>
      <c r="K76" s="8">
        <v>1</v>
      </c>
      <c r="L76" s="8">
        <v>0</v>
      </c>
      <c r="M76" s="8">
        <v>0</v>
      </c>
      <c r="N76" s="8">
        <v>0</v>
      </c>
      <c r="O76" s="8">
        <v>0</v>
      </c>
      <c r="P76" s="8">
        <v>0</v>
      </c>
      <c r="Q76" s="148">
        <v>0</v>
      </c>
      <c r="R76" s="576">
        <v>0</v>
      </c>
      <c r="S76" s="8">
        <v>0</v>
      </c>
      <c r="T76" s="8">
        <v>1</v>
      </c>
      <c r="U76" s="8"/>
      <c r="V76" s="8"/>
      <c r="W76" s="8"/>
      <c r="X76" s="8"/>
      <c r="Y76" s="8"/>
      <c r="Z76" s="8"/>
    </row>
    <row r="77" spans="1:68">
      <c r="A77" t="s">
        <v>294</v>
      </c>
      <c r="B77" s="8">
        <v>0</v>
      </c>
      <c r="C77" s="8">
        <v>0</v>
      </c>
      <c r="D77" s="8">
        <v>0</v>
      </c>
      <c r="E77" s="8">
        <v>0</v>
      </c>
      <c r="F77" s="8">
        <v>0</v>
      </c>
      <c r="G77" s="8">
        <v>0</v>
      </c>
      <c r="H77" s="8">
        <v>0</v>
      </c>
      <c r="I77" s="8">
        <v>0</v>
      </c>
      <c r="J77" s="8">
        <v>0</v>
      </c>
      <c r="K77" s="8">
        <v>0</v>
      </c>
      <c r="L77" s="8">
        <v>0</v>
      </c>
      <c r="M77" s="8">
        <v>0</v>
      </c>
      <c r="N77" s="8">
        <v>0</v>
      </c>
      <c r="O77" s="8">
        <v>0</v>
      </c>
      <c r="P77" s="8">
        <v>0</v>
      </c>
      <c r="Q77" s="148">
        <v>0</v>
      </c>
      <c r="R77" s="8">
        <v>0</v>
      </c>
      <c r="S77" s="8">
        <v>0</v>
      </c>
      <c r="T77" s="8">
        <v>0</v>
      </c>
      <c r="U77" s="8"/>
      <c r="V77" s="8"/>
      <c r="W77" s="8"/>
      <c r="X77" s="8"/>
      <c r="Y77" s="8"/>
      <c r="Z77" s="8"/>
    </row>
    <row r="78" spans="1:68" ht="13.8" thickBot="1">
      <c r="A78" s="270" t="s">
        <v>295</v>
      </c>
      <c r="B78" s="267">
        <v>0</v>
      </c>
      <c r="C78" s="267">
        <v>0</v>
      </c>
      <c r="D78" s="267">
        <v>0</v>
      </c>
      <c r="E78" s="267">
        <v>0</v>
      </c>
      <c r="F78" s="267">
        <v>0</v>
      </c>
      <c r="G78" s="267">
        <v>0</v>
      </c>
      <c r="H78" s="267">
        <v>0</v>
      </c>
      <c r="I78" s="267">
        <v>0</v>
      </c>
      <c r="J78" s="267">
        <v>0</v>
      </c>
      <c r="K78" s="267">
        <v>0</v>
      </c>
      <c r="L78" s="267">
        <v>0</v>
      </c>
      <c r="M78" s="267">
        <v>0</v>
      </c>
      <c r="N78" s="267">
        <v>0</v>
      </c>
      <c r="O78" s="267">
        <v>0</v>
      </c>
      <c r="P78" s="267">
        <v>0</v>
      </c>
      <c r="Q78" s="266">
        <v>0</v>
      </c>
      <c r="R78" s="267">
        <v>0</v>
      </c>
      <c r="S78" s="267">
        <v>1</v>
      </c>
      <c r="T78" s="267">
        <v>0</v>
      </c>
      <c r="U78" s="8"/>
      <c r="V78" s="8"/>
      <c r="W78" s="8"/>
      <c r="X78" s="8"/>
      <c r="Y78" s="8"/>
      <c r="Z78" s="8"/>
    </row>
    <row r="79" spans="1:68">
      <c r="A79" t="s">
        <v>55</v>
      </c>
      <c r="B79" s="8">
        <f t="shared" ref="B79:T79" si="25">SUM(B76:B78)</f>
        <v>0</v>
      </c>
      <c r="C79" s="8">
        <f t="shared" si="25"/>
        <v>0</v>
      </c>
      <c r="D79" s="8">
        <f t="shared" si="25"/>
        <v>0</v>
      </c>
      <c r="E79" s="8">
        <f t="shared" si="25"/>
        <v>0</v>
      </c>
      <c r="F79" s="8">
        <f t="shared" si="25"/>
        <v>0</v>
      </c>
      <c r="G79" s="8">
        <f t="shared" si="25"/>
        <v>0</v>
      </c>
      <c r="H79" s="8">
        <f t="shared" si="25"/>
        <v>1</v>
      </c>
      <c r="I79" s="8">
        <f t="shared" si="25"/>
        <v>1</v>
      </c>
      <c r="J79" s="8">
        <f t="shared" si="25"/>
        <v>0</v>
      </c>
      <c r="K79" s="8">
        <f t="shared" si="25"/>
        <v>1</v>
      </c>
      <c r="L79" s="8">
        <f t="shared" si="25"/>
        <v>0</v>
      </c>
      <c r="M79" s="8">
        <f t="shared" si="25"/>
        <v>0</v>
      </c>
      <c r="N79" s="8">
        <f t="shared" si="25"/>
        <v>0</v>
      </c>
      <c r="O79" s="8">
        <f t="shared" si="25"/>
        <v>0</v>
      </c>
      <c r="P79" s="8">
        <f t="shared" si="25"/>
        <v>0</v>
      </c>
      <c r="Q79" s="8">
        <f t="shared" si="25"/>
        <v>0</v>
      </c>
      <c r="R79" s="8">
        <f t="shared" si="25"/>
        <v>0</v>
      </c>
      <c r="S79" s="8">
        <f t="shared" si="25"/>
        <v>1</v>
      </c>
      <c r="T79" s="8">
        <f t="shared" si="25"/>
        <v>1</v>
      </c>
      <c r="U79" s="8"/>
      <c r="V79" s="8"/>
      <c r="W79" s="8"/>
      <c r="X79" s="8"/>
      <c r="Y79" s="8"/>
      <c r="Z79" s="8"/>
    </row>
    <row r="80" spans="1:68">
      <c r="A80" t="s">
        <v>444</v>
      </c>
      <c r="B80" s="479">
        <v>6.6</v>
      </c>
      <c r="C80" s="479">
        <v>6.7</v>
      </c>
      <c r="D80" s="479">
        <v>6.8</v>
      </c>
      <c r="E80" s="479">
        <v>3.6</v>
      </c>
      <c r="F80" s="479">
        <v>7.1</v>
      </c>
      <c r="G80" s="479">
        <v>3.7</v>
      </c>
      <c r="H80" s="479">
        <v>7.1</v>
      </c>
      <c r="I80" s="479">
        <v>9.9</v>
      </c>
      <c r="J80" s="479">
        <v>9.4</v>
      </c>
      <c r="K80" s="479">
        <v>13.7</v>
      </c>
      <c r="L80" s="479">
        <v>9.6</v>
      </c>
      <c r="M80" s="479">
        <v>9.6</v>
      </c>
      <c r="N80" s="8">
        <v>10.1</v>
      </c>
      <c r="O80" s="479">
        <v>10.5</v>
      </c>
      <c r="P80" s="479">
        <v>10.9</v>
      </c>
      <c r="Q80" s="148">
        <v>11.1</v>
      </c>
      <c r="R80" s="571">
        <f>+INDICADORES!H21</f>
        <v>4.7651675401933549</v>
      </c>
      <c r="S80" s="571">
        <v>11</v>
      </c>
      <c r="T80" s="571">
        <f>+INDICADORES!H21</f>
        <v>4.7651675401933549</v>
      </c>
      <c r="U80" s="571"/>
      <c r="V80" s="571"/>
      <c r="W80" s="571"/>
      <c r="X80" s="571"/>
      <c r="Y80" s="571"/>
      <c r="Z80" s="571"/>
    </row>
    <row r="81" spans="1:37">
      <c r="B81" s="8"/>
      <c r="C81" s="8"/>
      <c r="D81" s="8"/>
      <c r="E81" s="8"/>
      <c r="F81" s="8"/>
      <c r="G81" s="8"/>
      <c r="H81" s="8"/>
      <c r="I81" s="8"/>
      <c r="J81" s="8"/>
      <c r="K81" s="8"/>
      <c r="L81" s="8"/>
      <c r="M81" s="8"/>
      <c r="N81" s="8"/>
      <c r="O81" s="8"/>
      <c r="P81" s="8"/>
    </row>
    <row r="82" spans="1:37" ht="13.8" thickBot="1">
      <c r="A82" s="271" t="s">
        <v>93</v>
      </c>
      <c r="B82" s="267" t="s">
        <v>298</v>
      </c>
      <c r="C82" s="267" t="s">
        <v>103</v>
      </c>
      <c r="D82" s="267" t="s">
        <v>104</v>
      </c>
      <c r="E82" s="267" t="s">
        <v>105</v>
      </c>
      <c r="F82" s="267" t="s">
        <v>106</v>
      </c>
      <c r="G82" s="267" t="s">
        <v>107</v>
      </c>
      <c r="H82" s="267" t="s">
        <v>108</v>
      </c>
      <c r="I82" s="267" t="s">
        <v>109</v>
      </c>
      <c r="J82" s="267" t="s">
        <v>110</v>
      </c>
      <c r="K82" s="267" t="s">
        <v>111</v>
      </c>
      <c r="L82" s="267" t="s">
        <v>112</v>
      </c>
      <c r="M82" s="267" t="s">
        <v>113</v>
      </c>
      <c r="N82" s="356">
        <f>+N75</f>
        <v>40544</v>
      </c>
      <c r="O82" s="356">
        <f>+O75</f>
        <v>40575</v>
      </c>
      <c r="P82" s="356">
        <v>40603</v>
      </c>
      <c r="Q82" s="574">
        <f>+Q68</f>
        <v>40634</v>
      </c>
      <c r="R82" s="356">
        <v>40664</v>
      </c>
      <c r="S82" s="356">
        <v>40695</v>
      </c>
      <c r="T82" s="356">
        <v>40725</v>
      </c>
      <c r="U82" s="356">
        <v>40756</v>
      </c>
      <c r="V82" s="356">
        <v>40787</v>
      </c>
      <c r="W82" s="356">
        <v>40817</v>
      </c>
      <c r="X82" s="356">
        <v>40848</v>
      </c>
      <c r="Y82" s="356">
        <v>40878</v>
      </c>
      <c r="Z82" s="356">
        <v>40909</v>
      </c>
      <c r="AA82" s="356">
        <v>40940</v>
      </c>
      <c r="AB82" s="356">
        <v>40969</v>
      </c>
      <c r="AC82" s="671">
        <v>41000</v>
      </c>
      <c r="AD82" s="671">
        <v>41030</v>
      </c>
      <c r="AE82" s="671">
        <v>41061</v>
      </c>
      <c r="AF82" s="671">
        <v>41091</v>
      </c>
      <c r="AG82" s="671">
        <v>41122</v>
      </c>
      <c r="AH82" s="671">
        <v>41153</v>
      </c>
      <c r="AI82" s="356">
        <v>40817</v>
      </c>
      <c r="AJ82" s="671">
        <v>41214</v>
      </c>
      <c r="AK82" s="671">
        <v>41244</v>
      </c>
    </row>
    <row r="83" spans="1:37">
      <c r="A83" t="s">
        <v>293</v>
      </c>
      <c r="B83" s="8">
        <v>1</v>
      </c>
      <c r="C83" s="8">
        <v>0</v>
      </c>
      <c r="D83" s="8">
        <v>0</v>
      </c>
      <c r="E83" s="8">
        <v>0</v>
      </c>
      <c r="F83" s="8">
        <v>0</v>
      </c>
      <c r="G83" s="8">
        <v>0</v>
      </c>
      <c r="H83" s="8">
        <v>0</v>
      </c>
      <c r="I83" s="8">
        <v>0</v>
      </c>
      <c r="J83" s="8">
        <v>0</v>
      </c>
      <c r="K83" s="8">
        <v>0</v>
      </c>
      <c r="L83" s="8">
        <v>0</v>
      </c>
      <c r="M83" s="8">
        <v>1</v>
      </c>
      <c r="N83" s="8">
        <v>0</v>
      </c>
      <c r="O83" s="8">
        <v>0</v>
      </c>
      <c r="P83" s="8">
        <v>0</v>
      </c>
      <c r="Q83" s="576">
        <v>0</v>
      </c>
      <c r="R83" s="576">
        <v>0</v>
      </c>
      <c r="S83" s="8">
        <v>0</v>
      </c>
      <c r="T83" s="8">
        <v>2</v>
      </c>
      <c r="U83" s="8">
        <v>0</v>
      </c>
      <c r="V83" s="8">
        <v>0</v>
      </c>
      <c r="W83" s="8">
        <v>0</v>
      </c>
      <c r="X83" s="8">
        <v>0</v>
      </c>
      <c r="Y83" s="8">
        <v>0</v>
      </c>
      <c r="Z83" s="8">
        <v>1</v>
      </c>
      <c r="AA83" s="8">
        <v>0</v>
      </c>
      <c r="AB83" s="8">
        <v>3</v>
      </c>
      <c r="AC83" s="8">
        <v>0</v>
      </c>
      <c r="AD83" s="8">
        <v>1</v>
      </c>
      <c r="AE83" s="8">
        <v>2</v>
      </c>
      <c r="AF83" s="8">
        <v>0</v>
      </c>
      <c r="AG83" s="8">
        <v>0</v>
      </c>
      <c r="AH83" s="8">
        <v>1</v>
      </c>
      <c r="AI83" s="8">
        <v>2</v>
      </c>
      <c r="AJ83" s="8">
        <v>1</v>
      </c>
      <c r="AK83" s="8">
        <v>0</v>
      </c>
    </row>
    <row r="84" spans="1:37">
      <c r="A84" t="s">
        <v>294</v>
      </c>
      <c r="B84" s="8">
        <v>0</v>
      </c>
      <c r="C84" s="8">
        <v>0</v>
      </c>
      <c r="D84" s="8">
        <v>0</v>
      </c>
      <c r="E84" s="8">
        <v>0</v>
      </c>
      <c r="F84" s="8">
        <v>0</v>
      </c>
      <c r="G84" s="8">
        <v>0</v>
      </c>
      <c r="H84" s="8">
        <v>0</v>
      </c>
      <c r="I84" s="8">
        <v>0</v>
      </c>
      <c r="J84" s="8">
        <v>0</v>
      </c>
      <c r="K84" s="8">
        <v>0</v>
      </c>
      <c r="L84" s="8">
        <v>0</v>
      </c>
      <c r="M84" s="8">
        <v>0</v>
      </c>
      <c r="N84" s="8">
        <v>0</v>
      </c>
      <c r="O84" s="8">
        <v>0</v>
      </c>
      <c r="P84" s="8">
        <v>0</v>
      </c>
      <c r="Q84" s="8">
        <v>0</v>
      </c>
      <c r="R84" s="8">
        <v>0</v>
      </c>
      <c r="S84" s="8">
        <v>0</v>
      </c>
      <c r="T84" s="8">
        <v>0</v>
      </c>
      <c r="U84" s="8">
        <v>0</v>
      </c>
      <c r="V84" s="8">
        <v>0</v>
      </c>
      <c r="W84" s="8">
        <v>0</v>
      </c>
      <c r="X84" s="8">
        <v>0</v>
      </c>
      <c r="Y84" s="8">
        <v>0</v>
      </c>
      <c r="Z84" s="8">
        <v>0</v>
      </c>
      <c r="AA84" s="8">
        <v>0</v>
      </c>
      <c r="AB84" s="8">
        <v>0</v>
      </c>
      <c r="AC84" s="8">
        <v>0</v>
      </c>
      <c r="AD84" s="8">
        <v>0</v>
      </c>
      <c r="AE84" s="8">
        <v>0</v>
      </c>
      <c r="AF84" s="8">
        <v>0</v>
      </c>
      <c r="AG84" s="8">
        <v>0</v>
      </c>
      <c r="AH84" s="8">
        <v>0</v>
      </c>
      <c r="AI84" s="8">
        <v>0</v>
      </c>
      <c r="AJ84" s="8">
        <v>0</v>
      </c>
      <c r="AK84" s="8">
        <v>0</v>
      </c>
    </row>
    <row r="85" spans="1:37" ht="13.8" thickBot="1">
      <c r="A85" s="270" t="s">
        <v>295</v>
      </c>
      <c r="B85" s="267">
        <v>1</v>
      </c>
      <c r="C85" s="267">
        <v>1</v>
      </c>
      <c r="D85" s="267">
        <v>0</v>
      </c>
      <c r="E85" s="267">
        <v>0</v>
      </c>
      <c r="F85" s="267">
        <v>0</v>
      </c>
      <c r="G85" s="267">
        <v>0</v>
      </c>
      <c r="H85" s="267">
        <v>0</v>
      </c>
      <c r="I85" s="267">
        <v>0</v>
      </c>
      <c r="J85" s="267">
        <v>1</v>
      </c>
      <c r="K85" s="267">
        <v>0</v>
      </c>
      <c r="L85" s="267">
        <v>0</v>
      </c>
      <c r="M85" s="267">
        <v>0</v>
      </c>
      <c r="N85" s="267">
        <v>0</v>
      </c>
      <c r="O85" s="267">
        <v>0</v>
      </c>
      <c r="P85" s="267">
        <v>0</v>
      </c>
      <c r="Q85" s="267">
        <v>1</v>
      </c>
      <c r="R85" s="267">
        <v>0</v>
      </c>
      <c r="S85" s="267">
        <v>2</v>
      </c>
      <c r="T85" s="267">
        <v>1</v>
      </c>
      <c r="U85" s="267">
        <v>0</v>
      </c>
      <c r="V85" s="267">
        <v>0</v>
      </c>
      <c r="W85" s="267">
        <v>0</v>
      </c>
      <c r="X85" s="267">
        <v>0</v>
      </c>
      <c r="Y85" s="267">
        <v>0</v>
      </c>
      <c r="Z85" s="267">
        <v>0</v>
      </c>
      <c r="AA85" s="267">
        <v>0</v>
      </c>
      <c r="AB85" s="267">
        <v>0</v>
      </c>
      <c r="AC85" s="267">
        <v>0</v>
      </c>
      <c r="AD85" s="267">
        <v>0</v>
      </c>
      <c r="AE85" s="267">
        <v>1</v>
      </c>
      <c r="AF85" s="267">
        <v>0</v>
      </c>
      <c r="AG85" s="267">
        <v>0</v>
      </c>
      <c r="AH85" s="267">
        <v>3</v>
      </c>
      <c r="AI85" s="267">
        <v>3</v>
      </c>
      <c r="AJ85" s="267">
        <v>1</v>
      </c>
      <c r="AK85" s="267">
        <v>1</v>
      </c>
    </row>
    <row r="86" spans="1:37">
      <c r="A86" t="s">
        <v>55</v>
      </c>
      <c r="B86" s="8">
        <f t="shared" ref="B86:N86" si="26">SUM(B83:B85)</f>
        <v>2</v>
      </c>
      <c r="C86" s="8">
        <f t="shared" si="26"/>
        <v>1</v>
      </c>
      <c r="D86" s="8">
        <f t="shared" si="26"/>
        <v>0</v>
      </c>
      <c r="E86" s="8">
        <f t="shared" si="26"/>
        <v>0</v>
      </c>
      <c r="F86" s="8">
        <f t="shared" si="26"/>
        <v>0</v>
      </c>
      <c r="G86" s="8">
        <f t="shared" si="26"/>
        <v>0</v>
      </c>
      <c r="H86" s="8">
        <f t="shared" si="26"/>
        <v>0</v>
      </c>
      <c r="I86" s="8">
        <f t="shared" si="26"/>
        <v>0</v>
      </c>
      <c r="J86" s="8">
        <f t="shared" si="26"/>
        <v>1</v>
      </c>
      <c r="K86" s="8">
        <f t="shared" si="26"/>
        <v>0</v>
      </c>
      <c r="L86" s="8">
        <f t="shared" si="26"/>
        <v>0</v>
      </c>
      <c r="M86" s="8">
        <f t="shared" si="26"/>
        <v>1</v>
      </c>
      <c r="N86" s="8">
        <f t="shared" si="26"/>
        <v>0</v>
      </c>
      <c r="O86" s="8">
        <f t="shared" ref="O86:AK86" si="27">SUM(O83:O85)</f>
        <v>0</v>
      </c>
      <c r="P86" s="8">
        <f t="shared" si="27"/>
        <v>0</v>
      </c>
      <c r="Q86" s="8">
        <f t="shared" si="27"/>
        <v>1</v>
      </c>
      <c r="R86" s="8">
        <f t="shared" si="27"/>
        <v>0</v>
      </c>
      <c r="S86" s="8">
        <f t="shared" si="27"/>
        <v>2</v>
      </c>
      <c r="T86" s="8">
        <f t="shared" si="27"/>
        <v>3</v>
      </c>
      <c r="U86" s="8">
        <f t="shared" si="27"/>
        <v>0</v>
      </c>
      <c r="V86" s="8">
        <f t="shared" si="27"/>
        <v>0</v>
      </c>
      <c r="W86" s="8">
        <f t="shared" si="27"/>
        <v>0</v>
      </c>
      <c r="X86" s="8">
        <f t="shared" si="27"/>
        <v>0</v>
      </c>
      <c r="Y86" s="8">
        <f t="shared" si="27"/>
        <v>0</v>
      </c>
      <c r="Z86" s="8">
        <f>SUM(Z83:Z85)</f>
        <v>1</v>
      </c>
      <c r="AA86" s="8">
        <f t="shared" si="27"/>
        <v>0</v>
      </c>
      <c r="AB86" s="8">
        <f t="shared" si="27"/>
        <v>3</v>
      </c>
      <c r="AC86" s="8">
        <f t="shared" si="27"/>
        <v>0</v>
      </c>
      <c r="AD86" s="8">
        <f t="shared" si="27"/>
        <v>1</v>
      </c>
      <c r="AE86" s="8">
        <f t="shared" si="27"/>
        <v>3</v>
      </c>
      <c r="AF86" s="8">
        <f t="shared" si="27"/>
        <v>0</v>
      </c>
      <c r="AG86" s="8">
        <f t="shared" si="27"/>
        <v>0</v>
      </c>
      <c r="AH86" s="8">
        <f t="shared" si="27"/>
        <v>4</v>
      </c>
      <c r="AI86" s="8">
        <f t="shared" si="27"/>
        <v>5</v>
      </c>
      <c r="AJ86" s="8">
        <f t="shared" si="27"/>
        <v>2</v>
      </c>
      <c r="AK86" s="8">
        <f t="shared" si="27"/>
        <v>1</v>
      </c>
    </row>
    <row r="87" spans="1:37">
      <c r="A87" t="s">
        <v>444</v>
      </c>
      <c r="B87" s="8">
        <v>1.05</v>
      </c>
      <c r="C87" s="8">
        <v>0</v>
      </c>
      <c r="D87" s="8">
        <v>0</v>
      </c>
      <c r="E87" s="8">
        <v>0</v>
      </c>
      <c r="F87" s="8">
        <v>0</v>
      </c>
      <c r="G87" s="8">
        <v>0</v>
      </c>
      <c r="H87" s="8">
        <v>0</v>
      </c>
      <c r="I87" s="8">
        <v>0</v>
      </c>
      <c r="J87" s="8">
        <v>0</v>
      </c>
      <c r="K87" s="8">
        <v>0</v>
      </c>
      <c r="L87" s="8">
        <v>0</v>
      </c>
      <c r="M87" s="571">
        <v>0.74</v>
      </c>
      <c r="N87" s="8">
        <v>0.8</v>
      </c>
      <c r="O87" s="8">
        <v>0.8</v>
      </c>
      <c r="P87" s="8">
        <v>0.9</v>
      </c>
      <c r="Q87" s="8">
        <v>0.9</v>
      </c>
      <c r="R87" s="571">
        <v>1</v>
      </c>
      <c r="S87" s="571">
        <v>1</v>
      </c>
      <c r="T87" s="571">
        <v>3.7</v>
      </c>
      <c r="U87" s="571">
        <v>3.7</v>
      </c>
      <c r="V87" s="571">
        <v>3.7</v>
      </c>
      <c r="W87" s="571">
        <v>3.8</v>
      </c>
      <c r="X87" s="571">
        <v>3.7</v>
      </c>
      <c r="Y87" s="571">
        <v>2.7</v>
      </c>
      <c r="Z87" s="571">
        <v>3.9</v>
      </c>
      <c r="AA87" s="571">
        <v>3.7</v>
      </c>
      <c r="AB87" s="571">
        <v>7.1</v>
      </c>
      <c r="AC87" s="571">
        <v>6.5</v>
      </c>
      <c r="AD87" s="571">
        <v>7</v>
      </c>
      <c r="AE87" s="571">
        <f>+INDICADORES!H16</f>
        <v>2.2105844129534624</v>
      </c>
      <c r="AF87" s="571">
        <f>+INDICADORES!H16</f>
        <v>2.2105844129534624</v>
      </c>
      <c r="AG87" s="571">
        <f>+INDICADORES!H16</f>
        <v>2.2105844129534624</v>
      </c>
      <c r="AH87" s="571">
        <f>+INDICADORES!H16</f>
        <v>2.2105844129534624</v>
      </c>
      <c r="AI87" s="571">
        <v>7.5</v>
      </c>
      <c r="AJ87" s="571">
        <f>+INDICADORES!H16</f>
        <v>2.2105844129534624</v>
      </c>
      <c r="AK87" s="571">
        <f>+INDICADORES!H16</f>
        <v>2.2105844129534624</v>
      </c>
    </row>
    <row r="88" spans="1:37">
      <c r="B88" s="8"/>
      <c r="C88" s="8"/>
      <c r="D88" s="8"/>
      <c r="E88" s="8"/>
      <c r="F88" s="8"/>
      <c r="G88" s="8"/>
      <c r="H88" s="8"/>
      <c r="I88" s="8"/>
      <c r="J88" s="8"/>
      <c r="K88" s="8"/>
      <c r="L88" s="8"/>
      <c r="M88" s="8"/>
      <c r="N88" s="8"/>
      <c r="O88" s="8"/>
      <c r="P88" s="8"/>
    </row>
    <row r="91" spans="1:37">
      <c r="A91" s="273" t="s">
        <v>79</v>
      </c>
      <c r="B91" t="s">
        <v>322</v>
      </c>
      <c r="C91" t="s">
        <v>303</v>
      </c>
      <c r="D91" t="s">
        <v>305</v>
      </c>
      <c r="E91" s="8" t="s">
        <v>302</v>
      </c>
      <c r="F91" t="s">
        <v>321</v>
      </c>
      <c r="G91" s="8" t="s">
        <v>264</v>
      </c>
      <c r="H91" s="8" t="s">
        <v>265</v>
      </c>
      <c r="I91" t="s">
        <v>299</v>
      </c>
      <c r="J91" t="s">
        <v>324</v>
      </c>
      <c r="L91" s="242" t="s">
        <v>554</v>
      </c>
      <c r="M91" s="280" t="s">
        <v>574</v>
      </c>
    </row>
    <row r="92" spans="1:37" hidden="1">
      <c r="A92" s="8">
        <v>2002</v>
      </c>
      <c r="B92" s="8">
        <v>198</v>
      </c>
      <c r="C92" s="8">
        <v>36</v>
      </c>
      <c r="D92" s="8">
        <v>37</v>
      </c>
      <c r="E92">
        <v>7047050.9500000002</v>
      </c>
      <c r="F92">
        <v>7108</v>
      </c>
      <c r="G92" s="479">
        <v>5.1631631258363244</v>
      </c>
      <c r="H92" s="262">
        <v>159.77121450504629</v>
      </c>
      <c r="I92" s="479">
        <f t="shared" ref="I92:I100" si="28">+B92*200000/E92</f>
        <v>5.6193718877539833</v>
      </c>
      <c r="J92" s="63">
        <v>7</v>
      </c>
      <c r="K92" s="9">
        <f t="shared" ref="K92:K100" si="29">+J92/C92</f>
        <v>0.19444444444444445</v>
      </c>
      <c r="L92" s="280"/>
      <c r="M92" s="570"/>
      <c r="N92" s="280"/>
      <c r="O92" s="280"/>
      <c r="P92" s="280"/>
    </row>
    <row r="93" spans="1:37" hidden="1">
      <c r="A93" s="8">
        <v>2003</v>
      </c>
      <c r="B93" s="8">
        <v>93</v>
      </c>
      <c r="C93" s="8">
        <v>23</v>
      </c>
      <c r="D93" s="8">
        <v>23</v>
      </c>
      <c r="E93">
        <v>7539642.3899999997</v>
      </c>
      <c r="F93">
        <v>819</v>
      </c>
      <c r="G93" s="479">
        <v>3.2314321906326251</v>
      </c>
      <c r="H93" s="262">
        <v>103.77868766070161</v>
      </c>
      <c r="I93" s="479">
        <f t="shared" si="28"/>
        <v>2.4669605052713912</v>
      </c>
      <c r="J93" s="63">
        <v>7</v>
      </c>
      <c r="K93" s="9">
        <f t="shared" si="29"/>
        <v>0.30434782608695654</v>
      </c>
      <c r="L93" s="280"/>
      <c r="M93" s="570"/>
      <c r="N93" s="280"/>
      <c r="O93" s="280"/>
      <c r="P93" s="280"/>
    </row>
    <row r="94" spans="1:37" hidden="1">
      <c r="A94" s="8">
        <v>2004</v>
      </c>
      <c r="B94" s="8">
        <v>100</v>
      </c>
      <c r="C94" s="8">
        <v>25</v>
      </c>
      <c r="D94" s="8">
        <v>25</v>
      </c>
      <c r="E94">
        <v>8459723.8599999994</v>
      </c>
      <c r="F94">
        <v>1000</v>
      </c>
      <c r="G94" s="479">
        <v>3.1044221162579473</v>
      </c>
      <c r="H94" s="262">
        <v>115.30710717529519</v>
      </c>
      <c r="I94" s="479">
        <f t="shared" si="28"/>
        <v>2.3641433610576508</v>
      </c>
      <c r="J94" s="63">
        <v>8</v>
      </c>
      <c r="K94" s="9">
        <f t="shared" si="29"/>
        <v>0.32</v>
      </c>
      <c r="L94" s="280"/>
      <c r="M94" s="570"/>
      <c r="N94" s="280"/>
      <c r="O94" s="280"/>
      <c r="P94" s="280"/>
    </row>
    <row r="95" spans="1:37" hidden="1">
      <c r="A95" s="8">
        <v>2005</v>
      </c>
      <c r="B95" s="8">
        <v>89</v>
      </c>
      <c r="C95" s="8">
        <v>30</v>
      </c>
      <c r="D95" s="8">
        <v>30</v>
      </c>
      <c r="E95">
        <v>9039421.9500000011</v>
      </c>
      <c r="F95">
        <v>1254</v>
      </c>
      <c r="G95" s="479">
        <v>3.5271890253795775</v>
      </c>
      <c r="H95" s="262">
        <v>137.35289028242826</v>
      </c>
      <c r="I95" s="479">
        <f t="shared" si="28"/>
        <v>1.9691524633386539</v>
      </c>
      <c r="J95" s="63">
        <v>8</v>
      </c>
      <c r="K95" s="9">
        <f t="shared" si="29"/>
        <v>0.26666666666666666</v>
      </c>
      <c r="L95" s="280"/>
      <c r="M95" s="570"/>
      <c r="N95" s="280"/>
      <c r="O95" s="280"/>
      <c r="P95" s="280"/>
    </row>
    <row r="96" spans="1:37" hidden="1">
      <c r="A96" s="8">
        <v>2006</v>
      </c>
      <c r="B96" s="8">
        <v>119</v>
      </c>
      <c r="C96" s="8">
        <v>26</v>
      </c>
      <c r="D96" s="8">
        <v>26</v>
      </c>
      <c r="E96">
        <v>9716825.336666666</v>
      </c>
      <c r="F96">
        <v>523</v>
      </c>
      <c r="G96" s="479">
        <v>3.47959521868821</v>
      </c>
      <c r="H96" s="262">
        <v>70.171836910212235</v>
      </c>
      <c r="I96" s="479">
        <f t="shared" si="28"/>
        <v>2.4493596597018317</v>
      </c>
      <c r="J96" s="63">
        <v>10</v>
      </c>
      <c r="K96" s="9">
        <f t="shared" si="29"/>
        <v>0.38461538461538464</v>
      </c>
      <c r="L96" s="280"/>
      <c r="N96" s="280"/>
      <c r="O96" s="280"/>
      <c r="P96" s="280"/>
    </row>
    <row r="97" spans="1:16">
      <c r="A97" s="8">
        <v>2007</v>
      </c>
      <c r="B97" s="8">
        <v>230</v>
      </c>
      <c r="C97" s="8">
        <v>93</v>
      </c>
      <c r="D97" s="8">
        <v>47</v>
      </c>
      <c r="E97">
        <v>11126389.802309524</v>
      </c>
      <c r="F97">
        <v>1057</v>
      </c>
      <c r="G97" s="479">
        <v>8.485348349005772</v>
      </c>
      <c r="H97" s="262">
        <v>97.666359497056433</v>
      </c>
      <c r="I97" s="479">
        <f t="shared" si="28"/>
        <v>4.1343149770334042</v>
      </c>
      <c r="J97" s="63">
        <f>14+18</f>
        <v>32</v>
      </c>
      <c r="K97" s="9">
        <f t="shared" si="29"/>
        <v>0.34408602150537637</v>
      </c>
      <c r="L97" s="280"/>
      <c r="M97" s="739">
        <f t="shared" ref="M97:M102" si="30">+G97*H97/1000</f>
        <v>0.82873308231175202</v>
      </c>
      <c r="N97" s="280"/>
      <c r="O97" s="280"/>
      <c r="P97" s="280"/>
    </row>
    <row r="98" spans="1:16">
      <c r="A98" s="8">
        <v>2008</v>
      </c>
      <c r="B98" s="8">
        <v>195</v>
      </c>
      <c r="C98" s="8">
        <v>65</v>
      </c>
      <c r="D98" s="8">
        <v>35</v>
      </c>
      <c r="E98">
        <v>12607016.010428572</v>
      </c>
      <c r="F98">
        <v>724</v>
      </c>
      <c r="G98" s="479">
        <v>5.1543046009200504</v>
      </c>
      <c r="H98" s="262">
        <v>64.207908742889771</v>
      </c>
      <c r="I98" s="479">
        <f t="shared" si="28"/>
        <v>3.0935155446569631</v>
      </c>
      <c r="J98" s="63">
        <f>11+10</f>
        <v>21</v>
      </c>
      <c r="K98" s="9">
        <f t="shared" si="29"/>
        <v>0.32307692307692309</v>
      </c>
      <c r="L98" s="280"/>
      <c r="M98" s="739">
        <f t="shared" si="30"/>
        <v>0.33094711944893146</v>
      </c>
      <c r="N98" s="280"/>
      <c r="O98" s="280"/>
      <c r="P98" s="280"/>
    </row>
    <row r="99" spans="1:16">
      <c r="A99" s="8">
        <v>2009</v>
      </c>
      <c r="B99" s="8">
        <v>140</v>
      </c>
      <c r="C99" s="8">
        <v>45</v>
      </c>
      <c r="D99" s="8">
        <v>36</v>
      </c>
      <c r="E99">
        <v>11825807.70138889</v>
      </c>
      <c r="F99">
        <v>8228</v>
      </c>
      <c r="G99" s="479">
        <v>4.0512948464218397</v>
      </c>
      <c r="H99" s="262">
        <v>645.48034235778732</v>
      </c>
      <c r="I99" s="479">
        <f t="shared" si="28"/>
        <v>2.3677029685432411</v>
      </c>
      <c r="J99" s="63">
        <f>12+1</f>
        <v>13</v>
      </c>
      <c r="K99" s="9">
        <f t="shared" si="29"/>
        <v>0.28888888888888886</v>
      </c>
      <c r="L99" s="280"/>
      <c r="M99" s="739">
        <f t="shared" si="30"/>
        <v>2.6150311844607086</v>
      </c>
      <c r="N99" s="280"/>
      <c r="O99" s="280"/>
      <c r="P99" s="280"/>
    </row>
    <row r="100" spans="1:16">
      <c r="A100" s="8">
        <v>2010</v>
      </c>
      <c r="B100" s="148">
        <v>111</v>
      </c>
      <c r="C100" s="148">
        <v>53</v>
      </c>
      <c r="D100" s="148">
        <v>44</v>
      </c>
      <c r="E100" s="10">
        <v>13037542.631388901</v>
      </c>
      <c r="F100" s="10">
        <v>861</v>
      </c>
      <c r="G100" s="479">
        <v>4.2062739641765194</v>
      </c>
      <c r="H100" s="262">
        <v>79.206277528815477</v>
      </c>
      <c r="I100" s="479">
        <f t="shared" si="28"/>
        <v>1.7027748731230814</v>
      </c>
      <c r="J100" s="130">
        <v>15</v>
      </c>
      <c r="K100" s="9">
        <f t="shared" si="29"/>
        <v>0.28301886792452829</v>
      </c>
      <c r="L100" s="280"/>
      <c r="M100" s="739">
        <f t="shared" si="30"/>
        <v>0.33316330296879626</v>
      </c>
      <c r="N100" s="280"/>
      <c r="O100" s="280"/>
      <c r="P100" s="280"/>
    </row>
    <row r="101" spans="1:16">
      <c r="A101" s="8">
        <v>2011</v>
      </c>
      <c r="B101" s="63" t="e">
        <f>+INDICADORES!#REF!+INDICADORES!#REF!+INDICADORES!#REF!</f>
        <v>#REF!</v>
      </c>
      <c r="C101" s="63" t="e">
        <f>+INDICADORES!#REF!+INDICADORES!#REF!</f>
        <v>#REF!</v>
      </c>
      <c r="D101" s="63" t="e">
        <f>+INDICADORES!#REF!</f>
        <v>#REF!</v>
      </c>
      <c r="E101" s="357" t="e">
        <f>+INDICADORES!#REF!</f>
        <v>#REF!</v>
      </c>
      <c r="F101" s="357" t="e">
        <f>+INDICADORES!#REF!</f>
        <v>#REF!</v>
      </c>
      <c r="G101" s="479">
        <v>4.7</v>
      </c>
      <c r="H101" s="262">
        <v>182</v>
      </c>
      <c r="I101" s="479" t="e">
        <f>+INDICADORES!#REF!</f>
        <v>#REF!</v>
      </c>
      <c r="J101" s="282">
        <v>5</v>
      </c>
      <c r="K101" s="9" t="e">
        <f>+J101/C101</f>
        <v>#REF!</v>
      </c>
      <c r="L101" s="676"/>
      <c r="M101" s="739">
        <f t="shared" si="30"/>
        <v>0.85539999999999994</v>
      </c>
      <c r="N101" s="280"/>
      <c r="O101" s="280"/>
      <c r="P101" s="280"/>
    </row>
    <row r="102" spans="1:16">
      <c r="A102" s="675">
        <v>2012</v>
      </c>
      <c r="G102" s="479">
        <v>4</v>
      </c>
      <c r="H102" s="262">
        <v>101</v>
      </c>
      <c r="I102" s="479"/>
      <c r="J102" s="63"/>
      <c r="K102" s="280"/>
      <c r="L102" s="479"/>
      <c r="M102" s="739">
        <f t="shared" si="30"/>
        <v>0.40400000000000003</v>
      </c>
      <c r="N102" s="280"/>
      <c r="O102" s="280"/>
      <c r="P102" s="280"/>
    </row>
    <row r="103" spans="1:16">
      <c r="A103" s="675" t="s">
        <v>556</v>
      </c>
      <c r="I103" s="479"/>
      <c r="J103" s="63"/>
      <c r="K103" s="280"/>
      <c r="L103" s="479"/>
      <c r="M103" s="262"/>
      <c r="N103" s="280"/>
      <c r="O103" s="280"/>
      <c r="P103" s="280"/>
    </row>
    <row r="104" spans="1:16">
      <c r="A104" s="675" t="s">
        <v>573</v>
      </c>
      <c r="I104" s="479"/>
      <c r="J104" s="63"/>
      <c r="K104" s="280"/>
      <c r="L104" s="479"/>
      <c r="M104" s="262"/>
      <c r="N104" s="280"/>
      <c r="O104" s="280"/>
      <c r="P104" s="280"/>
    </row>
    <row r="105" spans="1:16">
      <c r="A105" s="273" t="s">
        <v>304</v>
      </c>
      <c r="B105" t="s">
        <v>98</v>
      </c>
      <c r="C105" t="s">
        <v>303</v>
      </c>
      <c r="D105" t="s">
        <v>305</v>
      </c>
      <c r="E105" s="8" t="s">
        <v>302</v>
      </c>
      <c r="F105" t="s">
        <v>321</v>
      </c>
      <c r="G105" s="279" t="s">
        <v>264</v>
      </c>
      <c r="H105" s="279" t="s">
        <v>265</v>
      </c>
      <c r="I105" t="s">
        <v>299</v>
      </c>
      <c r="J105" t="s">
        <v>324</v>
      </c>
      <c r="K105" s="280"/>
      <c r="L105" s="280"/>
      <c r="M105" s="280" t="s">
        <v>574</v>
      </c>
      <c r="N105" s="280"/>
      <c r="O105" s="280"/>
      <c r="P105" s="280"/>
    </row>
    <row r="106" spans="1:16">
      <c r="A106" s="8">
        <v>2002</v>
      </c>
      <c r="B106">
        <v>9</v>
      </c>
      <c r="C106">
        <v>5</v>
      </c>
      <c r="D106">
        <v>5</v>
      </c>
      <c r="E106">
        <v>1002196.26</v>
      </c>
      <c r="F106">
        <v>146</v>
      </c>
      <c r="G106" s="479">
        <f t="shared" ref="G106:G113" si="31">+C106*1000000/E106</f>
        <v>4.9890427649370794</v>
      </c>
      <c r="H106" s="262">
        <f>+F106*1000000/E106</f>
        <v>145.68004873616272</v>
      </c>
      <c r="I106" s="479">
        <f t="shared" ref="I106:I113" si="32">+B106*200000/E106</f>
        <v>1.7960553953773486</v>
      </c>
      <c r="J106" s="63">
        <v>0</v>
      </c>
      <c r="K106" s="9">
        <f t="shared" ref="K106:K115" si="33">+J106/C106</f>
        <v>0</v>
      </c>
      <c r="L106" s="280"/>
      <c r="M106" s="279">
        <f>824.924843302541/1000</f>
        <v>0.82492484330254101</v>
      </c>
      <c r="N106" s="280"/>
      <c r="O106" s="280"/>
      <c r="P106" s="280"/>
    </row>
    <row r="107" spans="1:16">
      <c r="A107" s="8">
        <v>2003</v>
      </c>
      <c r="B107">
        <v>8</v>
      </c>
      <c r="C107">
        <v>3</v>
      </c>
      <c r="D107">
        <v>3</v>
      </c>
      <c r="E107">
        <v>1077038.03</v>
      </c>
      <c r="F107">
        <v>92</v>
      </c>
      <c r="G107" s="479">
        <f t="shared" si="31"/>
        <v>2.7854169643387614</v>
      </c>
      <c r="H107" s="262">
        <f t="shared" ref="H107:H113" si="34">+F107*1000000/E107</f>
        <v>85.41945357305535</v>
      </c>
      <c r="I107" s="479">
        <f t="shared" si="32"/>
        <v>1.4855557143140061</v>
      </c>
      <c r="J107" s="63">
        <v>1</v>
      </c>
      <c r="K107" s="9">
        <f t="shared" si="33"/>
        <v>0.33333333333333331</v>
      </c>
      <c r="L107" s="280"/>
      <c r="M107" s="279">
        <f>335.3537920084/1000</f>
        <v>0.33535379200839999</v>
      </c>
      <c r="N107" s="280"/>
      <c r="O107" s="280"/>
      <c r="P107" s="280"/>
    </row>
    <row r="108" spans="1:16">
      <c r="A108" s="8">
        <v>2004</v>
      </c>
      <c r="B108">
        <v>13</v>
      </c>
      <c r="C108">
        <v>7</v>
      </c>
      <c r="D108">
        <v>7</v>
      </c>
      <c r="E108">
        <v>1115269.55</v>
      </c>
      <c r="F108">
        <v>276</v>
      </c>
      <c r="G108" s="479">
        <f t="shared" si="31"/>
        <v>6.2765095666782971</v>
      </c>
      <c r="H108" s="262">
        <f t="shared" si="34"/>
        <v>247.47380577188716</v>
      </c>
      <c r="I108" s="479">
        <f t="shared" si="32"/>
        <v>2.3312749819090817</v>
      </c>
      <c r="J108" s="63">
        <v>3</v>
      </c>
      <c r="K108" s="9">
        <f t="shared" si="33"/>
        <v>0.42857142857142855</v>
      </c>
      <c r="L108" s="280"/>
      <c r="M108" s="279">
        <f>357.961933676712/1000</f>
        <v>0.35796193367671203</v>
      </c>
      <c r="N108" s="280"/>
      <c r="O108" s="280"/>
      <c r="P108" s="280"/>
    </row>
    <row r="109" spans="1:16">
      <c r="A109" s="8">
        <v>2005</v>
      </c>
      <c r="B109">
        <v>7</v>
      </c>
      <c r="C109">
        <v>3</v>
      </c>
      <c r="D109">
        <v>3</v>
      </c>
      <c r="E109">
        <v>1134509.53</v>
      </c>
      <c r="F109">
        <v>33</v>
      </c>
      <c r="G109" s="479">
        <f t="shared" si="31"/>
        <v>2.6443144995000614</v>
      </c>
      <c r="H109" s="262">
        <f t="shared" si="34"/>
        <v>29.087459494500674</v>
      </c>
      <c r="I109" s="479">
        <f t="shared" si="32"/>
        <v>1.2340134331000288</v>
      </c>
      <c r="J109" s="63">
        <v>0</v>
      </c>
      <c r="K109" s="9">
        <f t="shared" si="33"/>
        <v>0</v>
      </c>
      <c r="L109" s="280"/>
      <c r="M109" s="279">
        <f>484.469607208346/1000</f>
        <v>0.48446960720834603</v>
      </c>
      <c r="N109" s="280"/>
      <c r="O109" s="280"/>
      <c r="P109" s="280"/>
    </row>
    <row r="110" spans="1:16">
      <c r="A110" s="8">
        <v>2006</v>
      </c>
      <c r="B110">
        <v>13</v>
      </c>
      <c r="C110">
        <v>8</v>
      </c>
      <c r="D110">
        <v>8</v>
      </c>
      <c r="E110">
        <v>1197578.1599999999</v>
      </c>
      <c r="F110">
        <v>213</v>
      </c>
      <c r="G110" s="479">
        <f t="shared" si="31"/>
        <v>6.6801485424550497</v>
      </c>
      <c r="H110" s="262">
        <f t="shared" si="34"/>
        <v>177.85895494286569</v>
      </c>
      <c r="I110" s="479">
        <f t="shared" si="32"/>
        <v>2.1710482762978911</v>
      </c>
      <c r="J110" s="63">
        <v>4</v>
      </c>
      <c r="K110" s="9">
        <f t="shared" si="33"/>
        <v>0.5</v>
      </c>
      <c r="L110" s="280"/>
      <c r="M110" s="279">
        <f>244.169588199343/1000</f>
        <v>0.24416958819934301</v>
      </c>
      <c r="N110" s="280"/>
      <c r="O110" s="280"/>
      <c r="P110" s="280"/>
    </row>
    <row r="111" spans="1:16">
      <c r="A111" s="8">
        <v>2007</v>
      </c>
      <c r="B111">
        <v>14</v>
      </c>
      <c r="C111">
        <v>8</v>
      </c>
      <c r="D111">
        <v>4</v>
      </c>
      <c r="E111">
        <v>1231551.1100000001</v>
      </c>
      <c r="F111">
        <v>40</v>
      </c>
      <c r="G111" s="479">
        <f t="shared" si="31"/>
        <v>6.4958733218956697</v>
      </c>
      <c r="H111" s="262">
        <f t="shared" si="34"/>
        <v>32.479366609478348</v>
      </c>
      <c r="I111" s="479">
        <f t="shared" si="32"/>
        <v>2.2735556626634845</v>
      </c>
      <c r="J111" s="63">
        <v>5</v>
      </c>
      <c r="K111" s="9">
        <f t="shared" si="33"/>
        <v>0.625</v>
      </c>
      <c r="L111" s="280"/>
      <c r="M111" s="279">
        <f>828.733082311752/1000</f>
        <v>0.82873308231175202</v>
      </c>
      <c r="N111" s="280"/>
      <c r="O111" s="280"/>
      <c r="P111" s="280"/>
    </row>
    <row r="112" spans="1:16">
      <c r="A112" s="8">
        <v>2008</v>
      </c>
      <c r="B112">
        <v>22</v>
      </c>
      <c r="C112">
        <v>15</v>
      </c>
      <c r="D112">
        <v>12</v>
      </c>
      <c r="E112">
        <v>1262787.6100000001</v>
      </c>
      <c r="F112">
        <v>208</v>
      </c>
      <c r="G112" s="479">
        <f t="shared" si="31"/>
        <v>11.878482082984643</v>
      </c>
      <c r="H112" s="262">
        <f t="shared" si="34"/>
        <v>164.71495155072037</v>
      </c>
      <c r="I112" s="479">
        <f t="shared" si="32"/>
        <v>3.4843547443421619</v>
      </c>
      <c r="J112" s="63">
        <v>5</v>
      </c>
      <c r="K112" s="9">
        <f t="shared" si="33"/>
        <v>0.33333333333333331</v>
      </c>
      <c r="L112" s="280"/>
      <c r="M112" s="279">
        <f>330.947119448931/1000</f>
        <v>0.33094711944893102</v>
      </c>
      <c r="N112" s="280"/>
      <c r="O112" s="280"/>
      <c r="P112" s="280"/>
    </row>
    <row r="113" spans="1:16">
      <c r="A113" s="8">
        <v>2009</v>
      </c>
      <c r="B113">
        <v>16</v>
      </c>
      <c r="C113">
        <v>7</v>
      </c>
      <c r="D113">
        <v>7</v>
      </c>
      <c r="E113">
        <v>1256821.24</v>
      </c>
      <c r="F113">
        <v>6086</v>
      </c>
      <c r="G113" s="479">
        <f t="shared" si="31"/>
        <v>5.5696067007906391</v>
      </c>
      <c r="H113" s="262">
        <f t="shared" si="34"/>
        <v>4842.3751972874043</v>
      </c>
      <c r="I113" s="479">
        <f t="shared" si="32"/>
        <v>2.5461059203614349</v>
      </c>
      <c r="J113" s="63">
        <v>3</v>
      </c>
      <c r="K113" s="9">
        <f t="shared" si="33"/>
        <v>0.42857142857142855</v>
      </c>
      <c r="L113" s="280"/>
      <c r="M113" s="279">
        <f>2615.03118446071/1000</f>
        <v>2.6150311844607099</v>
      </c>
      <c r="N113" s="280"/>
      <c r="O113" s="280"/>
      <c r="P113" s="280"/>
    </row>
    <row r="114" spans="1:16">
      <c r="A114" s="8">
        <v>2010</v>
      </c>
      <c r="B114" s="281">
        <f>+'NVO IOM'!F16</f>
        <v>14</v>
      </c>
      <c r="C114" s="281">
        <f>+'NVO IOM'!C16+'NVO IOM'!D16</f>
        <v>9</v>
      </c>
      <c r="D114" s="281">
        <f>+'NVO IOM'!C16</f>
        <v>9</v>
      </c>
      <c r="E114" s="10">
        <v>1375062</v>
      </c>
      <c r="F114" s="281">
        <f>+'NVO IOM'!H16</f>
        <v>219</v>
      </c>
      <c r="G114" s="479">
        <f>+'NVO IOM'!J16</f>
        <v>6.55</v>
      </c>
      <c r="H114" s="262">
        <f>+'NVO IOM'!K16</f>
        <v>159.27000000000001</v>
      </c>
      <c r="I114" s="479">
        <f>+'NVO IOM'!L16</f>
        <v>2.04</v>
      </c>
      <c r="J114" s="130">
        <v>3</v>
      </c>
      <c r="K114" s="9">
        <f t="shared" si="33"/>
        <v>0.33333333333333331</v>
      </c>
      <c r="L114" s="280"/>
      <c r="M114" s="279">
        <f>333.163302968796/1000</f>
        <v>0.33316330296879604</v>
      </c>
      <c r="N114" s="280"/>
      <c r="O114" s="280"/>
      <c r="P114" s="280"/>
    </row>
    <row r="115" spans="1:16">
      <c r="A115" s="8">
        <v>2011</v>
      </c>
      <c r="B115" s="357" t="e">
        <f>+INDICADORES!#REF!+INDICADORES!#REF!+INDICADORES!#REF!</f>
        <v>#REF!</v>
      </c>
      <c r="C115" s="357" t="e">
        <f>+INDICADORES!#REF!+INDICADORES!#REF!</f>
        <v>#REF!</v>
      </c>
      <c r="D115" s="357" t="e">
        <f>+INDICADORES!#REF!</f>
        <v>#REF!</v>
      </c>
      <c r="E115" s="357" t="e">
        <f>+INDICADORES!#REF!</f>
        <v>#REF!</v>
      </c>
      <c r="F115" s="357" t="e">
        <f>+INDICADORES!#REF!</f>
        <v>#REF!</v>
      </c>
      <c r="G115" s="479" t="e">
        <f>+INDICADORES!#REF!</f>
        <v>#REF!</v>
      </c>
      <c r="H115" s="262" t="e">
        <f>+INDICADORES!#REF!</f>
        <v>#REF!</v>
      </c>
      <c r="I115" s="479" t="e">
        <f>+INDICADORES!#REF!</f>
        <v>#REF!</v>
      </c>
      <c r="J115" s="497">
        <v>3</v>
      </c>
      <c r="K115" s="9" t="e">
        <f t="shared" si="33"/>
        <v>#REF!</v>
      </c>
      <c r="M115" s="279">
        <f>849.569072179198/1000</f>
        <v>0.84956907217919797</v>
      </c>
    </row>
    <row r="116" spans="1:16">
      <c r="A116" s="8">
        <v>2012</v>
      </c>
      <c r="M116" s="279">
        <v>0.40400000000000003</v>
      </c>
    </row>
    <row r="118" spans="1:16">
      <c r="A118" s="273" t="s">
        <v>91</v>
      </c>
      <c r="B118" t="s">
        <v>98</v>
      </c>
      <c r="C118" t="s">
        <v>303</v>
      </c>
      <c r="D118" t="s">
        <v>305</v>
      </c>
      <c r="E118" s="8" t="s">
        <v>302</v>
      </c>
      <c r="F118" t="s">
        <v>321</v>
      </c>
      <c r="G118" s="279" t="s">
        <v>264</v>
      </c>
      <c r="H118" s="279" t="s">
        <v>265</v>
      </c>
      <c r="I118" t="s">
        <v>299</v>
      </c>
      <c r="J118" t="s">
        <v>324</v>
      </c>
      <c r="K118" s="280"/>
      <c r="L118" s="280"/>
    </row>
    <row r="119" spans="1:16">
      <c r="A119" s="8">
        <v>2002</v>
      </c>
      <c r="B119">
        <v>134</v>
      </c>
      <c r="C119">
        <v>8</v>
      </c>
      <c r="D119">
        <v>8</v>
      </c>
      <c r="E119">
        <v>1408600</v>
      </c>
      <c r="F119">
        <v>224</v>
      </c>
      <c r="G119" s="479">
        <f t="shared" ref="G119:G127" si="35">+C119*1000000/E119</f>
        <v>5.6793979838137156</v>
      </c>
      <c r="H119" s="262">
        <f t="shared" ref="H119:H127" si="36">+F119*1000000/E119</f>
        <v>159.02314354678404</v>
      </c>
      <c r="I119" s="479">
        <f t="shared" ref="I119:I127" si="37">+B119*200000/E119</f>
        <v>19.025983245775947</v>
      </c>
      <c r="J119" s="262">
        <v>2</v>
      </c>
      <c r="K119" s="9">
        <f t="shared" ref="K119:K128" si="38">+J119/C119</f>
        <v>0.25</v>
      </c>
      <c r="L119" s="9"/>
    </row>
    <row r="120" spans="1:16">
      <c r="A120" s="8">
        <v>2003</v>
      </c>
      <c r="B120">
        <v>31</v>
      </c>
      <c r="C120">
        <v>4</v>
      </c>
      <c r="D120">
        <v>4</v>
      </c>
      <c r="E120">
        <v>1621574</v>
      </c>
      <c r="F120">
        <v>245</v>
      </c>
      <c r="G120" s="479">
        <f t="shared" si="35"/>
        <v>2.466739106571763</v>
      </c>
      <c r="H120" s="262">
        <f t="shared" si="36"/>
        <v>151.08777027752049</v>
      </c>
      <c r="I120" s="479">
        <f t="shared" si="37"/>
        <v>3.8234456151862326</v>
      </c>
      <c r="J120">
        <v>1</v>
      </c>
      <c r="K120" s="9">
        <f t="shared" si="38"/>
        <v>0.25</v>
      </c>
    </row>
    <row r="121" spans="1:16">
      <c r="A121" s="8">
        <v>2004</v>
      </c>
      <c r="B121">
        <v>30</v>
      </c>
      <c r="C121">
        <v>6</v>
      </c>
      <c r="D121">
        <v>6</v>
      </c>
      <c r="E121">
        <v>1716295</v>
      </c>
      <c r="F121">
        <v>167</v>
      </c>
      <c r="G121" s="479">
        <f t="shared" si="35"/>
        <v>3.4959025109319786</v>
      </c>
      <c r="H121" s="262">
        <f t="shared" si="36"/>
        <v>97.302619887606738</v>
      </c>
      <c r="I121" s="479">
        <f t="shared" si="37"/>
        <v>3.4959025109319786</v>
      </c>
      <c r="J121">
        <v>1</v>
      </c>
      <c r="K121" s="9">
        <f t="shared" si="38"/>
        <v>0.16666666666666666</v>
      </c>
    </row>
    <row r="122" spans="1:16">
      <c r="A122" s="8">
        <v>2005</v>
      </c>
      <c r="B122">
        <v>33</v>
      </c>
      <c r="C122">
        <v>7</v>
      </c>
      <c r="D122">
        <v>7</v>
      </c>
      <c r="E122">
        <v>1628731</v>
      </c>
      <c r="F122">
        <v>370</v>
      </c>
      <c r="G122" s="479">
        <f t="shared" si="35"/>
        <v>4.2978245026342599</v>
      </c>
      <c r="H122" s="262">
        <f t="shared" si="36"/>
        <v>227.170723710668</v>
      </c>
      <c r="I122" s="479">
        <f t="shared" si="37"/>
        <v>4.0522345310551593</v>
      </c>
      <c r="J122">
        <v>2</v>
      </c>
      <c r="K122" s="9">
        <f t="shared" si="38"/>
        <v>0.2857142857142857</v>
      </c>
    </row>
    <row r="123" spans="1:16">
      <c r="A123" s="8">
        <v>2006</v>
      </c>
      <c r="B123">
        <v>18</v>
      </c>
      <c r="C123">
        <v>3</v>
      </c>
      <c r="D123">
        <v>3</v>
      </c>
      <c r="E123">
        <v>1604349</v>
      </c>
      <c r="F123">
        <v>73</v>
      </c>
      <c r="G123" s="479">
        <f t="shared" si="35"/>
        <v>1.8699173309547985</v>
      </c>
      <c r="H123" s="262">
        <f t="shared" si="36"/>
        <v>45.501321719900098</v>
      </c>
      <c r="I123" s="479">
        <f t="shared" si="37"/>
        <v>2.2439007971457583</v>
      </c>
      <c r="J123">
        <v>1</v>
      </c>
      <c r="K123" s="9">
        <f t="shared" si="38"/>
        <v>0.33333333333333331</v>
      </c>
    </row>
    <row r="124" spans="1:16">
      <c r="A124" s="8">
        <v>2007</v>
      </c>
      <c r="B124">
        <v>36</v>
      </c>
      <c r="C124">
        <v>9</v>
      </c>
      <c r="D124">
        <v>4</v>
      </c>
      <c r="E124">
        <v>1611725</v>
      </c>
      <c r="F124">
        <v>39</v>
      </c>
      <c r="G124" s="479">
        <f t="shared" si="35"/>
        <v>5.5840791698335632</v>
      </c>
      <c r="H124" s="262">
        <f t="shared" si="36"/>
        <v>24.197676402612107</v>
      </c>
      <c r="I124" s="479">
        <f t="shared" si="37"/>
        <v>4.4672633358668508</v>
      </c>
      <c r="J124">
        <v>2</v>
      </c>
      <c r="K124" s="9">
        <f t="shared" si="38"/>
        <v>0.22222222222222221</v>
      </c>
    </row>
    <row r="125" spans="1:16">
      <c r="A125" s="8">
        <v>2008</v>
      </c>
      <c r="B125">
        <v>31</v>
      </c>
      <c r="C125">
        <v>9</v>
      </c>
      <c r="D125">
        <v>3</v>
      </c>
      <c r="E125">
        <v>1866466</v>
      </c>
      <c r="F125">
        <v>134</v>
      </c>
      <c r="G125" s="479">
        <f t="shared" si="35"/>
        <v>4.821946930723624</v>
      </c>
      <c r="H125" s="262">
        <f t="shared" si="36"/>
        <v>71.79343207966285</v>
      </c>
      <c r="I125" s="479">
        <f t="shared" si="37"/>
        <v>3.3217856633873857</v>
      </c>
      <c r="J125">
        <v>1</v>
      </c>
      <c r="K125" s="9">
        <f t="shared" si="38"/>
        <v>0.1111111111111111</v>
      </c>
    </row>
    <row r="126" spans="1:16">
      <c r="A126" s="8">
        <v>2009</v>
      </c>
      <c r="B126">
        <v>32</v>
      </c>
      <c r="C126">
        <v>5</v>
      </c>
      <c r="D126">
        <v>4</v>
      </c>
      <c r="E126">
        <v>2021586</v>
      </c>
      <c r="F126">
        <v>1813</v>
      </c>
      <c r="G126" s="479">
        <f t="shared" si="35"/>
        <v>2.4733056125240283</v>
      </c>
      <c r="H126" s="262">
        <f t="shared" si="36"/>
        <v>896.82061510121264</v>
      </c>
      <c r="I126" s="479">
        <f t="shared" si="37"/>
        <v>3.1658311840307563</v>
      </c>
      <c r="J126">
        <v>1</v>
      </c>
      <c r="K126" s="9">
        <f t="shared" si="38"/>
        <v>0.2</v>
      </c>
    </row>
    <row r="127" spans="1:16">
      <c r="A127" s="8">
        <v>2010</v>
      </c>
      <c r="B127">
        <v>23</v>
      </c>
      <c r="C127">
        <v>14</v>
      </c>
      <c r="D127">
        <v>11</v>
      </c>
      <c r="E127">
        <v>2298336</v>
      </c>
      <c r="F127">
        <v>151</v>
      </c>
      <c r="G127" s="479">
        <f t="shared" si="35"/>
        <v>6.0913634908037819</v>
      </c>
      <c r="H127" s="262">
        <f t="shared" si="36"/>
        <v>65.699706222240792</v>
      </c>
      <c r="I127" s="479">
        <f t="shared" si="37"/>
        <v>2.0014480041212424</v>
      </c>
      <c r="J127">
        <v>5</v>
      </c>
      <c r="K127" s="9">
        <f t="shared" si="38"/>
        <v>0.35714285714285715</v>
      </c>
    </row>
    <row r="128" spans="1:16">
      <c r="A128" s="8">
        <v>2011</v>
      </c>
      <c r="B128" s="357">
        <f>+INDICADORES!P12+INDICADORES!Q12+INDICADORES!R12</f>
        <v>8</v>
      </c>
      <c r="C128" s="357">
        <f>+INDICADORES!P12+INDICADORES!Q12</f>
        <v>8</v>
      </c>
      <c r="D128" s="357">
        <f>+INDICADORES!P12</f>
        <v>8</v>
      </c>
      <c r="E128" s="357">
        <f>+INDICADORES!M12</f>
        <v>2207727.4699999997</v>
      </c>
      <c r="F128" s="357">
        <f>+INDICADORES!O12</f>
        <v>69</v>
      </c>
      <c r="G128" s="479">
        <f>+INDICADORES!S12</f>
        <v>3.6236356655017756</v>
      </c>
      <c r="H128" s="358">
        <f>+INDICADORES!T12</f>
        <v>31.253857614952814</v>
      </c>
      <c r="I128" s="479">
        <f>+INDICADORES!U12</f>
        <v>0.72472713310035508</v>
      </c>
      <c r="J128">
        <v>0</v>
      </c>
      <c r="K128" s="9">
        <f t="shared" si="38"/>
        <v>0</v>
      </c>
    </row>
    <row r="131" spans="1:11">
      <c r="A131" s="273" t="s">
        <v>429</v>
      </c>
      <c r="B131" t="s">
        <v>98</v>
      </c>
      <c r="C131" t="s">
        <v>303</v>
      </c>
      <c r="D131" t="s">
        <v>305</v>
      </c>
      <c r="E131" s="8" t="s">
        <v>302</v>
      </c>
      <c r="F131" t="s">
        <v>321</v>
      </c>
      <c r="G131" s="279" t="s">
        <v>264</v>
      </c>
      <c r="H131" s="279" t="s">
        <v>265</v>
      </c>
      <c r="I131" t="s">
        <v>299</v>
      </c>
      <c r="J131" t="s">
        <v>324</v>
      </c>
      <c r="K131" s="280"/>
    </row>
    <row r="132" spans="1:11">
      <c r="A132" s="8">
        <v>2002</v>
      </c>
      <c r="B132">
        <v>8</v>
      </c>
      <c r="C132">
        <v>4</v>
      </c>
      <c r="D132">
        <v>4</v>
      </c>
      <c r="E132">
        <v>776276</v>
      </c>
      <c r="F132">
        <v>216</v>
      </c>
      <c r="G132" s="479">
        <f t="shared" ref="G132:G140" si="39">+C132*1000000/E132</f>
        <v>5.1528064760471795</v>
      </c>
      <c r="H132" s="262">
        <f t="shared" ref="H132:H140" si="40">+F132*1000000/E132</f>
        <v>278.25154970654768</v>
      </c>
      <c r="I132" s="479">
        <f t="shared" ref="I132:I140" si="41">+B132*200000/E132</f>
        <v>2.0611225904188717</v>
      </c>
      <c r="J132" s="567">
        <v>0</v>
      </c>
      <c r="K132" s="9">
        <f t="shared" ref="K132:K141" si="42">+J132/C132</f>
        <v>0</v>
      </c>
    </row>
    <row r="133" spans="1:11">
      <c r="A133" s="8">
        <v>2003</v>
      </c>
      <c r="B133">
        <v>7</v>
      </c>
      <c r="C133">
        <v>2</v>
      </c>
      <c r="D133">
        <v>2</v>
      </c>
      <c r="E133">
        <v>718636</v>
      </c>
      <c r="F133">
        <v>26</v>
      </c>
      <c r="G133" s="479">
        <f t="shared" si="39"/>
        <v>2.7830501116003097</v>
      </c>
      <c r="H133" s="262">
        <f t="shared" si="40"/>
        <v>36.179651450804023</v>
      </c>
      <c r="I133" s="479">
        <f t="shared" si="41"/>
        <v>1.9481350781202167</v>
      </c>
      <c r="J133">
        <v>0</v>
      </c>
      <c r="K133" s="9">
        <f t="shared" si="42"/>
        <v>0</v>
      </c>
    </row>
    <row r="134" spans="1:11">
      <c r="A134" s="8">
        <v>2004</v>
      </c>
      <c r="B134">
        <v>10</v>
      </c>
      <c r="C134">
        <v>1</v>
      </c>
      <c r="D134">
        <v>1</v>
      </c>
      <c r="E134">
        <v>738652</v>
      </c>
      <c r="F134">
        <v>28</v>
      </c>
      <c r="G134" s="479">
        <f t="shared" si="39"/>
        <v>1.3538174945711918</v>
      </c>
      <c r="H134" s="262">
        <f t="shared" si="40"/>
        <v>37.906889847993369</v>
      </c>
      <c r="I134" s="479">
        <f t="shared" si="41"/>
        <v>2.7076349891423837</v>
      </c>
      <c r="J134">
        <v>0</v>
      </c>
      <c r="K134" s="9">
        <f t="shared" si="42"/>
        <v>0</v>
      </c>
    </row>
    <row r="135" spans="1:11">
      <c r="A135" s="8">
        <v>2005</v>
      </c>
      <c r="B135">
        <v>13</v>
      </c>
      <c r="C135">
        <v>2</v>
      </c>
      <c r="D135">
        <v>2</v>
      </c>
      <c r="E135">
        <v>736069</v>
      </c>
      <c r="F135">
        <v>84</v>
      </c>
      <c r="G135" s="479">
        <f t="shared" si="39"/>
        <v>2.7171365727941268</v>
      </c>
      <c r="H135" s="262">
        <f t="shared" si="40"/>
        <v>114.11973605735332</v>
      </c>
      <c r="I135" s="479">
        <f t="shared" si="41"/>
        <v>3.5322775446323647</v>
      </c>
      <c r="J135">
        <v>0</v>
      </c>
      <c r="K135" s="9">
        <f t="shared" si="42"/>
        <v>0</v>
      </c>
    </row>
    <row r="136" spans="1:11">
      <c r="A136" s="8">
        <v>2006</v>
      </c>
      <c r="B136">
        <v>7</v>
      </c>
      <c r="C136">
        <v>2</v>
      </c>
      <c r="D136">
        <v>2</v>
      </c>
      <c r="E136">
        <v>828161</v>
      </c>
      <c r="F136">
        <v>15</v>
      </c>
      <c r="G136" s="479">
        <f t="shared" si="39"/>
        <v>2.4149893559344138</v>
      </c>
      <c r="H136" s="262">
        <f t="shared" si="40"/>
        <v>18.112420169508102</v>
      </c>
      <c r="I136" s="479">
        <f t="shared" si="41"/>
        <v>1.6904925491540896</v>
      </c>
      <c r="J136">
        <v>1</v>
      </c>
      <c r="K136" s="9">
        <f t="shared" si="42"/>
        <v>0.5</v>
      </c>
    </row>
    <row r="137" spans="1:11">
      <c r="A137" s="8">
        <v>2007</v>
      </c>
      <c r="B137">
        <v>18</v>
      </c>
      <c r="C137">
        <v>6</v>
      </c>
      <c r="D137">
        <v>0</v>
      </c>
      <c r="E137">
        <v>1052566</v>
      </c>
      <c r="F137">
        <v>0</v>
      </c>
      <c r="G137" s="479">
        <f t="shared" si="39"/>
        <v>5.7003551321247317</v>
      </c>
      <c r="H137" s="262">
        <f t="shared" si="40"/>
        <v>0</v>
      </c>
      <c r="I137" s="479">
        <f t="shared" si="41"/>
        <v>3.4202130792748386</v>
      </c>
      <c r="J137">
        <v>0</v>
      </c>
      <c r="K137" s="9">
        <f t="shared" si="42"/>
        <v>0</v>
      </c>
    </row>
    <row r="138" spans="1:11">
      <c r="A138" s="8">
        <v>2008</v>
      </c>
      <c r="B138">
        <v>22</v>
      </c>
      <c r="C138">
        <v>4</v>
      </c>
      <c r="D138">
        <v>0</v>
      </c>
      <c r="E138">
        <v>1131171</v>
      </c>
      <c r="F138">
        <v>0</v>
      </c>
      <c r="G138" s="479">
        <f t="shared" si="39"/>
        <v>3.5361585472046224</v>
      </c>
      <c r="H138" s="262">
        <f t="shared" si="40"/>
        <v>0</v>
      </c>
      <c r="I138" s="479">
        <f t="shared" si="41"/>
        <v>3.8897744019250848</v>
      </c>
      <c r="J138">
        <v>0</v>
      </c>
      <c r="K138" s="9">
        <f t="shared" si="42"/>
        <v>0</v>
      </c>
    </row>
    <row r="139" spans="1:11">
      <c r="A139" s="8">
        <v>2009</v>
      </c>
      <c r="B139">
        <v>10</v>
      </c>
      <c r="C139">
        <v>2</v>
      </c>
      <c r="D139">
        <v>0</v>
      </c>
      <c r="E139">
        <v>1086188</v>
      </c>
      <c r="F139">
        <v>0</v>
      </c>
      <c r="G139" s="479">
        <f t="shared" si="39"/>
        <v>1.8413018740770475</v>
      </c>
      <c r="H139" s="262">
        <f t="shared" si="40"/>
        <v>0</v>
      </c>
      <c r="I139" s="479">
        <f t="shared" si="41"/>
        <v>1.8413018740770475</v>
      </c>
      <c r="J139">
        <v>0</v>
      </c>
      <c r="K139" s="9">
        <f t="shared" si="42"/>
        <v>0</v>
      </c>
    </row>
    <row r="140" spans="1:11">
      <c r="A140" s="8">
        <v>2010</v>
      </c>
      <c r="B140">
        <v>13</v>
      </c>
      <c r="C140">
        <v>5</v>
      </c>
      <c r="D140">
        <v>4</v>
      </c>
      <c r="E140">
        <v>1046379</v>
      </c>
      <c r="F140">
        <v>101</v>
      </c>
      <c r="G140" s="479">
        <f t="shared" si="39"/>
        <v>4.7783833582287105</v>
      </c>
      <c r="H140" s="262">
        <f t="shared" si="40"/>
        <v>96.523343836219951</v>
      </c>
      <c r="I140" s="479">
        <f t="shared" si="41"/>
        <v>2.4847593462789295</v>
      </c>
      <c r="J140">
        <v>1</v>
      </c>
      <c r="K140" s="9">
        <f t="shared" si="42"/>
        <v>0.2</v>
      </c>
    </row>
    <row r="141" spans="1:11">
      <c r="A141" s="8">
        <v>2011</v>
      </c>
      <c r="B141" s="357" t="e">
        <f>+INDICADORES!#REF!+INDICADORES!#REF!+INDICADORES!#REF!</f>
        <v>#REF!</v>
      </c>
      <c r="C141" s="357" t="e">
        <f>+INDICADORES!#REF!+INDICADORES!#REF!</f>
        <v>#REF!</v>
      </c>
      <c r="D141" s="357" t="e">
        <f>+INDICADORES!#REF!</f>
        <v>#REF!</v>
      </c>
      <c r="E141" s="357">
        <v>77372</v>
      </c>
      <c r="F141" s="357" t="e">
        <f>+INDICADORES!#REF!</f>
        <v>#REF!</v>
      </c>
      <c r="G141" s="479" t="e">
        <f>+INDICADORES!#REF!</f>
        <v>#REF!</v>
      </c>
      <c r="H141" s="358" t="e">
        <f>+INDICADORES!#REF!</f>
        <v>#REF!</v>
      </c>
      <c r="I141" s="479" t="e">
        <f>+INDICADORES!#REF!</f>
        <v>#REF!</v>
      </c>
      <c r="J141">
        <v>0</v>
      </c>
      <c r="K141" s="568" t="e">
        <f t="shared" si="42"/>
        <v>#REF!</v>
      </c>
    </row>
    <row r="143" spans="1:11">
      <c r="A143" s="273" t="s">
        <v>430</v>
      </c>
      <c r="B143" t="s">
        <v>98</v>
      </c>
      <c r="C143" t="s">
        <v>303</v>
      </c>
      <c r="D143" t="s">
        <v>305</v>
      </c>
      <c r="E143" s="8" t="s">
        <v>302</v>
      </c>
      <c r="F143" t="s">
        <v>321</v>
      </c>
      <c r="G143" s="279" t="s">
        <v>264</v>
      </c>
      <c r="H143" s="279" t="s">
        <v>265</v>
      </c>
      <c r="I143" t="s">
        <v>299</v>
      </c>
      <c r="J143" t="s">
        <v>324</v>
      </c>
      <c r="K143" s="280"/>
    </row>
    <row r="144" spans="1:11">
      <c r="A144" s="8">
        <v>2002</v>
      </c>
      <c r="E144">
        <v>0</v>
      </c>
      <c r="G144" s="479" t="e">
        <f t="shared" ref="G144:G152" si="43">+C144*1000000/E144</f>
        <v>#DIV/0!</v>
      </c>
      <c r="H144" s="262" t="e">
        <f t="shared" ref="H144:H152" si="44">+F144*1000000/E144</f>
        <v>#DIV/0!</v>
      </c>
      <c r="I144" s="479" t="e">
        <f t="shared" ref="I144:I152" si="45">+B144*200000/E144</f>
        <v>#DIV/0!</v>
      </c>
      <c r="J144" s="262"/>
      <c r="K144" s="9" t="e">
        <f t="shared" ref="K144:K153" si="46">+J144/C144</f>
        <v>#DIV/0!</v>
      </c>
    </row>
    <row r="145" spans="1:11">
      <c r="A145" s="8">
        <v>2003</v>
      </c>
      <c r="E145">
        <v>0</v>
      </c>
      <c r="G145" s="479" t="e">
        <f t="shared" si="43"/>
        <v>#DIV/0!</v>
      </c>
      <c r="H145" s="262" t="e">
        <f t="shared" si="44"/>
        <v>#DIV/0!</v>
      </c>
      <c r="I145" s="479" t="e">
        <f t="shared" si="45"/>
        <v>#DIV/0!</v>
      </c>
      <c r="K145" s="9" t="e">
        <f t="shared" si="46"/>
        <v>#DIV/0!</v>
      </c>
    </row>
    <row r="146" spans="1:11">
      <c r="A146" s="8">
        <v>2004</v>
      </c>
      <c r="E146">
        <v>0</v>
      </c>
      <c r="G146" s="479" t="e">
        <f t="shared" si="43"/>
        <v>#DIV/0!</v>
      </c>
      <c r="H146" s="262" t="e">
        <f t="shared" si="44"/>
        <v>#DIV/0!</v>
      </c>
      <c r="I146" s="479" t="e">
        <f t="shared" si="45"/>
        <v>#DIV/0!</v>
      </c>
      <c r="K146" s="9" t="e">
        <f t="shared" si="46"/>
        <v>#DIV/0!</v>
      </c>
    </row>
    <row r="147" spans="1:11">
      <c r="A147" s="8">
        <v>2005</v>
      </c>
      <c r="E147">
        <v>0</v>
      </c>
      <c r="G147" s="479" t="e">
        <f t="shared" si="43"/>
        <v>#DIV/0!</v>
      </c>
      <c r="H147" s="262" t="e">
        <f t="shared" si="44"/>
        <v>#DIV/0!</v>
      </c>
      <c r="I147" s="479" t="e">
        <f t="shared" si="45"/>
        <v>#DIV/0!</v>
      </c>
      <c r="K147" s="9" t="e">
        <f t="shared" si="46"/>
        <v>#DIV/0!</v>
      </c>
    </row>
    <row r="148" spans="1:11">
      <c r="A148" s="8">
        <v>2006</v>
      </c>
      <c r="E148">
        <v>0</v>
      </c>
      <c r="G148" s="479" t="e">
        <f t="shared" si="43"/>
        <v>#DIV/0!</v>
      </c>
      <c r="H148" s="262" t="e">
        <f t="shared" si="44"/>
        <v>#DIV/0!</v>
      </c>
      <c r="I148" s="479" t="e">
        <f t="shared" si="45"/>
        <v>#DIV/0!</v>
      </c>
      <c r="K148" s="9" t="e">
        <f t="shared" si="46"/>
        <v>#DIV/0!</v>
      </c>
    </row>
    <row r="149" spans="1:11">
      <c r="A149" s="8">
        <v>2007</v>
      </c>
      <c r="B149">
        <v>19</v>
      </c>
      <c r="C149">
        <v>9</v>
      </c>
      <c r="D149">
        <v>4</v>
      </c>
      <c r="E149">
        <v>212486</v>
      </c>
      <c r="F149">
        <v>327</v>
      </c>
      <c r="G149" s="479">
        <f t="shared" si="43"/>
        <v>42.355731671733665</v>
      </c>
      <c r="H149" s="262">
        <f t="shared" si="44"/>
        <v>1538.9249174063232</v>
      </c>
      <c r="I149" s="479">
        <f t="shared" si="45"/>
        <v>17.883531150287549</v>
      </c>
      <c r="J149">
        <v>0</v>
      </c>
      <c r="K149" s="9">
        <f t="shared" si="46"/>
        <v>0</v>
      </c>
    </row>
    <row r="150" spans="1:11">
      <c r="A150" s="8">
        <v>2008</v>
      </c>
      <c r="B150">
        <v>13</v>
      </c>
      <c r="C150">
        <v>3</v>
      </c>
      <c r="D150">
        <v>0</v>
      </c>
      <c r="E150">
        <v>463686</v>
      </c>
      <c r="F150">
        <v>0</v>
      </c>
      <c r="G150" s="479">
        <f t="shared" si="43"/>
        <v>6.4698955758854053</v>
      </c>
      <c r="H150" s="262">
        <f t="shared" si="44"/>
        <v>0</v>
      </c>
      <c r="I150" s="479">
        <f t="shared" si="45"/>
        <v>5.607242832434018</v>
      </c>
      <c r="J150">
        <v>0</v>
      </c>
      <c r="K150" s="9">
        <f t="shared" si="46"/>
        <v>0</v>
      </c>
    </row>
    <row r="151" spans="1:11">
      <c r="A151" s="8">
        <v>2009</v>
      </c>
      <c r="B151">
        <v>5</v>
      </c>
      <c r="C151">
        <v>0</v>
      </c>
      <c r="D151">
        <v>0</v>
      </c>
      <c r="E151">
        <v>427210</v>
      </c>
      <c r="F151">
        <v>0</v>
      </c>
      <c r="G151" s="479">
        <f t="shared" si="43"/>
        <v>0</v>
      </c>
      <c r="H151" s="262">
        <f t="shared" si="44"/>
        <v>0</v>
      </c>
      <c r="I151" s="479">
        <f t="shared" si="45"/>
        <v>2.3407691767514804</v>
      </c>
      <c r="J151">
        <v>0</v>
      </c>
      <c r="K151" s="9" t="e">
        <f t="shared" si="46"/>
        <v>#DIV/0!</v>
      </c>
    </row>
    <row r="152" spans="1:11">
      <c r="A152" s="8">
        <v>2010</v>
      </c>
      <c r="B152">
        <v>8</v>
      </c>
      <c r="C152">
        <v>1</v>
      </c>
      <c r="D152">
        <v>0</v>
      </c>
      <c r="E152">
        <v>443733</v>
      </c>
      <c r="F152">
        <v>0</v>
      </c>
      <c r="G152" s="479">
        <f t="shared" si="43"/>
        <v>2.2536074621450286</v>
      </c>
      <c r="H152" s="262">
        <f t="shared" si="44"/>
        <v>0</v>
      </c>
      <c r="I152" s="479">
        <f t="shared" si="45"/>
        <v>3.6057719394320458</v>
      </c>
      <c r="J152">
        <v>0</v>
      </c>
      <c r="K152" s="9">
        <f t="shared" si="46"/>
        <v>0</v>
      </c>
    </row>
    <row r="153" spans="1:11">
      <c r="A153" s="8">
        <v>2011</v>
      </c>
      <c r="B153" s="357">
        <v>1</v>
      </c>
      <c r="C153" s="357">
        <v>0</v>
      </c>
      <c r="D153" s="357">
        <v>0</v>
      </c>
      <c r="E153">
        <v>31331</v>
      </c>
      <c r="F153" s="357">
        <v>0</v>
      </c>
      <c r="G153" s="479" t="e">
        <f>+INDICADORES!#REF!</f>
        <v>#REF!</v>
      </c>
      <c r="H153" s="358" t="e">
        <f>+INDICADORES!#REF!</f>
        <v>#REF!</v>
      </c>
      <c r="I153" s="479" t="e">
        <f>+INDICADORES!#REF!</f>
        <v>#REF!</v>
      </c>
      <c r="J153">
        <v>0</v>
      </c>
      <c r="K153" s="9" t="e">
        <f t="shared" si="46"/>
        <v>#DIV/0!</v>
      </c>
    </row>
    <row r="155" spans="1:11">
      <c r="A155" s="273" t="s">
        <v>438</v>
      </c>
      <c r="B155" t="s">
        <v>98</v>
      </c>
      <c r="C155" t="s">
        <v>303</v>
      </c>
      <c r="D155" t="s">
        <v>305</v>
      </c>
      <c r="E155" s="8" t="s">
        <v>302</v>
      </c>
      <c r="F155" t="s">
        <v>321</v>
      </c>
      <c r="G155" s="279" t="s">
        <v>264</v>
      </c>
      <c r="H155" s="279" t="s">
        <v>265</v>
      </c>
      <c r="I155" t="s">
        <v>299</v>
      </c>
      <c r="J155" t="s">
        <v>324</v>
      </c>
      <c r="K155" s="280"/>
    </row>
    <row r="156" spans="1:11">
      <c r="A156" s="8">
        <v>2002</v>
      </c>
      <c r="G156" s="479" t="e">
        <f t="shared" ref="G156:G164" si="47">+C156*1000000/E156</f>
        <v>#DIV/0!</v>
      </c>
      <c r="H156" s="262" t="e">
        <f t="shared" ref="H156:H164" si="48">+F156*1000000/E156</f>
        <v>#DIV/0!</v>
      </c>
      <c r="I156" s="479" t="e">
        <f t="shared" ref="I156:I164" si="49">+B156*200000/E156</f>
        <v>#DIV/0!</v>
      </c>
      <c r="J156" s="262"/>
      <c r="K156" s="9" t="e">
        <f t="shared" ref="K156:K165" si="50">+J156/C156</f>
        <v>#DIV/0!</v>
      </c>
    </row>
    <row r="157" spans="1:11">
      <c r="A157" s="8">
        <v>2003</v>
      </c>
      <c r="G157" s="479" t="e">
        <f t="shared" si="47"/>
        <v>#DIV/0!</v>
      </c>
      <c r="H157" s="262" t="e">
        <f t="shared" si="48"/>
        <v>#DIV/0!</v>
      </c>
      <c r="I157" s="479" t="e">
        <f t="shared" si="49"/>
        <v>#DIV/0!</v>
      </c>
      <c r="K157" s="9" t="e">
        <f t="shared" si="50"/>
        <v>#DIV/0!</v>
      </c>
    </row>
    <row r="158" spans="1:11">
      <c r="A158" s="8">
        <v>2004</v>
      </c>
      <c r="G158" s="479" t="e">
        <f t="shared" si="47"/>
        <v>#DIV/0!</v>
      </c>
      <c r="H158" s="262" t="e">
        <f t="shared" si="48"/>
        <v>#DIV/0!</v>
      </c>
      <c r="I158" s="479" t="e">
        <f t="shared" si="49"/>
        <v>#DIV/0!</v>
      </c>
      <c r="K158" s="9" t="e">
        <f t="shared" si="50"/>
        <v>#DIV/0!</v>
      </c>
    </row>
    <row r="159" spans="1:11">
      <c r="A159" s="8">
        <v>2005</v>
      </c>
      <c r="G159" s="479" t="e">
        <f t="shared" si="47"/>
        <v>#DIV/0!</v>
      </c>
      <c r="H159" s="262" t="e">
        <f t="shared" si="48"/>
        <v>#DIV/0!</v>
      </c>
      <c r="I159" s="479" t="e">
        <f t="shared" si="49"/>
        <v>#DIV/0!</v>
      </c>
      <c r="K159" s="9" t="e">
        <f t="shared" si="50"/>
        <v>#DIV/0!</v>
      </c>
    </row>
    <row r="160" spans="1:11">
      <c r="A160" s="8">
        <v>2006</v>
      </c>
      <c r="G160" s="479" t="e">
        <f t="shared" si="47"/>
        <v>#DIV/0!</v>
      </c>
      <c r="H160" s="262" t="e">
        <f t="shared" si="48"/>
        <v>#DIV/0!</v>
      </c>
      <c r="I160" s="479" t="e">
        <f t="shared" si="49"/>
        <v>#DIV/0!</v>
      </c>
      <c r="K160" s="9" t="e">
        <f t="shared" si="50"/>
        <v>#DIV/0!</v>
      </c>
    </row>
    <row r="161" spans="1:11">
      <c r="A161" s="8">
        <v>2007</v>
      </c>
      <c r="G161" s="479" t="e">
        <f t="shared" si="47"/>
        <v>#DIV/0!</v>
      </c>
      <c r="H161" s="262" t="e">
        <f t="shared" si="48"/>
        <v>#DIV/0!</v>
      </c>
      <c r="I161" s="479" t="e">
        <f t="shared" si="49"/>
        <v>#DIV/0!</v>
      </c>
      <c r="K161" s="9" t="e">
        <f t="shared" si="50"/>
        <v>#DIV/0!</v>
      </c>
    </row>
    <row r="162" spans="1:11">
      <c r="A162" s="8">
        <v>2008</v>
      </c>
      <c r="G162" s="479" t="e">
        <f t="shared" si="47"/>
        <v>#DIV/0!</v>
      </c>
      <c r="H162" s="262" t="e">
        <f t="shared" si="48"/>
        <v>#DIV/0!</v>
      </c>
      <c r="I162" s="479" t="e">
        <f t="shared" si="49"/>
        <v>#DIV/0!</v>
      </c>
      <c r="K162" s="9" t="e">
        <f t="shared" si="50"/>
        <v>#DIV/0!</v>
      </c>
    </row>
    <row r="163" spans="1:11">
      <c r="A163" s="8">
        <v>2009</v>
      </c>
      <c r="G163" s="479" t="e">
        <f t="shared" si="47"/>
        <v>#DIV/0!</v>
      </c>
      <c r="H163" s="262" t="e">
        <f t="shared" si="48"/>
        <v>#DIV/0!</v>
      </c>
      <c r="I163" s="479" t="e">
        <f t="shared" si="49"/>
        <v>#DIV/0!</v>
      </c>
      <c r="K163" s="9" t="e">
        <f t="shared" si="50"/>
        <v>#DIV/0!</v>
      </c>
    </row>
    <row r="164" spans="1:11">
      <c r="A164" s="8">
        <v>2010</v>
      </c>
      <c r="G164" s="479" t="e">
        <f t="shared" si="47"/>
        <v>#DIV/0!</v>
      </c>
      <c r="H164" s="262" t="e">
        <f t="shared" si="48"/>
        <v>#DIV/0!</v>
      </c>
      <c r="I164" s="479" t="e">
        <f t="shared" si="49"/>
        <v>#DIV/0!</v>
      </c>
      <c r="K164" s="9" t="e">
        <f t="shared" si="50"/>
        <v>#DIV/0!</v>
      </c>
    </row>
    <row r="165" spans="1:11">
      <c r="A165" s="8">
        <v>2011</v>
      </c>
      <c r="B165" s="357" t="e">
        <f>+INDICADORES!#REF!+INDICADORES!#REF!+INDICADORES!#REF!</f>
        <v>#REF!</v>
      </c>
      <c r="C165" s="357" t="e">
        <f>+INDICADORES!#REF!+INDICADORES!#REF!</f>
        <v>#REF!</v>
      </c>
      <c r="D165" s="357" t="e">
        <f>+INDICADORES!#REF!</f>
        <v>#REF!</v>
      </c>
      <c r="E165" s="357" t="e">
        <f>+INDICADORES!#REF!</f>
        <v>#REF!</v>
      </c>
      <c r="F165" s="357" t="e">
        <f>+INDICADORES!#REF!</f>
        <v>#REF!</v>
      </c>
      <c r="G165" s="479" t="e">
        <f>+INDICADORES!#REF!</f>
        <v>#REF!</v>
      </c>
      <c r="H165" s="358" t="e">
        <f>+INDICADORES!#REF!</f>
        <v>#REF!</v>
      </c>
      <c r="I165" s="479" t="e">
        <f>+INDICADORES!#REF!</f>
        <v>#REF!</v>
      </c>
      <c r="J165">
        <v>0</v>
      </c>
      <c r="K165" s="9" t="e">
        <f t="shared" si="50"/>
        <v>#REF!</v>
      </c>
    </row>
    <row r="167" spans="1:11">
      <c r="A167" s="273" t="s">
        <v>446</v>
      </c>
      <c r="B167" t="s">
        <v>98</v>
      </c>
      <c r="C167" t="s">
        <v>303</v>
      </c>
      <c r="D167" t="s">
        <v>305</v>
      </c>
      <c r="E167" s="8" t="s">
        <v>302</v>
      </c>
      <c r="F167" t="s">
        <v>321</v>
      </c>
      <c r="G167" s="279" t="s">
        <v>264</v>
      </c>
      <c r="H167" s="279" t="s">
        <v>265</v>
      </c>
      <c r="I167" t="s">
        <v>299</v>
      </c>
      <c r="J167" t="s">
        <v>324</v>
      </c>
      <c r="K167" s="280"/>
    </row>
    <row r="168" spans="1:11">
      <c r="A168" s="8">
        <v>2002</v>
      </c>
      <c r="B168">
        <v>9</v>
      </c>
      <c r="C168">
        <v>5</v>
      </c>
      <c r="D168">
        <v>5</v>
      </c>
      <c r="E168">
        <v>1002196.26</v>
      </c>
      <c r="F168">
        <v>146</v>
      </c>
      <c r="G168" s="479">
        <f t="shared" ref="G168:G175" si="51">+C168*1000000/E168</f>
        <v>4.9890427649370794</v>
      </c>
      <c r="H168" s="262">
        <f>+F168*1000000/E168</f>
        <v>145.68004873616272</v>
      </c>
      <c r="I168" s="479">
        <f t="shared" ref="I168:I175" si="52">+B168*200000/E168</f>
        <v>1.7960553953773486</v>
      </c>
      <c r="J168" s="63">
        <v>0</v>
      </c>
      <c r="K168" s="9">
        <f t="shared" ref="K168:K175" si="53">+J168/C168</f>
        <v>0</v>
      </c>
    </row>
    <row r="169" spans="1:11">
      <c r="A169" s="8">
        <v>2003</v>
      </c>
      <c r="B169">
        <v>8</v>
      </c>
      <c r="C169">
        <v>3</v>
      </c>
      <c r="D169">
        <v>3</v>
      </c>
      <c r="E169">
        <v>1077038.03</v>
      </c>
      <c r="F169">
        <v>92</v>
      </c>
      <c r="G169" s="479">
        <f t="shared" si="51"/>
        <v>2.7854169643387614</v>
      </c>
      <c r="H169" s="262">
        <f t="shared" ref="H169:H175" si="54">+F169*1000000/E169</f>
        <v>85.41945357305535</v>
      </c>
      <c r="I169" s="479">
        <f t="shared" si="52"/>
        <v>1.4855557143140061</v>
      </c>
      <c r="J169" s="63">
        <v>1</v>
      </c>
      <c r="K169" s="9">
        <f t="shared" si="53"/>
        <v>0.33333333333333331</v>
      </c>
    </row>
    <row r="170" spans="1:11">
      <c r="A170" s="8">
        <v>2004</v>
      </c>
      <c r="B170">
        <v>13</v>
      </c>
      <c r="C170">
        <v>7</v>
      </c>
      <c r="D170">
        <v>7</v>
      </c>
      <c r="E170">
        <v>1115269.55</v>
      </c>
      <c r="F170">
        <v>276</v>
      </c>
      <c r="G170" s="479">
        <f t="shared" si="51"/>
        <v>6.2765095666782971</v>
      </c>
      <c r="H170" s="262">
        <f t="shared" si="54"/>
        <v>247.47380577188716</v>
      </c>
      <c r="I170" s="479">
        <f t="shared" si="52"/>
        <v>2.3312749819090817</v>
      </c>
      <c r="J170" s="63">
        <v>3</v>
      </c>
      <c r="K170" s="9">
        <f t="shared" si="53"/>
        <v>0.42857142857142855</v>
      </c>
    </row>
    <row r="171" spans="1:11">
      <c r="A171" s="8">
        <v>2005</v>
      </c>
      <c r="B171">
        <v>7</v>
      </c>
      <c r="C171">
        <v>3</v>
      </c>
      <c r="D171">
        <v>3</v>
      </c>
      <c r="E171">
        <v>1134509.53</v>
      </c>
      <c r="F171">
        <v>33</v>
      </c>
      <c r="G171" s="479">
        <f t="shared" si="51"/>
        <v>2.6443144995000614</v>
      </c>
      <c r="H171" s="262">
        <f t="shared" si="54"/>
        <v>29.087459494500674</v>
      </c>
      <c r="I171" s="479">
        <f t="shared" si="52"/>
        <v>1.2340134331000288</v>
      </c>
      <c r="J171" s="63">
        <v>0</v>
      </c>
      <c r="K171" s="9">
        <f t="shared" si="53"/>
        <v>0</v>
      </c>
    </row>
    <row r="172" spans="1:11">
      <c r="A172" s="8">
        <v>2006</v>
      </c>
      <c r="B172">
        <v>13</v>
      </c>
      <c r="C172">
        <v>8</v>
      </c>
      <c r="D172">
        <v>8</v>
      </c>
      <c r="E172">
        <v>1197578.1599999999</v>
      </c>
      <c r="F172">
        <v>213</v>
      </c>
      <c r="G172" s="479">
        <f t="shared" si="51"/>
        <v>6.6801485424550497</v>
      </c>
      <c r="H172" s="262">
        <f t="shared" si="54"/>
        <v>177.85895494286569</v>
      </c>
      <c r="I172" s="479">
        <f t="shared" si="52"/>
        <v>2.1710482762978911</v>
      </c>
      <c r="J172" s="63">
        <v>4</v>
      </c>
      <c r="K172" s="9">
        <f t="shared" si="53"/>
        <v>0.5</v>
      </c>
    </row>
    <row r="173" spans="1:11">
      <c r="A173" s="8">
        <v>2007</v>
      </c>
      <c r="B173">
        <v>14</v>
      </c>
      <c r="C173">
        <v>8</v>
      </c>
      <c r="D173">
        <v>4</v>
      </c>
      <c r="E173">
        <v>1231551.1100000001</v>
      </c>
      <c r="F173">
        <v>40</v>
      </c>
      <c r="G173" s="479">
        <f t="shared" si="51"/>
        <v>6.4958733218956697</v>
      </c>
      <c r="H173" s="262">
        <f t="shared" si="54"/>
        <v>32.479366609478348</v>
      </c>
      <c r="I173" s="479">
        <f t="shared" si="52"/>
        <v>2.2735556626634845</v>
      </c>
      <c r="J173" s="63">
        <v>5</v>
      </c>
      <c r="K173" s="9">
        <f t="shared" si="53"/>
        <v>0.625</v>
      </c>
    </row>
    <row r="174" spans="1:11">
      <c r="A174" s="8">
        <v>2008</v>
      </c>
      <c r="B174">
        <v>22</v>
      </c>
      <c r="C174">
        <v>15</v>
      </c>
      <c r="D174">
        <v>12</v>
      </c>
      <c r="E174">
        <v>1262787.6100000001</v>
      </c>
      <c r="F174">
        <v>208</v>
      </c>
      <c r="G174" s="479">
        <f t="shared" si="51"/>
        <v>11.878482082984643</v>
      </c>
      <c r="H174" s="262">
        <f t="shared" si="54"/>
        <v>164.71495155072037</v>
      </c>
      <c r="I174" s="479">
        <f t="shared" si="52"/>
        <v>3.4843547443421619</v>
      </c>
      <c r="J174" s="63">
        <v>5</v>
      </c>
      <c r="K174" s="9">
        <f t="shared" si="53"/>
        <v>0.33333333333333331</v>
      </c>
    </row>
    <row r="175" spans="1:11">
      <c r="A175" s="8">
        <v>2009</v>
      </c>
      <c r="B175">
        <v>16</v>
      </c>
      <c r="C175">
        <v>7</v>
      </c>
      <c r="D175">
        <v>7</v>
      </c>
      <c r="E175">
        <v>1256821.24</v>
      </c>
      <c r="F175">
        <v>6086</v>
      </c>
      <c r="G175" s="479">
        <f t="shared" si="51"/>
        <v>5.5696067007906391</v>
      </c>
      <c r="H175" s="262">
        <f t="shared" si="54"/>
        <v>4842.3751972874043</v>
      </c>
      <c r="I175" s="479">
        <f t="shared" si="52"/>
        <v>2.5461059203614349</v>
      </c>
      <c r="J175" s="63">
        <v>3</v>
      </c>
      <c r="K175" s="9">
        <f t="shared" si="53"/>
        <v>0.42857142857142855</v>
      </c>
    </row>
    <row r="176" spans="1:11">
      <c r="A176" s="8">
        <v>2010</v>
      </c>
      <c r="B176" s="281">
        <f>+'NVO IOM'!F78</f>
        <v>0</v>
      </c>
      <c r="C176" s="281">
        <f>+'NVO IOM'!C78+'NVO IOM'!D78</f>
        <v>0</v>
      </c>
      <c r="D176" s="281">
        <f>+'NVO IOM'!C78</f>
        <v>0</v>
      </c>
      <c r="E176" s="10">
        <v>1375062</v>
      </c>
      <c r="F176" s="281">
        <f>+'NVO IOM'!H78</f>
        <v>0</v>
      </c>
      <c r="G176" s="479">
        <f>+'NVO IOM'!J78</f>
        <v>0</v>
      </c>
      <c r="H176" s="262">
        <f>+'NVO IOM'!K78</f>
        <v>0</v>
      </c>
      <c r="I176" s="479">
        <f>+'NVO IOM'!L78</f>
        <v>0</v>
      </c>
      <c r="J176" s="130">
        <v>3</v>
      </c>
      <c r="K176" s="9">
        <f>IF(C176=0,0,J176/C176)</f>
        <v>0</v>
      </c>
    </row>
    <row r="177" spans="1:83">
      <c r="A177" s="8">
        <v>2011</v>
      </c>
      <c r="B177" s="357">
        <f>+INDICADORES!P15+INDICADORES!Q15+INDICADORES!R15</f>
        <v>3</v>
      </c>
      <c r="C177" s="357">
        <f>+INDICADORES!P15+INDICADORES!Q15</f>
        <v>3</v>
      </c>
      <c r="D177" s="357">
        <f>+INDICADORES!P15</f>
        <v>3</v>
      </c>
      <c r="E177" s="357">
        <f>+INDICADORES!M15</f>
        <v>281274.58999999997</v>
      </c>
      <c r="F177" s="357">
        <f>+INDICADORES!O24</f>
        <v>0</v>
      </c>
      <c r="G177" s="479" t="e">
        <f>+INDICADORES!#REF!</f>
        <v>#REF!</v>
      </c>
      <c r="H177" s="262" t="e">
        <f>+INDICADORES!#REF!</f>
        <v>#REF!</v>
      </c>
      <c r="I177" s="479" t="e">
        <f>+INDICADORES!#REF!</f>
        <v>#REF!</v>
      </c>
      <c r="J177" s="497">
        <v>0</v>
      </c>
      <c r="K177" s="9">
        <f>IF(C177=0,0,J177/C177)</f>
        <v>0</v>
      </c>
      <c r="CC177" s="710"/>
      <c r="CE177" s="708"/>
    </row>
    <row r="179" spans="1:83">
      <c r="A179" s="273" t="s">
        <v>77</v>
      </c>
      <c r="B179" t="s">
        <v>98</v>
      </c>
      <c r="C179" t="s">
        <v>303</v>
      </c>
      <c r="D179" t="s">
        <v>305</v>
      </c>
      <c r="E179" s="8" t="s">
        <v>302</v>
      </c>
      <c r="F179" t="s">
        <v>321</v>
      </c>
      <c r="G179" s="279" t="s">
        <v>264</v>
      </c>
      <c r="H179" s="279" t="s">
        <v>265</v>
      </c>
      <c r="I179" t="s">
        <v>299</v>
      </c>
      <c r="J179" t="s">
        <v>324</v>
      </c>
      <c r="K179" s="280"/>
    </row>
    <row r="180" spans="1:83">
      <c r="A180" s="8">
        <v>2002</v>
      </c>
      <c r="G180" s="479" t="e">
        <f t="shared" ref="G180:G187" si="55">+C180*1000000/E180</f>
        <v>#DIV/0!</v>
      </c>
      <c r="H180" s="262" t="e">
        <f>+F180*1000000/E180</f>
        <v>#DIV/0!</v>
      </c>
      <c r="I180" s="479" t="e">
        <f t="shared" ref="I180:I188" si="56">+B180*200000/E180</f>
        <v>#DIV/0!</v>
      </c>
      <c r="J180" s="63"/>
      <c r="K180" s="9" t="e">
        <f>+J180/C180</f>
        <v>#DIV/0!</v>
      </c>
      <c r="CB180" s="709"/>
    </row>
    <row r="181" spans="1:83">
      <c r="A181" s="8">
        <v>2003</v>
      </c>
      <c r="G181" s="479" t="e">
        <f t="shared" si="55"/>
        <v>#DIV/0!</v>
      </c>
      <c r="H181" s="262" t="e">
        <f t="shared" ref="H181:H188" si="57">+F181*1000000/E181</f>
        <v>#DIV/0!</v>
      </c>
      <c r="I181" s="479" t="e">
        <f t="shared" si="56"/>
        <v>#DIV/0!</v>
      </c>
      <c r="J181" s="63"/>
      <c r="K181" s="9" t="e">
        <f>+J181/C181</f>
        <v>#DIV/0!</v>
      </c>
    </row>
    <row r="182" spans="1:83">
      <c r="A182" s="8">
        <v>2004</v>
      </c>
      <c r="G182" s="479" t="e">
        <f t="shared" si="55"/>
        <v>#DIV/0!</v>
      </c>
      <c r="H182" s="262" t="e">
        <f t="shared" si="57"/>
        <v>#DIV/0!</v>
      </c>
      <c r="I182" s="479" t="e">
        <f t="shared" si="56"/>
        <v>#DIV/0!</v>
      </c>
      <c r="J182" s="63"/>
      <c r="K182" s="9" t="e">
        <f>+J182/C182</f>
        <v>#DIV/0!</v>
      </c>
    </row>
    <row r="183" spans="1:83">
      <c r="A183" s="8">
        <v>2005</v>
      </c>
      <c r="G183" s="479" t="e">
        <f t="shared" si="55"/>
        <v>#DIV/0!</v>
      </c>
      <c r="H183" s="262" t="e">
        <f t="shared" si="57"/>
        <v>#DIV/0!</v>
      </c>
      <c r="I183" s="479" t="e">
        <f t="shared" si="56"/>
        <v>#DIV/0!</v>
      </c>
      <c r="J183" s="63"/>
      <c r="K183" s="9" t="e">
        <f>+J183/C183</f>
        <v>#DIV/0!</v>
      </c>
    </row>
    <row r="184" spans="1:83">
      <c r="A184" s="8">
        <v>2006</v>
      </c>
      <c r="B184">
        <v>5</v>
      </c>
      <c r="C184">
        <v>1</v>
      </c>
      <c r="D184">
        <v>1</v>
      </c>
      <c r="E184" s="8">
        <v>228991</v>
      </c>
      <c r="F184" s="8">
        <v>10</v>
      </c>
      <c r="G184" s="479">
        <f t="shared" si="55"/>
        <v>4.3669838552606874</v>
      </c>
      <c r="H184" s="262">
        <f t="shared" si="57"/>
        <v>43.669838552606869</v>
      </c>
      <c r="I184" s="479">
        <f t="shared" si="56"/>
        <v>4.3669838552606874</v>
      </c>
      <c r="J184">
        <v>1</v>
      </c>
      <c r="K184" s="9">
        <f t="shared" ref="K184:K189" si="58">IF(C184=0,0,J184/C184)</f>
        <v>1</v>
      </c>
    </row>
    <row r="185" spans="1:83">
      <c r="A185" s="8">
        <v>2007</v>
      </c>
      <c r="B185">
        <v>17</v>
      </c>
      <c r="C185">
        <v>10</v>
      </c>
      <c r="D185">
        <v>6</v>
      </c>
      <c r="E185" s="8">
        <v>289783</v>
      </c>
      <c r="F185" s="8">
        <v>129</v>
      </c>
      <c r="G185" s="479">
        <f>+C185*1000000/E185</f>
        <v>34.508580558555884</v>
      </c>
      <c r="H185" s="262">
        <f t="shared" si="57"/>
        <v>445.16068920537094</v>
      </c>
      <c r="I185" s="479">
        <f t="shared" si="56"/>
        <v>11.732917389909002</v>
      </c>
      <c r="J185">
        <v>14</v>
      </c>
      <c r="K185" s="9">
        <f t="shared" si="58"/>
        <v>1.4</v>
      </c>
    </row>
    <row r="186" spans="1:83">
      <c r="A186" s="8">
        <v>2008</v>
      </c>
      <c r="B186">
        <v>4</v>
      </c>
      <c r="C186">
        <v>2</v>
      </c>
      <c r="D186">
        <v>2</v>
      </c>
      <c r="E186" s="8">
        <v>344715</v>
      </c>
      <c r="F186" s="8">
        <v>45</v>
      </c>
      <c r="G186" s="479">
        <f t="shared" si="55"/>
        <v>5.8018943184949885</v>
      </c>
      <c r="H186" s="262">
        <f t="shared" si="57"/>
        <v>130.54262216613725</v>
      </c>
      <c r="I186" s="479">
        <f t="shared" si="56"/>
        <v>2.3207577273979956</v>
      </c>
      <c r="J186">
        <v>2</v>
      </c>
      <c r="K186" s="9">
        <f t="shared" si="58"/>
        <v>1</v>
      </c>
    </row>
    <row r="187" spans="1:83">
      <c r="A187" s="8">
        <v>2009</v>
      </c>
      <c r="B187">
        <v>1</v>
      </c>
      <c r="C187">
        <v>0</v>
      </c>
      <c r="D187">
        <v>0</v>
      </c>
      <c r="E187" s="8">
        <v>359690</v>
      </c>
      <c r="F187">
        <v>0</v>
      </c>
      <c r="G187" s="479">
        <f t="shared" si="55"/>
        <v>0</v>
      </c>
      <c r="H187" s="262">
        <f t="shared" si="57"/>
        <v>0</v>
      </c>
      <c r="I187" s="479">
        <f t="shared" si="56"/>
        <v>0.55603436292362873</v>
      </c>
      <c r="J187">
        <v>0</v>
      </c>
      <c r="K187" s="9">
        <f t="shared" si="58"/>
        <v>0</v>
      </c>
    </row>
    <row r="188" spans="1:83">
      <c r="A188" s="8">
        <v>2010</v>
      </c>
      <c r="B188" s="281">
        <v>15</v>
      </c>
      <c r="C188" s="281">
        <v>4</v>
      </c>
      <c r="D188" s="281">
        <v>4</v>
      </c>
      <c r="E188" s="63">
        <v>399893</v>
      </c>
      <c r="F188" s="63">
        <v>143</v>
      </c>
      <c r="G188" s="479">
        <f>+C188*1000000/E188</f>
        <v>10.002675715753965</v>
      </c>
      <c r="H188" s="262">
        <f t="shared" si="57"/>
        <v>357.59565683820421</v>
      </c>
      <c r="I188" s="479">
        <f t="shared" si="56"/>
        <v>7.5020067868154729</v>
      </c>
      <c r="J188" s="281">
        <v>12</v>
      </c>
      <c r="K188" s="9">
        <f t="shared" si="58"/>
        <v>3</v>
      </c>
    </row>
    <row r="189" spans="1:83">
      <c r="A189" s="8">
        <v>2011</v>
      </c>
      <c r="B189" s="357">
        <f>+INDICADORES!P15+INDICADORES!Q15+INDICADORES!R15</f>
        <v>3</v>
      </c>
      <c r="C189" s="357">
        <f>+INDICADORES!P15+INDICADORES!Q15</f>
        <v>3</v>
      </c>
      <c r="D189" s="357">
        <f>+INDICADORES!P15</f>
        <v>3</v>
      </c>
      <c r="E189" s="63" t="e">
        <f>+INDICADORES!#REF!</f>
        <v>#REF!</v>
      </c>
      <c r="F189" s="357" t="e">
        <f>+INDICADORES!#REF!</f>
        <v>#REF!</v>
      </c>
      <c r="G189" s="479" t="e">
        <f>+INDICADORES!#REF!</f>
        <v>#REF!</v>
      </c>
      <c r="H189" s="262" t="e">
        <f>+INDICADORES!#REF!</f>
        <v>#REF!</v>
      </c>
      <c r="I189" s="479" t="e">
        <f>+INDICADORES!#REF!</f>
        <v>#REF!</v>
      </c>
      <c r="J189" s="357">
        <v>0</v>
      </c>
      <c r="K189" s="9">
        <f t="shared" si="58"/>
        <v>0</v>
      </c>
    </row>
    <row r="191" spans="1:83">
      <c r="A191" s="273" t="s">
        <v>416</v>
      </c>
      <c r="B191" t="s">
        <v>98</v>
      </c>
      <c r="C191" t="s">
        <v>303</v>
      </c>
      <c r="D191" t="s">
        <v>305</v>
      </c>
      <c r="E191" s="8" t="s">
        <v>302</v>
      </c>
      <c r="F191" t="s">
        <v>321</v>
      </c>
      <c r="G191" s="279" t="s">
        <v>264</v>
      </c>
      <c r="H191" s="279" t="s">
        <v>265</v>
      </c>
      <c r="I191" t="s">
        <v>299</v>
      </c>
      <c r="J191" t="s">
        <v>324</v>
      </c>
      <c r="K191" s="280"/>
    </row>
    <row r="192" spans="1:83">
      <c r="A192" s="8">
        <v>2002</v>
      </c>
      <c r="B192">
        <v>9</v>
      </c>
      <c r="C192">
        <v>5</v>
      </c>
      <c r="D192">
        <v>5</v>
      </c>
      <c r="E192">
        <v>1002196.26</v>
      </c>
      <c r="F192">
        <v>146</v>
      </c>
      <c r="G192" s="479">
        <f t="shared" ref="G192:G199" si="59">+C192*1000000/E192</f>
        <v>4.9890427649370794</v>
      </c>
      <c r="H192" s="262">
        <f>+F192*1000000/E192</f>
        <v>145.68004873616272</v>
      </c>
      <c r="I192" s="479">
        <f t="shared" ref="I192:I199" si="60">+B192*200000/E192</f>
        <v>1.7960553953773486</v>
      </c>
      <c r="J192" s="63">
        <v>0</v>
      </c>
      <c r="K192" s="9">
        <f t="shared" ref="K192:K201" si="61">+J192/C192</f>
        <v>0</v>
      </c>
    </row>
    <row r="193" spans="1:11">
      <c r="A193" s="8">
        <v>2003</v>
      </c>
      <c r="B193">
        <v>8</v>
      </c>
      <c r="C193">
        <v>3</v>
      </c>
      <c r="D193">
        <v>3</v>
      </c>
      <c r="E193">
        <v>1077038.03</v>
      </c>
      <c r="F193">
        <v>92</v>
      </c>
      <c r="G193" s="479">
        <f t="shared" si="59"/>
        <v>2.7854169643387614</v>
      </c>
      <c r="H193" s="262">
        <f t="shared" ref="H193:H199" si="62">+F193*1000000/E193</f>
        <v>85.41945357305535</v>
      </c>
      <c r="I193" s="479">
        <f t="shared" si="60"/>
        <v>1.4855557143140061</v>
      </c>
      <c r="J193" s="63">
        <v>1</v>
      </c>
      <c r="K193" s="9">
        <f t="shared" si="61"/>
        <v>0.33333333333333331</v>
      </c>
    </row>
    <row r="194" spans="1:11">
      <c r="A194" s="8">
        <v>2004</v>
      </c>
      <c r="B194">
        <v>13</v>
      </c>
      <c r="C194">
        <v>7</v>
      </c>
      <c r="D194">
        <v>7</v>
      </c>
      <c r="E194">
        <v>1115269.55</v>
      </c>
      <c r="F194">
        <v>276</v>
      </c>
      <c r="G194" s="479">
        <f t="shared" si="59"/>
        <v>6.2765095666782971</v>
      </c>
      <c r="H194" s="262">
        <f t="shared" si="62"/>
        <v>247.47380577188716</v>
      </c>
      <c r="I194" s="479">
        <f t="shared" si="60"/>
        <v>2.3312749819090817</v>
      </c>
      <c r="J194" s="63">
        <v>3</v>
      </c>
      <c r="K194" s="9">
        <f t="shared" si="61"/>
        <v>0.42857142857142855</v>
      </c>
    </row>
    <row r="195" spans="1:11">
      <c r="A195" s="8">
        <v>2005</v>
      </c>
      <c r="B195">
        <v>7</v>
      </c>
      <c r="C195">
        <v>3</v>
      </c>
      <c r="D195">
        <v>3</v>
      </c>
      <c r="E195">
        <v>1134509.53</v>
      </c>
      <c r="F195">
        <v>33</v>
      </c>
      <c r="G195" s="479">
        <f t="shared" si="59"/>
        <v>2.6443144995000614</v>
      </c>
      <c r="H195" s="262">
        <f t="shared" si="62"/>
        <v>29.087459494500674</v>
      </c>
      <c r="I195" s="479">
        <f t="shared" si="60"/>
        <v>1.2340134331000288</v>
      </c>
      <c r="J195" s="63">
        <v>0</v>
      </c>
      <c r="K195" s="9">
        <f t="shared" si="61"/>
        <v>0</v>
      </c>
    </row>
    <row r="196" spans="1:11">
      <c r="A196" s="8">
        <v>2006</v>
      </c>
      <c r="B196">
        <v>13</v>
      </c>
      <c r="C196">
        <v>8</v>
      </c>
      <c r="D196">
        <v>8</v>
      </c>
      <c r="E196">
        <v>1197578.1599999999</v>
      </c>
      <c r="F196">
        <v>213</v>
      </c>
      <c r="G196" s="479">
        <f t="shared" si="59"/>
        <v>6.6801485424550497</v>
      </c>
      <c r="H196" s="262">
        <f t="shared" si="62"/>
        <v>177.85895494286569</v>
      </c>
      <c r="I196" s="479">
        <f t="shared" si="60"/>
        <v>2.1710482762978911</v>
      </c>
      <c r="J196" s="63">
        <v>4</v>
      </c>
      <c r="K196" s="9">
        <f t="shared" si="61"/>
        <v>0.5</v>
      </c>
    </row>
    <row r="197" spans="1:11">
      <c r="A197" s="8">
        <v>2007</v>
      </c>
      <c r="B197">
        <v>14</v>
      </c>
      <c r="C197">
        <v>8</v>
      </c>
      <c r="D197">
        <v>4</v>
      </c>
      <c r="E197">
        <v>1231551.1100000001</v>
      </c>
      <c r="F197">
        <v>40</v>
      </c>
      <c r="G197" s="479">
        <f t="shared" si="59"/>
        <v>6.4958733218956697</v>
      </c>
      <c r="H197" s="262">
        <f t="shared" si="62"/>
        <v>32.479366609478348</v>
      </c>
      <c r="I197" s="479">
        <f t="shared" si="60"/>
        <v>2.2735556626634845</v>
      </c>
      <c r="J197" s="63">
        <v>5</v>
      </c>
      <c r="K197" s="9">
        <f t="shared" si="61"/>
        <v>0.625</v>
      </c>
    </row>
    <row r="198" spans="1:11">
      <c r="A198" s="8">
        <v>2008</v>
      </c>
      <c r="B198">
        <v>22</v>
      </c>
      <c r="C198">
        <v>15</v>
      </c>
      <c r="D198">
        <v>12</v>
      </c>
      <c r="E198">
        <v>1262787.6100000001</v>
      </c>
      <c r="F198">
        <v>208</v>
      </c>
      <c r="G198" s="479">
        <f t="shared" si="59"/>
        <v>11.878482082984643</v>
      </c>
      <c r="H198" s="262">
        <f t="shared" si="62"/>
        <v>164.71495155072037</v>
      </c>
      <c r="I198" s="479">
        <f t="shared" si="60"/>
        <v>3.4843547443421619</v>
      </c>
      <c r="J198" s="63">
        <v>5</v>
      </c>
      <c r="K198" s="9">
        <f t="shared" si="61"/>
        <v>0.33333333333333331</v>
      </c>
    </row>
    <row r="199" spans="1:11">
      <c r="A199" s="8">
        <v>2009</v>
      </c>
      <c r="B199">
        <v>16</v>
      </c>
      <c r="C199">
        <v>7</v>
      </c>
      <c r="D199">
        <v>7</v>
      </c>
      <c r="E199">
        <v>1256821.24</v>
      </c>
      <c r="F199">
        <v>6086</v>
      </c>
      <c r="G199" s="479">
        <f t="shared" si="59"/>
        <v>5.5696067007906391</v>
      </c>
      <c r="H199" s="262">
        <f t="shared" si="62"/>
        <v>4842.3751972874043</v>
      </c>
      <c r="I199" s="479">
        <f t="shared" si="60"/>
        <v>2.5461059203614349</v>
      </c>
      <c r="J199" s="63">
        <v>3</v>
      </c>
      <c r="K199" s="9">
        <f t="shared" si="61"/>
        <v>0.42857142857142855</v>
      </c>
    </row>
    <row r="200" spans="1:11">
      <c r="A200" s="8">
        <v>2010</v>
      </c>
      <c r="B200" s="281">
        <f>+'NVO IOM'!F102</f>
        <v>0</v>
      </c>
      <c r="C200" s="281">
        <f>+'NVO IOM'!C102+'NVO IOM'!D102</f>
        <v>0</v>
      </c>
      <c r="D200" s="281">
        <f>+'NVO IOM'!C102</f>
        <v>0</v>
      </c>
      <c r="E200" s="10">
        <v>1375062</v>
      </c>
      <c r="F200" s="281">
        <f>+'NVO IOM'!H102</f>
        <v>0</v>
      </c>
      <c r="G200" s="479">
        <f>+'NVO IOM'!J102</f>
        <v>0</v>
      </c>
      <c r="H200" s="262">
        <f>+'NVO IOM'!K102</f>
        <v>0</v>
      </c>
      <c r="I200" s="479">
        <f>+'NVO IOM'!L102</f>
        <v>0</v>
      </c>
      <c r="J200" s="130">
        <v>3</v>
      </c>
      <c r="K200" s="9" t="e">
        <f t="shared" si="61"/>
        <v>#DIV/0!</v>
      </c>
    </row>
    <row r="201" spans="1:11">
      <c r="A201" s="8">
        <v>2011</v>
      </c>
      <c r="B201" s="357">
        <f>+INDICADORES!P21+INDICADORES!Q21+INDICADORES!R21</f>
        <v>1</v>
      </c>
      <c r="C201" s="357">
        <f>+INDICADORES!P21+INDICADORES!Q21</f>
        <v>0</v>
      </c>
      <c r="D201" s="357">
        <f>+INDICADORES!P21</f>
        <v>0</v>
      </c>
      <c r="E201" s="357">
        <f>+INDICADORES!M21</f>
        <v>108460.76</v>
      </c>
      <c r="F201" s="357">
        <f>+INDICADORES!S21</f>
        <v>0</v>
      </c>
      <c r="G201" s="479">
        <f>+INDICADORES!H21</f>
        <v>4.7651675401933549</v>
      </c>
      <c r="H201" s="262">
        <f>+INDICADORES!U21</f>
        <v>1.8439848660474074</v>
      </c>
      <c r="I201" s="479" t="e">
        <f>+INDICADORES!#REF!</f>
        <v>#REF!</v>
      </c>
      <c r="J201" s="497">
        <v>0</v>
      </c>
      <c r="K201" s="9" t="e">
        <f t="shared" si="61"/>
        <v>#DIV/0!</v>
      </c>
    </row>
  </sheetData>
  <mergeCells count="6">
    <mergeCell ref="N1:S1"/>
    <mergeCell ref="B1:L1"/>
    <mergeCell ref="AL43:AL44"/>
    <mergeCell ref="AL52:AL53"/>
    <mergeCell ref="AL35:AL39"/>
    <mergeCell ref="AL30:AL34"/>
  </mergeCells>
  <phoneticPr fontId="44" type="noConversion"/>
  <pageMargins left="0.75" right="0.75" top="1" bottom="1" header="0" footer="0"/>
  <pageSetup paperSize="9" scale="83" orientation="portrait" r:id="rId1"/>
  <headerFooter alignWithMargins="0"/>
  <rowBreaks count="1" manualBreakCount="1">
    <brk id="53" max="16383" man="1"/>
  </rowBreaks>
  <colBreaks count="1" manualBreakCount="1">
    <brk id="37" max="1048575" man="1"/>
  </colBreaks>
  <customProperties>
    <customPr name="_pios_id" r:id="rId2"/>
  </customProperties>
  <ignoredErrors>
    <ignoredError sqref="R17:U17 Q17" formulaRange="1"/>
  </ignoredError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4"/>
  <dimension ref="A1:Y37"/>
  <sheetViews>
    <sheetView workbookViewId="0">
      <selection activeCell="H32" sqref="H32"/>
    </sheetView>
  </sheetViews>
  <sheetFormatPr baseColWidth="10" defaultColWidth="11.44140625" defaultRowHeight="13.2"/>
  <cols>
    <col min="1" max="1" width="21.5546875" bestFit="1" customWidth="1"/>
    <col min="2" max="4" width="11.44140625" style="9"/>
    <col min="5" max="5" width="13.44140625" style="8" customWidth="1"/>
    <col min="6" max="6" width="16.5546875" customWidth="1"/>
    <col min="9" max="9" width="19" customWidth="1"/>
    <col min="10" max="21" width="11.44140625" style="53"/>
    <col min="29" max="29" width="12.44140625" customWidth="1"/>
  </cols>
  <sheetData>
    <row r="1" spans="1:25">
      <c r="A1" s="261" t="s">
        <v>279</v>
      </c>
      <c r="B1" s="257" t="s">
        <v>9</v>
      </c>
      <c r="C1" s="257" t="s">
        <v>10</v>
      </c>
      <c r="D1" s="257" t="s">
        <v>11</v>
      </c>
      <c r="E1" s="256" t="s">
        <v>12</v>
      </c>
      <c r="I1" s="150" t="s">
        <v>277</v>
      </c>
      <c r="J1" s="53" t="s">
        <v>102</v>
      </c>
      <c r="K1" s="53" t="s">
        <v>103</v>
      </c>
      <c r="L1" s="53" t="s">
        <v>104</v>
      </c>
      <c r="M1" s="53" t="s">
        <v>105</v>
      </c>
      <c r="N1" s="53" t="s">
        <v>106</v>
      </c>
      <c r="O1" s="53" t="s">
        <v>107</v>
      </c>
      <c r="P1" s="53" t="s">
        <v>108</v>
      </c>
      <c r="Q1" s="53" t="s">
        <v>109</v>
      </c>
      <c r="R1" s="53" t="s">
        <v>110</v>
      </c>
      <c r="S1" s="53" t="s">
        <v>111</v>
      </c>
      <c r="T1" s="53" t="s">
        <v>112</v>
      </c>
      <c r="U1" s="53" t="s">
        <v>113</v>
      </c>
    </row>
    <row r="2" spans="1:25">
      <c r="A2" s="136" t="s">
        <v>281</v>
      </c>
      <c r="B2" s="202">
        <v>0.78</v>
      </c>
      <c r="C2" s="202">
        <v>0.82</v>
      </c>
      <c r="D2" s="202">
        <v>0.88</v>
      </c>
      <c r="E2" s="258">
        <v>0.8</v>
      </c>
      <c r="I2" t="s">
        <v>9</v>
      </c>
      <c r="J2" s="53">
        <v>0.59</v>
      </c>
      <c r="K2" s="53">
        <v>0.79</v>
      </c>
      <c r="L2" s="53">
        <v>0.82</v>
      </c>
      <c r="M2" s="53">
        <v>0.54</v>
      </c>
      <c r="N2" s="53">
        <v>0.77</v>
      </c>
      <c r="O2" s="53">
        <v>0.87</v>
      </c>
      <c r="P2" s="53">
        <v>0.96</v>
      </c>
      <c r="Q2" s="53">
        <v>0.75</v>
      </c>
      <c r="R2" s="53">
        <v>0.83</v>
      </c>
      <c r="V2">
        <v>620</v>
      </c>
      <c r="W2">
        <v>137</v>
      </c>
    </row>
    <row r="3" spans="1:25">
      <c r="A3" s="136" t="s">
        <v>319</v>
      </c>
      <c r="B3" s="202">
        <v>0.82</v>
      </c>
      <c r="C3" s="202">
        <v>0.93</v>
      </c>
      <c r="D3" s="202">
        <v>0.89</v>
      </c>
      <c r="E3" s="258">
        <v>0.84</v>
      </c>
      <c r="I3" t="s">
        <v>10</v>
      </c>
      <c r="J3" s="53">
        <v>0.53</v>
      </c>
      <c r="K3" s="53">
        <v>0.59</v>
      </c>
      <c r="L3" s="53">
        <v>0.72</v>
      </c>
      <c r="M3" s="53">
        <v>0.86</v>
      </c>
      <c r="N3" s="53">
        <v>0.76</v>
      </c>
      <c r="O3" s="53">
        <v>0.75</v>
      </c>
      <c r="P3" s="53">
        <v>0.85</v>
      </c>
      <c r="Q3" s="53">
        <v>0.8</v>
      </c>
      <c r="R3" s="53">
        <v>0.8</v>
      </c>
      <c r="V3">
        <v>122</v>
      </c>
      <c r="W3">
        <v>21</v>
      </c>
    </row>
    <row r="4" spans="1:25">
      <c r="A4" s="136" t="s">
        <v>276</v>
      </c>
      <c r="B4" s="202">
        <v>0.94</v>
      </c>
      <c r="C4" s="202">
        <v>0.98</v>
      </c>
      <c r="D4" s="202">
        <v>0.94</v>
      </c>
      <c r="E4" s="258">
        <v>0.95</v>
      </c>
      <c r="I4" t="s">
        <v>11</v>
      </c>
      <c r="J4" s="53">
        <v>0.56999999999999995</v>
      </c>
      <c r="K4" s="53">
        <v>0.96</v>
      </c>
      <c r="L4" s="53">
        <v>0.95</v>
      </c>
      <c r="M4" s="53">
        <v>0.78</v>
      </c>
      <c r="N4" s="53">
        <v>0.76</v>
      </c>
      <c r="O4" s="53">
        <v>0.8</v>
      </c>
      <c r="P4" s="53">
        <v>0.97</v>
      </c>
      <c r="Q4" s="53">
        <v>0.8</v>
      </c>
      <c r="R4" s="53">
        <v>0.88</v>
      </c>
      <c r="V4">
        <v>118</v>
      </c>
      <c r="W4">
        <v>14</v>
      </c>
    </row>
    <row r="5" spans="1:25">
      <c r="A5" s="136" t="s">
        <v>275</v>
      </c>
      <c r="B5" s="202">
        <v>0.92</v>
      </c>
      <c r="C5" s="202">
        <v>0.83</v>
      </c>
      <c r="D5" s="202">
        <v>0.85</v>
      </c>
      <c r="E5" s="258">
        <v>0.87</v>
      </c>
      <c r="F5" t="s">
        <v>323</v>
      </c>
      <c r="I5" s="150" t="s">
        <v>318</v>
      </c>
      <c r="V5">
        <f>SUM(V2:V4)</f>
        <v>860</v>
      </c>
      <c r="W5">
        <f>SUM(W2:W4)</f>
        <v>172</v>
      </c>
      <c r="X5">
        <f>+V5-W5</f>
        <v>688</v>
      </c>
      <c r="Y5" s="186">
        <f>+X5/V5</f>
        <v>0.8</v>
      </c>
    </row>
    <row r="6" spans="1:25">
      <c r="A6" s="136" t="s">
        <v>280</v>
      </c>
      <c r="B6" s="202"/>
      <c r="C6" s="202"/>
      <c r="D6" s="202"/>
      <c r="E6" s="258"/>
      <c r="I6" t="s">
        <v>9</v>
      </c>
      <c r="J6" s="53">
        <v>0.67</v>
      </c>
      <c r="K6" s="53">
        <v>1</v>
      </c>
      <c r="L6" s="53">
        <v>1</v>
      </c>
      <c r="M6" s="53">
        <v>0.38</v>
      </c>
      <c r="N6" s="53">
        <v>0.6</v>
      </c>
      <c r="O6" s="53">
        <v>1</v>
      </c>
      <c r="P6" s="53">
        <v>1</v>
      </c>
      <c r="Q6" s="53">
        <v>0.8</v>
      </c>
      <c r="R6" s="53">
        <v>1</v>
      </c>
    </row>
    <row r="7" spans="1:25">
      <c r="A7" s="264"/>
      <c r="I7" t="s">
        <v>10</v>
      </c>
      <c r="J7" s="53">
        <v>0.53</v>
      </c>
      <c r="K7" s="53">
        <v>0.59</v>
      </c>
      <c r="L7" s="53">
        <v>0.71</v>
      </c>
      <c r="M7" s="53">
        <v>0.6</v>
      </c>
      <c r="N7" s="53">
        <v>0.6</v>
      </c>
      <c r="O7" s="53">
        <v>0.83</v>
      </c>
      <c r="P7" s="53">
        <v>0.8</v>
      </c>
      <c r="Q7" s="53">
        <v>1</v>
      </c>
      <c r="R7" s="53">
        <v>1</v>
      </c>
    </row>
    <row r="8" spans="1:25">
      <c r="B8" s="259"/>
      <c r="C8" s="63"/>
      <c r="D8" s="8"/>
      <c r="F8" s="9"/>
      <c r="I8" t="s">
        <v>11</v>
      </c>
      <c r="J8" s="53">
        <v>1</v>
      </c>
      <c r="K8" s="53">
        <v>1</v>
      </c>
      <c r="L8" s="53">
        <v>1</v>
      </c>
      <c r="M8" s="53">
        <v>1</v>
      </c>
      <c r="N8" s="53">
        <v>0.67</v>
      </c>
      <c r="O8" s="53">
        <v>1</v>
      </c>
      <c r="P8" s="53">
        <v>1</v>
      </c>
      <c r="Q8" s="53">
        <v>0.67</v>
      </c>
      <c r="R8" s="53">
        <v>0.89</v>
      </c>
    </row>
    <row r="9" spans="1:25">
      <c r="B9" s="259"/>
      <c r="C9" s="259"/>
      <c r="D9" s="259"/>
      <c r="F9" s="9"/>
      <c r="I9" s="150" t="s">
        <v>278</v>
      </c>
    </row>
    <row r="10" spans="1:25">
      <c r="B10" s="259"/>
      <c r="C10" s="259"/>
      <c r="D10" s="259"/>
      <c r="E10" s="259"/>
      <c r="F10" s="9"/>
      <c r="I10" t="s">
        <v>9</v>
      </c>
      <c r="J10" s="53">
        <v>0.83333333333333337</v>
      </c>
      <c r="K10" s="53">
        <v>0.95294117647058818</v>
      </c>
      <c r="L10" s="53">
        <v>1</v>
      </c>
      <c r="M10" s="53">
        <v>0.87</v>
      </c>
      <c r="N10" s="53">
        <v>0.8</v>
      </c>
      <c r="O10" s="53">
        <v>0.91</v>
      </c>
      <c r="P10" s="53">
        <v>1</v>
      </c>
      <c r="Q10" s="53">
        <v>0.97</v>
      </c>
      <c r="R10" s="53">
        <v>0.96</v>
      </c>
    </row>
    <row r="11" spans="1:25">
      <c r="B11" s="151"/>
      <c r="C11" s="151"/>
      <c r="D11" s="151"/>
      <c r="E11" s="151"/>
      <c r="F11" s="9"/>
      <c r="I11" t="s">
        <v>10</v>
      </c>
      <c r="J11" s="53">
        <v>1</v>
      </c>
      <c r="K11" s="53">
        <v>0.97435897435897434</v>
      </c>
      <c r="L11" s="53">
        <v>0.97674418604651159</v>
      </c>
      <c r="M11" s="53">
        <v>1</v>
      </c>
      <c r="N11" s="53">
        <v>0.98</v>
      </c>
      <c r="O11" s="53">
        <v>1</v>
      </c>
      <c r="P11" s="53">
        <v>0.98</v>
      </c>
      <c r="Q11" s="53">
        <v>1</v>
      </c>
      <c r="R11" s="53">
        <v>1</v>
      </c>
    </row>
    <row r="12" spans="1:25">
      <c r="B12" s="259"/>
      <c r="C12" s="259"/>
      <c r="D12" s="259"/>
      <c r="E12" s="259"/>
      <c r="I12" t="s">
        <v>11</v>
      </c>
      <c r="J12" s="53">
        <v>0.83582089552238803</v>
      </c>
      <c r="K12" s="53">
        <v>0.96</v>
      </c>
      <c r="L12" s="53">
        <v>0.90625</v>
      </c>
      <c r="M12" s="53">
        <v>0.91803278688524592</v>
      </c>
      <c r="N12" s="53">
        <v>0.99</v>
      </c>
      <c r="O12" s="53">
        <v>0.87</v>
      </c>
      <c r="P12" s="53">
        <v>0.85</v>
      </c>
      <c r="Q12" s="53">
        <v>1</v>
      </c>
      <c r="R12" s="53">
        <v>1</v>
      </c>
    </row>
    <row r="13" spans="1:25">
      <c r="I13" s="150" t="s">
        <v>292</v>
      </c>
    </row>
    <row r="14" spans="1:25">
      <c r="B14" s="63"/>
      <c r="C14" s="63"/>
      <c r="D14" s="63"/>
      <c r="I14" t="s">
        <v>9</v>
      </c>
      <c r="J14" s="53">
        <v>0.66</v>
      </c>
      <c r="K14" s="53">
        <v>0.19</v>
      </c>
      <c r="L14" s="53">
        <v>0.27</v>
      </c>
      <c r="M14" s="53">
        <v>0.21</v>
      </c>
      <c r="N14" s="53">
        <v>0.19</v>
      </c>
      <c r="O14" s="53">
        <v>0.12</v>
      </c>
    </row>
    <row r="15" spans="1:25">
      <c r="B15" s="260"/>
      <c r="C15" s="63"/>
      <c r="D15" s="260"/>
      <c r="I15" t="s">
        <v>10</v>
      </c>
      <c r="J15" s="53">
        <v>0.55000000000000004</v>
      </c>
      <c r="K15" s="53">
        <v>0.53</v>
      </c>
      <c r="L15" s="53">
        <v>0.33</v>
      </c>
      <c r="M15" s="53">
        <v>0.38</v>
      </c>
      <c r="N15" s="53">
        <v>0.37</v>
      </c>
      <c r="O15" s="53">
        <v>0.17</v>
      </c>
      <c r="P15" s="53">
        <v>0.42</v>
      </c>
      <c r="Q15" s="53">
        <v>0.15</v>
      </c>
    </row>
    <row r="16" spans="1:25">
      <c r="B16" s="63"/>
      <c r="C16" s="63"/>
      <c r="I16" t="s">
        <v>11</v>
      </c>
      <c r="J16" s="53">
        <v>0.11</v>
      </c>
      <c r="K16" s="53">
        <v>0.24</v>
      </c>
      <c r="L16" s="53">
        <v>0.38</v>
      </c>
      <c r="M16" s="53">
        <v>0.24</v>
      </c>
      <c r="N16" s="53">
        <v>0.2</v>
      </c>
      <c r="O16" s="53">
        <v>0.31</v>
      </c>
    </row>
    <row r="17" spans="2:18">
      <c r="B17" s="63"/>
      <c r="C17" s="63"/>
      <c r="I17" s="150" t="s">
        <v>320</v>
      </c>
    </row>
    <row r="18" spans="2:18">
      <c r="B18" s="63"/>
      <c r="C18" s="63"/>
      <c r="I18" t="s">
        <v>9</v>
      </c>
      <c r="J18" s="53">
        <v>0.5</v>
      </c>
      <c r="K18" s="53">
        <v>0.83</v>
      </c>
      <c r="L18" s="53">
        <v>0.83</v>
      </c>
      <c r="M18" s="53">
        <v>0.74</v>
      </c>
      <c r="N18" s="53">
        <v>0.88</v>
      </c>
      <c r="O18" s="53">
        <v>0.86</v>
      </c>
      <c r="P18" s="53">
        <v>0.9</v>
      </c>
      <c r="Q18" s="53">
        <v>0.87</v>
      </c>
      <c r="R18" s="53">
        <v>0.90200000000000002</v>
      </c>
    </row>
    <row r="19" spans="2:18">
      <c r="B19" s="63"/>
      <c r="C19" s="63"/>
      <c r="I19" t="s">
        <v>10</v>
      </c>
      <c r="J19" s="53">
        <v>0.8</v>
      </c>
      <c r="K19" s="53">
        <v>0.8</v>
      </c>
      <c r="L19" s="53">
        <v>0.94</v>
      </c>
      <c r="M19" s="53">
        <v>0.96</v>
      </c>
      <c r="N19" s="53">
        <v>0.93</v>
      </c>
      <c r="O19" s="53">
        <v>0.94</v>
      </c>
      <c r="P19" s="53">
        <v>0.91</v>
      </c>
      <c r="Q19" s="53">
        <v>0.88</v>
      </c>
      <c r="R19" s="53">
        <v>0.80430000000000001</v>
      </c>
    </row>
    <row r="20" spans="2:18">
      <c r="B20" s="63"/>
      <c r="C20" s="63"/>
      <c r="I20" t="s">
        <v>11</v>
      </c>
      <c r="J20" s="53">
        <v>1</v>
      </c>
      <c r="K20" s="53">
        <v>0.9</v>
      </c>
      <c r="L20" s="53">
        <v>0.94</v>
      </c>
      <c r="M20" s="53">
        <v>0.81</v>
      </c>
      <c r="N20" s="53">
        <v>0.73</v>
      </c>
      <c r="O20" s="53">
        <v>0.85</v>
      </c>
      <c r="P20" s="53">
        <v>0.87</v>
      </c>
      <c r="Q20" s="53">
        <v>0.85</v>
      </c>
      <c r="R20" s="53">
        <v>0.82609999999999995</v>
      </c>
    </row>
    <row r="21" spans="2:18">
      <c r="B21" s="63"/>
      <c r="C21" s="63"/>
    </row>
    <row r="36" spans="9:10">
      <c r="I36" s="263"/>
      <c r="J36" s="263"/>
    </row>
    <row r="37" spans="9:10">
      <c r="I37" s="10"/>
      <c r="J37" s="10"/>
    </row>
  </sheetData>
  <phoneticPr fontId="44" type="noConversion"/>
  <pageMargins left="0.75" right="0.75" top="1" bottom="1" header="0" footer="0"/>
  <pageSetup paperSize="9" orientation="portrait" r:id="rId1"/>
  <headerFooter alignWithMargins="0"/>
  <customProperties>
    <customPr name="_pios_id" r:id="rId2"/>
  </customProperties>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15">
    <tabColor theme="4" tint="0.79998168889431442"/>
  </sheetPr>
  <dimension ref="A1:EL273"/>
  <sheetViews>
    <sheetView showGridLines="0" zoomScale="85" zoomScaleNormal="85" workbookViewId="0">
      <selection activeCell="A3" sqref="A3"/>
    </sheetView>
  </sheetViews>
  <sheetFormatPr baseColWidth="10" defaultColWidth="11.44140625" defaultRowHeight="13.2"/>
  <cols>
    <col min="1" max="1" width="25.44140625" style="8" customWidth="1"/>
    <col min="2" max="2" width="7.5546875" customWidth="1"/>
    <col min="3" max="4" width="9.5546875" bestFit="1" customWidth="1"/>
    <col min="5" max="8" width="7.5546875" customWidth="1"/>
    <col min="9" max="9" width="9" customWidth="1"/>
    <col min="10" max="13" width="7.5546875" customWidth="1"/>
    <col min="14" max="14" width="11" customWidth="1"/>
    <col min="15" max="16" width="7.44140625" style="8" bestFit="1" customWidth="1"/>
    <col min="17" max="17" width="8.44140625" style="8" customWidth="1"/>
    <col min="18" max="18" width="9.44140625" style="8" customWidth="1"/>
    <col min="19" max="19" width="8.5546875" style="8" customWidth="1"/>
    <col min="20" max="20" width="8.44140625" style="8" customWidth="1"/>
    <col min="21" max="21" width="7.44140625" style="8" customWidth="1"/>
    <col min="22" max="22" width="7.5546875" style="8" customWidth="1"/>
    <col min="23" max="23" width="9" style="8" customWidth="1"/>
    <col min="24" max="24" width="9.77734375" style="8" customWidth="1"/>
    <col min="25" max="25" width="7.77734375" style="8" bestFit="1" customWidth="1"/>
    <col min="26" max="26" width="8.5546875" style="8" customWidth="1"/>
    <col min="27" max="27" width="10.5546875" bestFit="1" customWidth="1"/>
    <col min="28" max="28" width="41.5546875" bestFit="1" customWidth="1"/>
    <col min="29" max="29" width="18.5546875" customWidth="1"/>
    <col min="32" max="32" width="20.77734375" customWidth="1"/>
    <col min="33" max="33" width="12.5546875" customWidth="1"/>
    <col min="34" max="34" width="12.5546875" bestFit="1" customWidth="1"/>
    <col min="35" max="35" width="8.44140625" bestFit="1" customWidth="1"/>
    <col min="36" max="36" width="10.5546875" bestFit="1" customWidth="1"/>
    <col min="37" max="37" width="29.44140625" customWidth="1"/>
    <col min="38" max="38" width="31.77734375" customWidth="1"/>
    <col min="40" max="40" width="12.77734375" style="8" customWidth="1"/>
    <col min="41" max="41" width="12" bestFit="1" customWidth="1"/>
    <col min="48" max="49" width="13.5546875" bestFit="1" customWidth="1"/>
    <col min="50" max="53" width="13.5546875" customWidth="1"/>
    <col min="54" max="54" width="77.77734375" bestFit="1" customWidth="1"/>
  </cols>
  <sheetData>
    <row r="1" spans="1:142">
      <c r="B1" s="3279" t="s">
        <v>582</v>
      </c>
      <c r="C1" s="3251"/>
      <c r="D1" s="3251"/>
      <c r="E1" s="3251"/>
      <c r="F1" s="3251"/>
      <c r="G1" s="3251"/>
      <c r="H1" s="3251"/>
      <c r="I1" s="3251"/>
      <c r="J1" s="3251"/>
      <c r="K1" s="3251"/>
      <c r="L1" s="3251"/>
      <c r="M1" s="3251"/>
      <c r="O1" s="3279" t="s">
        <v>583</v>
      </c>
      <c r="P1" s="3251"/>
      <c r="Q1" s="3251"/>
      <c r="R1" s="3251"/>
      <c r="S1" s="3251"/>
      <c r="T1" s="3251"/>
      <c r="U1" s="3251"/>
      <c r="V1" s="3251"/>
      <c r="W1" s="3251"/>
      <c r="X1" s="3251"/>
      <c r="Y1" s="3251"/>
      <c r="Z1" s="3251"/>
      <c r="AA1" s="242"/>
      <c r="AB1" s="242"/>
    </row>
    <row r="2" spans="1:142" ht="13.8" thickBot="1">
      <c r="A2" s="950" t="s">
        <v>580</v>
      </c>
      <c r="B2" s="267" t="s">
        <v>298</v>
      </c>
      <c r="C2" s="267" t="s">
        <v>103</v>
      </c>
      <c r="D2" s="267" t="s">
        <v>104</v>
      </c>
      <c r="E2" s="267" t="s">
        <v>105</v>
      </c>
      <c r="F2" s="267" t="s">
        <v>106</v>
      </c>
      <c r="G2" s="267" t="s">
        <v>107</v>
      </c>
      <c r="H2" s="267" t="s">
        <v>108</v>
      </c>
      <c r="I2" s="267" t="s">
        <v>109</v>
      </c>
      <c r="J2" s="1068" t="s">
        <v>544</v>
      </c>
      <c r="K2" s="267" t="s">
        <v>111</v>
      </c>
      <c r="L2" s="267" t="s">
        <v>112</v>
      </c>
      <c r="M2" s="267" t="s">
        <v>113</v>
      </c>
      <c r="O2" s="267" t="s">
        <v>298</v>
      </c>
      <c r="P2" s="267" t="s">
        <v>103</v>
      </c>
      <c r="Q2" s="267" t="s">
        <v>104</v>
      </c>
      <c r="R2" s="267" t="s">
        <v>105</v>
      </c>
      <c r="S2" s="267" t="s">
        <v>106</v>
      </c>
      <c r="T2" s="267" t="s">
        <v>107</v>
      </c>
      <c r="U2" s="267" t="s">
        <v>108</v>
      </c>
      <c r="V2" s="267" t="s">
        <v>109</v>
      </c>
      <c r="W2" s="1068" t="s">
        <v>544</v>
      </c>
      <c r="X2" s="267" t="s">
        <v>111</v>
      </c>
      <c r="Y2" s="267" t="s">
        <v>112</v>
      </c>
      <c r="Z2" s="267" t="s">
        <v>113</v>
      </c>
      <c r="AA2" s="242"/>
      <c r="AB2" s="242"/>
      <c r="AE2" s="3251" t="s">
        <v>689</v>
      </c>
      <c r="AF2" s="3251"/>
      <c r="AG2" s="3251"/>
      <c r="AH2" s="3251" t="s">
        <v>5946</v>
      </c>
      <c r="AI2" s="3251"/>
      <c r="AJ2" s="3280"/>
      <c r="AK2" s="3270" t="s">
        <v>5262</v>
      </c>
      <c r="AL2" s="3270"/>
      <c r="AM2" s="3270"/>
      <c r="AN2" s="3270"/>
      <c r="AO2" s="3269" t="s">
        <v>5263</v>
      </c>
      <c r="AP2" s="3269"/>
      <c r="AQ2" s="3269"/>
      <c r="AR2" s="3269" t="s">
        <v>5024</v>
      </c>
      <c r="AS2" s="3269"/>
      <c r="AT2" s="3269"/>
      <c r="AU2" s="3269" t="s">
        <v>55</v>
      </c>
      <c r="AV2" s="3269"/>
      <c r="AW2" s="3269"/>
      <c r="AX2" s="3271" t="s">
        <v>4342</v>
      </c>
      <c r="AY2" s="3272"/>
      <c r="AZ2" s="3273"/>
      <c r="BA2" s="1986" t="s">
        <v>5264</v>
      </c>
    </row>
    <row r="3" spans="1:142">
      <c r="A3" s="8">
        <v>2009</v>
      </c>
      <c r="B3" s="8">
        <v>8</v>
      </c>
      <c r="C3" s="8">
        <v>4</v>
      </c>
      <c r="D3" s="8">
        <v>2</v>
      </c>
      <c r="E3" s="8">
        <v>3</v>
      </c>
      <c r="F3" s="8">
        <v>6</v>
      </c>
      <c r="G3" s="8">
        <v>5</v>
      </c>
      <c r="H3" s="8">
        <v>3</v>
      </c>
      <c r="I3" s="8">
        <v>5</v>
      </c>
      <c r="J3" s="8">
        <v>2</v>
      </c>
      <c r="K3" s="8">
        <v>6</v>
      </c>
      <c r="L3" s="8">
        <v>5</v>
      </c>
      <c r="M3" s="8">
        <v>3</v>
      </c>
      <c r="O3" s="8">
        <f t="shared" ref="O3:O12" si="0">+B3</f>
        <v>8</v>
      </c>
      <c r="P3" s="8">
        <f t="shared" ref="P3:P12" si="1">+O3+C3</f>
        <v>12</v>
      </c>
      <c r="Q3" s="8">
        <f t="shared" ref="Q3:Z3" si="2">+P3+D3</f>
        <v>14</v>
      </c>
      <c r="R3" s="8">
        <f t="shared" si="2"/>
        <v>17</v>
      </c>
      <c r="S3" s="8">
        <f t="shared" si="2"/>
        <v>23</v>
      </c>
      <c r="T3" s="8">
        <f t="shared" si="2"/>
        <v>28</v>
      </c>
      <c r="U3" s="8">
        <f t="shared" si="2"/>
        <v>31</v>
      </c>
      <c r="V3" s="8">
        <f t="shared" si="2"/>
        <v>36</v>
      </c>
      <c r="W3" s="8">
        <f t="shared" si="2"/>
        <v>38</v>
      </c>
      <c r="X3" s="8">
        <f t="shared" si="2"/>
        <v>44</v>
      </c>
      <c r="Y3" s="8">
        <f t="shared" si="2"/>
        <v>49</v>
      </c>
      <c r="Z3" s="8">
        <f t="shared" si="2"/>
        <v>52</v>
      </c>
      <c r="AA3" s="242"/>
      <c r="AB3" s="242"/>
      <c r="AE3" s="8" t="s">
        <v>302</v>
      </c>
      <c r="AF3" s="8" t="s">
        <v>264</v>
      </c>
      <c r="AG3" s="8" t="s">
        <v>265</v>
      </c>
      <c r="AH3" s="8" t="s">
        <v>302</v>
      </c>
      <c r="AI3" s="8" t="s">
        <v>264</v>
      </c>
      <c r="AJ3" s="8" t="s">
        <v>265</v>
      </c>
      <c r="AK3" s="1985"/>
      <c r="AL3" s="1986" t="s">
        <v>302</v>
      </c>
      <c r="AM3" s="1986" t="s">
        <v>264</v>
      </c>
      <c r="AN3" s="1987" t="s">
        <v>265</v>
      </c>
      <c r="AO3" s="1987" t="s">
        <v>5244</v>
      </c>
      <c r="AP3" s="1987" t="s">
        <v>5245</v>
      </c>
      <c r="AQ3" s="1987" t="s">
        <v>5246</v>
      </c>
      <c r="AR3" s="1987" t="s">
        <v>302</v>
      </c>
      <c r="AS3" s="1987" t="s">
        <v>264</v>
      </c>
      <c r="AT3" s="1987" t="s">
        <v>265</v>
      </c>
      <c r="AU3" s="1987" t="s">
        <v>302</v>
      </c>
      <c r="AV3" s="1987" t="s">
        <v>264</v>
      </c>
      <c r="AW3" s="1987" t="s">
        <v>265</v>
      </c>
      <c r="AX3" s="1987" t="s">
        <v>302</v>
      </c>
      <c r="AY3" s="1987" t="s">
        <v>264</v>
      </c>
      <c r="AZ3" s="1987" t="s">
        <v>265</v>
      </c>
      <c r="BA3" s="1987" t="s">
        <v>6163</v>
      </c>
      <c r="EL3" s="242" t="s">
        <v>5528</v>
      </c>
    </row>
    <row r="4" spans="1:142">
      <c r="A4" s="675">
        <v>2010</v>
      </c>
      <c r="B4" s="8">
        <v>7</v>
      </c>
      <c r="C4" s="8">
        <v>4</v>
      </c>
      <c r="D4" s="8">
        <v>5</v>
      </c>
      <c r="E4" s="8">
        <v>5</v>
      </c>
      <c r="F4" s="8">
        <v>2</v>
      </c>
      <c r="G4" s="8">
        <v>5</v>
      </c>
      <c r="H4" s="8">
        <v>6</v>
      </c>
      <c r="I4" s="8">
        <v>8</v>
      </c>
      <c r="J4" s="8">
        <v>3</v>
      </c>
      <c r="K4" s="8">
        <v>8</v>
      </c>
      <c r="L4" s="8">
        <v>0</v>
      </c>
      <c r="M4" s="8">
        <v>6</v>
      </c>
      <c r="O4" s="8">
        <f t="shared" si="0"/>
        <v>7</v>
      </c>
      <c r="P4" s="8">
        <f t="shared" si="1"/>
        <v>11</v>
      </c>
      <c r="Q4" s="8">
        <f t="shared" ref="Q4:Z4" si="3">+P4+D4</f>
        <v>16</v>
      </c>
      <c r="R4" s="8">
        <f t="shared" si="3"/>
        <v>21</v>
      </c>
      <c r="S4" s="8">
        <f t="shared" si="3"/>
        <v>23</v>
      </c>
      <c r="T4" s="8">
        <f t="shared" si="3"/>
        <v>28</v>
      </c>
      <c r="U4" s="8">
        <f t="shared" si="3"/>
        <v>34</v>
      </c>
      <c r="V4" s="8">
        <f t="shared" si="3"/>
        <v>42</v>
      </c>
      <c r="W4" s="8">
        <f t="shared" si="3"/>
        <v>45</v>
      </c>
      <c r="X4" s="8">
        <f t="shared" si="3"/>
        <v>53</v>
      </c>
      <c r="Y4" s="8">
        <f t="shared" si="3"/>
        <v>53</v>
      </c>
      <c r="Z4" s="8">
        <f t="shared" si="3"/>
        <v>59</v>
      </c>
      <c r="AA4" s="242"/>
      <c r="AB4" s="242"/>
      <c r="AE4" s="358">
        <v>963455</v>
      </c>
      <c r="AF4" s="571">
        <v>4.1517247821641901</v>
      </c>
      <c r="AG4" s="63">
        <v>13.493105542033618</v>
      </c>
      <c r="AH4" s="358">
        <v>6972470</v>
      </c>
      <c r="AI4" s="1188">
        <v>5.1631631258363244</v>
      </c>
      <c r="AJ4" s="63">
        <v>159.77121450504629</v>
      </c>
      <c r="AK4" s="862">
        <v>2002</v>
      </c>
      <c r="AL4" s="1047">
        <v>6972470</v>
      </c>
      <c r="AM4" s="1048">
        <v>5.0999999999999996</v>
      </c>
      <c r="AN4" s="771">
        <v>159.77121450504629</v>
      </c>
      <c r="AO4" s="1048">
        <v>5.0999999999999996</v>
      </c>
      <c r="AP4" s="771">
        <v>159.77121450504629</v>
      </c>
      <c r="AQ4" s="1047">
        <v>6972470</v>
      </c>
      <c r="AR4" s="1047"/>
      <c r="AS4" s="1047"/>
      <c r="AT4" s="1047"/>
      <c r="AU4" s="1047">
        <f>+AL4+AR4</f>
        <v>6972470</v>
      </c>
      <c r="AV4" s="1048">
        <v>5.0999999999999996</v>
      </c>
      <c r="AW4" s="771">
        <v>159.77121450504629</v>
      </c>
      <c r="AX4" s="771"/>
      <c r="AY4" s="771"/>
      <c r="AZ4" s="771"/>
      <c r="BA4" s="771">
        <v>0</v>
      </c>
    </row>
    <row r="5" spans="1:142">
      <c r="A5" s="8">
        <v>2011</v>
      </c>
      <c r="B5" s="8">
        <v>5</v>
      </c>
      <c r="C5" s="8">
        <v>3</v>
      </c>
      <c r="D5" s="8">
        <v>6</v>
      </c>
      <c r="E5" s="8">
        <v>4</v>
      </c>
      <c r="F5" s="8">
        <v>5</v>
      </c>
      <c r="G5" s="8">
        <v>6</v>
      </c>
      <c r="H5" s="8">
        <v>9</v>
      </c>
      <c r="I5" s="8">
        <v>6</v>
      </c>
      <c r="J5" s="8">
        <v>4</v>
      </c>
      <c r="K5" s="8">
        <v>2</v>
      </c>
      <c r="L5" s="8">
        <v>3</v>
      </c>
      <c r="M5" s="8">
        <v>3</v>
      </c>
      <c r="O5" s="8">
        <f t="shared" si="0"/>
        <v>5</v>
      </c>
      <c r="P5" s="8">
        <f t="shared" si="1"/>
        <v>8</v>
      </c>
      <c r="Q5" s="8">
        <f t="shared" ref="Q5:Z5" si="4">+P5+D5</f>
        <v>14</v>
      </c>
      <c r="R5" s="8">
        <f t="shared" si="4"/>
        <v>18</v>
      </c>
      <c r="S5" s="8">
        <f t="shared" si="4"/>
        <v>23</v>
      </c>
      <c r="T5" s="8">
        <f t="shared" si="4"/>
        <v>29</v>
      </c>
      <c r="U5" s="8">
        <f t="shared" si="4"/>
        <v>38</v>
      </c>
      <c r="V5" s="8">
        <f t="shared" si="4"/>
        <v>44</v>
      </c>
      <c r="W5" s="8">
        <f t="shared" si="4"/>
        <v>48</v>
      </c>
      <c r="X5" s="8">
        <f t="shared" si="4"/>
        <v>50</v>
      </c>
      <c r="Y5" s="8">
        <f t="shared" si="4"/>
        <v>53</v>
      </c>
      <c r="Z5" s="8">
        <f t="shared" si="4"/>
        <v>56</v>
      </c>
      <c r="AA5" s="242"/>
      <c r="AB5" s="242"/>
      <c r="AE5" s="358">
        <v>1097057</v>
      </c>
      <c r="AF5" s="571">
        <v>3.6461186611087664</v>
      </c>
      <c r="AG5" s="63">
        <v>133.08333113046999</v>
      </c>
      <c r="AH5" s="358">
        <v>7479422</v>
      </c>
      <c r="AI5" s="1188">
        <v>3.0751039318278872</v>
      </c>
      <c r="AJ5" s="63">
        <v>109.5004400072626</v>
      </c>
      <c r="AK5" s="862">
        <v>2003</v>
      </c>
      <c r="AL5" s="1047">
        <v>8045968</v>
      </c>
      <c r="AM5" s="1048">
        <v>3.2</v>
      </c>
      <c r="AN5" s="771">
        <v>103.77868766070161</v>
      </c>
      <c r="AO5" s="1048">
        <v>3.2</v>
      </c>
      <c r="AP5" s="771">
        <v>103.77868766070161</v>
      </c>
      <c r="AQ5" s="1047">
        <v>8045968</v>
      </c>
      <c r="AR5" s="1047"/>
      <c r="AS5" s="1047"/>
      <c r="AT5" s="1047"/>
      <c r="AU5" s="1047">
        <f t="shared" ref="AU5:AU23" si="5">+AL5+AR5</f>
        <v>8045968</v>
      </c>
      <c r="AV5" s="1048">
        <v>3.2</v>
      </c>
      <c r="AW5" s="771">
        <v>103.77868766070161</v>
      </c>
      <c r="AX5" s="771"/>
      <c r="AY5" s="771"/>
      <c r="AZ5" s="771"/>
      <c r="BA5" s="771">
        <v>0</v>
      </c>
    </row>
    <row r="6" spans="1:142">
      <c r="A6" s="8">
        <v>2012</v>
      </c>
      <c r="B6" s="8">
        <v>5</v>
      </c>
      <c r="C6" s="8">
        <v>1</v>
      </c>
      <c r="D6" s="8">
        <v>5</v>
      </c>
      <c r="E6" s="8">
        <v>2</v>
      </c>
      <c r="F6" s="8">
        <v>4</v>
      </c>
      <c r="G6" s="8">
        <v>7</v>
      </c>
      <c r="H6" s="8">
        <v>3</v>
      </c>
      <c r="I6" s="8">
        <v>7</v>
      </c>
      <c r="J6" s="8">
        <v>3</v>
      </c>
      <c r="K6" s="8">
        <v>3</v>
      </c>
      <c r="L6" s="8">
        <v>8</v>
      </c>
      <c r="M6" s="8">
        <v>3</v>
      </c>
      <c r="O6" s="8">
        <f t="shared" si="0"/>
        <v>5</v>
      </c>
      <c r="P6" s="8">
        <f t="shared" si="1"/>
        <v>6</v>
      </c>
      <c r="Q6" s="8">
        <f t="shared" ref="Q6:Z13" si="6">+P6+D6</f>
        <v>11</v>
      </c>
      <c r="R6" s="8">
        <f t="shared" si="6"/>
        <v>13</v>
      </c>
      <c r="S6" s="8">
        <f t="shared" si="6"/>
        <v>17</v>
      </c>
      <c r="T6" s="8">
        <f t="shared" si="6"/>
        <v>24</v>
      </c>
      <c r="U6" s="8">
        <f t="shared" si="6"/>
        <v>27</v>
      </c>
      <c r="V6" s="8">
        <f t="shared" si="6"/>
        <v>34</v>
      </c>
      <c r="W6" s="8">
        <f t="shared" si="6"/>
        <v>37</v>
      </c>
      <c r="X6" s="8">
        <f t="shared" si="6"/>
        <v>40</v>
      </c>
      <c r="Y6" s="8">
        <f t="shared" si="6"/>
        <v>48</v>
      </c>
      <c r="Z6" s="8">
        <f t="shared" si="6"/>
        <v>51</v>
      </c>
      <c r="AA6" s="242"/>
      <c r="AB6" s="242"/>
      <c r="AE6" s="358">
        <v>1345906</v>
      </c>
      <c r="AF6" s="571">
        <v>2.2289818159663453</v>
      </c>
      <c r="AG6" s="63">
        <v>34.920715116806079</v>
      </c>
      <c r="AH6" s="358">
        <v>8459723</v>
      </c>
      <c r="AI6" s="1188">
        <v>2.955179501740187</v>
      </c>
      <c r="AJ6" s="63">
        <v>118.20718006960747</v>
      </c>
      <c r="AK6" s="862">
        <v>2004</v>
      </c>
      <c r="AL6" s="1047">
        <v>9019392</v>
      </c>
      <c r="AM6" s="1048">
        <v>3.1</v>
      </c>
      <c r="AN6" s="771">
        <v>115.30710717529519</v>
      </c>
      <c r="AO6" s="1048">
        <v>3.1</v>
      </c>
      <c r="AP6" s="771">
        <v>115.30710717529519</v>
      </c>
      <c r="AQ6" s="1047">
        <v>9019392</v>
      </c>
      <c r="AR6" s="1047"/>
      <c r="AS6" s="1047"/>
      <c r="AT6" s="1047"/>
      <c r="AU6" s="1047">
        <f t="shared" si="5"/>
        <v>9019392</v>
      </c>
      <c r="AV6" s="1048">
        <v>3.1</v>
      </c>
      <c r="AW6" s="771">
        <v>115.30710717529519</v>
      </c>
      <c r="AX6" s="771"/>
      <c r="AY6" s="771"/>
      <c r="AZ6" s="771"/>
      <c r="BA6" s="771">
        <v>0</v>
      </c>
    </row>
    <row r="7" spans="1:142">
      <c r="A7" s="675" t="s">
        <v>698</v>
      </c>
      <c r="B7" s="8">
        <v>0</v>
      </c>
      <c r="C7" s="8">
        <v>5</v>
      </c>
      <c r="D7" s="8">
        <v>6</v>
      </c>
      <c r="E7" s="8">
        <v>1</v>
      </c>
      <c r="F7" s="8">
        <v>3</v>
      </c>
      <c r="G7" s="8">
        <v>4</v>
      </c>
      <c r="H7" s="8">
        <v>5</v>
      </c>
      <c r="I7" s="8">
        <v>1</v>
      </c>
      <c r="J7" s="8">
        <v>4</v>
      </c>
      <c r="K7" s="8">
        <v>8</v>
      </c>
      <c r="L7" s="8">
        <v>6</v>
      </c>
      <c r="M7" s="8">
        <v>4</v>
      </c>
      <c r="O7" s="8">
        <f>+B7</f>
        <v>0</v>
      </c>
      <c r="P7" s="8">
        <f>+O7+C7</f>
        <v>5</v>
      </c>
      <c r="Q7" s="8">
        <f t="shared" si="6"/>
        <v>11</v>
      </c>
      <c r="R7" s="8">
        <f t="shared" si="6"/>
        <v>12</v>
      </c>
      <c r="S7" s="8">
        <f t="shared" si="6"/>
        <v>15</v>
      </c>
      <c r="T7" s="8">
        <f t="shared" si="6"/>
        <v>19</v>
      </c>
      <c r="U7" s="8">
        <f t="shared" si="6"/>
        <v>24</v>
      </c>
      <c r="V7" s="8">
        <f t="shared" si="6"/>
        <v>25</v>
      </c>
      <c r="W7" s="8">
        <f t="shared" si="6"/>
        <v>29</v>
      </c>
      <c r="X7" s="8">
        <f t="shared" si="6"/>
        <v>37</v>
      </c>
      <c r="Y7" s="8">
        <f t="shared" si="6"/>
        <v>43</v>
      </c>
      <c r="Z7" s="8">
        <f t="shared" si="6"/>
        <v>47</v>
      </c>
      <c r="AA7" s="242"/>
      <c r="AB7" s="242"/>
      <c r="AE7" s="358">
        <v>1274937</v>
      </c>
      <c r="AF7" s="571">
        <v>2.3530574451914092</v>
      </c>
      <c r="AG7" s="63">
        <v>78.435248173046986</v>
      </c>
      <c r="AH7" s="358">
        <v>9036205</v>
      </c>
      <c r="AI7" s="1188">
        <v>3.3199778004151077</v>
      </c>
      <c r="AJ7" s="63">
        <v>138.77507205735151</v>
      </c>
      <c r="AK7" s="862">
        <v>2005</v>
      </c>
      <c r="AL7" s="1047">
        <v>9639404</v>
      </c>
      <c r="AM7" s="1048">
        <v>3.5</v>
      </c>
      <c r="AN7" s="771">
        <v>137.35289028242826</v>
      </c>
      <c r="AO7" s="1048">
        <v>3.5</v>
      </c>
      <c r="AP7" s="771">
        <v>137.35289028242826</v>
      </c>
      <c r="AQ7" s="1047">
        <v>9639404</v>
      </c>
      <c r="AR7" s="1047"/>
      <c r="AS7" s="1047"/>
      <c r="AT7" s="1047"/>
      <c r="AU7" s="1047">
        <f t="shared" si="5"/>
        <v>9639404</v>
      </c>
      <c r="AV7" s="1048">
        <v>3.5</v>
      </c>
      <c r="AW7" s="771">
        <v>137.35289028242826</v>
      </c>
      <c r="AX7" s="771"/>
      <c r="AY7" s="771"/>
      <c r="AZ7" s="771"/>
      <c r="BA7" s="771">
        <v>0</v>
      </c>
    </row>
    <row r="8" spans="1:142">
      <c r="A8" s="645">
        <v>2012</v>
      </c>
      <c r="B8" s="8">
        <f>+B7+B6</f>
        <v>5</v>
      </c>
      <c r="C8" s="8">
        <f t="shared" ref="C8:M8" si="7">+C7+C6</f>
        <v>6</v>
      </c>
      <c r="D8" s="8">
        <f t="shared" si="7"/>
        <v>11</v>
      </c>
      <c r="E8" s="8">
        <f t="shared" si="7"/>
        <v>3</v>
      </c>
      <c r="F8" s="8">
        <f t="shared" si="7"/>
        <v>7</v>
      </c>
      <c r="G8" s="8">
        <f t="shared" si="7"/>
        <v>11</v>
      </c>
      <c r="H8" s="8">
        <f t="shared" si="7"/>
        <v>8</v>
      </c>
      <c r="I8" s="8">
        <f t="shared" si="7"/>
        <v>8</v>
      </c>
      <c r="J8" s="8">
        <f t="shared" si="7"/>
        <v>7</v>
      </c>
      <c r="K8" s="8">
        <f t="shared" si="7"/>
        <v>11</v>
      </c>
      <c r="L8" s="8">
        <f t="shared" si="7"/>
        <v>14</v>
      </c>
      <c r="M8" s="8">
        <f t="shared" si="7"/>
        <v>7</v>
      </c>
      <c r="O8" s="8">
        <f>+B8</f>
        <v>5</v>
      </c>
      <c r="P8" s="8">
        <f>+O8+C8</f>
        <v>11</v>
      </c>
      <c r="Q8" s="8">
        <f t="shared" si="6"/>
        <v>22</v>
      </c>
      <c r="R8" s="8">
        <f t="shared" si="6"/>
        <v>25</v>
      </c>
      <c r="S8" s="8">
        <f t="shared" si="6"/>
        <v>32</v>
      </c>
      <c r="T8" s="8">
        <f t="shared" si="6"/>
        <v>43</v>
      </c>
      <c r="U8" s="8">
        <f t="shared" si="6"/>
        <v>51</v>
      </c>
      <c r="V8" s="8">
        <f t="shared" si="6"/>
        <v>59</v>
      </c>
      <c r="W8" s="8">
        <f t="shared" si="6"/>
        <v>66</v>
      </c>
      <c r="X8" s="8">
        <f t="shared" si="6"/>
        <v>77</v>
      </c>
      <c r="Y8" s="8">
        <f t="shared" si="6"/>
        <v>91</v>
      </c>
      <c r="Z8" s="8">
        <f t="shared" si="6"/>
        <v>98</v>
      </c>
      <c r="AA8" s="242"/>
      <c r="AB8" s="242"/>
      <c r="AE8" s="358">
        <v>1208388</v>
      </c>
      <c r="AF8" s="571">
        <v>1.6550975348977315</v>
      </c>
      <c r="AG8" s="63">
        <v>46.342730977136483</v>
      </c>
      <c r="AH8" s="358">
        <v>9716827</v>
      </c>
      <c r="AI8" s="1188">
        <v>2.6757705987767406</v>
      </c>
      <c r="AJ8" s="63">
        <v>67.40883623841404</v>
      </c>
      <c r="AK8" s="862">
        <v>2006</v>
      </c>
      <c r="AL8" s="1047">
        <v>10346031</v>
      </c>
      <c r="AM8" s="1048">
        <v>3.4</v>
      </c>
      <c r="AN8" s="771">
        <v>70.171836910212235</v>
      </c>
      <c r="AO8" s="1048">
        <v>3.4</v>
      </c>
      <c r="AP8" s="771">
        <v>70.171836910212235</v>
      </c>
      <c r="AQ8" s="1047">
        <v>10346031</v>
      </c>
      <c r="AR8" s="1047"/>
      <c r="AS8" s="1047"/>
      <c r="AT8" s="1047"/>
      <c r="AU8" s="1047">
        <f t="shared" si="5"/>
        <v>10346031</v>
      </c>
      <c r="AV8" s="1048">
        <v>3.4</v>
      </c>
      <c r="AW8" s="771">
        <v>70.171836910212235</v>
      </c>
      <c r="AX8" s="771"/>
      <c r="AY8" s="771"/>
      <c r="AZ8" s="771"/>
      <c r="BA8" s="771">
        <v>0</v>
      </c>
    </row>
    <row r="9" spans="1:142">
      <c r="A9" s="8">
        <v>2013</v>
      </c>
      <c r="B9" s="8">
        <v>6</v>
      </c>
      <c r="C9" s="8">
        <v>4</v>
      </c>
      <c r="D9" s="8">
        <v>7</v>
      </c>
      <c r="E9" s="8">
        <v>7</v>
      </c>
      <c r="F9" s="8">
        <v>6</v>
      </c>
      <c r="G9" s="8">
        <v>6</v>
      </c>
      <c r="H9" s="8">
        <v>11</v>
      </c>
      <c r="I9" s="8">
        <v>3</v>
      </c>
      <c r="J9" s="8">
        <v>7</v>
      </c>
      <c r="K9" s="8">
        <v>3</v>
      </c>
      <c r="L9" s="8">
        <v>8</v>
      </c>
      <c r="M9" s="8">
        <v>3</v>
      </c>
      <c r="O9" s="8">
        <f t="shared" si="0"/>
        <v>6</v>
      </c>
      <c r="P9" s="8">
        <f t="shared" si="1"/>
        <v>10</v>
      </c>
      <c r="Q9" s="8">
        <f t="shared" si="6"/>
        <v>17</v>
      </c>
      <c r="R9" s="8">
        <f t="shared" si="6"/>
        <v>24</v>
      </c>
      <c r="S9" s="8">
        <f t="shared" si="6"/>
        <v>30</v>
      </c>
      <c r="T9" s="8">
        <f t="shared" si="6"/>
        <v>36</v>
      </c>
      <c r="U9" s="8">
        <f t="shared" si="6"/>
        <v>47</v>
      </c>
      <c r="V9" s="8">
        <f t="shared" si="6"/>
        <v>50</v>
      </c>
      <c r="W9" s="8">
        <f t="shared" si="6"/>
        <v>57</v>
      </c>
      <c r="X9" s="8">
        <f t="shared" si="6"/>
        <v>60</v>
      </c>
      <c r="Y9" s="8">
        <f t="shared" si="6"/>
        <v>68</v>
      </c>
      <c r="Z9" s="8">
        <f t="shared" si="6"/>
        <v>71</v>
      </c>
      <c r="AA9" s="242"/>
      <c r="AB9" s="242"/>
      <c r="AE9" s="358">
        <v>1569964</v>
      </c>
      <c r="AF9" s="571">
        <v>2.5478291221964326</v>
      </c>
      <c r="AG9" s="63">
        <v>71.976172702049226</v>
      </c>
      <c r="AH9" s="358">
        <v>11126389</v>
      </c>
      <c r="AI9" s="1188">
        <v>4.2241916941785878</v>
      </c>
      <c r="AJ9" s="63">
        <v>96.796903290007208</v>
      </c>
      <c r="AK9" s="862">
        <v>2007</v>
      </c>
      <c r="AL9" s="1047">
        <v>11785020</v>
      </c>
      <c r="AM9" s="1048">
        <v>8.4</v>
      </c>
      <c r="AN9" s="771">
        <v>97.666359497056433</v>
      </c>
      <c r="AO9" s="1048">
        <v>8.4</v>
      </c>
      <c r="AP9" s="771">
        <v>97.666359497056433</v>
      </c>
      <c r="AQ9" s="1047">
        <v>11785020</v>
      </c>
      <c r="AR9" s="1047"/>
      <c r="AS9" s="1047"/>
      <c r="AT9" s="1047"/>
      <c r="AU9" s="1047">
        <f t="shared" si="5"/>
        <v>11785020</v>
      </c>
      <c r="AV9" s="1048">
        <v>8.4</v>
      </c>
      <c r="AW9" s="771">
        <v>97.666359497056433</v>
      </c>
      <c r="AX9" s="771"/>
      <c r="AY9" s="771"/>
      <c r="AZ9" s="771"/>
      <c r="BA9" s="771">
        <v>0</v>
      </c>
    </row>
    <row r="10" spans="1:142">
      <c r="A10" s="675" t="s">
        <v>700</v>
      </c>
      <c r="B10" s="950">
        <f>3+1</f>
        <v>4</v>
      </c>
      <c r="C10" s="950">
        <f>2+1</f>
        <v>3</v>
      </c>
      <c r="D10" s="8">
        <v>1</v>
      </c>
      <c r="E10" s="8">
        <v>1</v>
      </c>
      <c r="F10" s="950">
        <f>1+1</f>
        <v>2</v>
      </c>
      <c r="G10" s="950">
        <f>2+2</f>
        <v>4</v>
      </c>
      <c r="H10" s="8">
        <v>3</v>
      </c>
      <c r="I10" s="8">
        <v>0</v>
      </c>
      <c r="J10" s="8">
        <v>3</v>
      </c>
      <c r="K10" s="8">
        <v>1</v>
      </c>
      <c r="L10" s="8">
        <v>0</v>
      </c>
      <c r="M10" s="8">
        <v>1</v>
      </c>
      <c r="O10" s="8">
        <f>+B10</f>
        <v>4</v>
      </c>
      <c r="P10" s="8">
        <f>+O10+C10</f>
        <v>7</v>
      </c>
      <c r="Q10" s="8">
        <f t="shared" si="6"/>
        <v>8</v>
      </c>
      <c r="R10" s="8">
        <f t="shared" si="6"/>
        <v>9</v>
      </c>
      <c r="S10" s="8">
        <f t="shared" si="6"/>
        <v>11</v>
      </c>
      <c r="T10" s="8">
        <f t="shared" si="6"/>
        <v>15</v>
      </c>
      <c r="U10" s="8">
        <f t="shared" si="6"/>
        <v>18</v>
      </c>
      <c r="V10" s="8">
        <f t="shared" si="6"/>
        <v>18</v>
      </c>
      <c r="W10" s="8">
        <f t="shared" si="6"/>
        <v>21</v>
      </c>
      <c r="X10" s="8">
        <f t="shared" si="6"/>
        <v>22</v>
      </c>
      <c r="Y10" s="8">
        <f t="shared" si="6"/>
        <v>22</v>
      </c>
      <c r="Z10" s="8">
        <f t="shared" si="6"/>
        <v>23</v>
      </c>
      <c r="AA10" s="242"/>
      <c r="AB10" s="242"/>
      <c r="AE10" s="358">
        <v>1835197</v>
      </c>
      <c r="AF10" s="571">
        <v>1.6347018875902697</v>
      </c>
      <c r="AG10" s="63">
        <v>38.14304404377296</v>
      </c>
      <c r="AH10" s="358">
        <v>12607015</v>
      </c>
      <c r="AI10" s="1188">
        <v>2.7762321215608927</v>
      </c>
      <c r="AJ10" s="63">
        <v>55.366000595700093</v>
      </c>
      <c r="AK10" s="862">
        <v>2008</v>
      </c>
      <c r="AL10" s="1047">
        <v>13580881.5</v>
      </c>
      <c r="AM10" s="1048">
        <v>5.0999999999999996</v>
      </c>
      <c r="AN10" s="771">
        <v>64.207908742889771</v>
      </c>
      <c r="AO10" s="1048">
        <v>5.0999999999999996</v>
      </c>
      <c r="AP10" s="771">
        <v>64.207908742889771</v>
      </c>
      <c r="AQ10" s="1047">
        <v>13580881.5</v>
      </c>
      <c r="AR10" s="1047"/>
      <c r="AS10" s="1047"/>
      <c r="AT10" s="1047"/>
      <c r="AU10" s="1047">
        <f t="shared" si="5"/>
        <v>13580881.5</v>
      </c>
      <c r="AV10" s="1048">
        <v>5.0999999999999996</v>
      </c>
      <c r="AW10" s="771">
        <v>64.207908742889771</v>
      </c>
      <c r="AX10" s="771"/>
      <c r="AY10" s="771"/>
      <c r="AZ10" s="771"/>
      <c r="BA10" s="771">
        <v>0</v>
      </c>
    </row>
    <row r="11" spans="1:142">
      <c r="A11" s="645">
        <v>2013</v>
      </c>
      <c r="B11" s="8">
        <f t="shared" ref="B11:M11" si="8">+B9+B10</f>
        <v>10</v>
      </c>
      <c r="C11" s="8">
        <f t="shared" si="8"/>
        <v>7</v>
      </c>
      <c r="D11" s="8">
        <f t="shared" si="8"/>
        <v>8</v>
      </c>
      <c r="E11" s="8">
        <f t="shared" si="8"/>
        <v>8</v>
      </c>
      <c r="F11" s="8">
        <f t="shared" si="8"/>
        <v>8</v>
      </c>
      <c r="G11" s="8">
        <f t="shared" si="8"/>
        <v>10</v>
      </c>
      <c r="H11" s="8">
        <f t="shared" si="8"/>
        <v>14</v>
      </c>
      <c r="I11" s="8">
        <f t="shared" si="8"/>
        <v>3</v>
      </c>
      <c r="J11" s="8">
        <f t="shared" si="8"/>
        <v>10</v>
      </c>
      <c r="K11" s="8">
        <f t="shared" si="8"/>
        <v>4</v>
      </c>
      <c r="L11" s="8">
        <f t="shared" si="8"/>
        <v>8</v>
      </c>
      <c r="M11" s="8">
        <f t="shared" si="8"/>
        <v>4</v>
      </c>
      <c r="O11" s="8">
        <f>+B11</f>
        <v>10</v>
      </c>
      <c r="P11" s="8">
        <f>+O11+C11</f>
        <v>17</v>
      </c>
      <c r="Q11" s="8">
        <f t="shared" si="6"/>
        <v>25</v>
      </c>
      <c r="R11" s="8">
        <f t="shared" si="6"/>
        <v>33</v>
      </c>
      <c r="S11" s="8">
        <f t="shared" si="6"/>
        <v>41</v>
      </c>
      <c r="T11" s="8">
        <f t="shared" si="6"/>
        <v>51</v>
      </c>
      <c r="U11" s="8">
        <f t="shared" si="6"/>
        <v>65</v>
      </c>
      <c r="V11" s="8">
        <f t="shared" si="6"/>
        <v>68</v>
      </c>
      <c r="W11" s="8">
        <f t="shared" si="6"/>
        <v>78</v>
      </c>
      <c r="X11" s="8">
        <f t="shared" si="6"/>
        <v>82</v>
      </c>
      <c r="Y11" s="8">
        <f t="shared" si="6"/>
        <v>90</v>
      </c>
      <c r="Z11" s="8">
        <f t="shared" si="6"/>
        <v>94</v>
      </c>
      <c r="AA11" s="242"/>
      <c r="AB11" s="242"/>
      <c r="AE11" s="358">
        <v>1453246</v>
      </c>
      <c r="AF11" s="571">
        <v>0.68811474450987653</v>
      </c>
      <c r="AG11" s="63">
        <v>2.0643442335296296</v>
      </c>
      <c r="AH11" s="358">
        <v>11825808</v>
      </c>
      <c r="AI11" s="1188">
        <v>3.0441894541159469</v>
      </c>
      <c r="AJ11" s="63">
        <v>696.02009435634329</v>
      </c>
      <c r="AK11" s="862">
        <v>2009</v>
      </c>
      <c r="AL11" s="1047">
        <v>12835402.5</v>
      </c>
      <c r="AM11" s="1048">
        <v>4</v>
      </c>
      <c r="AN11" s="771">
        <v>645.48034235778732</v>
      </c>
      <c r="AO11" s="1048">
        <v>4</v>
      </c>
      <c r="AP11" s="771">
        <v>645.48034235778732</v>
      </c>
      <c r="AQ11" s="1047">
        <v>12835402.5</v>
      </c>
      <c r="AR11" s="1047"/>
      <c r="AS11" s="1047"/>
      <c r="AT11" s="1047"/>
      <c r="AU11" s="1047">
        <f t="shared" si="5"/>
        <v>12835402.5</v>
      </c>
      <c r="AV11" s="1048">
        <v>4</v>
      </c>
      <c r="AW11" s="771">
        <v>645.48034235778732</v>
      </c>
      <c r="AX11" s="771"/>
      <c r="AY11" s="771"/>
      <c r="AZ11" s="771"/>
      <c r="BA11" s="771">
        <v>1</v>
      </c>
      <c r="BB11" t="s">
        <v>9</v>
      </c>
      <c r="BC11" s="1169">
        <f>1/43</f>
        <v>2.3255813953488372E-2</v>
      </c>
    </row>
    <row r="12" spans="1:142">
      <c r="A12" s="8">
        <v>2014</v>
      </c>
      <c r="B12" s="8">
        <v>6</v>
      </c>
      <c r="C12" s="8">
        <v>5</v>
      </c>
      <c r="D12" s="8">
        <v>5</v>
      </c>
      <c r="E12" s="8">
        <v>5</v>
      </c>
      <c r="F12" s="8">
        <v>4</v>
      </c>
      <c r="G12" s="8">
        <v>2</v>
      </c>
      <c r="H12" s="8">
        <v>5</v>
      </c>
      <c r="I12" s="8">
        <v>9</v>
      </c>
      <c r="J12" s="8">
        <v>7</v>
      </c>
      <c r="K12" s="8">
        <v>7</v>
      </c>
      <c r="L12" s="8">
        <v>9</v>
      </c>
      <c r="M12" s="8">
        <v>2</v>
      </c>
      <c r="O12" s="8">
        <f t="shared" si="0"/>
        <v>6</v>
      </c>
      <c r="P12" s="8">
        <f t="shared" si="1"/>
        <v>11</v>
      </c>
      <c r="Q12" s="8">
        <f t="shared" si="6"/>
        <v>16</v>
      </c>
      <c r="R12" s="8">
        <f t="shared" si="6"/>
        <v>21</v>
      </c>
      <c r="S12" s="8">
        <f t="shared" si="6"/>
        <v>25</v>
      </c>
      <c r="T12" s="8">
        <f t="shared" si="6"/>
        <v>27</v>
      </c>
      <c r="U12" s="8">
        <f t="shared" si="6"/>
        <v>32</v>
      </c>
      <c r="V12" s="8">
        <f t="shared" si="6"/>
        <v>41</v>
      </c>
      <c r="W12" s="8">
        <f t="shared" si="6"/>
        <v>48</v>
      </c>
      <c r="X12" s="8">
        <f t="shared" si="6"/>
        <v>55</v>
      </c>
      <c r="Y12" s="8">
        <f t="shared" si="6"/>
        <v>64</v>
      </c>
      <c r="Z12" s="8">
        <f t="shared" si="6"/>
        <v>66</v>
      </c>
      <c r="AA12" s="242"/>
      <c r="AB12" s="242"/>
      <c r="AE12" s="358">
        <v>2093512</v>
      </c>
      <c r="AF12" s="571">
        <v>0.95533247480788264</v>
      </c>
      <c r="AG12" s="63">
        <v>9.0756585106748844</v>
      </c>
      <c r="AH12" s="358">
        <v>13037545</v>
      </c>
      <c r="AI12" s="1188">
        <v>3.3748685047683442</v>
      </c>
      <c r="AJ12" s="63">
        <v>66.040040513762364</v>
      </c>
      <c r="AK12" s="862">
        <v>2010</v>
      </c>
      <c r="AL12" s="1047">
        <v>14026666</v>
      </c>
      <c r="AM12" s="1048">
        <v>4.2</v>
      </c>
      <c r="AN12" s="771">
        <v>79.206277528815477</v>
      </c>
      <c r="AO12" s="1048">
        <v>4.2</v>
      </c>
      <c r="AP12" s="771">
        <v>79.206277528815477</v>
      </c>
      <c r="AQ12" s="1047">
        <v>14026666</v>
      </c>
      <c r="AR12" s="1047"/>
      <c r="AS12" s="1047"/>
      <c r="AT12" s="1047"/>
      <c r="AU12" s="1047">
        <f t="shared" si="5"/>
        <v>14026666</v>
      </c>
      <c r="AV12" s="1048">
        <v>4.2</v>
      </c>
      <c r="AW12" s="771">
        <v>79.206277528815477</v>
      </c>
      <c r="AX12" s="771"/>
      <c r="AY12" s="771"/>
      <c r="AZ12" s="771"/>
      <c r="BA12" s="771">
        <v>0</v>
      </c>
      <c r="BC12" s="1169"/>
    </row>
    <row r="13" spans="1:142">
      <c r="A13" s="8">
        <v>2015</v>
      </c>
      <c r="B13" s="8">
        <v>7</v>
      </c>
      <c r="C13" s="8">
        <v>2</v>
      </c>
      <c r="D13" s="8">
        <v>4</v>
      </c>
      <c r="E13" s="8">
        <v>5</v>
      </c>
      <c r="F13" s="8">
        <v>1</v>
      </c>
      <c r="G13" s="8">
        <v>6</v>
      </c>
      <c r="H13" s="8">
        <v>1</v>
      </c>
      <c r="I13" s="8">
        <v>7</v>
      </c>
      <c r="J13" s="8">
        <v>3</v>
      </c>
      <c r="K13" s="8">
        <v>2</v>
      </c>
      <c r="L13" s="8">
        <v>3</v>
      </c>
      <c r="M13" s="8">
        <v>5</v>
      </c>
      <c r="O13" s="8">
        <f t="shared" ref="O13:O25" si="9">+B13</f>
        <v>7</v>
      </c>
      <c r="P13" s="8">
        <f t="shared" ref="P13:P19" si="10">+O13+C13</f>
        <v>9</v>
      </c>
      <c r="Q13" s="8">
        <f t="shared" si="6"/>
        <v>13</v>
      </c>
      <c r="R13" s="8">
        <f t="shared" si="6"/>
        <v>18</v>
      </c>
      <c r="S13" s="8">
        <f t="shared" si="6"/>
        <v>19</v>
      </c>
      <c r="T13" s="8">
        <f t="shared" si="6"/>
        <v>25</v>
      </c>
      <c r="U13" s="8">
        <f t="shared" si="6"/>
        <v>26</v>
      </c>
      <c r="V13" s="8">
        <f t="shared" si="6"/>
        <v>33</v>
      </c>
      <c r="W13" s="8">
        <f t="shared" si="6"/>
        <v>36</v>
      </c>
      <c r="X13" s="8">
        <f t="shared" si="6"/>
        <v>38</v>
      </c>
      <c r="Y13" s="8">
        <f t="shared" si="6"/>
        <v>41</v>
      </c>
      <c r="Z13" s="8">
        <f t="shared" si="6"/>
        <v>46</v>
      </c>
      <c r="AA13" s="242"/>
      <c r="AB13" s="242"/>
      <c r="AE13" s="358">
        <v>1307733</v>
      </c>
      <c r="AF13" s="571">
        <v>3.8234104362281904</v>
      </c>
      <c r="AG13" s="63">
        <v>32.88132975156244</v>
      </c>
      <c r="AH13" s="358">
        <v>11057209.719999999</v>
      </c>
      <c r="AI13" s="1188">
        <v>4.3410590208105422</v>
      </c>
      <c r="AJ13" s="2213">
        <v>148.95258765156171</v>
      </c>
      <c r="AK13" s="862">
        <v>2011</v>
      </c>
      <c r="AL13" s="1047">
        <v>12017547.719999999</v>
      </c>
      <c r="AM13" s="1048">
        <v>4.5999999999999996</v>
      </c>
      <c r="AN13" s="771">
        <v>182.31672975624349</v>
      </c>
      <c r="AO13" s="1048">
        <v>4.5999999999999996</v>
      </c>
      <c r="AP13" s="771">
        <v>182.31672975624349</v>
      </c>
      <c r="AQ13" s="1047">
        <v>12017547.719999999</v>
      </c>
      <c r="AR13" s="1047"/>
      <c r="AS13" s="1047"/>
      <c r="AT13" s="1047"/>
      <c r="AU13" s="1047">
        <f t="shared" si="5"/>
        <v>12017547.719999999</v>
      </c>
      <c r="AV13" s="1048">
        <v>4.5999999999999996</v>
      </c>
      <c r="AW13" s="771">
        <v>182.31672975624349</v>
      </c>
      <c r="AX13" s="771"/>
      <c r="AY13" s="771"/>
      <c r="AZ13" s="771"/>
      <c r="BA13" s="771">
        <v>1</v>
      </c>
      <c r="BB13" t="s">
        <v>1053</v>
      </c>
      <c r="BC13" s="1169"/>
    </row>
    <row r="14" spans="1:142">
      <c r="A14" s="8" t="s">
        <v>1074</v>
      </c>
      <c r="B14" s="8">
        <v>1</v>
      </c>
      <c r="C14" s="8">
        <v>0</v>
      </c>
      <c r="D14" s="8">
        <v>0</v>
      </c>
      <c r="E14" s="8">
        <v>1</v>
      </c>
      <c r="F14" s="8">
        <v>0</v>
      </c>
      <c r="G14" s="8">
        <v>1</v>
      </c>
      <c r="H14" s="8">
        <v>3</v>
      </c>
      <c r="I14" s="8">
        <v>1</v>
      </c>
      <c r="J14" s="8">
        <v>1</v>
      </c>
      <c r="K14" s="8">
        <v>1</v>
      </c>
      <c r="L14" s="8">
        <v>1</v>
      </c>
      <c r="M14" s="8">
        <v>0</v>
      </c>
      <c r="O14" s="8">
        <f t="shared" si="9"/>
        <v>1</v>
      </c>
      <c r="P14" s="8">
        <f t="shared" si="10"/>
        <v>1</v>
      </c>
      <c r="Q14" s="8">
        <f t="shared" ref="Q14:Z14" si="11">+P14+D14</f>
        <v>1</v>
      </c>
      <c r="R14" s="8">
        <f t="shared" si="11"/>
        <v>2</v>
      </c>
      <c r="S14" s="8">
        <f t="shared" si="11"/>
        <v>2</v>
      </c>
      <c r="T14" s="8">
        <f t="shared" si="11"/>
        <v>3</v>
      </c>
      <c r="U14" s="8">
        <f t="shared" si="11"/>
        <v>6</v>
      </c>
      <c r="V14" s="8">
        <f t="shared" si="11"/>
        <v>7</v>
      </c>
      <c r="W14" s="8">
        <f t="shared" si="11"/>
        <v>8</v>
      </c>
      <c r="X14" s="8">
        <f t="shared" si="11"/>
        <v>9</v>
      </c>
      <c r="Y14" s="8">
        <f t="shared" si="11"/>
        <v>10</v>
      </c>
      <c r="Z14" s="8">
        <f t="shared" si="11"/>
        <v>10</v>
      </c>
      <c r="AA14" s="242"/>
      <c r="AB14" s="242"/>
      <c r="AE14" s="358">
        <v>2306902</v>
      </c>
      <c r="AF14" s="571">
        <v>4.7682996503535913</v>
      </c>
      <c r="AG14" s="63">
        <v>36.845951843641387</v>
      </c>
      <c r="AH14" s="358">
        <v>11834607</v>
      </c>
      <c r="AI14" s="1188">
        <v>4.1403994234874046</v>
      </c>
      <c r="AJ14" s="63">
        <v>94.299709318611093</v>
      </c>
      <c r="AK14" s="862">
        <v>2012</v>
      </c>
      <c r="AL14" s="1047">
        <v>12838534</v>
      </c>
      <c r="AM14" s="1048">
        <v>3.9</v>
      </c>
      <c r="AN14" s="771">
        <v>101.49133849705893</v>
      </c>
      <c r="AO14" s="1048">
        <v>3.9</v>
      </c>
      <c r="AP14" s="771">
        <v>101.49133849705893</v>
      </c>
      <c r="AQ14" s="1047">
        <v>12838534</v>
      </c>
      <c r="AR14" s="1047"/>
      <c r="AS14" s="1047"/>
      <c r="AT14" s="1047"/>
      <c r="AU14" s="1047">
        <f t="shared" si="5"/>
        <v>12838534</v>
      </c>
      <c r="AV14" s="1048">
        <v>3.9</v>
      </c>
      <c r="AW14" s="771">
        <v>101.49133849705893</v>
      </c>
      <c r="AX14" s="771"/>
      <c r="AY14" s="771"/>
      <c r="AZ14" s="771"/>
      <c r="BA14" s="771">
        <v>0</v>
      </c>
      <c r="BC14" s="1169"/>
    </row>
    <row r="15" spans="1:142">
      <c r="A15" s="8" t="s">
        <v>1075</v>
      </c>
      <c r="B15" s="8">
        <f t="shared" ref="B15:M15" si="12">+B14+B13</f>
        <v>8</v>
      </c>
      <c r="C15" s="8">
        <f t="shared" si="12"/>
        <v>2</v>
      </c>
      <c r="D15" s="8">
        <f t="shared" si="12"/>
        <v>4</v>
      </c>
      <c r="E15" s="8">
        <f t="shared" si="12"/>
        <v>6</v>
      </c>
      <c r="F15" s="8">
        <f t="shared" si="12"/>
        <v>1</v>
      </c>
      <c r="G15" s="8">
        <f t="shared" si="12"/>
        <v>7</v>
      </c>
      <c r="H15" s="8">
        <f t="shared" si="12"/>
        <v>4</v>
      </c>
      <c r="I15" s="8">
        <f t="shared" si="12"/>
        <v>8</v>
      </c>
      <c r="J15" s="8">
        <f t="shared" si="12"/>
        <v>4</v>
      </c>
      <c r="K15" s="8">
        <f t="shared" si="12"/>
        <v>3</v>
      </c>
      <c r="L15" s="8">
        <f t="shared" si="12"/>
        <v>4</v>
      </c>
      <c r="M15" s="8">
        <f t="shared" si="12"/>
        <v>5</v>
      </c>
      <c r="O15" s="8">
        <f t="shared" si="9"/>
        <v>8</v>
      </c>
      <c r="P15" s="8">
        <f t="shared" si="10"/>
        <v>10</v>
      </c>
      <c r="Q15" s="8">
        <f t="shared" ref="Q15:Z19" si="13">+P15+D15</f>
        <v>14</v>
      </c>
      <c r="R15" s="8">
        <f t="shared" si="13"/>
        <v>20</v>
      </c>
      <c r="S15" s="8">
        <f t="shared" si="13"/>
        <v>21</v>
      </c>
      <c r="T15" s="8">
        <f t="shared" si="13"/>
        <v>28</v>
      </c>
      <c r="U15" s="8">
        <f t="shared" si="13"/>
        <v>32</v>
      </c>
      <c r="V15" s="8">
        <f t="shared" si="13"/>
        <v>40</v>
      </c>
      <c r="W15" s="8">
        <f t="shared" si="13"/>
        <v>44</v>
      </c>
      <c r="X15" s="8">
        <f t="shared" si="13"/>
        <v>47</v>
      </c>
      <c r="Y15" s="8">
        <f t="shared" si="13"/>
        <v>51</v>
      </c>
      <c r="Z15" s="8">
        <f t="shared" si="13"/>
        <v>56</v>
      </c>
      <c r="AA15" s="242"/>
      <c r="AB15" s="242"/>
      <c r="AE15" s="358">
        <v>2847774.6786111118</v>
      </c>
      <c r="AF15" s="571">
        <v>3.1603623936952028</v>
      </c>
      <c r="AG15" s="63">
        <v>49.863495544968757</v>
      </c>
      <c r="AH15" s="358">
        <v>13701221.41070291</v>
      </c>
      <c r="AI15" s="1188">
        <v>5.0360473662661667</v>
      </c>
      <c r="AJ15" s="63">
        <v>87.218501488232874</v>
      </c>
      <c r="AK15" s="862">
        <v>2013</v>
      </c>
      <c r="AL15" s="1047">
        <v>18139497.040702909</v>
      </c>
      <c r="AM15" s="1048">
        <v>6</v>
      </c>
      <c r="AN15" s="771">
        <v>101.43610905369952</v>
      </c>
      <c r="AO15" s="1048">
        <v>6</v>
      </c>
      <c r="AP15" s="771">
        <v>101.43610905369952</v>
      </c>
      <c r="AQ15" s="1047">
        <v>18139497.040702909</v>
      </c>
      <c r="AR15" s="1047">
        <v>6135673</v>
      </c>
      <c r="AS15" s="1983">
        <v>23.143345481416628</v>
      </c>
      <c r="AT15" s="1984">
        <v>1506.1102506603595</v>
      </c>
      <c r="AU15" s="1047">
        <f t="shared" si="5"/>
        <v>24275170.040702909</v>
      </c>
      <c r="AV15" s="1983">
        <v>10.339783390976901</v>
      </c>
      <c r="AW15" s="771">
        <v>456.4746603801396</v>
      </c>
      <c r="AX15" s="771"/>
      <c r="AY15" s="771"/>
      <c r="AZ15" s="771"/>
      <c r="BA15" s="771">
        <v>1</v>
      </c>
      <c r="BB15" t="s">
        <v>952</v>
      </c>
      <c r="BC15" s="1169">
        <f>1/251</f>
        <v>3.9840637450199202E-3</v>
      </c>
    </row>
    <row r="16" spans="1:142">
      <c r="A16" s="675" t="s">
        <v>2006</v>
      </c>
      <c r="B16" s="8">
        <v>8</v>
      </c>
      <c r="C16" s="8">
        <v>3</v>
      </c>
      <c r="D16" s="8">
        <v>4</v>
      </c>
      <c r="E16" s="8">
        <v>3</v>
      </c>
      <c r="F16" s="8">
        <v>6</v>
      </c>
      <c r="G16" s="8">
        <v>9</v>
      </c>
      <c r="H16" s="8">
        <v>4</v>
      </c>
      <c r="I16" s="8">
        <v>9</v>
      </c>
      <c r="J16" s="8">
        <v>6</v>
      </c>
      <c r="K16" s="8">
        <v>12</v>
      </c>
      <c r="L16" s="8">
        <v>1</v>
      </c>
      <c r="M16" s="8">
        <v>6</v>
      </c>
      <c r="O16" s="8">
        <f t="shared" si="9"/>
        <v>8</v>
      </c>
      <c r="P16" s="8">
        <f t="shared" si="10"/>
        <v>11</v>
      </c>
      <c r="Q16" s="8">
        <f t="shared" si="13"/>
        <v>15</v>
      </c>
      <c r="R16" s="8">
        <f t="shared" si="13"/>
        <v>18</v>
      </c>
      <c r="S16" s="8">
        <f t="shared" si="13"/>
        <v>24</v>
      </c>
      <c r="T16" s="8">
        <f t="shared" si="13"/>
        <v>33</v>
      </c>
      <c r="U16" s="8">
        <f t="shared" si="13"/>
        <v>37</v>
      </c>
      <c r="V16" s="8">
        <f t="shared" si="13"/>
        <v>46</v>
      </c>
      <c r="W16" s="8">
        <f t="shared" si="13"/>
        <v>52</v>
      </c>
      <c r="X16" s="8">
        <f t="shared" si="13"/>
        <v>64</v>
      </c>
      <c r="Y16" s="8">
        <f t="shared" si="13"/>
        <v>65</v>
      </c>
      <c r="Z16" s="8">
        <f t="shared" si="13"/>
        <v>71</v>
      </c>
      <c r="AA16" s="859"/>
      <c r="AB16" s="942"/>
      <c r="AE16" s="358">
        <v>2510780</v>
      </c>
      <c r="AF16" s="571">
        <v>3.5845434486494239</v>
      </c>
      <c r="AG16" s="63">
        <v>204.31897657301715</v>
      </c>
      <c r="AH16" s="358">
        <v>13129935</v>
      </c>
      <c r="AI16" s="1188">
        <v>3.7319301276053536</v>
      </c>
      <c r="AJ16" s="63">
        <v>125.74319674849876</v>
      </c>
      <c r="AK16" s="862">
        <v>2014</v>
      </c>
      <c r="AL16" s="1047">
        <v>16915439</v>
      </c>
      <c r="AM16" s="1048">
        <v>5.8</v>
      </c>
      <c r="AN16" s="771">
        <v>135.02457725158655</v>
      </c>
      <c r="AO16" s="1048">
        <v>5.8</v>
      </c>
      <c r="AP16" s="771">
        <v>135.02457725158655</v>
      </c>
      <c r="AQ16" s="1047">
        <v>16915439</v>
      </c>
      <c r="AR16" s="1047">
        <v>4528208</v>
      </c>
      <c r="AS16" s="1983">
        <v>12.366923074205072</v>
      </c>
      <c r="AT16" s="1984">
        <v>379.62037079568785</v>
      </c>
      <c r="AU16" s="1047">
        <f t="shared" si="5"/>
        <v>21443647</v>
      </c>
      <c r="AV16" s="1983">
        <v>7.2282480680641683</v>
      </c>
      <c r="AW16" s="771">
        <v>186.67533559007009</v>
      </c>
      <c r="AX16" s="771"/>
      <c r="AY16" s="771"/>
      <c r="AZ16" s="771"/>
      <c r="BA16" s="771">
        <v>0</v>
      </c>
      <c r="BC16" s="1169"/>
    </row>
    <row r="17" spans="1:142">
      <c r="A17" s="8" t="s">
        <v>2007</v>
      </c>
      <c r="I17" s="1137">
        <v>1</v>
      </c>
      <c r="L17" s="8">
        <v>1</v>
      </c>
      <c r="O17" s="8">
        <f t="shared" si="9"/>
        <v>0</v>
      </c>
      <c r="P17" s="8">
        <f t="shared" si="10"/>
        <v>0</v>
      </c>
      <c r="Q17" s="8">
        <f t="shared" si="13"/>
        <v>0</v>
      </c>
      <c r="R17" s="8">
        <f t="shared" si="13"/>
        <v>0</v>
      </c>
      <c r="S17" s="8">
        <f t="shared" si="13"/>
        <v>0</v>
      </c>
      <c r="T17" s="8">
        <f t="shared" si="13"/>
        <v>0</v>
      </c>
      <c r="U17" s="8">
        <f t="shared" si="13"/>
        <v>0</v>
      </c>
      <c r="V17" s="8">
        <f t="shared" si="13"/>
        <v>1</v>
      </c>
      <c r="W17" s="8">
        <f t="shared" si="13"/>
        <v>1</v>
      </c>
      <c r="X17" s="8">
        <f t="shared" si="13"/>
        <v>1</v>
      </c>
      <c r="Y17" s="8">
        <f t="shared" si="13"/>
        <v>2</v>
      </c>
      <c r="Z17" s="8">
        <f t="shared" si="13"/>
        <v>2</v>
      </c>
      <c r="AA17" s="859"/>
      <c r="AB17" s="941"/>
      <c r="AE17" s="358">
        <v>2464265.071944444</v>
      </c>
      <c r="AF17" s="571">
        <v>3.2464040054293144</v>
      </c>
      <c r="AG17" s="63">
        <v>140.00117273413917</v>
      </c>
      <c r="AH17" s="358">
        <v>12258464.630777778</v>
      </c>
      <c r="AI17" s="1188">
        <v>3.0183225317714535</v>
      </c>
      <c r="AJ17" s="63">
        <v>110.12798426733681</v>
      </c>
      <c r="AK17" s="862">
        <v>2015</v>
      </c>
      <c r="AL17" s="1047">
        <v>15644250.290777778</v>
      </c>
      <c r="AM17" s="1048">
        <v>3.5</v>
      </c>
      <c r="AN17" s="771">
        <v>140.69066648067377</v>
      </c>
      <c r="AO17" s="1048">
        <v>3.5</v>
      </c>
      <c r="AP17" s="771">
        <v>140.69066648067377</v>
      </c>
      <c r="AQ17" s="1047">
        <v>15644250.290777778</v>
      </c>
      <c r="AR17" s="1047">
        <v>4433361</v>
      </c>
      <c r="AS17" s="1983">
        <v>8.3458125787636064</v>
      </c>
      <c r="AT17" s="1984">
        <v>206.16412694567396</v>
      </c>
      <c r="AU17" s="1047">
        <f t="shared" si="5"/>
        <v>20077611.29077778</v>
      </c>
      <c r="AV17" s="1983">
        <v>4.6320251275467994</v>
      </c>
      <c r="AW17" s="771">
        <v>155.14793841191698</v>
      </c>
      <c r="AX17" s="771"/>
      <c r="AY17" s="771"/>
      <c r="AZ17" s="771"/>
      <c r="BA17" s="771">
        <v>0</v>
      </c>
      <c r="BC17" s="1169"/>
    </row>
    <row r="18" spans="1:142">
      <c r="A18" s="8">
        <v>2016</v>
      </c>
      <c r="B18" s="8">
        <f>+B16+B17</f>
        <v>8</v>
      </c>
      <c r="C18" s="8">
        <f t="shared" ref="C18:M18" si="14">+C16+C17</f>
        <v>3</v>
      </c>
      <c r="D18" s="8">
        <f t="shared" si="14"/>
        <v>4</v>
      </c>
      <c r="E18" s="8">
        <f t="shared" si="14"/>
        <v>3</v>
      </c>
      <c r="F18" s="8">
        <f t="shared" si="14"/>
        <v>6</v>
      </c>
      <c r="G18" s="8">
        <f t="shared" si="14"/>
        <v>9</v>
      </c>
      <c r="H18" s="8">
        <f t="shared" si="14"/>
        <v>4</v>
      </c>
      <c r="I18" s="8">
        <f t="shared" si="14"/>
        <v>10</v>
      </c>
      <c r="J18" s="8">
        <f t="shared" si="14"/>
        <v>6</v>
      </c>
      <c r="K18" s="8">
        <f t="shared" si="14"/>
        <v>12</v>
      </c>
      <c r="L18" s="8">
        <f t="shared" si="14"/>
        <v>2</v>
      </c>
      <c r="M18" s="8">
        <f t="shared" si="14"/>
        <v>6</v>
      </c>
      <c r="O18" s="8">
        <f t="shared" si="9"/>
        <v>8</v>
      </c>
      <c r="P18" s="8">
        <f t="shared" si="10"/>
        <v>11</v>
      </c>
      <c r="Q18" s="8">
        <f t="shared" si="13"/>
        <v>15</v>
      </c>
      <c r="R18" s="8">
        <f t="shared" si="13"/>
        <v>18</v>
      </c>
      <c r="S18" s="8">
        <f t="shared" si="13"/>
        <v>24</v>
      </c>
      <c r="T18" s="8">
        <f t="shared" si="13"/>
        <v>33</v>
      </c>
      <c r="U18" s="8">
        <f t="shared" si="13"/>
        <v>37</v>
      </c>
      <c r="V18" s="8">
        <f t="shared" si="13"/>
        <v>47</v>
      </c>
      <c r="W18" s="8">
        <f t="shared" si="13"/>
        <v>53</v>
      </c>
      <c r="X18" s="8">
        <f t="shared" si="13"/>
        <v>65</v>
      </c>
      <c r="Y18" s="8">
        <f t="shared" si="13"/>
        <v>67</v>
      </c>
      <c r="Z18" s="8">
        <f t="shared" si="13"/>
        <v>73</v>
      </c>
      <c r="AA18" s="859"/>
      <c r="AB18" s="859"/>
      <c r="AE18" s="358">
        <v>2775923</v>
      </c>
      <c r="AF18" s="571">
        <v>3.9626459379456849</v>
      </c>
      <c r="AG18" s="63">
        <v>82.495083617232893</v>
      </c>
      <c r="AH18" s="358">
        <v>12681087.018611111</v>
      </c>
      <c r="AI18" s="1188">
        <v>3.7063068750353589</v>
      </c>
      <c r="AJ18" s="63">
        <v>502.08629517766229</v>
      </c>
      <c r="AK18" s="984">
        <v>2016</v>
      </c>
      <c r="AL18" s="1047">
        <v>15702041.682896826</v>
      </c>
      <c r="AM18" s="1048">
        <v>4.5999999999999996</v>
      </c>
      <c r="AN18" s="771">
        <v>467.64619202343818</v>
      </c>
      <c r="AO18" s="1048">
        <v>4.5999999999999996</v>
      </c>
      <c r="AP18" s="771">
        <v>467.64619202343818</v>
      </c>
      <c r="AQ18" s="1047">
        <v>15702041.682896826</v>
      </c>
      <c r="AR18" s="1047">
        <v>4901197</v>
      </c>
      <c r="AS18" s="1983">
        <v>5.9169219274393585</v>
      </c>
      <c r="AT18" s="1984">
        <v>434.17965039968806</v>
      </c>
      <c r="AU18" s="1047">
        <f t="shared" si="5"/>
        <v>20603238.682896826</v>
      </c>
      <c r="AV18" s="1983">
        <v>4.9506779768887652</v>
      </c>
      <c r="AW18" s="771">
        <v>459.68501097170088</v>
      </c>
      <c r="AX18" s="771"/>
      <c r="AY18" s="771"/>
      <c r="AZ18" s="771"/>
      <c r="BA18" s="771">
        <v>1</v>
      </c>
      <c r="BB18" t="s">
        <v>5432</v>
      </c>
      <c r="BC18" s="1169">
        <f>1/102</f>
        <v>9.8039215686274508E-3</v>
      </c>
    </row>
    <row r="19" spans="1:142">
      <c r="A19" s="8">
        <v>2017</v>
      </c>
      <c r="B19" s="8">
        <v>5</v>
      </c>
      <c r="C19" s="8">
        <v>10</v>
      </c>
      <c r="D19" s="8">
        <v>7</v>
      </c>
      <c r="E19" s="8">
        <v>7</v>
      </c>
      <c r="F19" s="8">
        <v>8</v>
      </c>
      <c r="G19" s="8">
        <v>8</v>
      </c>
      <c r="H19" s="8">
        <v>3</v>
      </c>
      <c r="I19" s="1137">
        <v>6</v>
      </c>
      <c r="J19" s="8">
        <v>5</v>
      </c>
      <c r="K19" s="8">
        <v>4</v>
      </c>
      <c r="L19" s="8">
        <v>5</v>
      </c>
      <c r="M19" s="8">
        <v>4</v>
      </c>
      <c r="O19" s="8">
        <f t="shared" si="9"/>
        <v>5</v>
      </c>
      <c r="P19" s="8">
        <f t="shared" si="10"/>
        <v>15</v>
      </c>
      <c r="Q19" s="8">
        <f t="shared" si="13"/>
        <v>22</v>
      </c>
      <c r="R19" s="8">
        <f t="shared" si="13"/>
        <v>29</v>
      </c>
      <c r="S19" s="8">
        <f t="shared" si="13"/>
        <v>37</v>
      </c>
      <c r="T19" s="8">
        <f t="shared" si="13"/>
        <v>45</v>
      </c>
      <c r="U19" s="8">
        <f t="shared" si="13"/>
        <v>48</v>
      </c>
      <c r="V19" s="8">
        <f t="shared" si="13"/>
        <v>54</v>
      </c>
      <c r="W19" s="8">
        <f t="shared" si="13"/>
        <v>59</v>
      </c>
      <c r="X19" s="8">
        <f t="shared" si="13"/>
        <v>63</v>
      </c>
      <c r="Y19" s="8">
        <f t="shared" si="13"/>
        <v>68</v>
      </c>
      <c r="Z19" s="8">
        <f t="shared" si="13"/>
        <v>72</v>
      </c>
      <c r="AB19" s="859"/>
      <c r="AE19" s="358">
        <v>2854763</v>
      </c>
      <c r="AF19" s="571">
        <v>3.1526259798098826</v>
      </c>
      <c r="AG19" s="63">
        <v>102.28519845605398</v>
      </c>
      <c r="AH19" s="358">
        <v>13327483</v>
      </c>
      <c r="AI19" s="1188">
        <v>3.8266790511006468</v>
      </c>
      <c r="AJ19" s="63">
        <v>102.57000515401145</v>
      </c>
      <c r="AK19" s="984">
        <v>2017</v>
      </c>
      <c r="AL19" s="1047">
        <v>16206354</v>
      </c>
      <c r="AM19" s="1048">
        <v>4.4000000000000004</v>
      </c>
      <c r="AN19" s="771">
        <v>107.36529635228257</v>
      </c>
      <c r="AO19" s="1048">
        <v>4.4000000000000004</v>
      </c>
      <c r="AP19" s="771">
        <v>107.36529635228257</v>
      </c>
      <c r="AQ19" s="1047">
        <v>16206354</v>
      </c>
      <c r="AR19" s="1047">
        <v>4704666</v>
      </c>
      <c r="AS19" s="1983">
        <v>5.9</v>
      </c>
      <c r="AT19" s="1984">
        <v>203.84018759248798</v>
      </c>
      <c r="AU19" s="1047">
        <f t="shared" si="5"/>
        <v>20911020</v>
      </c>
      <c r="AV19" s="1983">
        <v>4.7</v>
      </c>
      <c r="AW19" s="771">
        <v>129.07070052058674</v>
      </c>
      <c r="AX19" s="771"/>
      <c r="AY19" s="771"/>
      <c r="AZ19" s="771"/>
      <c r="BA19" s="771">
        <v>0</v>
      </c>
      <c r="BC19" s="1169"/>
    </row>
    <row r="20" spans="1:142">
      <c r="A20" s="8">
        <v>2018</v>
      </c>
      <c r="B20" s="8">
        <v>9</v>
      </c>
      <c r="C20" s="8">
        <v>7</v>
      </c>
      <c r="D20" s="8">
        <v>4</v>
      </c>
      <c r="E20" s="8">
        <v>2</v>
      </c>
      <c r="F20" s="8">
        <v>11</v>
      </c>
      <c r="G20" s="8">
        <v>3</v>
      </c>
      <c r="H20" s="8">
        <v>7</v>
      </c>
      <c r="I20" s="1137">
        <v>6</v>
      </c>
      <c r="J20" s="8">
        <v>6</v>
      </c>
      <c r="K20" s="8">
        <v>3</v>
      </c>
      <c r="L20" s="8">
        <v>11</v>
      </c>
      <c r="M20" s="8">
        <v>2</v>
      </c>
      <c r="O20" s="8">
        <f>+B20</f>
        <v>9</v>
      </c>
      <c r="P20" s="8">
        <f t="shared" ref="P20:Z23" si="15">+O20+C20</f>
        <v>16</v>
      </c>
      <c r="Q20" s="8">
        <f t="shared" si="15"/>
        <v>20</v>
      </c>
      <c r="R20" s="8">
        <f t="shared" si="15"/>
        <v>22</v>
      </c>
      <c r="S20" s="8">
        <f t="shared" si="15"/>
        <v>33</v>
      </c>
      <c r="T20" s="8">
        <f t="shared" si="15"/>
        <v>36</v>
      </c>
      <c r="U20" s="8">
        <f t="shared" si="15"/>
        <v>43</v>
      </c>
      <c r="V20" s="8">
        <f t="shared" si="15"/>
        <v>49</v>
      </c>
      <c r="W20" s="8">
        <f t="shared" si="15"/>
        <v>55</v>
      </c>
      <c r="X20" s="8">
        <f t="shared" si="15"/>
        <v>58</v>
      </c>
      <c r="Y20" s="8">
        <f t="shared" si="15"/>
        <v>69</v>
      </c>
      <c r="Z20" s="8">
        <f t="shared" si="15"/>
        <v>71</v>
      </c>
      <c r="AB20" s="859"/>
      <c r="AE20" s="358">
        <v>3024876</v>
      </c>
      <c r="AF20" s="571">
        <v>2.3141444475740491</v>
      </c>
      <c r="AG20" s="63">
        <v>2055.9520456375731</v>
      </c>
      <c r="AH20" s="358">
        <v>13533397</v>
      </c>
      <c r="AI20" s="1188">
        <v>4.2118028459521284</v>
      </c>
      <c r="AJ20" s="63">
        <v>531.49996264795902</v>
      </c>
      <c r="AK20" s="984">
        <v>2018</v>
      </c>
      <c r="AL20" s="1047">
        <v>21060162</v>
      </c>
      <c r="AM20" s="2236">
        <v>4.2</v>
      </c>
      <c r="AN20" s="771">
        <v>446</v>
      </c>
      <c r="AO20" s="914">
        <v>4.2</v>
      </c>
      <c r="AP20" s="771">
        <v>445.95471164052367</v>
      </c>
      <c r="AQ20" s="1047">
        <v>16551008</v>
      </c>
      <c r="AR20" s="1047">
        <v>7488539</v>
      </c>
      <c r="AS20" s="1983">
        <v>4.2</v>
      </c>
      <c r="AT20" s="1984">
        <v>147.69236028549761</v>
      </c>
      <c r="AU20" s="1047">
        <v>20662778</v>
      </c>
      <c r="AV20" s="2237">
        <v>4.4000000000000004</v>
      </c>
      <c r="AW20" s="771">
        <v>378</v>
      </c>
      <c r="AX20" s="1047">
        <v>4509154</v>
      </c>
      <c r="AY20" s="914">
        <v>32.156808128531431</v>
      </c>
      <c r="AZ20" s="771">
        <v>602.33028191097492</v>
      </c>
      <c r="BA20" s="771">
        <v>1</v>
      </c>
      <c r="BB20" t="s">
        <v>5988</v>
      </c>
      <c r="BC20" s="1169">
        <f>1/248</f>
        <v>4.0322580645161289E-3</v>
      </c>
    </row>
    <row r="21" spans="1:142">
      <c r="A21" s="8">
        <v>2019</v>
      </c>
      <c r="B21" s="8">
        <v>7</v>
      </c>
      <c r="C21" s="8">
        <v>8</v>
      </c>
      <c r="D21" s="8">
        <v>5</v>
      </c>
      <c r="E21" s="8">
        <v>8</v>
      </c>
      <c r="F21" s="8">
        <v>9</v>
      </c>
      <c r="G21" s="8">
        <v>7</v>
      </c>
      <c r="H21" s="8">
        <v>9</v>
      </c>
      <c r="I21" s="1137">
        <v>6</v>
      </c>
      <c r="J21" s="8">
        <v>5</v>
      </c>
      <c r="K21" s="8">
        <v>7</v>
      </c>
      <c r="L21" s="8">
        <v>7</v>
      </c>
      <c r="M21" s="8">
        <v>5</v>
      </c>
      <c r="O21" s="8">
        <f>+B21</f>
        <v>7</v>
      </c>
      <c r="P21" s="8">
        <f t="shared" ref="P21:Z22" si="16">+O21+C21</f>
        <v>15</v>
      </c>
      <c r="Q21" s="8">
        <f t="shared" si="16"/>
        <v>20</v>
      </c>
      <c r="R21" s="8">
        <f t="shared" si="16"/>
        <v>28</v>
      </c>
      <c r="S21" s="8">
        <f t="shared" si="16"/>
        <v>37</v>
      </c>
      <c r="T21" s="8">
        <f t="shared" si="16"/>
        <v>44</v>
      </c>
      <c r="U21" s="8">
        <f t="shared" si="16"/>
        <v>53</v>
      </c>
      <c r="V21" s="8">
        <f t="shared" si="16"/>
        <v>59</v>
      </c>
      <c r="W21" s="8">
        <f t="shared" si="16"/>
        <v>64</v>
      </c>
      <c r="X21" s="8">
        <f t="shared" si="16"/>
        <v>71</v>
      </c>
      <c r="Y21" s="8">
        <f t="shared" si="16"/>
        <v>78</v>
      </c>
      <c r="Z21" s="8">
        <f t="shared" si="16"/>
        <v>83</v>
      </c>
      <c r="AB21" s="859"/>
      <c r="AE21" s="358">
        <v>3166552</v>
      </c>
      <c r="AF21" s="571">
        <v>1.8948054540080188</v>
      </c>
      <c r="AG21" s="63">
        <v>41.054118170173744</v>
      </c>
      <c r="AH21" s="358">
        <v>15310964</v>
      </c>
      <c r="AI21" s="1188">
        <v>4.2453238084812952</v>
      </c>
      <c r="AJ21" s="63">
        <v>498.98882918149371</v>
      </c>
      <c r="AK21" s="984">
        <v>2019</v>
      </c>
      <c r="AL21" s="1047">
        <v>23426932</v>
      </c>
      <c r="AM21" s="1048">
        <v>8.9</v>
      </c>
      <c r="AN21" s="771">
        <v>718.87347434141179</v>
      </c>
      <c r="AO21" s="914">
        <v>4.4000000000000004</v>
      </c>
      <c r="AP21" s="771">
        <v>445.52037055094127</v>
      </c>
      <c r="AQ21" s="1047">
        <v>18490737</v>
      </c>
      <c r="AR21" s="1047">
        <v>8259562</v>
      </c>
      <c r="AS21" s="1983">
        <v>3</v>
      </c>
      <c r="AT21" s="1984">
        <v>57.266959192267095</v>
      </c>
      <c r="AU21" s="1047">
        <f t="shared" si="5"/>
        <v>31686494</v>
      </c>
      <c r="AV21" s="1983">
        <v>7.3</v>
      </c>
      <c r="AW21" s="771">
        <v>546.4157694442307</v>
      </c>
      <c r="AX21" s="1047">
        <v>4936195</v>
      </c>
      <c r="AY21" s="914">
        <v>25.525733890172493</v>
      </c>
      <c r="AZ21" s="771">
        <v>1742.8403861678885</v>
      </c>
      <c r="BA21" s="771">
        <v>2</v>
      </c>
      <c r="BB21" t="s">
        <v>5265</v>
      </c>
      <c r="BC21" s="1169">
        <f>2/234</f>
        <v>8.5470085470085479E-3</v>
      </c>
    </row>
    <row r="22" spans="1:142">
      <c r="A22" s="675" t="s">
        <v>4341</v>
      </c>
      <c r="B22" s="8">
        <v>17</v>
      </c>
      <c r="C22" s="8">
        <v>17</v>
      </c>
      <c r="D22" s="8">
        <v>16</v>
      </c>
      <c r="E22" s="8">
        <v>16</v>
      </c>
      <c r="F22" s="8">
        <v>19</v>
      </c>
      <c r="G22" s="8">
        <v>17</v>
      </c>
      <c r="H22" s="8">
        <v>23</v>
      </c>
      <c r="I22" s="1137">
        <v>19</v>
      </c>
      <c r="J22" s="8">
        <v>22</v>
      </c>
      <c r="K22" s="8">
        <v>19</v>
      </c>
      <c r="L22" s="8">
        <v>15</v>
      </c>
      <c r="M22" s="8">
        <v>9</v>
      </c>
      <c r="O22" s="8">
        <f>+B22</f>
        <v>17</v>
      </c>
      <c r="P22" s="8">
        <f t="shared" si="16"/>
        <v>34</v>
      </c>
      <c r="Q22" s="8">
        <f t="shared" si="16"/>
        <v>50</v>
      </c>
      <c r="R22" s="8">
        <f t="shared" si="16"/>
        <v>66</v>
      </c>
      <c r="S22" s="8">
        <f t="shared" si="16"/>
        <v>85</v>
      </c>
      <c r="T22" s="8">
        <f t="shared" si="16"/>
        <v>102</v>
      </c>
      <c r="U22" s="8">
        <f t="shared" si="16"/>
        <v>125</v>
      </c>
      <c r="V22" s="8">
        <f t="shared" si="16"/>
        <v>144</v>
      </c>
      <c r="W22" s="8">
        <f t="shared" si="16"/>
        <v>166</v>
      </c>
      <c r="X22" s="8">
        <f t="shared" si="16"/>
        <v>185</v>
      </c>
      <c r="Y22" s="8">
        <f t="shared" si="16"/>
        <v>200</v>
      </c>
      <c r="Z22" s="8">
        <f t="shared" si="16"/>
        <v>209</v>
      </c>
      <c r="AB22" s="859"/>
      <c r="AE22" s="358">
        <v>3374158</v>
      </c>
      <c r="AF22" s="571">
        <v>0.88911070554490923</v>
      </c>
      <c r="AG22" s="63">
        <v>3.8528130573612733</v>
      </c>
      <c r="AH22" s="358">
        <v>16384917.48</v>
      </c>
      <c r="AI22" s="1188">
        <v>3.1736504052262093</v>
      </c>
      <c r="AJ22" s="63">
        <v>213.85521192139686</v>
      </c>
      <c r="AK22" s="984">
        <v>2020</v>
      </c>
      <c r="AL22" s="1047">
        <v>24694475.48</v>
      </c>
      <c r="AM22" s="1048">
        <v>6.6006666200305943</v>
      </c>
      <c r="AN22" s="771">
        <v>260.9895482582649</v>
      </c>
      <c r="AO22" s="914">
        <v>3.4314295490496374</v>
      </c>
      <c r="AP22" s="771">
        <v>212.53746714575138</v>
      </c>
      <c r="AQ22" s="1047">
        <v>18942542.48</v>
      </c>
      <c r="AR22" s="1047">
        <v>9055683</v>
      </c>
      <c r="AS22" s="1983">
        <v>2.8</v>
      </c>
      <c r="AT22" s="1984">
        <v>562.51969067380116</v>
      </c>
      <c r="AU22" s="1047">
        <f t="shared" si="5"/>
        <v>33750158.480000004</v>
      </c>
      <c r="AV22" s="1983">
        <v>5.5999737041827355</v>
      </c>
      <c r="AW22" s="771">
        <v>341.89469086013008</v>
      </c>
      <c r="AX22" s="1047">
        <v>5751933</v>
      </c>
      <c r="AY22" s="914">
        <v>17.037750613576339</v>
      </c>
      <c r="AZ22" s="771">
        <v>420.55427279837926</v>
      </c>
      <c r="BA22" s="771">
        <v>2</v>
      </c>
      <c r="BB22" t="s">
        <v>5433</v>
      </c>
      <c r="BC22" s="1169">
        <f>2/189</f>
        <v>1.0582010582010581E-2</v>
      </c>
    </row>
    <row r="23" spans="1:142">
      <c r="A23" s="8">
        <v>2020</v>
      </c>
      <c r="B23" s="8">
        <f>+'ACCIDENTES INCAPACITANTES'!CU27</f>
        <v>4</v>
      </c>
      <c r="C23" s="8">
        <f>+'ACCIDENTES INCAPACITANTES'!CU28</f>
        <v>7</v>
      </c>
      <c r="D23" s="8">
        <f>+'ACCIDENTES INCAPACITANTES'!CU29</f>
        <v>8</v>
      </c>
      <c r="E23" s="8">
        <f>+'ACCIDENTES INCAPACITANTES'!CU30</f>
        <v>6</v>
      </c>
      <c r="F23" s="8">
        <f>+'ACCIDENTES INCAPACITANTES'!CU31</f>
        <v>4</v>
      </c>
      <c r="G23" s="8">
        <f>+'ACCIDENTES INCAPACITANTES'!CU32</f>
        <v>1</v>
      </c>
      <c r="H23" s="8">
        <f>+'ACCIDENTES INCAPACITANTES'!CU33</f>
        <v>7</v>
      </c>
      <c r="I23" s="8">
        <f>+'ACCIDENTES INCAPACITANTES'!CU34</f>
        <v>7</v>
      </c>
      <c r="J23" s="8">
        <f>+'ACCIDENTES INCAPACITANTES'!CU35</f>
        <v>7</v>
      </c>
      <c r="K23" s="8">
        <f>+'ACCIDENTES INCAPACITANTES'!CU36</f>
        <v>7</v>
      </c>
      <c r="L23" s="8">
        <f>+'ACCIDENTES INCAPACITANTES'!CU37</f>
        <v>4</v>
      </c>
      <c r="M23" s="8">
        <f>+'ACCIDENTES INCAPACITANTES'!CU38</f>
        <v>3</v>
      </c>
      <c r="O23" s="8">
        <f>+B23</f>
        <v>4</v>
      </c>
      <c r="P23" s="8">
        <f t="shared" si="15"/>
        <v>11</v>
      </c>
      <c r="Q23" s="8">
        <f t="shared" si="15"/>
        <v>19</v>
      </c>
      <c r="R23" s="8">
        <f t="shared" si="15"/>
        <v>25</v>
      </c>
      <c r="S23" s="8">
        <f t="shared" si="15"/>
        <v>29</v>
      </c>
      <c r="T23" s="8">
        <f t="shared" si="15"/>
        <v>30</v>
      </c>
      <c r="U23" s="8">
        <f t="shared" si="15"/>
        <v>37</v>
      </c>
      <c r="V23" s="8">
        <f t="shared" si="15"/>
        <v>44</v>
      </c>
      <c r="W23" s="8">
        <f t="shared" si="15"/>
        <v>51</v>
      </c>
      <c r="X23" s="8">
        <f t="shared" si="15"/>
        <v>58</v>
      </c>
      <c r="Y23" s="8">
        <f t="shared" si="15"/>
        <v>62</v>
      </c>
      <c r="Z23" s="8">
        <f t="shared" si="15"/>
        <v>65</v>
      </c>
      <c r="AB23" s="859"/>
      <c r="AE23" s="358">
        <v>3615331</v>
      </c>
      <c r="AF23" s="571">
        <v>1.3829992329886254</v>
      </c>
      <c r="AG23" s="63">
        <v>12.170393250299904</v>
      </c>
      <c r="AH23" s="358">
        <v>17710955</v>
      </c>
      <c r="AI23" s="1188">
        <v>3.4441959792681986</v>
      </c>
      <c r="AJ23" s="63">
        <v>385.12886515718662</v>
      </c>
      <c r="AK23" s="984">
        <v>2021</v>
      </c>
      <c r="AL23" s="1047">
        <v>27270793</v>
      </c>
      <c r="AM23" s="1048">
        <v>5.4637208386276113</v>
      </c>
      <c r="AN23" s="1167">
        <v>313.48556677468088</v>
      </c>
      <c r="AO23" s="914">
        <v>3.5672097002302658</v>
      </c>
      <c r="AP23" s="771">
        <v>348.60923289647559</v>
      </c>
      <c r="AQ23" s="1047">
        <v>20464174</v>
      </c>
      <c r="AR23" s="1047">
        <v>8630668</v>
      </c>
      <c r="AS23" s="1983">
        <v>2.6</v>
      </c>
      <c r="AT23" s="1984">
        <v>40.437194432690497</v>
      </c>
      <c r="AU23" s="1047">
        <f t="shared" si="5"/>
        <v>35901461</v>
      </c>
      <c r="AV23" s="1983">
        <v>4.7908913790444352</v>
      </c>
      <c r="AW23" s="771">
        <v>247.84506680661269</v>
      </c>
      <c r="AX23" s="1047">
        <v>6806619</v>
      </c>
      <c r="AY23" s="914">
        <v>11.165602188105431</v>
      </c>
      <c r="AZ23" s="771">
        <v>207.88588284433138</v>
      </c>
      <c r="BA23" s="771">
        <v>1</v>
      </c>
      <c r="BB23" t="s">
        <v>11</v>
      </c>
      <c r="BC23" s="1169">
        <f>1/172</f>
        <v>5.8139534883720929E-3</v>
      </c>
    </row>
    <row r="24" spans="1:142">
      <c r="A24" s="1137">
        <v>2021</v>
      </c>
      <c r="B24" s="262">
        <f>+'ACCIDENTES INCAPACITANTES'!CU63</f>
        <v>7</v>
      </c>
      <c r="C24" s="262">
        <f>+'ACCIDENTES INCAPACITANTES'!CU64</f>
        <v>10</v>
      </c>
      <c r="D24" s="262">
        <f>+'ACCIDENTES INCAPACITANTES'!CU65</f>
        <v>5</v>
      </c>
      <c r="E24" s="262">
        <f>+'ACCIDENTES INCAPACITANTES'!CU66</f>
        <v>5</v>
      </c>
      <c r="F24" s="262">
        <f>+'ACCIDENTES INCAPACITANTES'!CU67</f>
        <v>4</v>
      </c>
      <c r="G24" s="262">
        <f>+'ACCIDENTES INCAPACITANTES'!CU68</f>
        <v>5</v>
      </c>
      <c r="H24" s="262">
        <f>+'ACCIDENTES INCAPACITANTES'!CU69</f>
        <v>9</v>
      </c>
      <c r="I24" s="262">
        <f>+'ACCIDENTES INCAPACITANTES'!CU70</f>
        <v>4</v>
      </c>
      <c r="J24" s="262">
        <f>+'ACCIDENTES INCAPACITANTES'!CU71</f>
        <v>6</v>
      </c>
      <c r="K24" s="262">
        <f>+'ACCIDENTES INCAPACITANTES'!CU72</f>
        <v>6</v>
      </c>
      <c r="L24" s="262">
        <f>+'ACCIDENTES INCAPACITANTES'!CU73</f>
        <v>3</v>
      </c>
      <c r="M24" s="262">
        <f>+'ACCIDENTES INCAPACITANTES'!CU74</f>
        <v>6</v>
      </c>
      <c r="O24" s="8">
        <f>+B24</f>
        <v>7</v>
      </c>
      <c r="P24" s="8">
        <f t="shared" ref="P24:Z27" si="17">+O24+C24</f>
        <v>17</v>
      </c>
      <c r="Q24" s="8">
        <f t="shared" si="17"/>
        <v>22</v>
      </c>
      <c r="R24" s="8">
        <f t="shared" si="17"/>
        <v>27</v>
      </c>
      <c r="S24" s="8">
        <f t="shared" si="17"/>
        <v>31</v>
      </c>
      <c r="T24" s="8">
        <f t="shared" si="17"/>
        <v>36</v>
      </c>
      <c r="U24" s="8">
        <f t="shared" si="17"/>
        <v>45</v>
      </c>
      <c r="V24" s="8">
        <f t="shared" si="17"/>
        <v>49</v>
      </c>
      <c r="W24" s="8">
        <f t="shared" si="17"/>
        <v>55</v>
      </c>
      <c r="X24" s="8">
        <f t="shared" si="17"/>
        <v>61</v>
      </c>
      <c r="Y24" s="8">
        <f t="shared" si="17"/>
        <v>64</v>
      </c>
      <c r="Z24" s="8">
        <f t="shared" si="17"/>
        <v>70</v>
      </c>
      <c r="AB24" s="859"/>
      <c r="AC24" s="242" t="s">
        <v>5529</v>
      </c>
      <c r="AD24" s="242" t="s">
        <v>5530</v>
      </c>
      <c r="AE24" s="358">
        <f>+INDICADORES!M16+INDICADORES!M17</f>
        <v>4664801.3400000073</v>
      </c>
      <c r="AF24" s="571">
        <f>(+INDICADORES!P16+INDICADORES!P17)*1000000/(INDICADORES!M16+INDICADORES!M17)</f>
        <v>1.9293426116191232</v>
      </c>
      <c r="AG24" s="63">
        <f>(+INDICADORES!O16+INDICADORES!O17)*1000000/(INDICADORES!M16+INDICADORES!M17)</f>
        <v>11.790427071005753</v>
      </c>
      <c r="AH24" s="358">
        <v>15723293</v>
      </c>
      <c r="AI24" s="1188">
        <v>2.6711961673677389</v>
      </c>
      <c r="AJ24" s="63">
        <v>50.434727636252788</v>
      </c>
      <c r="AK24" s="1510">
        <v>2022</v>
      </c>
      <c r="AL24" s="1047">
        <v>24767919.052472223</v>
      </c>
      <c r="AM24" s="1048">
        <v>3.5529831881946592</v>
      </c>
      <c r="AN24" s="1167">
        <v>102.10789185163969</v>
      </c>
      <c r="AO24" s="914"/>
      <c r="AP24" s="771"/>
      <c r="AQ24" s="1047"/>
      <c r="AR24" s="1047">
        <v>5575127.1771222251</v>
      </c>
      <c r="AS24" s="1983">
        <v>2.5111534777986058</v>
      </c>
      <c r="AT24" s="1984">
        <v>128.06882736772891</v>
      </c>
      <c r="AU24" s="1047">
        <v>30343046.229594447</v>
      </c>
      <c r="AV24" s="1983">
        <v>3.3615609727581162</v>
      </c>
      <c r="AW24" s="771">
        <v>106.87786504563304</v>
      </c>
      <c r="AX24" s="1047">
        <v>6370521</v>
      </c>
      <c r="AY24" s="914">
        <v>5.9649752351495273</v>
      </c>
      <c r="AZ24" s="771">
        <v>240.01176669851648</v>
      </c>
      <c r="BA24" s="771">
        <v>6</v>
      </c>
      <c r="BB24" s="242" t="s">
        <v>6164</v>
      </c>
      <c r="BC24" s="1169">
        <f>2/34</f>
        <v>5.8823529411764705E-2</v>
      </c>
    </row>
    <row r="25" spans="1:142">
      <c r="A25" s="675" t="s">
        <v>555</v>
      </c>
      <c r="B25" s="571">
        <v>6.5</v>
      </c>
      <c r="C25" s="571">
        <v>6.5</v>
      </c>
      <c r="D25" s="571">
        <v>6.5</v>
      </c>
      <c r="E25" s="571">
        <v>6.5</v>
      </c>
      <c r="F25" s="571">
        <v>6.5</v>
      </c>
      <c r="G25" s="571">
        <v>6.5</v>
      </c>
      <c r="H25" s="571">
        <v>6.5</v>
      </c>
      <c r="I25" s="571">
        <v>6.5</v>
      </c>
      <c r="J25" s="571">
        <v>6.5</v>
      </c>
      <c r="K25" s="571">
        <v>6.5</v>
      </c>
      <c r="L25" s="571">
        <v>6.5</v>
      </c>
      <c r="M25" s="571">
        <v>6.5</v>
      </c>
      <c r="O25" s="63">
        <f t="shared" si="9"/>
        <v>6.5</v>
      </c>
      <c r="P25" s="63">
        <f t="shared" si="17"/>
        <v>13</v>
      </c>
      <c r="Q25" s="63">
        <f t="shared" si="17"/>
        <v>19.5</v>
      </c>
      <c r="R25" s="63">
        <f t="shared" si="17"/>
        <v>26</v>
      </c>
      <c r="S25" s="63">
        <f t="shared" si="17"/>
        <v>32.5</v>
      </c>
      <c r="T25" s="63">
        <f t="shared" si="17"/>
        <v>39</v>
      </c>
      <c r="U25" s="63">
        <f t="shared" si="17"/>
        <v>45.5</v>
      </c>
      <c r="V25" s="63">
        <f t="shared" si="17"/>
        <v>52</v>
      </c>
      <c r="W25" s="63">
        <f t="shared" si="17"/>
        <v>58.5</v>
      </c>
      <c r="X25" s="63">
        <f t="shared" si="17"/>
        <v>65</v>
      </c>
      <c r="Y25" s="63">
        <f t="shared" si="17"/>
        <v>71.5</v>
      </c>
      <c r="Z25" s="63">
        <f t="shared" si="17"/>
        <v>78</v>
      </c>
      <c r="AE25" s="2031" t="s">
        <v>555</v>
      </c>
      <c r="AF25" s="1467" t="s">
        <v>5527</v>
      </c>
      <c r="AG25" s="675" t="s">
        <v>5526</v>
      </c>
      <c r="AH25" s="358">
        <f>+INDICADORES!M28</f>
        <v>15990843.251916673</v>
      </c>
      <c r="AI25" s="571">
        <f>+INDICADORES!S28</f>
        <v>3.8772189198070364</v>
      </c>
      <c r="AJ25" s="262">
        <f>+INDICADORES!T28</f>
        <v>121.31943071654275</v>
      </c>
      <c r="AK25" s="2026" t="s">
        <v>6014</v>
      </c>
      <c r="AL25" s="2027">
        <f>+INDICADORES!M39</f>
        <v>24521767.146916673</v>
      </c>
      <c r="AM25" s="2028">
        <f>+INDICADORES!S39</f>
        <v>3.5478682869288742</v>
      </c>
      <c r="AN25" s="2029">
        <f>+INDICADORES!T39</f>
        <v>135.10445557006162</v>
      </c>
      <c r="AO25" s="2030"/>
      <c r="AP25" s="2030"/>
      <c r="AQ25" s="2030"/>
      <c r="AR25" s="2027">
        <f>+INDICADORES!M61</f>
        <v>7268057.1394892521</v>
      </c>
      <c r="AS25" s="2028">
        <f>+INDICADORES!S61</f>
        <v>2.4765903259347399</v>
      </c>
      <c r="AT25" s="2029">
        <f>+INDICADORES!T61</f>
        <v>57.099165847939837</v>
      </c>
      <c r="AU25" s="2027">
        <f>+INDICADORES!M65</f>
        <v>31789824.286405925</v>
      </c>
      <c r="AV25" s="2028">
        <f>+INDICADORES!S65</f>
        <v>3.3029437046904491</v>
      </c>
      <c r="AW25" s="2029">
        <f>+INDICADORES!T65</f>
        <v>117.27022981986661</v>
      </c>
      <c r="AX25" s="2027">
        <f>+INDICADORES!M37</f>
        <v>5621621</v>
      </c>
      <c r="AY25" s="2028">
        <f>+INDICADORES!S37</f>
        <v>3.0240387959273667</v>
      </c>
      <c r="AZ25" s="2029">
        <f>+INDICADORES!T37</f>
        <v>223.95675553367971</v>
      </c>
      <c r="BA25" s="1040"/>
    </row>
    <row r="26" spans="1:142">
      <c r="A26" s="675" t="s">
        <v>4340</v>
      </c>
      <c r="B26" s="63">
        <f>+'ACCIDENTES INCAPACITANTES'!$CX27</f>
        <v>10</v>
      </c>
      <c r="C26" s="63">
        <f>+'ACCIDENTES INCAPACITANTES'!$CX28</f>
        <v>14</v>
      </c>
      <c r="D26" s="63">
        <f>+'ACCIDENTES INCAPACITANTES'!$CX29</f>
        <v>23</v>
      </c>
      <c r="E26" s="63">
        <f>+'ACCIDENTES INCAPACITANTES'!$CX30</f>
        <v>6</v>
      </c>
      <c r="F26" s="63">
        <f>+'ACCIDENTES INCAPACITANTES'!$CX31</f>
        <v>11</v>
      </c>
      <c r="G26" s="63">
        <f>+'ACCIDENTES INCAPACITANTES'!$CX32</f>
        <v>6</v>
      </c>
      <c r="H26" s="63">
        <f>+'ACCIDENTES INCAPACITANTES'!$CX33</f>
        <v>21</v>
      </c>
      <c r="I26" s="63">
        <f>+'ACCIDENTES INCAPACITANTES'!$CX34</f>
        <v>11</v>
      </c>
      <c r="J26" s="63">
        <f>+'ACCIDENTES INCAPACITANTES'!$CX35</f>
        <v>15</v>
      </c>
      <c r="K26" s="63">
        <f>+'ACCIDENTES INCAPACITANTES'!$CX36</f>
        <v>19</v>
      </c>
      <c r="L26" s="63">
        <f>+'ACCIDENTES INCAPACITANTES'!$CX37</f>
        <v>18</v>
      </c>
      <c r="M26" s="63">
        <f>+'ACCIDENTES INCAPACITANTES'!$CX38</f>
        <v>9</v>
      </c>
      <c r="O26" s="63">
        <f>+B26</f>
        <v>10</v>
      </c>
      <c r="P26" s="63">
        <f t="shared" si="17"/>
        <v>24</v>
      </c>
      <c r="Q26" s="63">
        <f t="shared" si="17"/>
        <v>47</v>
      </c>
      <c r="R26" s="63">
        <f t="shared" si="17"/>
        <v>53</v>
      </c>
      <c r="S26" s="63">
        <f t="shared" si="17"/>
        <v>64</v>
      </c>
      <c r="T26" s="63">
        <f t="shared" si="17"/>
        <v>70</v>
      </c>
      <c r="U26" s="63">
        <f t="shared" si="17"/>
        <v>91</v>
      </c>
      <c r="V26" s="63">
        <f t="shared" si="17"/>
        <v>102</v>
      </c>
      <c r="W26" s="63">
        <f t="shared" si="17"/>
        <v>117</v>
      </c>
      <c r="X26" s="63">
        <f t="shared" si="17"/>
        <v>136</v>
      </c>
      <c r="Y26" s="63">
        <f t="shared" si="17"/>
        <v>154</v>
      </c>
      <c r="Z26" s="63">
        <f t="shared" si="17"/>
        <v>163</v>
      </c>
      <c r="AD26" s="242" t="s">
        <v>5531</v>
      </c>
      <c r="AE26" s="2079">
        <f>1229107/1000000</f>
        <v>1.2291069999999999</v>
      </c>
      <c r="AF26" s="1467">
        <v>2.4</v>
      </c>
      <c r="AG26" s="63">
        <v>38</v>
      </c>
      <c r="AK26" s="2031" t="s">
        <v>555</v>
      </c>
      <c r="AL26" s="2030"/>
      <c r="AM26" s="2031" t="s">
        <v>5991</v>
      </c>
      <c r="AN26" s="2032">
        <f>+INDICADORES!AN39</f>
        <v>91</v>
      </c>
      <c r="AO26" s="2030"/>
      <c r="AP26" s="2030"/>
      <c r="AQ26" s="2030"/>
      <c r="AR26" s="2030"/>
      <c r="AS26" s="2028">
        <f>+INDICADORES!AJ61</f>
        <v>2.1474588403722263</v>
      </c>
      <c r="AT26" s="2032">
        <f>+INDICADORES!AN61</f>
        <v>97</v>
      </c>
      <c r="AU26" s="2030"/>
      <c r="AV26" s="1040">
        <v>4.9000000000000004</v>
      </c>
      <c r="AW26" s="1040">
        <v>117</v>
      </c>
      <c r="AX26" s="2030"/>
      <c r="AY26" s="1040">
        <f>+INDICADORES!AJ34</f>
        <v>0</v>
      </c>
      <c r="AZ26" s="2032">
        <f>+INDICADORES!AN34</f>
        <v>0</v>
      </c>
      <c r="BA26" s="2030"/>
    </row>
    <row r="27" spans="1:142">
      <c r="A27" s="675" t="s">
        <v>4490</v>
      </c>
      <c r="B27" s="8">
        <v>18</v>
      </c>
      <c r="C27" s="8">
        <v>8</v>
      </c>
      <c r="D27" s="8">
        <v>15</v>
      </c>
      <c r="E27" s="8">
        <v>7</v>
      </c>
      <c r="F27" s="8">
        <v>14</v>
      </c>
      <c r="G27" s="8">
        <v>13</v>
      </c>
      <c r="H27" s="8">
        <v>15</v>
      </c>
      <c r="I27" s="8">
        <v>12</v>
      </c>
      <c r="J27" s="8">
        <v>10</v>
      </c>
      <c r="K27" s="8">
        <v>18</v>
      </c>
      <c r="L27" s="8">
        <v>11</v>
      </c>
      <c r="M27" s="8">
        <v>8</v>
      </c>
      <c r="N27" s="8"/>
      <c r="O27" s="63">
        <f>+B27</f>
        <v>18</v>
      </c>
      <c r="P27" s="63">
        <f t="shared" si="17"/>
        <v>26</v>
      </c>
      <c r="Q27" s="63">
        <f t="shared" si="17"/>
        <v>41</v>
      </c>
      <c r="R27" s="63">
        <f t="shared" si="17"/>
        <v>48</v>
      </c>
      <c r="S27" s="63">
        <f t="shared" si="17"/>
        <v>62</v>
      </c>
      <c r="T27" s="63">
        <f t="shared" si="17"/>
        <v>75</v>
      </c>
      <c r="U27" s="63">
        <f t="shared" si="17"/>
        <v>90</v>
      </c>
      <c r="V27" s="63">
        <f t="shared" si="17"/>
        <v>102</v>
      </c>
      <c r="W27" s="63">
        <f t="shared" si="17"/>
        <v>112</v>
      </c>
      <c r="X27" s="63">
        <f t="shared" si="17"/>
        <v>130</v>
      </c>
      <c r="Y27" s="63">
        <f t="shared" si="17"/>
        <v>141</v>
      </c>
      <c r="Z27" s="63">
        <f t="shared" si="17"/>
        <v>149</v>
      </c>
      <c r="AD27" s="242" t="s">
        <v>5532</v>
      </c>
      <c r="AE27" s="479">
        <f>784864/1000000</f>
        <v>0.78486400000000001</v>
      </c>
      <c r="AF27" s="1467">
        <v>6.4</v>
      </c>
      <c r="AG27" s="63">
        <v>242</v>
      </c>
      <c r="AJ27" s="859"/>
      <c r="AK27" s="859"/>
      <c r="AL27" s="859"/>
      <c r="AM27" s="859"/>
      <c r="AN27" s="983"/>
      <c r="AO27" s="859"/>
      <c r="AP27" s="859"/>
      <c r="AQ27" s="859"/>
      <c r="AR27" s="859"/>
      <c r="AS27" s="859"/>
      <c r="AT27" s="859"/>
      <c r="AU27" s="859"/>
    </row>
    <row r="28" spans="1:142">
      <c r="A28" s="675" t="s">
        <v>5177</v>
      </c>
      <c r="B28" s="8">
        <v>5</v>
      </c>
      <c r="C28" s="8">
        <v>7</v>
      </c>
      <c r="D28" s="8">
        <v>15</v>
      </c>
      <c r="E28" s="8">
        <v>7</v>
      </c>
      <c r="F28" s="8">
        <v>2</v>
      </c>
      <c r="G28" s="8">
        <v>7</v>
      </c>
      <c r="H28" s="8">
        <v>8</v>
      </c>
      <c r="I28" s="8">
        <v>5</v>
      </c>
      <c r="J28" s="8">
        <v>3</v>
      </c>
      <c r="K28" s="8">
        <v>10</v>
      </c>
      <c r="L28" s="8">
        <v>12</v>
      </c>
      <c r="M28" s="8">
        <v>7</v>
      </c>
      <c r="N28" s="8"/>
      <c r="O28" s="63">
        <f>+B28</f>
        <v>5</v>
      </c>
      <c r="P28" s="63">
        <f t="shared" ref="P28:Z28" si="18">+O28+C28</f>
        <v>12</v>
      </c>
      <c r="Q28" s="63">
        <f t="shared" si="18"/>
        <v>27</v>
      </c>
      <c r="R28" s="63">
        <f t="shared" si="18"/>
        <v>34</v>
      </c>
      <c r="S28" s="63">
        <f t="shared" si="18"/>
        <v>36</v>
      </c>
      <c r="T28" s="63">
        <f t="shared" si="18"/>
        <v>43</v>
      </c>
      <c r="U28" s="63">
        <f t="shared" si="18"/>
        <v>51</v>
      </c>
      <c r="V28" s="63">
        <f t="shared" si="18"/>
        <v>56</v>
      </c>
      <c r="W28" s="63">
        <f t="shared" si="18"/>
        <v>59</v>
      </c>
      <c r="X28" s="63">
        <f t="shared" si="18"/>
        <v>69</v>
      </c>
      <c r="Y28" s="63">
        <f t="shared" si="18"/>
        <v>81</v>
      </c>
      <c r="Z28" s="63">
        <f t="shared" si="18"/>
        <v>88</v>
      </c>
      <c r="AD28" s="242"/>
      <c r="AE28" s="479"/>
      <c r="AF28" s="1467"/>
      <c r="AG28" s="63"/>
      <c r="AJ28" s="859"/>
      <c r="AK28" s="859"/>
      <c r="AL28" s="859"/>
      <c r="AM28" s="859"/>
      <c r="AN28" s="983"/>
      <c r="AO28" s="859"/>
      <c r="AP28" s="859"/>
      <c r="AQ28" s="859"/>
      <c r="AR28" s="859"/>
      <c r="AS28" s="859"/>
      <c r="AT28" s="859"/>
      <c r="AU28" s="859"/>
    </row>
    <row r="29" spans="1:142">
      <c r="A29" s="1137" t="s">
        <v>5726</v>
      </c>
      <c r="B29" s="63">
        <f>+'ACCIDENTES INCAPACITANTES'!$CX63</f>
        <v>11</v>
      </c>
      <c r="C29" s="63">
        <f>+'ACCIDENTES INCAPACITANTES'!$CX64</f>
        <v>11</v>
      </c>
      <c r="D29" s="63">
        <f>+'ACCIDENTES INCAPACITANTES'!$CX65</f>
        <v>5</v>
      </c>
      <c r="E29" s="63">
        <f>+'ACCIDENTES INCAPACITANTES'!$CX66</f>
        <v>5</v>
      </c>
      <c r="F29" s="63">
        <f>+'ACCIDENTES INCAPACITANTES'!$CX67</f>
        <v>5</v>
      </c>
      <c r="G29" s="63">
        <f>+'ACCIDENTES INCAPACITANTES'!$CX68</f>
        <v>5</v>
      </c>
      <c r="H29" s="63">
        <f>+'ACCIDENTES INCAPACITANTES'!$CX69</f>
        <v>10</v>
      </c>
      <c r="I29" s="63">
        <f>+'ACCIDENTES INCAPACITANTES'!$CX70</f>
        <v>7</v>
      </c>
      <c r="J29" s="63">
        <f>+'ACCIDENTES INCAPACITANTES'!$CX71</f>
        <v>8</v>
      </c>
      <c r="K29" s="63">
        <f>+'ACCIDENTES INCAPACITANTES'!$CX72</f>
        <v>7</v>
      </c>
      <c r="L29" s="63">
        <f>+'ACCIDENTES INCAPACITANTES'!$CX73</f>
        <v>6</v>
      </c>
      <c r="M29" s="63">
        <f>+'ACCIDENTES INCAPACITANTES'!$CX74</f>
        <v>7</v>
      </c>
      <c r="O29" s="63">
        <f>+B29</f>
        <v>11</v>
      </c>
      <c r="P29" s="63">
        <f t="shared" ref="P29:Y30" si="19">+O29+C29</f>
        <v>22</v>
      </c>
      <c r="Q29" s="63">
        <f t="shared" si="19"/>
        <v>27</v>
      </c>
      <c r="R29" s="63">
        <f t="shared" si="19"/>
        <v>32</v>
      </c>
      <c r="S29" s="63">
        <f t="shared" si="19"/>
        <v>37</v>
      </c>
      <c r="T29" s="63">
        <f t="shared" si="19"/>
        <v>42</v>
      </c>
      <c r="U29" s="63">
        <f t="shared" si="19"/>
        <v>52</v>
      </c>
      <c r="V29" s="63">
        <f t="shared" si="19"/>
        <v>59</v>
      </c>
      <c r="W29" s="63">
        <f t="shared" si="19"/>
        <v>67</v>
      </c>
      <c r="X29" s="63">
        <f t="shared" si="19"/>
        <v>74</v>
      </c>
      <c r="Y29" s="63">
        <f t="shared" si="19"/>
        <v>80</v>
      </c>
      <c r="Z29" s="63">
        <f>+Y29+M29</f>
        <v>87</v>
      </c>
      <c r="AD29" s="242" t="s">
        <v>5534</v>
      </c>
      <c r="AE29">
        <f>+AE24/7*12</f>
        <v>7996802.2971428707</v>
      </c>
      <c r="AF29" s="571">
        <f>8000000/AE29</f>
        <v>1.0003998726913972</v>
      </c>
      <c r="AG29" s="63">
        <f>237000000/AE29</f>
        <v>29.636846228482639</v>
      </c>
      <c r="AJ29" s="859"/>
      <c r="AK29" s="859"/>
      <c r="AL29" s="859"/>
      <c r="AM29" s="859"/>
      <c r="AN29" s="983"/>
      <c r="AO29" s="859"/>
      <c r="AP29" s="859"/>
      <c r="AQ29" s="859"/>
      <c r="AR29" s="859"/>
      <c r="AS29" s="859"/>
      <c r="AT29" s="859"/>
      <c r="AU29" s="859"/>
    </row>
    <row r="30" spans="1:142">
      <c r="A30" s="675" t="s">
        <v>555</v>
      </c>
      <c r="B30" s="571">
        <v>7</v>
      </c>
      <c r="C30" s="571">
        <v>7</v>
      </c>
      <c r="D30" s="571">
        <v>7</v>
      </c>
      <c r="E30" s="571">
        <v>7</v>
      </c>
      <c r="F30" s="571">
        <v>7</v>
      </c>
      <c r="G30" s="571">
        <v>7</v>
      </c>
      <c r="H30" s="571">
        <v>7</v>
      </c>
      <c r="I30" s="571">
        <v>7</v>
      </c>
      <c r="J30" s="571">
        <v>7</v>
      </c>
      <c r="K30" s="571">
        <v>7</v>
      </c>
      <c r="L30" s="571">
        <v>7</v>
      </c>
      <c r="M30" s="571">
        <v>7</v>
      </c>
      <c r="O30" s="63">
        <f>+B30</f>
        <v>7</v>
      </c>
      <c r="P30" s="63">
        <f t="shared" si="19"/>
        <v>14</v>
      </c>
      <c r="Q30" s="63">
        <f t="shared" si="19"/>
        <v>21</v>
      </c>
      <c r="R30" s="63">
        <f t="shared" si="19"/>
        <v>28</v>
      </c>
      <c r="S30" s="63">
        <f t="shared" si="19"/>
        <v>35</v>
      </c>
      <c r="T30" s="63">
        <f t="shared" si="19"/>
        <v>42</v>
      </c>
      <c r="U30" s="63">
        <f t="shared" si="19"/>
        <v>49</v>
      </c>
      <c r="V30" s="63">
        <f t="shared" si="19"/>
        <v>56</v>
      </c>
      <c r="W30" s="63">
        <f t="shared" si="19"/>
        <v>63</v>
      </c>
      <c r="X30" s="63">
        <f t="shared" si="19"/>
        <v>70</v>
      </c>
      <c r="Y30" s="63">
        <f t="shared" si="19"/>
        <v>77</v>
      </c>
      <c r="Z30" s="63">
        <f>+Y30+M30</f>
        <v>84</v>
      </c>
      <c r="AJ30" s="859"/>
      <c r="AK30" s="859"/>
      <c r="AL30" s="859"/>
      <c r="AM30" s="859"/>
      <c r="AN30" s="983"/>
      <c r="AO30" s="859"/>
      <c r="AP30" s="859"/>
      <c r="AQ30" s="859"/>
      <c r="AR30" s="859"/>
      <c r="AS30" s="859"/>
      <c r="AT30" s="859"/>
      <c r="AU30" s="859"/>
    </row>
    <row r="31" spans="1:142">
      <c r="O31" s="63">
        <f t="shared" ref="O31:Z31" si="20">+O29-O30</f>
        <v>4</v>
      </c>
      <c r="P31" s="63">
        <f t="shared" si="20"/>
        <v>8</v>
      </c>
      <c r="Q31" s="63">
        <f t="shared" si="20"/>
        <v>6</v>
      </c>
      <c r="R31" s="63">
        <f t="shared" si="20"/>
        <v>4</v>
      </c>
      <c r="S31" s="63">
        <f t="shared" si="20"/>
        <v>2</v>
      </c>
      <c r="T31" s="63">
        <f t="shared" si="20"/>
        <v>0</v>
      </c>
      <c r="U31" s="63">
        <f t="shared" si="20"/>
        <v>3</v>
      </c>
      <c r="V31" s="63">
        <f t="shared" si="20"/>
        <v>3</v>
      </c>
      <c r="W31" s="63">
        <f t="shared" si="20"/>
        <v>4</v>
      </c>
      <c r="X31" s="63">
        <f t="shared" si="20"/>
        <v>4</v>
      </c>
      <c r="Y31" s="63">
        <f t="shared" si="20"/>
        <v>3</v>
      </c>
      <c r="Z31" s="63">
        <f t="shared" si="20"/>
        <v>3</v>
      </c>
      <c r="AJ31" s="859"/>
      <c r="AK31" s="859"/>
      <c r="AL31" s="859"/>
      <c r="AM31" s="859"/>
      <c r="AN31" s="983"/>
      <c r="AO31" s="859"/>
      <c r="AP31" s="859"/>
      <c r="AQ31" s="859"/>
      <c r="AR31" s="859"/>
      <c r="AS31" s="859"/>
      <c r="AT31" s="859"/>
      <c r="AU31" s="859"/>
    </row>
    <row r="32" spans="1:142">
      <c r="A32" s="950" t="s">
        <v>581</v>
      </c>
      <c r="AB32" s="941"/>
      <c r="AJ32" s="859"/>
      <c r="AK32" s="859"/>
      <c r="AL32" s="859"/>
      <c r="AM32" s="859"/>
      <c r="AN32" s="983"/>
      <c r="AO32" s="859"/>
      <c r="AP32" s="859"/>
      <c r="AQ32" s="859"/>
      <c r="AR32" s="859"/>
      <c r="AS32" s="859"/>
      <c r="AT32" s="859"/>
      <c r="AU32" s="859"/>
      <c r="EL32" s="242"/>
    </row>
    <row r="33" spans="1:85">
      <c r="A33" s="8">
        <v>2009</v>
      </c>
      <c r="B33">
        <v>49</v>
      </c>
      <c r="C33">
        <v>37</v>
      </c>
      <c r="D33">
        <v>24</v>
      </c>
      <c r="E33">
        <v>25</v>
      </c>
      <c r="F33">
        <v>39</v>
      </c>
      <c r="G33">
        <v>6054</v>
      </c>
      <c r="H33">
        <v>51</v>
      </c>
      <c r="I33">
        <v>1827</v>
      </c>
      <c r="J33">
        <v>13</v>
      </c>
      <c r="K33">
        <v>52</v>
      </c>
      <c r="L33">
        <v>58</v>
      </c>
      <c r="M33">
        <v>2</v>
      </c>
      <c r="O33" s="8">
        <f t="shared" ref="O33:O60" si="21">+B33</f>
        <v>49</v>
      </c>
      <c r="P33" s="8">
        <f t="shared" ref="P33:P60" si="22">+O33+C33</f>
        <v>86</v>
      </c>
      <c r="Q33" s="8">
        <f t="shared" ref="Q33:Q60" si="23">+P33+D33</f>
        <v>110</v>
      </c>
      <c r="R33" s="8">
        <f t="shared" ref="R33:R60" si="24">+Q33+E33</f>
        <v>135</v>
      </c>
      <c r="S33" s="8">
        <f t="shared" ref="S33:S60" si="25">+R33+F33</f>
        <v>174</v>
      </c>
      <c r="T33" s="8">
        <f t="shared" ref="T33:T60" si="26">+S33+G33</f>
        <v>6228</v>
      </c>
      <c r="U33" s="8">
        <f t="shared" ref="U33:U60" si="27">+T33+H33</f>
        <v>6279</v>
      </c>
      <c r="V33" s="8">
        <f t="shared" ref="V33:V60" si="28">+U33+I33</f>
        <v>8106</v>
      </c>
      <c r="W33" s="8">
        <f t="shared" ref="W33:W60" si="29">+V33+J33</f>
        <v>8119</v>
      </c>
      <c r="X33" s="8">
        <f t="shared" ref="X33:X60" si="30">+W33+K33</f>
        <v>8171</v>
      </c>
      <c r="Y33" s="8">
        <f t="shared" ref="Y33:Y60" si="31">+X33+L33</f>
        <v>8229</v>
      </c>
      <c r="Z33" s="8">
        <f t="shared" ref="Z33:Z39" si="32">+Y33+M33</f>
        <v>8231</v>
      </c>
      <c r="AA33" s="358"/>
      <c r="AB33" s="941"/>
      <c r="AJ33" s="859"/>
      <c r="AK33" s="859"/>
      <c r="AL33" s="859"/>
      <c r="AM33" s="859"/>
      <c r="AN33" s="983"/>
      <c r="AO33" s="859"/>
      <c r="AP33" s="859"/>
      <c r="AQ33" s="859"/>
      <c r="AR33" s="859"/>
      <c r="AS33" s="859"/>
      <c r="AT33" s="859"/>
      <c r="AU33" s="859"/>
    </row>
    <row r="34" spans="1:85">
      <c r="A34" s="675">
        <v>2010</v>
      </c>
      <c r="B34">
        <v>90</v>
      </c>
      <c r="C34">
        <v>90</v>
      </c>
      <c r="D34">
        <v>146</v>
      </c>
      <c r="E34">
        <v>37</v>
      </c>
      <c r="F34">
        <v>35</v>
      </c>
      <c r="G34">
        <v>97</v>
      </c>
      <c r="H34">
        <v>166</v>
      </c>
      <c r="I34">
        <v>178</v>
      </c>
      <c r="J34">
        <v>43</v>
      </c>
      <c r="K34">
        <v>56</v>
      </c>
      <c r="L34">
        <v>0</v>
      </c>
      <c r="M34">
        <v>173</v>
      </c>
      <c r="O34" s="8">
        <f t="shared" si="21"/>
        <v>90</v>
      </c>
      <c r="P34" s="8">
        <f t="shared" si="22"/>
        <v>180</v>
      </c>
      <c r="Q34" s="8">
        <f t="shared" si="23"/>
        <v>326</v>
      </c>
      <c r="R34" s="8">
        <f t="shared" si="24"/>
        <v>363</v>
      </c>
      <c r="S34" s="8">
        <f t="shared" si="25"/>
        <v>398</v>
      </c>
      <c r="T34" s="8">
        <f t="shared" si="26"/>
        <v>495</v>
      </c>
      <c r="U34" s="8">
        <f t="shared" si="27"/>
        <v>661</v>
      </c>
      <c r="V34" s="8">
        <f t="shared" si="28"/>
        <v>839</v>
      </c>
      <c r="W34" s="8">
        <f t="shared" si="29"/>
        <v>882</v>
      </c>
      <c r="X34" s="8">
        <f t="shared" si="30"/>
        <v>938</v>
      </c>
      <c r="Y34" s="8">
        <f t="shared" si="31"/>
        <v>938</v>
      </c>
      <c r="Z34" s="8">
        <f t="shared" si="32"/>
        <v>1111</v>
      </c>
      <c r="AB34" s="941"/>
      <c r="AJ34" s="859"/>
      <c r="AK34" s="859"/>
      <c r="AL34" s="859"/>
      <c r="AM34" s="859"/>
      <c r="AN34" s="983"/>
      <c r="AO34" s="859"/>
      <c r="AP34" s="859"/>
      <c r="AQ34" s="859"/>
      <c r="AR34" s="859"/>
      <c r="AS34" s="859"/>
      <c r="AT34" s="859"/>
      <c r="AU34" s="859"/>
    </row>
    <row r="35" spans="1:85">
      <c r="A35" s="8">
        <v>2011</v>
      </c>
      <c r="B35">
        <v>254</v>
      </c>
      <c r="C35">
        <v>73</v>
      </c>
      <c r="D35">
        <v>65</v>
      </c>
      <c r="E35">
        <v>420</v>
      </c>
      <c r="F35">
        <v>460</v>
      </c>
      <c r="G35">
        <v>139</v>
      </c>
      <c r="H35">
        <v>59</v>
      </c>
      <c r="I35">
        <v>57</v>
      </c>
      <c r="J35">
        <v>399</v>
      </c>
      <c r="K35">
        <v>5</v>
      </c>
      <c r="L35">
        <v>160</v>
      </c>
      <c r="M35">
        <v>30</v>
      </c>
      <c r="O35" s="8">
        <f t="shared" si="21"/>
        <v>254</v>
      </c>
      <c r="P35" s="8">
        <f t="shared" si="22"/>
        <v>327</v>
      </c>
      <c r="Q35" s="8">
        <f t="shared" si="23"/>
        <v>392</v>
      </c>
      <c r="R35" s="8">
        <f t="shared" si="24"/>
        <v>812</v>
      </c>
      <c r="S35" s="8">
        <f t="shared" si="25"/>
        <v>1272</v>
      </c>
      <c r="T35" s="8">
        <f t="shared" si="26"/>
        <v>1411</v>
      </c>
      <c r="U35" s="8">
        <f t="shared" si="27"/>
        <v>1470</v>
      </c>
      <c r="V35" s="8">
        <f t="shared" si="28"/>
        <v>1527</v>
      </c>
      <c r="W35" s="8">
        <f t="shared" si="29"/>
        <v>1926</v>
      </c>
      <c r="X35" s="8">
        <f t="shared" si="30"/>
        <v>1931</v>
      </c>
      <c r="Y35" s="8">
        <f t="shared" si="31"/>
        <v>2091</v>
      </c>
      <c r="Z35" s="8">
        <f t="shared" si="32"/>
        <v>2121</v>
      </c>
      <c r="AB35" s="942"/>
      <c r="AJ35" s="859"/>
      <c r="AK35" s="859"/>
      <c r="AL35" s="859"/>
      <c r="AM35" s="859"/>
      <c r="AN35" s="983"/>
      <c r="AO35" s="859"/>
      <c r="AP35" s="859"/>
      <c r="AQ35" s="859"/>
      <c r="AR35" s="859"/>
      <c r="AS35" s="859"/>
      <c r="AT35" s="859"/>
      <c r="AU35" s="859"/>
    </row>
    <row r="36" spans="1:85">
      <c r="A36" s="8">
        <v>2012</v>
      </c>
      <c r="B36">
        <v>202</v>
      </c>
      <c r="C36">
        <v>15</v>
      </c>
      <c r="D36">
        <v>56</v>
      </c>
      <c r="E36">
        <v>15</v>
      </c>
      <c r="F36">
        <v>39</v>
      </c>
      <c r="G36">
        <v>67</v>
      </c>
      <c r="H36">
        <v>38</v>
      </c>
      <c r="I36">
        <v>81</v>
      </c>
      <c r="J36">
        <v>198</v>
      </c>
      <c r="K36">
        <v>12</v>
      </c>
      <c r="L36">
        <v>536</v>
      </c>
      <c r="M36">
        <v>44</v>
      </c>
      <c r="O36" s="8">
        <f t="shared" si="21"/>
        <v>202</v>
      </c>
      <c r="P36" s="8">
        <f t="shared" si="22"/>
        <v>217</v>
      </c>
      <c r="Q36" s="8">
        <f t="shared" si="23"/>
        <v>273</v>
      </c>
      <c r="R36" s="8">
        <f t="shared" si="24"/>
        <v>288</v>
      </c>
      <c r="S36" s="8">
        <f t="shared" si="25"/>
        <v>327</v>
      </c>
      <c r="T36" s="8">
        <f t="shared" si="26"/>
        <v>394</v>
      </c>
      <c r="U36" s="8">
        <f t="shared" si="27"/>
        <v>432</v>
      </c>
      <c r="V36" s="8">
        <f t="shared" si="28"/>
        <v>513</v>
      </c>
      <c r="W36" s="8">
        <f t="shared" si="29"/>
        <v>711</v>
      </c>
      <c r="X36" s="8">
        <f t="shared" si="30"/>
        <v>723</v>
      </c>
      <c r="Y36" s="8">
        <f t="shared" si="31"/>
        <v>1259</v>
      </c>
      <c r="Z36" s="8">
        <f t="shared" si="32"/>
        <v>1303</v>
      </c>
      <c r="AB36" s="941"/>
      <c r="AJ36" s="1035"/>
      <c r="AK36" s="859"/>
      <c r="AL36" s="859"/>
      <c r="AM36" s="859"/>
      <c r="AN36" s="983"/>
      <c r="AO36" s="859"/>
      <c r="AP36" s="859"/>
      <c r="AQ36" s="859"/>
      <c r="AR36" s="859"/>
      <c r="AS36" s="859"/>
      <c r="AT36" s="859"/>
      <c r="AU36" s="859"/>
    </row>
    <row r="37" spans="1:85">
      <c r="A37" s="675" t="s">
        <v>698</v>
      </c>
      <c r="B37" s="357">
        <v>0</v>
      </c>
      <c r="C37" s="357">
        <v>37</v>
      </c>
      <c r="D37" s="357">
        <v>74</v>
      </c>
      <c r="E37" s="357">
        <v>33</v>
      </c>
      <c r="F37" s="357">
        <v>36</v>
      </c>
      <c r="G37" s="357">
        <v>76</v>
      </c>
      <c r="H37" s="357">
        <v>72</v>
      </c>
      <c r="I37" s="357">
        <v>73</v>
      </c>
      <c r="J37" s="357">
        <v>100</v>
      </c>
      <c r="K37" s="357">
        <v>105</v>
      </c>
      <c r="L37" s="357">
        <v>111</v>
      </c>
      <c r="M37" s="357">
        <v>6097</v>
      </c>
      <c r="O37" s="8">
        <f t="shared" si="21"/>
        <v>0</v>
      </c>
      <c r="P37" s="8">
        <f t="shared" si="22"/>
        <v>37</v>
      </c>
      <c r="Q37" s="8">
        <f t="shared" si="23"/>
        <v>111</v>
      </c>
      <c r="R37" s="8">
        <f t="shared" si="24"/>
        <v>144</v>
      </c>
      <c r="S37" s="8">
        <f t="shared" si="25"/>
        <v>180</v>
      </c>
      <c r="T37" s="8">
        <f t="shared" si="26"/>
        <v>256</v>
      </c>
      <c r="U37" s="8">
        <f t="shared" si="27"/>
        <v>328</v>
      </c>
      <c r="V37" s="8">
        <f t="shared" si="28"/>
        <v>401</v>
      </c>
      <c r="W37" s="8">
        <f t="shared" si="29"/>
        <v>501</v>
      </c>
      <c r="X37" s="8">
        <f t="shared" si="30"/>
        <v>606</v>
      </c>
      <c r="Y37" s="8">
        <f t="shared" si="31"/>
        <v>717</v>
      </c>
      <c r="Z37" s="8">
        <f>+Y37+M37</f>
        <v>6814</v>
      </c>
      <c r="AB37" s="941"/>
      <c r="AJ37" s="859"/>
      <c r="AK37" s="859"/>
      <c r="AL37" s="859"/>
      <c r="AM37" s="859"/>
      <c r="AN37" s="983"/>
      <c r="AO37" s="859"/>
      <c r="AP37" s="859"/>
      <c r="AQ37" s="859"/>
      <c r="AR37" s="859"/>
      <c r="AS37" s="859"/>
      <c r="AT37" s="859"/>
      <c r="AU37" s="859"/>
    </row>
    <row r="38" spans="1:85">
      <c r="A38" s="645">
        <v>2012</v>
      </c>
      <c r="B38" s="357">
        <f>+B37+B36</f>
        <v>202</v>
      </c>
      <c r="C38" s="357">
        <f t="shared" ref="C38:M38" si="33">+C37+C36</f>
        <v>52</v>
      </c>
      <c r="D38" s="357">
        <f t="shared" si="33"/>
        <v>130</v>
      </c>
      <c r="E38" s="357">
        <f t="shared" si="33"/>
        <v>48</v>
      </c>
      <c r="F38" s="357">
        <f t="shared" si="33"/>
        <v>75</v>
      </c>
      <c r="G38" s="357">
        <f t="shared" si="33"/>
        <v>143</v>
      </c>
      <c r="H38" s="357">
        <f t="shared" si="33"/>
        <v>110</v>
      </c>
      <c r="I38" s="357">
        <f t="shared" si="33"/>
        <v>154</v>
      </c>
      <c r="J38" s="357">
        <f t="shared" si="33"/>
        <v>298</v>
      </c>
      <c r="K38" s="357">
        <f t="shared" si="33"/>
        <v>117</v>
      </c>
      <c r="L38" s="357">
        <f t="shared" si="33"/>
        <v>647</v>
      </c>
      <c r="M38" s="357">
        <f t="shared" si="33"/>
        <v>6141</v>
      </c>
      <c r="O38" s="8">
        <f t="shared" si="21"/>
        <v>202</v>
      </c>
      <c r="P38" s="8">
        <f t="shared" si="22"/>
        <v>254</v>
      </c>
      <c r="Q38" s="8">
        <f t="shared" si="23"/>
        <v>384</v>
      </c>
      <c r="R38" s="8">
        <f t="shared" si="24"/>
        <v>432</v>
      </c>
      <c r="S38" s="8">
        <f t="shared" si="25"/>
        <v>507</v>
      </c>
      <c r="T38" s="8">
        <f t="shared" si="26"/>
        <v>650</v>
      </c>
      <c r="U38" s="8">
        <f t="shared" si="27"/>
        <v>760</v>
      </c>
      <c r="V38" s="8">
        <f t="shared" si="28"/>
        <v>914</v>
      </c>
      <c r="W38" s="8">
        <f t="shared" si="29"/>
        <v>1212</v>
      </c>
      <c r="X38" s="8">
        <f t="shared" si="30"/>
        <v>1329</v>
      </c>
      <c r="Y38" s="8">
        <f t="shared" si="31"/>
        <v>1976</v>
      </c>
      <c r="Z38" s="8">
        <f>+Y38+M38</f>
        <v>8117</v>
      </c>
      <c r="AB38" s="941"/>
      <c r="AJ38" s="859"/>
      <c r="AK38" s="859"/>
      <c r="AL38" s="859"/>
      <c r="AM38" s="859"/>
      <c r="AN38" s="983"/>
      <c r="AO38" s="859"/>
      <c r="AP38" s="859"/>
      <c r="AQ38" s="859"/>
      <c r="AR38" s="859"/>
      <c r="AS38" s="859"/>
      <c r="AT38" s="859"/>
      <c r="AU38" s="859"/>
    </row>
    <row r="39" spans="1:85">
      <c r="A39" s="8">
        <v>2013</v>
      </c>
      <c r="B39">
        <v>114</v>
      </c>
      <c r="C39">
        <v>225</v>
      </c>
      <c r="D39">
        <v>98</v>
      </c>
      <c r="E39">
        <v>53</v>
      </c>
      <c r="F39">
        <v>133</v>
      </c>
      <c r="G39" s="938">
        <f>36+5</f>
        <v>41</v>
      </c>
      <c r="H39">
        <v>204</v>
      </c>
      <c r="I39">
        <v>15</v>
      </c>
      <c r="J39">
        <v>89</v>
      </c>
      <c r="K39" s="938">
        <f>45+60</f>
        <v>105</v>
      </c>
      <c r="L39">
        <v>139</v>
      </c>
      <c r="M39">
        <v>44</v>
      </c>
      <c r="O39" s="8">
        <f t="shared" si="21"/>
        <v>114</v>
      </c>
      <c r="P39" s="8">
        <f t="shared" si="22"/>
        <v>339</v>
      </c>
      <c r="Q39" s="8">
        <f t="shared" si="23"/>
        <v>437</v>
      </c>
      <c r="R39" s="8">
        <f t="shared" si="24"/>
        <v>490</v>
      </c>
      <c r="S39" s="8">
        <f t="shared" si="25"/>
        <v>623</v>
      </c>
      <c r="T39" s="8">
        <f t="shared" si="26"/>
        <v>664</v>
      </c>
      <c r="U39" s="8">
        <f t="shared" si="27"/>
        <v>868</v>
      </c>
      <c r="V39" s="8">
        <f t="shared" si="28"/>
        <v>883</v>
      </c>
      <c r="W39" s="8">
        <f t="shared" si="29"/>
        <v>972</v>
      </c>
      <c r="X39" s="8">
        <f t="shared" si="30"/>
        <v>1077</v>
      </c>
      <c r="Y39" s="8">
        <f t="shared" si="31"/>
        <v>1216</v>
      </c>
      <c r="Z39" s="8">
        <f t="shared" si="32"/>
        <v>1260</v>
      </c>
      <c r="AJ39" s="859"/>
      <c r="AK39" s="859"/>
      <c r="AL39" s="859"/>
      <c r="AM39" s="859"/>
      <c r="AN39" s="983"/>
      <c r="AO39" s="859"/>
      <c r="AP39" s="859"/>
      <c r="AQ39" s="859"/>
      <c r="AR39" s="859"/>
      <c r="AS39" s="859"/>
      <c r="AT39" s="859"/>
      <c r="AU39" s="859"/>
    </row>
    <row r="40" spans="1:85">
      <c r="A40" s="675" t="s">
        <v>700</v>
      </c>
      <c r="B40" s="938">
        <f>170+9</f>
        <v>179</v>
      </c>
      <c r="C40" s="938">
        <f>80+8</f>
        <v>88</v>
      </c>
      <c r="D40">
        <v>20</v>
      </c>
      <c r="E40">
        <v>2</v>
      </c>
      <c r="F40" s="938">
        <f>12+4</f>
        <v>16</v>
      </c>
      <c r="G40" s="938">
        <f>35+9</f>
        <v>44</v>
      </c>
      <c r="H40">
        <v>21</v>
      </c>
      <c r="I40">
        <v>0</v>
      </c>
      <c r="J40">
        <v>39</v>
      </c>
      <c r="K40">
        <v>10</v>
      </c>
      <c r="L40">
        <v>0</v>
      </c>
      <c r="M40">
        <v>17</v>
      </c>
      <c r="O40" s="8">
        <f t="shared" si="21"/>
        <v>179</v>
      </c>
      <c r="P40" s="8">
        <f t="shared" si="22"/>
        <v>267</v>
      </c>
      <c r="Q40" s="8">
        <f t="shared" si="23"/>
        <v>287</v>
      </c>
      <c r="R40" s="8">
        <f t="shared" si="24"/>
        <v>289</v>
      </c>
      <c r="S40" s="8">
        <f t="shared" si="25"/>
        <v>305</v>
      </c>
      <c r="T40" s="8">
        <f t="shared" si="26"/>
        <v>349</v>
      </c>
      <c r="U40" s="8">
        <f t="shared" si="27"/>
        <v>370</v>
      </c>
      <c r="V40" s="8">
        <f t="shared" si="28"/>
        <v>370</v>
      </c>
      <c r="W40" s="8">
        <f t="shared" si="29"/>
        <v>409</v>
      </c>
      <c r="X40" s="8">
        <f t="shared" si="30"/>
        <v>419</v>
      </c>
      <c r="Y40" s="8">
        <f t="shared" si="31"/>
        <v>419</v>
      </c>
      <c r="Z40" s="8">
        <f t="shared" ref="Z40:Z49" si="34">+Y40+M40</f>
        <v>436</v>
      </c>
      <c r="AJ40" s="859"/>
      <c r="AK40" s="859"/>
      <c r="AL40" s="859"/>
      <c r="AM40" s="859"/>
      <c r="AN40" s="983"/>
      <c r="AO40" s="859"/>
      <c r="AP40" s="859"/>
      <c r="AQ40" s="859"/>
      <c r="AR40" s="859"/>
      <c r="AS40" s="859"/>
      <c r="AT40" s="859"/>
      <c r="AU40" s="859"/>
    </row>
    <row r="41" spans="1:85">
      <c r="A41" s="645">
        <v>2013</v>
      </c>
      <c r="B41">
        <f t="shared" ref="B41:M41" si="35">+B40+B39</f>
        <v>293</v>
      </c>
      <c r="C41">
        <f t="shared" si="35"/>
        <v>313</v>
      </c>
      <c r="D41">
        <f t="shared" si="35"/>
        <v>118</v>
      </c>
      <c r="E41">
        <f t="shared" si="35"/>
        <v>55</v>
      </c>
      <c r="F41">
        <f t="shared" si="35"/>
        <v>149</v>
      </c>
      <c r="G41">
        <f t="shared" si="35"/>
        <v>85</v>
      </c>
      <c r="H41">
        <f t="shared" si="35"/>
        <v>225</v>
      </c>
      <c r="I41">
        <f t="shared" si="35"/>
        <v>15</v>
      </c>
      <c r="J41">
        <f t="shared" si="35"/>
        <v>128</v>
      </c>
      <c r="K41">
        <f t="shared" si="35"/>
        <v>115</v>
      </c>
      <c r="L41">
        <f t="shared" si="35"/>
        <v>139</v>
      </c>
      <c r="M41">
        <f t="shared" si="35"/>
        <v>61</v>
      </c>
      <c r="O41" s="8">
        <f t="shared" si="21"/>
        <v>293</v>
      </c>
      <c r="P41" s="8">
        <f t="shared" si="22"/>
        <v>606</v>
      </c>
      <c r="Q41" s="8">
        <f t="shared" si="23"/>
        <v>724</v>
      </c>
      <c r="R41" s="8">
        <f t="shared" si="24"/>
        <v>779</v>
      </c>
      <c r="S41" s="8">
        <f t="shared" si="25"/>
        <v>928</v>
      </c>
      <c r="T41" s="8">
        <f t="shared" si="26"/>
        <v>1013</v>
      </c>
      <c r="U41" s="8">
        <f t="shared" si="27"/>
        <v>1238</v>
      </c>
      <c r="V41" s="8">
        <f t="shared" si="28"/>
        <v>1253</v>
      </c>
      <c r="W41" s="8">
        <f t="shared" si="29"/>
        <v>1381</v>
      </c>
      <c r="X41" s="8">
        <f t="shared" si="30"/>
        <v>1496</v>
      </c>
      <c r="Y41" s="8">
        <f t="shared" si="31"/>
        <v>1635</v>
      </c>
      <c r="Z41" s="8">
        <f t="shared" si="34"/>
        <v>1696</v>
      </c>
      <c r="AJ41" s="859"/>
      <c r="AK41" s="859"/>
      <c r="AL41" s="859"/>
      <c r="AM41" s="859"/>
      <c r="AN41" s="983"/>
      <c r="AO41" s="859"/>
      <c r="AP41" s="859"/>
      <c r="AQ41" s="859"/>
      <c r="AR41" s="859"/>
      <c r="AS41" s="859"/>
      <c r="AT41" s="859"/>
      <c r="AU41" s="859"/>
    </row>
    <row r="42" spans="1:85" ht="15.75" customHeight="1">
      <c r="A42" s="8">
        <v>2014</v>
      </c>
      <c r="B42">
        <v>233</v>
      </c>
      <c r="C42">
        <v>38</v>
      </c>
      <c r="D42">
        <v>228</v>
      </c>
      <c r="E42">
        <v>102</v>
      </c>
      <c r="F42">
        <v>36</v>
      </c>
      <c r="G42">
        <v>40</v>
      </c>
      <c r="H42">
        <v>301</v>
      </c>
      <c r="I42">
        <v>92</v>
      </c>
      <c r="J42">
        <v>58</v>
      </c>
      <c r="K42">
        <f>158+10</f>
        <v>168</v>
      </c>
      <c r="L42">
        <f>155+90</f>
        <v>245</v>
      </c>
      <c r="M42">
        <v>180</v>
      </c>
      <c r="O42" s="8">
        <f t="shared" si="21"/>
        <v>233</v>
      </c>
      <c r="P42" s="8">
        <f t="shared" si="22"/>
        <v>271</v>
      </c>
      <c r="Q42" s="8">
        <f t="shared" si="23"/>
        <v>499</v>
      </c>
      <c r="R42" s="8">
        <f t="shared" si="24"/>
        <v>601</v>
      </c>
      <c r="S42" s="8">
        <f t="shared" si="25"/>
        <v>637</v>
      </c>
      <c r="T42" s="8">
        <f t="shared" si="26"/>
        <v>677</v>
      </c>
      <c r="U42" s="8">
        <f t="shared" si="27"/>
        <v>978</v>
      </c>
      <c r="V42" s="8">
        <f t="shared" si="28"/>
        <v>1070</v>
      </c>
      <c r="W42" s="8">
        <f t="shared" si="29"/>
        <v>1128</v>
      </c>
      <c r="X42" s="8">
        <f t="shared" si="30"/>
        <v>1296</v>
      </c>
      <c r="Y42" s="8">
        <f t="shared" si="31"/>
        <v>1541</v>
      </c>
      <c r="Z42" s="8">
        <f t="shared" si="34"/>
        <v>1721</v>
      </c>
      <c r="AB42" s="942">
        <v>0.35</v>
      </c>
      <c r="AJ42" s="859"/>
      <c r="AK42" s="859"/>
      <c r="AL42" s="859"/>
      <c r="AM42" s="859"/>
      <c r="AN42" s="983"/>
      <c r="AO42" s="859"/>
      <c r="AP42" s="859"/>
      <c r="AQ42" s="859"/>
      <c r="AR42" s="859"/>
      <c r="AS42" s="859"/>
      <c r="AT42" s="859"/>
      <c r="AU42" s="859"/>
    </row>
    <row r="43" spans="1:85">
      <c r="A43" s="8">
        <v>2015</v>
      </c>
      <c r="B43">
        <v>423</v>
      </c>
      <c r="C43">
        <v>83</v>
      </c>
      <c r="D43">
        <f>115+265</f>
        <v>380</v>
      </c>
      <c r="E43">
        <v>165</v>
      </c>
      <c r="F43">
        <v>5</v>
      </c>
      <c r="G43">
        <v>206</v>
      </c>
      <c r="H43">
        <v>35</v>
      </c>
      <c r="I43">
        <f>446+101</f>
        <v>547</v>
      </c>
      <c r="J43">
        <v>21</v>
      </c>
      <c r="K43">
        <v>6</v>
      </c>
      <c r="L43">
        <v>140</v>
      </c>
      <c r="M43">
        <f>40+60</f>
        <v>100</v>
      </c>
      <c r="O43" s="8">
        <f t="shared" si="21"/>
        <v>423</v>
      </c>
      <c r="P43" s="8">
        <f t="shared" si="22"/>
        <v>506</v>
      </c>
      <c r="Q43" s="8">
        <f t="shared" si="23"/>
        <v>886</v>
      </c>
      <c r="R43" s="8">
        <f t="shared" si="24"/>
        <v>1051</v>
      </c>
      <c r="S43" s="8">
        <f t="shared" si="25"/>
        <v>1056</v>
      </c>
      <c r="T43" s="8">
        <f t="shared" si="26"/>
        <v>1262</v>
      </c>
      <c r="U43" s="8">
        <f t="shared" si="27"/>
        <v>1297</v>
      </c>
      <c r="V43" s="8">
        <f t="shared" si="28"/>
        <v>1844</v>
      </c>
      <c r="W43" s="8">
        <f t="shared" si="29"/>
        <v>1865</v>
      </c>
      <c r="X43" s="8">
        <f t="shared" si="30"/>
        <v>1871</v>
      </c>
      <c r="Y43" s="8">
        <f t="shared" si="31"/>
        <v>2011</v>
      </c>
      <c r="Z43" s="8">
        <f t="shared" si="34"/>
        <v>2111</v>
      </c>
      <c r="AJ43" s="859"/>
      <c r="AK43" s="859"/>
      <c r="AL43" s="859"/>
      <c r="AM43" s="859"/>
      <c r="AN43" s="983"/>
      <c r="AO43" s="859"/>
      <c r="AP43" s="859"/>
      <c r="AQ43" s="859"/>
      <c r="AR43" s="859"/>
      <c r="AS43" s="859"/>
      <c r="AT43" s="859"/>
      <c r="AU43" s="859"/>
      <c r="CG43" t="s">
        <v>5266</v>
      </c>
    </row>
    <row r="44" spans="1:85">
      <c r="A44" s="8" t="s">
        <v>1074</v>
      </c>
      <c r="B44">
        <v>16</v>
      </c>
      <c r="C44">
        <v>0</v>
      </c>
      <c r="D44">
        <v>0</v>
      </c>
      <c r="E44">
        <v>20</v>
      </c>
      <c r="F44">
        <v>0</v>
      </c>
      <c r="G44">
        <v>3</v>
      </c>
      <c r="H44">
        <v>28</v>
      </c>
      <c r="I44">
        <v>10</v>
      </c>
      <c r="J44">
        <v>2</v>
      </c>
      <c r="K44">
        <v>1</v>
      </c>
      <c r="L44">
        <v>12</v>
      </c>
      <c r="M44">
        <v>0</v>
      </c>
      <c r="O44" s="8">
        <f t="shared" si="21"/>
        <v>16</v>
      </c>
      <c r="P44" s="8">
        <f t="shared" si="22"/>
        <v>16</v>
      </c>
      <c r="Q44" s="8">
        <f t="shared" si="23"/>
        <v>16</v>
      </c>
      <c r="R44" s="8">
        <f t="shared" si="24"/>
        <v>36</v>
      </c>
      <c r="S44" s="8">
        <f t="shared" si="25"/>
        <v>36</v>
      </c>
      <c r="T44" s="8">
        <f t="shared" si="26"/>
        <v>39</v>
      </c>
      <c r="U44" s="8">
        <f t="shared" si="27"/>
        <v>67</v>
      </c>
      <c r="V44" s="8">
        <f t="shared" si="28"/>
        <v>77</v>
      </c>
      <c r="W44" s="8">
        <f t="shared" si="29"/>
        <v>79</v>
      </c>
      <c r="X44" s="8">
        <f t="shared" si="30"/>
        <v>80</v>
      </c>
      <c r="Y44" s="8">
        <f t="shared" si="31"/>
        <v>92</v>
      </c>
      <c r="Z44" s="8">
        <f t="shared" si="34"/>
        <v>92</v>
      </c>
      <c r="AJ44" s="859"/>
      <c r="AK44" s="859"/>
      <c r="AL44" s="859"/>
      <c r="AM44" s="859"/>
      <c r="AN44" s="983"/>
      <c r="AO44" s="859"/>
      <c r="AP44" s="859"/>
      <c r="AQ44" s="859"/>
      <c r="AR44" s="859"/>
      <c r="AS44" s="859"/>
      <c r="AT44" s="859"/>
      <c r="AU44" s="859"/>
      <c r="BT44" t="s">
        <v>5266</v>
      </c>
    </row>
    <row r="45" spans="1:85">
      <c r="A45" s="675" t="s">
        <v>1981</v>
      </c>
      <c r="B45">
        <f t="shared" ref="B45:M45" si="36">+B44+B43</f>
        <v>439</v>
      </c>
      <c r="C45">
        <f t="shared" si="36"/>
        <v>83</v>
      </c>
      <c r="D45">
        <f t="shared" si="36"/>
        <v>380</v>
      </c>
      <c r="E45">
        <f t="shared" si="36"/>
        <v>185</v>
      </c>
      <c r="F45">
        <f t="shared" si="36"/>
        <v>5</v>
      </c>
      <c r="G45">
        <f t="shared" si="36"/>
        <v>209</v>
      </c>
      <c r="H45">
        <f t="shared" si="36"/>
        <v>63</v>
      </c>
      <c r="I45">
        <f t="shared" si="36"/>
        <v>557</v>
      </c>
      <c r="J45">
        <f t="shared" si="36"/>
        <v>23</v>
      </c>
      <c r="K45">
        <f t="shared" si="36"/>
        <v>7</v>
      </c>
      <c r="L45">
        <f t="shared" si="36"/>
        <v>152</v>
      </c>
      <c r="M45">
        <f t="shared" si="36"/>
        <v>100</v>
      </c>
      <c r="O45" s="8">
        <f t="shared" si="21"/>
        <v>439</v>
      </c>
      <c r="P45" s="8">
        <f t="shared" si="22"/>
        <v>522</v>
      </c>
      <c r="Q45" s="8">
        <f t="shared" si="23"/>
        <v>902</v>
      </c>
      <c r="R45" s="8">
        <f t="shared" si="24"/>
        <v>1087</v>
      </c>
      <c r="S45" s="8">
        <f t="shared" si="25"/>
        <v>1092</v>
      </c>
      <c r="T45" s="8">
        <f t="shared" si="26"/>
        <v>1301</v>
      </c>
      <c r="U45" s="8">
        <f t="shared" si="27"/>
        <v>1364</v>
      </c>
      <c r="V45" s="8">
        <f t="shared" si="28"/>
        <v>1921</v>
      </c>
      <c r="W45" s="8">
        <f t="shared" si="29"/>
        <v>1944</v>
      </c>
      <c r="X45" s="8">
        <f t="shared" si="30"/>
        <v>1951</v>
      </c>
      <c r="Y45" s="8">
        <f t="shared" si="31"/>
        <v>2103</v>
      </c>
      <c r="Z45" s="8">
        <f t="shared" si="34"/>
        <v>2203</v>
      </c>
      <c r="AJ45" s="859"/>
      <c r="AK45" s="859"/>
      <c r="AL45" s="859"/>
      <c r="AM45" s="859"/>
      <c r="AN45" s="983"/>
      <c r="AO45" s="859"/>
      <c r="AP45" s="859"/>
      <c r="AQ45" s="859"/>
      <c r="AR45" s="859"/>
      <c r="AS45" s="859"/>
      <c r="AT45" s="859"/>
      <c r="AU45" s="859"/>
    </row>
    <row r="46" spans="1:85">
      <c r="A46" s="675" t="s">
        <v>2006</v>
      </c>
      <c r="B46">
        <v>213</v>
      </c>
      <c r="C46">
        <v>53</v>
      </c>
      <c r="D46">
        <f>79+75</f>
        <v>154</v>
      </c>
      <c r="E46">
        <v>248</v>
      </c>
      <c r="F46">
        <v>239</v>
      </c>
      <c r="G46">
        <v>196</v>
      </c>
      <c r="H46">
        <v>398</v>
      </c>
      <c r="I46">
        <v>483</v>
      </c>
      <c r="J46">
        <v>33</v>
      </c>
      <c r="K46">
        <v>5262</v>
      </c>
      <c r="L46">
        <v>3</v>
      </c>
      <c r="M46">
        <v>47</v>
      </c>
      <c r="O46" s="8">
        <f t="shared" si="21"/>
        <v>213</v>
      </c>
      <c r="P46" s="8">
        <f t="shared" si="22"/>
        <v>266</v>
      </c>
      <c r="Q46" s="8">
        <f t="shared" si="23"/>
        <v>420</v>
      </c>
      <c r="R46" s="8">
        <f t="shared" si="24"/>
        <v>668</v>
      </c>
      <c r="S46" s="8">
        <f t="shared" si="25"/>
        <v>907</v>
      </c>
      <c r="T46" s="8">
        <f t="shared" si="26"/>
        <v>1103</v>
      </c>
      <c r="U46" s="8">
        <f t="shared" si="27"/>
        <v>1501</v>
      </c>
      <c r="V46" s="8">
        <f t="shared" si="28"/>
        <v>1984</v>
      </c>
      <c r="W46" s="8">
        <f t="shared" si="29"/>
        <v>2017</v>
      </c>
      <c r="X46" s="8">
        <f t="shared" si="30"/>
        <v>7279</v>
      </c>
      <c r="Y46" s="8">
        <f t="shared" si="31"/>
        <v>7282</v>
      </c>
      <c r="Z46" s="8">
        <f t="shared" si="34"/>
        <v>7329</v>
      </c>
      <c r="AJ46" s="859"/>
      <c r="AK46" s="859"/>
      <c r="AL46" s="859"/>
      <c r="AM46" s="859"/>
      <c r="AN46" s="983"/>
      <c r="AO46" s="859"/>
      <c r="AP46" s="859"/>
      <c r="AQ46" s="859"/>
      <c r="AR46" s="859"/>
      <c r="AS46" s="859"/>
      <c r="AT46" s="859"/>
      <c r="AU46" s="859"/>
    </row>
    <row r="47" spans="1:85">
      <c r="A47" s="675" t="s">
        <v>2007</v>
      </c>
      <c r="D47" s="357"/>
      <c r="E47" s="357"/>
      <c r="F47" s="357"/>
      <c r="G47" s="357"/>
      <c r="H47" s="357"/>
      <c r="I47" s="1134">
        <v>6</v>
      </c>
      <c r="J47" s="357"/>
      <c r="L47" s="708">
        <v>8</v>
      </c>
      <c r="M47" s="357"/>
      <c r="O47" s="8">
        <f t="shared" si="21"/>
        <v>0</v>
      </c>
      <c r="P47" s="8">
        <f t="shared" si="22"/>
        <v>0</v>
      </c>
      <c r="Q47" s="8">
        <f t="shared" si="23"/>
        <v>0</v>
      </c>
      <c r="R47" s="8">
        <f t="shared" si="24"/>
        <v>0</v>
      </c>
      <c r="S47" s="8">
        <f t="shared" si="25"/>
        <v>0</v>
      </c>
      <c r="T47" s="8">
        <f t="shared" si="26"/>
        <v>0</v>
      </c>
      <c r="U47" s="8">
        <f t="shared" si="27"/>
        <v>0</v>
      </c>
      <c r="V47" s="8">
        <f t="shared" si="28"/>
        <v>6</v>
      </c>
      <c r="W47" s="8">
        <f t="shared" si="29"/>
        <v>6</v>
      </c>
      <c r="X47" s="8">
        <f t="shared" si="30"/>
        <v>6</v>
      </c>
      <c r="Y47" s="8">
        <f t="shared" si="31"/>
        <v>14</v>
      </c>
      <c r="Z47" s="8">
        <f t="shared" si="34"/>
        <v>14</v>
      </c>
      <c r="AB47" s="859"/>
      <c r="AJ47" s="859"/>
      <c r="AK47" s="859"/>
      <c r="AL47" s="859"/>
      <c r="AM47" s="859"/>
      <c r="AN47" s="983"/>
      <c r="AO47" s="859"/>
      <c r="AP47" s="859"/>
      <c r="AQ47" s="859"/>
      <c r="AR47" s="859"/>
      <c r="AS47" s="859"/>
      <c r="AT47" s="859"/>
      <c r="AU47" s="859"/>
    </row>
    <row r="48" spans="1:85">
      <c r="A48" s="8">
        <v>2016</v>
      </c>
      <c r="B48">
        <f>+B47+B46</f>
        <v>213</v>
      </c>
      <c r="C48">
        <f t="shared" ref="C48:M48" si="37">+C47+C46</f>
        <v>53</v>
      </c>
      <c r="D48">
        <f t="shared" si="37"/>
        <v>154</v>
      </c>
      <c r="E48">
        <f t="shared" si="37"/>
        <v>248</v>
      </c>
      <c r="F48">
        <f t="shared" si="37"/>
        <v>239</v>
      </c>
      <c r="G48">
        <f t="shared" si="37"/>
        <v>196</v>
      </c>
      <c r="H48">
        <f t="shared" si="37"/>
        <v>398</v>
      </c>
      <c r="I48">
        <f t="shared" si="37"/>
        <v>489</v>
      </c>
      <c r="J48">
        <f t="shared" si="37"/>
        <v>33</v>
      </c>
      <c r="K48">
        <f t="shared" si="37"/>
        <v>5262</v>
      </c>
      <c r="L48">
        <f t="shared" si="37"/>
        <v>11</v>
      </c>
      <c r="M48">
        <f t="shared" si="37"/>
        <v>47</v>
      </c>
      <c r="O48" s="8">
        <f t="shared" si="21"/>
        <v>213</v>
      </c>
      <c r="P48" s="8">
        <f t="shared" si="22"/>
        <v>266</v>
      </c>
      <c r="Q48" s="8">
        <f t="shared" si="23"/>
        <v>420</v>
      </c>
      <c r="R48" s="8">
        <f t="shared" si="24"/>
        <v>668</v>
      </c>
      <c r="S48" s="8">
        <f t="shared" si="25"/>
        <v>907</v>
      </c>
      <c r="T48" s="8">
        <f t="shared" si="26"/>
        <v>1103</v>
      </c>
      <c r="U48" s="8">
        <f t="shared" si="27"/>
        <v>1501</v>
      </c>
      <c r="V48" s="8">
        <f t="shared" si="28"/>
        <v>1990</v>
      </c>
      <c r="W48" s="8">
        <f t="shared" si="29"/>
        <v>2023</v>
      </c>
      <c r="X48" s="8">
        <f t="shared" si="30"/>
        <v>7285</v>
      </c>
      <c r="Y48" s="8">
        <f t="shared" si="31"/>
        <v>7296</v>
      </c>
      <c r="Z48" s="8">
        <f t="shared" si="34"/>
        <v>7343</v>
      </c>
      <c r="AB48" s="859"/>
      <c r="AJ48" s="859"/>
      <c r="AK48" s="859"/>
      <c r="AL48" s="859"/>
      <c r="AM48" s="859"/>
      <c r="AN48" s="983"/>
      <c r="AO48" s="859"/>
      <c r="AP48" s="859"/>
      <c r="AQ48" s="859"/>
      <c r="AR48" s="859"/>
      <c r="AS48" s="859"/>
      <c r="AT48" s="859"/>
      <c r="AU48" s="859"/>
    </row>
    <row r="49" spans="1:51">
      <c r="A49" s="8">
        <v>2017</v>
      </c>
      <c r="B49">
        <v>24</v>
      </c>
      <c r="C49">
        <v>54</v>
      </c>
      <c r="D49">
        <v>119</v>
      </c>
      <c r="E49">
        <v>191</v>
      </c>
      <c r="F49">
        <v>407</v>
      </c>
      <c r="G49">
        <v>224</v>
      </c>
      <c r="H49">
        <v>158</v>
      </c>
      <c r="I49">
        <v>228</v>
      </c>
      <c r="J49">
        <v>161</v>
      </c>
      <c r="K49">
        <v>36</v>
      </c>
      <c r="L49">
        <v>107</v>
      </c>
      <c r="M49">
        <v>31</v>
      </c>
      <c r="O49" s="8">
        <f t="shared" si="21"/>
        <v>24</v>
      </c>
      <c r="P49" s="8">
        <f t="shared" si="22"/>
        <v>78</v>
      </c>
      <c r="Q49" s="8">
        <f t="shared" si="23"/>
        <v>197</v>
      </c>
      <c r="R49" s="8">
        <f t="shared" si="24"/>
        <v>388</v>
      </c>
      <c r="S49" s="8">
        <f t="shared" si="25"/>
        <v>795</v>
      </c>
      <c r="T49" s="8">
        <f t="shared" si="26"/>
        <v>1019</v>
      </c>
      <c r="U49" s="8">
        <f t="shared" si="27"/>
        <v>1177</v>
      </c>
      <c r="V49" s="8">
        <f t="shared" si="28"/>
        <v>1405</v>
      </c>
      <c r="W49" s="8">
        <f t="shared" si="29"/>
        <v>1566</v>
      </c>
      <c r="X49" s="8">
        <f t="shared" si="30"/>
        <v>1602</v>
      </c>
      <c r="Y49" s="8">
        <f t="shared" si="31"/>
        <v>1709</v>
      </c>
      <c r="Z49" s="8">
        <f t="shared" si="34"/>
        <v>1740</v>
      </c>
      <c r="AB49" s="859"/>
      <c r="AJ49" s="859"/>
      <c r="AK49" s="859"/>
      <c r="AL49" s="859"/>
      <c r="AM49" s="859"/>
      <c r="AN49" s="983"/>
      <c r="AO49" s="859"/>
      <c r="AP49" s="859"/>
      <c r="AQ49" s="859"/>
      <c r="AR49" s="859"/>
      <c r="AS49" s="859"/>
      <c r="AT49" s="859"/>
      <c r="AU49" s="859"/>
    </row>
    <row r="50" spans="1:51">
      <c r="A50" s="8">
        <v>2018</v>
      </c>
      <c r="B50">
        <v>130</v>
      </c>
      <c r="C50">
        <v>160</v>
      </c>
      <c r="D50">
        <v>203</v>
      </c>
      <c r="E50">
        <v>8</v>
      </c>
      <c r="F50">
        <v>235</v>
      </c>
      <c r="G50">
        <v>102</v>
      </c>
      <c r="H50">
        <v>205</v>
      </c>
      <c r="I50">
        <f>113+13</f>
        <v>126</v>
      </c>
      <c r="J50">
        <f>85+14</f>
        <v>99</v>
      </c>
      <c r="K50">
        <v>40</v>
      </c>
      <c r="L50">
        <v>6055</v>
      </c>
      <c r="M50">
        <v>12</v>
      </c>
      <c r="O50" s="8">
        <f t="shared" si="21"/>
        <v>130</v>
      </c>
      <c r="P50" s="8">
        <f t="shared" si="22"/>
        <v>290</v>
      </c>
      <c r="Q50" s="8">
        <f t="shared" si="23"/>
        <v>493</v>
      </c>
      <c r="R50" s="8">
        <f t="shared" si="24"/>
        <v>501</v>
      </c>
      <c r="S50" s="8">
        <f t="shared" si="25"/>
        <v>736</v>
      </c>
      <c r="T50" s="8">
        <f t="shared" si="26"/>
        <v>838</v>
      </c>
      <c r="U50" s="8">
        <f t="shared" si="27"/>
        <v>1043</v>
      </c>
      <c r="V50" s="8">
        <f t="shared" si="28"/>
        <v>1169</v>
      </c>
      <c r="W50" s="8">
        <f t="shared" si="29"/>
        <v>1268</v>
      </c>
      <c r="X50" s="8">
        <f t="shared" si="30"/>
        <v>1308</v>
      </c>
      <c r="Y50" s="8">
        <f t="shared" si="31"/>
        <v>7363</v>
      </c>
      <c r="Z50" s="8">
        <f t="shared" ref="Z50:Z60" si="38">+Y50+M50</f>
        <v>7375</v>
      </c>
      <c r="AB50" s="859"/>
      <c r="AJ50" s="859"/>
      <c r="AK50" s="859"/>
      <c r="AL50" s="859"/>
      <c r="AM50" s="859"/>
      <c r="AN50" s="983"/>
      <c r="AO50" s="859"/>
      <c r="AP50" s="859"/>
      <c r="AQ50" s="859"/>
      <c r="AR50" s="859"/>
      <c r="AS50" s="859"/>
      <c r="AT50" s="859"/>
      <c r="AU50" s="859"/>
    </row>
    <row r="51" spans="1:51">
      <c r="A51" s="8">
        <v>2019</v>
      </c>
      <c r="B51">
        <v>127</v>
      </c>
      <c r="C51">
        <v>421</v>
      </c>
      <c r="D51">
        <v>77</v>
      </c>
      <c r="E51">
        <v>361</v>
      </c>
      <c r="F51">
        <v>281</v>
      </c>
      <c r="G51">
        <v>130</v>
      </c>
      <c r="H51">
        <v>6085</v>
      </c>
      <c r="I51">
        <v>56</v>
      </c>
      <c r="J51">
        <v>147</v>
      </c>
      <c r="K51">
        <v>36</v>
      </c>
      <c r="L51">
        <v>80</v>
      </c>
      <c r="M51">
        <v>467</v>
      </c>
      <c r="O51" s="8">
        <f t="shared" si="21"/>
        <v>127</v>
      </c>
      <c r="P51" s="8">
        <f t="shared" si="22"/>
        <v>548</v>
      </c>
      <c r="Q51" s="8">
        <f t="shared" si="23"/>
        <v>625</v>
      </c>
      <c r="R51" s="8">
        <f t="shared" si="24"/>
        <v>986</v>
      </c>
      <c r="S51" s="8">
        <f t="shared" si="25"/>
        <v>1267</v>
      </c>
      <c r="T51" s="8">
        <f t="shared" si="26"/>
        <v>1397</v>
      </c>
      <c r="U51" s="8">
        <f t="shared" si="27"/>
        <v>7482</v>
      </c>
      <c r="V51" s="8">
        <f t="shared" si="28"/>
        <v>7538</v>
      </c>
      <c r="W51" s="8">
        <f t="shared" si="29"/>
        <v>7685</v>
      </c>
      <c r="X51" s="8">
        <f t="shared" si="30"/>
        <v>7721</v>
      </c>
      <c r="Y51" s="8">
        <f t="shared" si="31"/>
        <v>7801</v>
      </c>
      <c r="Z51" s="8">
        <f t="shared" si="38"/>
        <v>8268</v>
      </c>
      <c r="AB51" s="859"/>
      <c r="AJ51" s="859"/>
      <c r="AK51" s="859"/>
      <c r="AL51" s="859"/>
      <c r="AM51" s="859"/>
      <c r="AN51" s="983"/>
      <c r="AO51" s="859"/>
      <c r="AP51" s="859"/>
      <c r="AQ51" s="859"/>
      <c r="AR51" s="859"/>
      <c r="AS51" s="859"/>
      <c r="AT51" s="859"/>
      <c r="AU51" s="859"/>
      <c r="AY51" s="242" t="s">
        <v>5533</v>
      </c>
    </row>
    <row r="52" spans="1:51">
      <c r="A52" s="675" t="s">
        <v>4341</v>
      </c>
      <c r="B52">
        <v>408</v>
      </c>
      <c r="C52">
        <v>6550</v>
      </c>
      <c r="D52">
        <v>327</v>
      </c>
      <c r="E52">
        <v>519</v>
      </c>
      <c r="F52">
        <v>485</v>
      </c>
      <c r="G52">
        <v>315</v>
      </c>
      <c r="H52">
        <v>6159</v>
      </c>
      <c r="I52">
        <v>346</v>
      </c>
      <c r="J52">
        <v>242</v>
      </c>
      <c r="K52">
        <v>529</v>
      </c>
      <c r="L52">
        <v>157</v>
      </c>
      <c r="M52">
        <v>834</v>
      </c>
      <c r="O52" s="8">
        <f t="shared" si="21"/>
        <v>408</v>
      </c>
      <c r="P52" s="8">
        <f t="shared" si="22"/>
        <v>6958</v>
      </c>
      <c r="Q52" s="8">
        <f t="shared" si="23"/>
        <v>7285</v>
      </c>
      <c r="R52" s="8">
        <f t="shared" si="24"/>
        <v>7804</v>
      </c>
      <c r="S52" s="8">
        <f t="shared" si="25"/>
        <v>8289</v>
      </c>
      <c r="T52" s="8">
        <f t="shared" si="26"/>
        <v>8604</v>
      </c>
      <c r="U52" s="8">
        <f t="shared" si="27"/>
        <v>14763</v>
      </c>
      <c r="V52" s="8">
        <f t="shared" si="28"/>
        <v>15109</v>
      </c>
      <c r="W52" s="8">
        <f t="shared" si="29"/>
        <v>15351</v>
      </c>
      <c r="X52" s="8">
        <f t="shared" si="30"/>
        <v>15880</v>
      </c>
      <c r="Y52" s="8">
        <f t="shared" si="31"/>
        <v>16037</v>
      </c>
      <c r="Z52" s="8">
        <f t="shared" si="38"/>
        <v>16871</v>
      </c>
      <c r="AB52" s="859"/>
      <c r="AJ52" s="859"/>
      <c r="AK52" s="859"/>
      <c r="AL52" s="859"/>
      <c r="AM52" s="859"/>
      <c r="AN52" s="983"/>
      <c r="AO52" s="859"/>
      <c r="AP52" s="859"/>
      <c r="AQ52" s="859"/>
      <c r="AR52" s="859"/>
      <c r="AS52" s="859"/>
      <c r="AT52" s="859"/>
      <c r="AU52" s="859"/>
    </row>
    <row r="53" spans="1:51">
      <c r="A53" s="8">
        <v>2020</v>
      </c>
      <c r="B53" s="358">
        <f>+'DIAS PERDIDOS'!CU27</f>
        <v>290</v>
      </c>
      <c r="C53" s="358">
        <f>+'DIAS PERDIDOS'!CU28</f>
        <v>73</v>
      </c>
      <c r="D53" s="358">
        <f>+'DIAS PERDIDOS'!CU29</f>
        <v>3135</v>
      </c>
      <c r="E53" s="358">
        <f>+'DIAS PERDIDOS'!CU30</f>
        <v>50</v>
      </c>
      <c r="F53" s="358">
        <f>+'DIAS PERDIDOS'!CU31</f>
        <v>83</v>
      </c>
      <c r="G53" s="358">
        <f>+'DIAS PERDIDOS'!CU32</f>
        <v>7</v>
      </c>
      <c r="H53" s="358">
        <f>+'DIAS PERDIDOS'!CU33</f>
        <v>57</v>
      </c>
      <c r="I53" s="358">
        <f>+'DIAS PERDIDOS'!CU34</f>
        <v>92</v>
      </c>
      <c r="J53" s="358">
        <f>+'DIAS PERDIDOS'!CU35</f>
        <v>49</v>
      </c>
      <c r="K53" s="358">
        <f>+'DIAS PERDIDOS'!CU36</f>
        <v>43</v>
      </c>
      <c r="L53" s="358">
        <f>+'DIAS PERDIDOS'!CU37</f>
        <v>107</v>
      </c>
      <c r="M53" s="358">
        <f>+'DIAS PERDIDOS'!CU38</f>
        <v>40</v>
      </c>
      <c r="O53" s="8">
        <f t="shared" si="21"/>
        <v>290</v>
      </c>
      <c r="P53" s="8">
        <f t="shared" si="22"/>
        <v>363</v>
      </c>
      <c r="Q53" s="8">
        <f t="shared" si="23"/>
        <v>3498</v>
      </c>
      <c r="R53" s="8">
        <f t="shared" si="24"/>
        <v>3548</v>
      </c>
      <c r="S53" s="8">
        <f t="shared" si="25"/>
        <v>3631</v>
      </c>
      <c r="T53" s="8">
        <f t="shared" si="26"/>
        <v>3638</v>
      </c>
      <c r="U53" s="8">
        <f t="shared" si="27"/>
        <v>3695</v>
      </c>
      <c r="V53" s="8">
        <f t="shared" si="28"/>
        <v>3787</v>
      </c>
      <c r="W53" s="8">
        <f t="shared" si="29"/>
        <v>3836</v>
      </c>
      <c r="X53" s="8">
        <f t="shared" si="30"/>
        <v>3879</v>
      </c>
      <c r="Y53" s="8">
        <f t="shared" si="31"/>
        <v>3986</v>
      </c>
      <c r="Z53" s="8">
        <f t="shared" si="38"/>
        <v>4026</v>
      </c>
      <c r="AB53" s="859"/>
      <c r="AJ53" s="859"/>
      <c r="AK53" s="859"/>
      <c r="AL53" s="859"/>
      <c r="AM53" s="859"/>
      <c r="AN53" s="983"/>
      <c r="AO53" s="859"/>
      <c r="AP53" s="859"/>
      <c r="AQ53" s="859"/>
      <c r="AR53" s="859"/>
      <c r="AS53" s="859"/>
      <c r="AT53" s="859"/>
      <c r="AU53" s="859"/>
    </row>
    <row r="54" spans="1:51">
      <c r="A54" s="1137">
        <v>2021</v>
      </c>
      <c r="B54" s="358">
        <f>+'DIAS PERDIDOS'!CU63</f>
        <v>38</v>
      </c>
      <c r="C54" s="358">
        <f>+'DIAS PERDIDOS'!CU64</f>
        <v>201</v>
      </c>
      <c r="D54" s="358">
        <f>+'DIAS PERDIDOS'!CU65</f>
        <v>132</v>
      </c>
      <c r="E54" s="358">
        <f>+'DIAS PERDIDOS'!CU66</f>
        <v>25</v>
      </c>
      <c r="F54" s="358">
        <f>+'DIAS PERDIDOS'!CU67</f>
        <v>53</v>
      </c>
      <c r="G54" s="358">
        <f>+'DIAS PERDIDOS'!CU68</f>
        <v>108</v>
      </c>
      <c r="H54" s="358">
        <f>+'DIAS PERDIDOS'!CU69</f>
        <v>128</v>
      </c>
      <c r="I54" s="358">
        <f>+'DIAS PERDIDOS'!CU70</f>
        <v>1156</v>
      </c>
      <c r="J54" s="358">
        <f>+'DIAS PERDIDOS'!CU71</f>
        <v>74</v>
      </c>
      <c r="K54" s="358">
        <f>+'DIAS PERDIDOS'!CU72</f>
        <v>31</v>
      </c>
      <c r="L54" s="358">
        <f>+'DIAS PERDIDOS'!CU73</f>
        <v>13</v>
      </c>
      <c r="M54" s="358">
        <f>+'DIAS PERDIDOS'!CU74</f>
        <v>95</v>
      </c>
      <c r="O54" s="8">
        <f t="shared" si="21"/>
        <v>38</v>
      </c>
      <c r="P54" s="8">
        <f t="shared" si="22"/>
        <v>239</v>
      </c>
      <c r="Q54" s="8">
        <f t="shared" si="23"/>
        <v>371</v>
      </c>
      <c r="R54" s="8">
        <f t="shared" si="24"/>
        <v>396</v>
      </c>
      <c r="S54" s="8">
        <f t="shared" si="25"/>
        <v>449</v>
      </c>
      <c r="T54" s="8">
        <f t="shared" si="26"/>
        <v>557</v>
      </c>
      <c r="U54" s="8">
        <f t="shared" si="27"/>
        <v>685</v>
      </c>
      <c r="V54" s="8">
        <f t="shared" si="28"/>
        <v>1841</v>
      </c>
      <c r="W54" s="8">
        <f t="shared" si="29"/>
        <v>1915</v>
      </c>
      <c r="X54" s="8">
        <f t="shared" si="30"/>
        <v>1946</v>
      </c>
      <c r="Y54" s="8">
        <f t="shared" si="31"/>
        <v>1959</v>
      </c>
      <c r="Z54" s="8">
        <f t="shared" si="38"/>
        <v>2054</v>
      </c>
      <c r="AB54" s="859"/>
    </row>
    <row r="55" spans="1:51">
      <c r="A55" s="675" t="s">
        <v>555</v>
      </c>
      <c r="B55" s="357">
        <v>186</v>
      </c>
      <c r="C55" s="357">
        <v>186</v>
      </c>
      <c r="D55" s="357">
        <v>186</v>
      </c>
      <c r="E55" s="357">
        <v>186</v>
      </c>
      <c r="F55" s="357">
        <v>186</v>
      </c>
      <c r="G55" s="357">
        <v>186</v>
      </c>
      <c r="H55" s="357">
        <v>186</v>
      </c>
      <c r="I55" s="357">
        <v>186</v>
      </c>
      <c r="J55" s="357">
        <v>186</v>
      </c>
      <c r="K55" s="357">
        <v>186</v>
      </c>
      <c r="L55" s="357">
        <v>186</v>
      </c>
      <c r="M55" s="357">
        <v>186</v>
      </c>
      <c r="O55" s="63">
        <f t="shared" si="21"/>
        <v>186</v>
      </c>
      <c r="P55" s="63">
        <f t="shared" si="22"/>
        <v>372</v>
      </c>
      <c r="Q55" s="63">
        <f t="shared" si="23"/>
        <v>558</v>
      </c>
      <c r="R55" s="63">
        <f t="shared" si="24"/>
        <v>744</v>
      </c>
      <c r="S55" s="63">
        <f t="shared" si="25"/>
        <v>930</v>
      </c>
      <c r="T55" s="63">
        <f t="shared" si="26"/>
        <v>1116</v>
      </c>
      <c r="U55" s="63">
        <f t="shared" si="27"/>
        <v>1302</v>
      </c>
      <c r="V55" s="63">
        <f t="shared" si="28"/>
        <v>1488</v>
      </c>
      <c r="W55" s="63">
        <f t="shared" si="29"/>
        <v>1674</v>
      </c>
      <c r="X55" s="63">
        <f t="shared" si="30"/>
        <v>1860</v>
      </c>
      <c r="Y55" s="63">
        <f t="shared" si="31"/>
        <v>2046</v>
      </c>
      <c r="Z55" s="63">
        <f t="shared" si="38"/>
        <v>2232</v>
      </c>
      <c r="AA55" s="556"/>
    </row>
    <row r="56" spans="1:51">
      <c r="A56" s="675" t="s">
        <v>4340</v>
      </c>
      <c r="B56" s="358">
        <f>+'DIAS PERDIDOS'!$CV$27</f>
        <v>405</v>
      </c>
      <c r="C56" s="358">
        <f>+'DIAS PERDIDOS'!$CV$28</f>
        <v>152</v>
      </c>
      <c r="D56" s="358">
        <f>+'DIAS PERDIDOS'!$CV$29</f>
        <v>3300</v>
      </c>
      <c r="E56" s="358">
        <f>+'DIAS PERDIDOS'!$CV$30</f>
        <v>50</v>
      </c>
      <c r="F56" s="358">
        <f>+'DIAS PERDIDOS'!$CV$31</f>
        <v>263</v>
      </c>
      <c r="G56" s="358">
        <f>+'DIAS PERDIDOS'!$CV$32</f>
        <v>30</v>
      </c>
      <c r="H56" s="358">
        <f>+'DIAS PERDIDOS'!$CV$33</f>
        <v>202</v>
      </c>
      <c r="I56" s="358">
        <f>+'DIAS PERDIDOS'!$CV$34</f>
        <v>469</v>
      </c>
      <c r="J56" s="358">
        <f>+'DIAS PERDIDOS'!$CV$35</f>
        <v>213</v>
      </c>
      <c r="K56" s="358">
        <f>+'DIAS PERDIDOS'!$CV$36</f>
        <v>156</v>
      </c>
      <c r="L56" s="358">
        <f>+'DIAS PERDIDOS'!$CV$37</f>
        <v>327</v>
      </c>
      <c r="M56" s="358">
        <f>+'DIAS PERDIDOS'!$CV$38</f>
        <v>878</v>
      </c>
      <c r="O56" s="63">
        <f t="shared" si="21"/>
        <v>405</v>
      </c>
      <c r="P56" s="63">
        <f t="shared" si="22"/>
        <v>557</v>
      </c>
      <c r="Q56" s="63">
        <f t="shared" si="23"/>
        <v>3857</v>
      </c>
      <c r="R56" s="63">
        <f t="shared" si="24"/>
        <v>3907</v>
      </c>
      <c r="S56" s="63">
        <f t="shared" si="25"/>
        <v>4170</v>
      </c>
      <c r="T56" s="63">
        <f t="shared" si="26"/>
        <v>4200</v>
      </c>
      <c r="U56" s="63">
        <f t="shared" si="27"/>
        <v>4402</v>
      </c>
      <c r="V56" s="63">
        <f t="shared" si="28"/>
        <v>4871</v>
      </c>
      <c r="W56" s="63">
        <f t="shared" si="29"/>
        <v>5084</v>
      </c>
      <c r="X56" s="63">
        <f t="shared" si="30"/>
        <v>5240</v>
      </c>
      <c r="Y56" s="63">
        <f t="shared" si="31"/>
        <v>5567</v>
      </c>
      <c r="Z56" s="63">
        <f t="shared" si="38"/>
        <v>6445</v>
      </c>
      <c r="AA56" s="556"/>
      <c r="AB56" s="859"/>
      <c r="AC56" s="242"/>
      <c r="AD56" s="242"/>
      <c r="AE56" s="242"/>
      <c r="AF56" s="242"/>
      <c r="AG56" s="242"/>
      <c r="AH56" s="242"/>
      <c r="AI56" s="242"/>
      <c r="AJ56" s="242"/>
      <c r="AM56" s="8" t="s">
        <v>302</v>
      </c>
      <c r="AN56" s="8" t="s">
        <v>264</v>
      </c>
      <c r="AO56" s="8" t="s">
        <v>265</v>
      </c>
    </row>
    <row r="57" spans="1:51">
      <c r="A57" s="675" t="s">
        <v>4490</v>
      </c>
      <c r="B57">
        <v>6425</v>
      </c>
      <c r="C57">
        <v>191</v>
      </c>
      <c r="D57">
        <v>180</v>
      </c>
      <c r="E57">
        <v>103</v>
      </c>
      <c r="F57">
        <v>72</v>
      </c>
      <c r="G57">
        <v>176</v>
      </c>
      <c r="H57">
        <v>455</v>
      </c>
      <c r="I57">
        <v>229</v>
      </c>
      <c r="J57">
        <v>249</v>
      </c>
      <c r="K57">
        <v>313</v>
      </c>
      <c r="L57">
        <v>71</v>
      </c>
      <c r="M57">
        <v>76</v>
      </c>
      <c r="O57" s="63">
        <f t="shared" si="21"/>
        <v>6425</v>
      </c>
      <c r="P57" s="63">
        <f t="shared" si="22"/>
        <v>6616</v>
      </c>
      <c r="Q57" s="63">
        <f t="shared" si="23"/>
        <v>6796</v>
      </c>
      <c r="R57" s="63">
        <f t="shared" si="24"/>
        <v>6899</v>
      </c>
      <c r="S57" s="63">
        <f t="shared" si="25"/>
        <v>6971</v>
      </c>
      <c r="T57" s="63">
        <f t="shared" si="26"/>
        <v>7147</v>
      </c>
      <c r="U57" s="63">
        <f t="shared" si="27"/>
        <v>7602</v>
      </c>
      <c r="V57" s="63">
        <f t="shared" si="28"/>
        <v>7831</v>
      </c>
      <c r="W57" s="63">
        <f t="shared" si="29"/>
        <v>8080</v>
      </c>
      <c r="X57" s="63">
        <f t="shared" si="30"/>
        <v>8393</v>
      </c>
      <c r="Y57" s="63">
        <f t="shared" si="31"/>
        <v>8464</v>
      </c>
      <c r="Z57" s="63">
        <f t="shared" si="38"/>
        <v>8540</v>
      </c>
      <c r="AA57" s="556"/>
      <c r="AC57" s="242"/>
      <c r="AD57" s="242"/>
      <c r="AE57" s="242"/>
      <c r="AF57" s="242"/>
      <c r="AG57" s="242"/>
      <c r="AH57" s="242"/>
      <c r="AI57" s="242"/>
      <c r="AJ57" s="242"/>
      <c r="AM57" s="675" t="s">
        <v>5525</v>
      </c>
      <c r="AN57" s="675" t="s">
        <v>5525</v>
      </c>
      <c r="AO57" s="675" t="s">
        <v>5525</v>
      </c>
    </row>
    <row r="58" spans="1:51">
      <c r="A58" s="675" t="s">
        <v>5177</v>
      </c>
      <c r="B58">
        <v>36</v>
      </c>
      <c r="C58">
        <v>249</v>
      </c>
      <c r="D58">
        <v>779</v>
      </c>
      <c r="E58">
        <v>93</v>
      </c>
      <c r="F58">
        <v>14</v>
      </c>
      <c r="G58">
        <v>62</v>
      </c>
      <c r="H58">
        <v>229</v>
      </c>
      <c r="I58">
        <v>39</v>
      </c>
      <c r="J58">
        <v>221</v>
      </c>
      <c r="K58">
        <v>261</v>
      </c>
      <c r="L58">
        <v>324</v>
      </c>
      <c r="M58">
        <v>222</v>
      </c>
      <c r="O58" s="63">
        <f t="shared" si="21"/>
        <v>36</v>
      </c>
      <c r="P58" s="63">
        <f t="shared" si="22"/>
        <v>285</v>
      </c>
      <c r="Q58" s="63">
        <f t="shared" si="23"/>
        <v>1064</v>
      </c>
      <c r="R58" s="63">
        <f t="shared" si="24"/>
        <v>1157</v>
      </c>
      <c r="S58" s="63">
        <f t="shared" si="25"/>
        <v>1171</v>
      </c>
      <c r="T58" s="63">
        <f t="shared" si="26"/>
        <v>1233</v>
      </c>
      <c r="U58" s="63">
        <f t="shared" si="27"/>
        <v>1462</v>
      </c>
      <c r="V58" s="63">
        <f t="shared" si="28"/>
        <v>1501</v>
      </c>
      <c r="W58" s="63">
        <f t="shared" si="29"/>
        <v>1722</v>
      </c>
      <c r="X58" s="63">
        <f t="shared" si="30"/>
        <v>1983</v>
      </c>
      <c r="Y58" s="63">
        <f t="shared" si="31"/>
        <v>2307</v>
      </c>
      <c r="Z58" s="63">
        <f t="shared" si="38"/>
        <v>2529</v>
      </c>
      <c r="AA58" s="556"/>
      <c r="AC58" s="242"/>
      <c r="AD58" s="242"/>
      <c r="AE58" s="242"/>
      <c r="AF58" s="242"/>
      <c r="AG58" s="242"/>
      <c r="AH58" s="242"/>
      <c r="AI58" s="242"/>
      <c r="AJ58" s="242"/>
      <c r="AM58" s="675"/>
      <c r="AN58" s="675"/>
      <c r="AO58" s="675"/>
    </row>
    <row r="59" spans="1:51">
      <c r="A59" s="1137" t="s">
        <v>5726</v>
      </c>
      <c r="B59" s="358">
        <f>+'DIAS PERDIDOS'!$CV$63</f>
        <v>76</v>
      </c>
      <c r="C59" s="358">
        <f>+'DIAS PERDIDOS'!$CV$64</f>
        <v>208</v>
      </c>
      <c r="D59" s="358">
        <f>+'DIAS PERDIDOS'!$CV$65</f>
        <v>132</v>
      </c>
      <c r="E59" s="358">
        <f>+'DIAS PERDIDOS'!$CV$66</f>
        <v>25</v>
      </c>
      <c r="F59" s="358">
        <f>+'DIAS PERDIDOS'!$CV$67</f>
        <v>61</v>
      </c>
      <c r="G59" s="358">
        <f>+'DIAS PERDIDOS'!$CV$68</f>
        <v>108</v>
      </c>
      <c r="H59" s="358">
        <f>+'DIAS PERDIDOS'!$CV$69</f>
        <v>155</v>
      </c>
      <c r="I59" s="358">
        <f>+'DIAS PERDIDOS'!$CV$70</f>
        <v>2209</v>
      </c>
      <c r="J59" s="358">
        <f>+'DIAS PERDIDOS'!$CV$71</f>
        <v>150</v>
      </c>
      <c r="K59" s="358">
        <f>+'DIAS PERDIDOS'!$CV$72</f>
        <v>41</v>
      </c>
      <c r="L59" s="358">
        <f>+'DIAS PERDIDOS'!$CV$73</f>
        <v>41</v>
      </c>
      <c r="M59" s="358">
        <f>+'DIAS PERDIDOS'!$CV$74</f>
        <v>107</v>
      </c>
      <c r="O59" s="63">
        <f t="shared" si="21"/>
        <v>76</v>
      </c>
      <c r="P59" s="63">
        <f t="shared" si="22"/>
        <v>284</v>
      </c>
      <c r="Q59" s="63">
        <f t="shared" si="23"/>
        <v>416</v>
      </c>
      <c r="R59" s="63">
        <f t="shared" si="24"/>
        <v>441</v>
      </c>
      <c r="S59" s="63">
        <f t="shared" si="25"/>
        <v>502</v>
      </c>
      <c r="T59" s="63">
        <f t="shared" si="26"/>
        <v>610</v>
      </c>
      <c r="U59" s="63">
        <f t="shared" si="27"/>
        <v>765</v>
      </c>
      <c r="V59" s="63">
        <f t="shared" si="28"/>
        <v>2974</v>
      </c>
      <c r="W59" s="63">
        <f t="shared" si="29"/>
        <v>3124</v>
      </c>
      <c r="X59" s="63">
        <f t="shared" si="30"/>
        <v>3165</v>
      </c>
      <c r="Y59" s="63">
        <f t="shared" si="31"/>
        <v>3206</v>
      </c>
      <c r="Z59" s="63">
        <f t="shared" si="38"/>
        <v>3313</v>
      </c>
      <c r="AA59" s="556"/>
      <c r="AB59" s="1183" t="e">
        <f>+AD59/$AD$66</f>
        <v>#DIV/0!</v>
      </c>
      <c r="AC59" s="242"/>
      <c r="AD59" s="242"/>
      <c r="AE59" s="242"/>
      <c r="AF59" s="242"/>
      <c r="AG59" s="242"/>
      <c r="AH59" s="242"/>
      <c r="AI59" s="242"/>
      <c r="AJ59" s="242"/>
      <c r="AK59" s="242"/>
      <c r="AL59" t="s">
        <v>5438</v>
      </c>
      <c r="AM59" s="479">
        <f>+INDICADORES!M61/1000000</f>
        <v>7.2680571394892519</v>
      </c>
      <c r="AN59" s="571">
        <f>+INDICADORES!S61</f>
        <v>2.4765903259347399</v>
      </c>
      <c r="AO59" s="262">
        <f>+INDICADORES!T61</f>
        <v>57.099165847939837</v>
      </c>
    </row>
    <row r="60" spans="1:51">
      <c r="A60" s="8" t="s">
        <v>555</v>
      </c>
      <c r="B60" s="587">
        <v>187.5</v>
      </c>
      <c r="C60" s="587">
        <v>187.5</v>
      </c>
      <c r="D60" s="587">
        <v>187.5</v>
      </c>
      <c r="E60" s="587">
        <v>187.5</v>
      </c>
      <c r="F60" s="587">
        <v>187.5</v>
      </c>
      <c r="G60" s="587">
        <v>187.5</v>
      </c>
      <c r="H60" s="587">
        <v>187.5</v>
      </c>
      <c r="I60" s="587">
        <v>187.5</v>
      </c>
      <c r="J60" s="587">
        <v>187.5</v>
      </c>
      <c r="K60" s="587">
        <v>187.5</v>
      </c>
      <c r="L60" s="587">
        <v>187.5</v>
      </c>
      <c r="M60" s="587">
        <v>187.5</v>
      </c>
      <c r="O60" s="63">
        <f t="shared" si="21"/>
        <v>187.5</v>
      </c>
      <c r="P60" s="63">
        <f t="shared" si="22"/>
        <v>375</v>
      </c>
      <c r="Q60" s="63">
        <f t="shared" si="23"/>
        <v>562.5</v>
      </c>
      <c r="R60" s="63">
        <f t="shared" si="24"/>
        <v>750</v>
      </c>
      <c r="S60" s="63">
        <f t="shared" si="25"/>
        <v>937.5</v>
      </c>
      <c r="T60" s="63">
        <f t="shared" si="26"/>
        <v>1125</v>
      </c>
      <c r="U60" s="63">
        <f t="shared" si="27"/>
        <v>1312.5</v>
      </c>
      <c r="V60" s="63">
        <f t="shared" si="28"/>
        <v>1500</v>
      </c>
      <c r="W60" s="63">
        <f t="shared" si="29"/>
        <v>1687.5</v>
      </c>
      <c r="X60" s="63">
        <f t="shared" si="30"/>
        <v>1875</v>
      </c>
      <c r="Y60" s="63">
        <f t="shared" si="31"/>
        <v>2062.5</v>
      </c>
      <c r="Z60" s="63">
        <f t="shared" si="38"/>
        <v>2250</v>
      </c>
      <c r="AA60" s="556"/>
      <c r="AB60" s="1183" t="e">
        <f t="shared" ref="AB60:AB65" si="39">+AD60/$AD$66</f>
        <v>#DIV/0!</v>
      </c>
      <c r="AC60" s="242"/>
      <c r="AD60" s="242"/>
      <c r="AE60" s="242"/>
      <c r="AF60" s="242"/>
      <c r="AG60" s="242"/>
      <c r="AH60" s="242"/>
      <c r="AI60" s="242"/>
      <c r="AJ60" s="242"/>
      <c r="AL60" t="s">
        <v>5439</v>
      </c>
      <c r="AM60" s="571">
        <f>+INDICADORES!M32/1000000</f>
        <v>18.900146146916672</v>
      </c>
      <c r="AN60" s="571">
        <f>+INDICADORES!S32</f>
        <v>3.703675064513702</v>
      </c>
      <c r="AO60" s="262">
        <f>+INDICADORES!T32</f>
        <v>108.67640832158776</v>
      </c>
    </row>
    <row r="61" spans="1:51">
      <c r="B61" s="357"/>
      <c r="C61" s="357"/>
      <c r="D61" s="357"/>
      <c r="E61" s="357"/>
      <c r="F61" s="357"/>
      <c r="G61" s="357"/>
      <c r="H61" s="357"/>
      <c r="I61" s="357"/>
      <c r="J61" s="357"/>
      <c r="K61" s="357"/>
      <c r="L61" s="357"/>
      <c r="M61" s="357"/>
      <c r="O61" s="63"/>
      <c r="P61" s="63"/>
      <c r="Q61" s="63"/>
      <c r="R61" s="63"/>
      <c r="S61" s="63"/>
      <c r="T61" s="63"/>
      <c r="U61" s="63"/>
      <c r="V61" s="63"/>
      <c r="W61" s="63"/>
      <c r="X61" s="63"/>
      <c r="Y61" s="63"/>
      <c r="Z61" s="63"/>
      <c r="AA61" s="556"/>
      <c r="AB61" s="1183" t="e">
        <f t="shared" si="39"/>
        <v>#DIV/0!</v>
      </c>
      <c r="AC61" s="242"/>
      <c r="AD61" s="242"/>
      <c r="AE61" s="242"/>
      <c r="AF61" s="242"/>
      <c r="AG61" s="242"/>
      <c r="AH61" s="242"/>
      <c r="AI61" s="242"/>
      <c r="AJ61" s="242"/>
      <c r="AK61" s="242"/>
      <c r="AL61" t="s">
        <v>4342</v>
      </c>
      <c r="AM61" s="571">
        <f>+INDICADORES!M37/1000000</f>
        <v>5.6216210000000002</v>
      </c>
      <c r="AN61" s="571">
        <f>+INDICADORES!S37</f>
        <v>3.0240387959273667</v>
      </c>
      <c r="AO61" s="262">
        <f>+INDICADORES!T37</f>
        <v>223.95675553367971</v>
      </c>
    </row>
    <row r="62" spans="1:51">
      <c r="A62" s="950" t="s">
        <v>699</v>
      </c>
      <c r="E62" s="357"/>
      <c r="H62" s="587"/>
      <c r="I62" s="587"/>
      <c r="J62" s="587"/>
      <c r="K62" s="936"/>
      <c r="L62" s="1086"/>
      <c r="M62" s="587"/>
      <c r="O62" s="904"/>
      <c r="P62" s="904"/>
      <c r="Q62" s="904"/>
      <c r="R62" s="904"/>
      <c r="S62" s="904"/>
      <c r="T62" s="904"/>
      <c r="U62" s="904"/>
      <c r="V62" s="904"/>
      <c r="W62" s="904"/>
      <c r="X62" s="904"/>
      <c r="Y62" s="904"/>
      <c r="Z62" s="904"/>
      <c r="AA62" s="556"/>
      <c r="AB62" s="1183" t="e">
        <f t="shared" si="39"/>
        <v>#DIV/0!</v>
      </c>
      <c r="AC62" s="242"/>
      <c r="AD62" s="242"/>
      <c r="AE62" s="242"/>
      <c r="AF62" s="242"/>
      <c r="AG62" s="242"/>
      <c r="AH62" s="242"/>
      <c r="AI62" s="242"/>
      <c r="AJ62" s="242"/>
      <c r="AL62" t="s">
        <v>55</v>
      </c>
      <c r="AM62" s="571">
        <f>+INDICADORES!M65/1000000</f>
        <v>31.789824286405924</v>
      </c>
      <c r="AN62" s="571">
        <f>+INDICADORES!S65</f>
        <v>3.3029437046904491</v>
      </c>
      <c r="AO62" s="262">
        <f>+INDICADORES!T65</f>
        <v>117.27022981986661</v>
      </c>
    </row>
    <row r="63" spans="1:51">
      <c r="A63" s="675">
        <v>2012</v>
      </c>
      <c r="B63" s="11">
        <v>576928</v>
      </c>
      <c r="C63" s="11">
        <v>557426.42999999993</v>
      </c>
      <c r="D63" s="11">
        <v>515662.01</v>
      </c>
      <c r="E63" s="11">
        <v>559933.99</v>
      </c>
      <c r="F63" s="11">
        <v>551083.75</v>
      </c>
      <c r="G63" s="11">
        <v>571010.65</v>
      </c>
      <c r="H63" s="11">
        <v>564299.65999999992</v>
      </c>
      <c r="I63" s="11">
        <v>563583</v>
      </c>
      <c r="J63" s="11">
        <v>580845</v>
      </c>
      <c r="K63" s="11">
        <v>562492.74</v>
      </c>
      <c r="L63" s="11">
        <v>587354</v>
      </c>
      <c r="M63" s="11">
        <v>570535</v>
      </c>
      <c r="N63" s="8"/>
      <c r="O63" s="948">
        <f t="shared" ref="O63:O74" si="40">+B63</f>
        <v>576928</v>
      </c>
      <c r="P63" s="948">
        <f t="shared" ref="P63:P74" si="41">+O63+C63</f>
        <v>1134354.43</v>
      </c>
      <c r="Q63" s="948">
        <f t="shared" ref="Q63:Q74" si="42">+P63+D63</f>
        <v>1650016.44</v>
      </c>
      <c r="R63" s="948">
        <f t="shared" ref="R63:R74" si="43">+Q63+E63</f>
        <v>2209950.4299999997</v>
      </c>
      <c r="S63" s="948">
        <f t="shared" ref="S63:S74" si="44">+R63+F63</f>
        <v>2761034.1799999997</v>
      </c>
      <c r="T63" s="948">
        <f t="shared" ref="T63:T74" si="45">+S63+G63</f>
        <v>3332044.8299999996</v>
      </c>
      <c r="U63" s="948">
        <f t="shared" ref="U63:U74" si="46">+T63+H63</f>
        <v>3896344.4899999993</v>
      </c>
      <c r="V63" s="948">
        <f t="shared" ref="V63:V74" si="47">+U63+I63</f>
        <v>4459927.4899999993</v>
      </c>
      <c r="W63" s="948">
        <f t="shared" ref="W63:W74" si="48">+V63+J63</f>
        <v>5040772.4899999993</v>
      </c>
      <c r="X63" s="948">
        <f t="shared" ref="X63:X74" si="49">+W63+K63</f>
        <v>5603265.2299999995</v>
      </c>
      <c r="Y63" s="948">
        <f t="shared" ref="Y63:Y74" si="50">+X63+L63</f>
        <v>6190619.2299999995</v>
      </c>
      <c r="Z63" s="948">
        <f t="shared" ref="Z63:Z74" si="51">+Y63+M63</f>
        <v>6761154.2299999995</v>
      </c>
      <c r="AA63" s="556"/>
      <c r="AB63" s="1183" t="e">
        <f t="shared" si="39"/>
        <v>#DIV/0!</v>
      </c>
      <c r="AC63" s="242"/>
      <c r="AD63" s="242"/>
      <c r="AE63" s="242"/>
      <c r="AF63" s="242"/>
      <c r="AG63" s="242"/>
      <c r="AH63" s="242"/>
      <c r="AI63" s="242"/>
      <c r="AJ63" s="242"/>
      <c r="AK63" s="242"/>
      <c r="AM63" s="8"/>
      <c r="AO63" s="242"/>
      <c r="AP63" s="242"/>
      <c r="AQ63" s="242"/>
      <c r="AR63" s="242"/>
      <c r="AS63" s="242"/>
      <c r="AT63" s="242"/>
      <c r="AU63" s="242"/>
      <c r="AV63" s="242"/>
    </row>
    <row r="64" spans="1:51">
      <c r="A64" s="675" t="s">
        <v>698</v>
      </c>
      <c r="B64" s="11">
        <v>172168</v>
      </c>
      <c r="C64" s="11">
        <v>148982</v>
      </c>
      <c r="D64" s="11">
        <v>155348</v>
      </c>
      <c r="E64" s="11">
        <v>132516</v>
      </c>
      <c r="F64" s="11">
        <v>156808</v>
      </c>
      <c r="G64" s="11">
        <v>168284</v>
      </c>
      <c r="H64" s="11">
        <v>176789</v>
      </c>
      <c r="I64" s="11">
        <v>190474</v>
      </c>
      <c r="J64" s="11">
        <v>251912</v>
      </c>
      <c r="K64" s="11">
        <v>281384</v>
      </c>
      <c r="L64" s="11">
        <v>265319</v>
      </c>
      <c r="M64" s="11">
        <v>175090</v>
      </c>
      <c r="N64" s="8"/>
      <c r="O64" s="948">
        <f t="shared" si="40"/>
        <v>172168</v>
      </c>
      <c r="P64" s="948">
        <f t="shared" si="41"/>
        <v>321150</v>
      </c>
      <c r="Q64" s="948">
        <f t="shared" si="42"/>
        <v>476498</v>
      </c>
      <c r="R64" s="948">
        <f t="shared" si="43"/>
        <v>609014</v>
      </c>
      <c r="S64" s="948">
        <f t="shared" si="44"/>
        <v>765822</v>
      </c>
      <c r="T64" s="948">
        <f t="shared" si="45"/>
        <v>934106</v>
      </c>
      <c r="U64" s="948">
        <f t="shared" si="46"/>
        <v>1110895</v>
      </c>
      <c r="V64" s="948">
        <f t="shared" si="47"/>
        <v>1301369</v>
      </c>
      <c r="W64" s="948">
        <f t="shared" si="48"/>
        <v>1553281</v>
      </c>
      <c r="X64" s="948">
        <f t="shared" si="49"/>
        <v>1834665</v>
      </c>
      <c r="Y64" s="948">
        <f t="shared" si="50"/>
        <v>2099984</v>
      </c>
      <c r="Z64" s="948">
        <f t="shared" si="51"/>
        <v>2275074</v>
      </c>
      <c r="AA64" s="556"/>
      <c r="AB64" s="1183" t="e">
        <f t="shared" si="39"/>
        <v>#DIV/0!</v>
      </c>
      <c r="AC64" s="242"/>
      <c r="AD64" s="242"/>
      <c r="AE64" s="242"/>
      <c r="AF64" s="242"/>
      <c r="AG64" s="242"/>
      <c r="AH64" s="242"/>
      <c r="AI64" s="242"/>
      <c r="AJ64" s="242"/>
      <c r="AK64" s="242"/>
      <c r="AN64" s="571"/>
      <c r="AO64" s="63"/>
      <c r="AP64" s="859"/>
    </row>
    <row r="65" spans="1:51">
      <c r="A65" s="645">
        <v>2012</v>
      </c>
      <c r="B65" s="11">
        <f>+B64+B63</f>
        <v>749096</v>
      </c>
      <c r="C65" s="11">
        <f t="shared" ref="C65:M65" si="52">+C64+C63</f>
        <v>706408.42999999993</v>
      </c>
      <c r="D65" s="11">
        <f t="shared" si="52"/>
        <v>671010.01</v>
      </c>
      <c r="E65" s="11">
        <f t="shared" si="52"/>
        <v>692449.99</v>
      </c>
      <c r="F65" s="11">
        <f t="shared" si="52"/>
        <v>707891.75</v>
      </c>
      <c r="G65" s="11">
        <f t="shared" si="52"/>
        <v>739294.65</v>
      </c>
      <c r="H65" s="11">
        <f t="shared" si="52"/>
        <v>741088.65999999992</v>
      </c>
      <c r="I65" s="11">
        <f t="shared" si="52"/>
        <v>754057</v>
      </c>
      <c r="J65" s="11">
        <f t="shared" si="52"/>
        <v>832757</v>
      </c>
      <c r="K65" s="11">
        <f t="shared" si="52"/>
        <v>843876.74</v>
      </c>
      <c r="L65" s="11">
        <f t="shared" si="52"/>
        <v>852673</v>
      </c>
      <c r="M65" s="11">
        <f t="shared" si="52"/>
        <v>745625</v>
      </c>
      <c r="N65" s="8"/>
      <c r="O65" s="948">
        <f t="shared" si="40"/>
        <v>749096</v>
      </c>
      <c r="P65" s="948">
        <f t="shared" si="41"/>
        <v>1455504.43</v>
      </c>
      <c r="Q65" s="948">
        <f t="shared" si="42"/>
        <v>2126514.44</v>
      </c>
      <c r="R65" s="948">
        <f t="shared" si="43"/>
        <v>2818964.4299999997</v>
      </c>
      <c r="S65" s="948">
        <f t="shared" si="44"/>
        <v>3526856.1799999997</v>
      </c>
      <c r="T65" s="948">
        <f t="shared" si="45"/>
        <v>4266150.83</v>
      </c>
      <c r="U65" s="948">
        <f t="shared" si="46"/>
        <v>5007239.49</v>
      </c>
      <c r="V65" s="948">
        <f t="shared" si="47"/>
        <v>5761296.4900000002</v>
      </c>
      <c r="W65" s="948">
        <f t="shared" si="48"/>
        <v>6594053.4900000002</v>
      </c>
      <c r="X65" s="948">
        <f t="shared" si="49"/>
        <v>7437930.2300000004</v>
      </c>
      <c r="Y65" s="948">
        <f t="shared" si="50"/>
        <v>8290603.2300000004</v>
      </c>
      <c r="Z65" s="948">
        <f t="shared" si="51"/>
        <v>9036228.2300000004</v>
      </c>
      <c r="AA65" s="556"/>
      <c r="AB65" s="1183" t="e">
        <f t="shared" si="39"/>
        <v>#DIV/0!</v>
      </c>
      <c r="AC65" s="242"/>
      <c r="AD65" s="242"/>
      <c r="AE65" s="242"/>
      <c r="AF65" s="242"/>
      <c r="AG65" s="242"/>
      <c r="AH65" s="242"/>
      <c r="AI65" s="242"/>
      <c r="AJ65" s="242"/>
      <c r="AL65" s="242" t="s">
        <v>5892</v>
      </c>
      <c r="AM65" s="479">
        <f>+AF71/1000000</f>
        <v>4.6210380000000004</v>
      </c>
      <c r="AN65" s="479">
        <f t="shared" ref="AN65:AO67" si="53">+AG71</f>
        <v>0.43280319270259193</v>
      </c>
      <c r="AO65" s="63">
        <f t="shared" si="53"/>
        <v>3.4624255416207355</v>
      </c>
      <c r="AP65" s="859"/>
    </row>
    <row r="66" spans="1:51" ht="17.850000000000001" customHeight="1">
      <c r="A66" s="8">
        <v>2013</v>
      </c>
      <c r="B66" s="904">
        <v>1132075.4716981133</v>
      </c>
      <c r="C66" s="904">
        <v>1193505.9236507239</v>
      </c>
      <c r="D66" s="904">
        <v>1074418.6046511629</v>
      </c>
      <c r="E66" s="904">
        <v>1400000</v>
      </c>
      <c r="F66" s="904">
        <v>1322448.9795918362</v>
      </c>
      <c r="G66" s="904">
        <v>1173457.2571695205</v>
      </c>
      <c r="H66" s="904">
        <v>1239334.6399999978</v>
      </c>
      <c r="I66" s="904">
        <v>1218797.0594444461</v>
      </c>
      <c r="J66" s="904">
        <v>1213686.8172222227</v>
      </c>
      <c r="K66" s="904">
        <v>1304423.9381944444</v>
      </c>
      <c r="L66" s="904">
        <v>1225985.6034415569</v>
      </c>
      <c r="M66" s="904">
        <v>1216479.1156388875</v>
      </c>
      <c r="N66" s="8"/>
      <c r="O66" s="948">
        <f t="shared" si="40"/>
        <v>1132075.4716981133</v>
      </c>
      <c r="P66" s="948">
        <f t="shared" si="41"/>
        <v>2325581.3953488371</v>
      </c>
      <c r="Q66" s="948">
        <f t="shared" si="42"/>
        <v>3400000</v>
      </c>
      <c r="R66" s="948">
        <f t="shared" si="43"/>
        <v>4800000</v>
      </c>
      <c r="S66" s="948">
        <f t="shared" si="44"/>
        <v>6122448.9795918362</v>
      </c>
      <c r="T66" s="948">
        <f t="shared" si="45"/>
        <v>7295906.2367613567</v>
      </c>
      <c r="U66" s="948">
        <f t="shared" si="46"/>
        <v>8535240.8767613545</v>
      </c>
      <c r="V66" s="948">
        <f t="shared" si="47"/>
        <v>9754037.9362058006</v>
      </c>
      <c r="W66" s="948">
        <f t="shared" si="48"/>
        <v>10967724.753428023</v>
      </c>
      <c r="X66" s="948">
        <f t="shared" si="49"/>
        <v>12272148.691622468</v>
      </c>
      <c r="Y66" s="948">
        <f t="shared" si="50"/>
        <v>13498134.295064025</v>
      </c>
      <c r="Z66" s="948">
        <f t="shared" si="51"/>
        <v>14714613.410702912</v>
      </c>
      <c r="AA66" s="556"/>
      <c r="AB66" s="983"/>
      <c r="AC66" s="242"/>
      <c r="AD66" s="242"/>
      <c r="AE66" s="242"/>
      <c r="AF66" s="242"/>
      <c r="AG66" s="242"/>
      <c r="AH66" s="242"/>
      <c r="AI66" s="242"/>
      <c r="AJ66" s="242"/>
      <c r="AK66" s="242"/>
      <c r="AL66" s="242" t="s">
        <v>5452</v>
      </c>
      <c r="AM66" s="571">
        <f>+AF72/1000000</f>
        <v>8.2316165450000049</v>
      </c>
      <c r="AN66" s="479">
        <f t="shared" si="53"/>
        <v>5.8311754122166741</v>
      </c>
      <c r="AO66" s="262">
        <f t="shared" si="53"/>
        <v>218.79056077921311</v>
      </c>
    </row>
    <row r="67" spans="1:51">
      <c r="A67" s="675" t="s">
        <v>700</v>
      </c>
      <c r="B67" s="904">
        <f>210954.15+10211</f>
        <v>221165.15</v>
      </c>
      <c r="C67" s="904">
        <f>190344.64+10289</f>
        <v>200633.64</v>
      </c>
      <c r="D67" s="904">
        <f>178627.02+10643</f>
        <v>189270.02</v>
      </c>
      <c r="E67" s="904">
        <f>202297.19+11340</f>
        <v>213637.19</v>
      </c>
      <c r="F67" s="904">
        <f>199322.69+9098</f>
        <v>208420.69</v>
      </c>
      <c r="G67" s="904">
        <f>223468.34+9166</f>
        <v>232634.34</v>
      </c>
      <c r="H67" s="904">
        <f>219040.3+8979</f>
        <v>228019.3</v>
      </c>
      <c r="I67" s="904">
        <f>245447.12+9233</f>
        <v>254680.12</v>
      </c>
      <c r="J67" s="904">
        <f>299829.68+9085</f>
        <v>308914.68</v>
      </c>
      <c r="K67" s="904">
        <f>286674.18+9877</f>
        <v>296551.18</v>
      </c>
      <c r="L67" s="904">
        <f>259481.5+9792</f>
        <v>269273.5</v>
      </c>
      <c r="M67" s="904">
        <f>189946.62+9792</f>
        <v>199738.62</v>
      </c>
      <c r="N67" s="8"/>
      <c r="O67" s="948">
        <f t="shared" si="40"/>
        <v>221165.15</v>
      </c>
      <c r="P67" s="948">
        <f t="shared" si="41"/>
        <v>421798.79000000004</v>
      </c>
      <c r="Q67" s="948">
        <f t="shared" si="42"/>
        <v>611068.81000000006</v>
      </c>
      <c r="R67" s="948">
        <f t="shared" si="43"/>
        <v>824706</v>
      </c>
      <c r="S67" s="948">
        <f t="shared" si="44"/>
        <v>1033126.69</v>
      </c>
      <c r="T67" s="948">
        <f t="shared" si="45"/>
        <v>1265761.03</v>
      </c>
      <c r="U67" s="948">
        <f t="shared" si="46"/>
        <v>1493780.33</v>
      </c>
      <c r="V67" s="948">
        <f t="shared" si="47"/>
        <v>1748460.4500000002</v>
      </c>
      <c r="W67" s="948">
        <f t="shared" si="48"/>
        <v>2057375.1300000001</v>
      </c>
      <c r="X67" s="948">
        <f t="shared" si="49"/>
        <v>2353926.31</v>
      </c>
      <c r="Y67" s="948">
        <f t="shared" si="50"/>
        <v>2623199.81</v>
      </c>
      <c r="Z67" s="948">
        <f t="shared" si="51"/>
        <v>2822938.43</v>
      </c>
      <c r="AA67" s="556"/>
      <c r="AB67" s="8"/>
      <c r="AC67" s="859"/>
      <c r="AD67" s="859"/>
      <c r="AE67" s="859"/>
      <c r="AF67" s="859"/>
      <c r="AG67" s="859"/>
      <c r="AH67" s="859"/>
      <c r="AI67" s="859"/>
      <c r="AJ67" s="859"/>
      <c r="AL67" s="242" t="s">
        <v>5453</v>
      </c>
      <c r="AM67" s="571">
        <f>+AF73/1000000</f>
        <v>1.057248</v>
      </c>
      <c r="AN67" s="479">
        <f t="shared" si="53"/>
        <v>13.241926208420352</v>
      </c>
      <c r="AO67" s="262">
        <f t="shared" si="53"/>
        <v>145.66118829262388</v>
      </c>
    </row>
    <row r="68" spans="1:51" ht="13.8" thickBot="1">
      <c r="A68" s="645">
        <v>2013</v>
      </c>
      <c r="B68" s="904">
        <f>+B67+B66</f>
        <v>1353240.6216981132</v>
      </c>
      <c r="C68" s="904">
        <f t="shared" ref="C68:M68" si="54">+C67+C66</f>
        <v>1394139.563650724</v>
      </c>
      <c r="D68" s="904">
        <f t="shared" si="54"/>
        <v>1263688.6246511629</v>
      </c>
      <c r="E68" s="904">
        <f t="shared" si="54"/>
        <v>1613637.19</v>
      </c>
      <c r="F68" s="904">
        <f t="shared" si="54"/>
        <v>1530869.6695918362</v>
      </c>
      <c r="G68" s="904">
        <f t="shared" si="54"/>
        <v>1406091.5971695206</v>
      </c>
      <c r="H68" s="904">
        <f t="shared" si="54"/>
        <v>1467353.9399999978</v>
      </c>
      <c r="I68" s="904">
        <f t="shared" si="54"/>
        <v>1473477.1794444462</v>
      </c>
      <c r="J68" s="904">
        <f t="shared" si="54"/>
        <v>1522601.4972222226</v>
      </c>
      <c r="K68" s="904">
        <f t="shared" si="54"/>
        <v>1600975.1181944443</v>
      </c>
      <c r="L68" s="904">
        <f t="shared" si="54"/>
        <v>1495259.1034415569</v>
      </c>
      <c r="M68" s="904">
        <f t="shared" si="54"/>
        <v>1416217.7356388876</v>
      </c>
      <c r="N68" s="8"/>
      <c r="O68" s="948">
        <f t="shared" si="40"/>
        <v>1353240.6216981132</v>
      </c>
      <c r="P68" s="948">
        <f t="shared" si="41"/>
        <v>2747380.1853488372</v>
      </c>
      <c r="Q68" s="948">
        <f t="shared" si="42"/>
        <v>4011068.81</v>
      </c>
      <c r="R68" s="948">
        <f t="shared" si="43"/>
        <v>5624706</v>
      </c>
      <c r="S68" s="948">
        <f t="shared" si="44"/>
        <v>7155575.6695918366</v>
      </c>
      <c r="T68" s="948">
        <f t="shared" si="45"/>
        <v>8561667.266761357</v>
      </c>
      <c r="U68" s="948">
        <f t="shared" si="46"/>
        <v>10029021.206761355</v>
      </c>
      <c r="V68" s="948">
        <f t="shared" si="47"/>
        <v>11502498.3862058</v>
      </c>
      <c r="W68" s="948">
        <f t="shared" si="48"/>
        <v>13025099.883428022</v>
      </c>
      <c r="X68" s="948">
        <f t="shared" si="49"/>
        <v>14626075.001622466</v>
      </c>
      <c r="Y68" s="948">
        <f t="shared" si="50"/>
        <v>16121334.105064023</v>
      </c>
      <c r="Z68" s="948">
        <f t="shared" si="51"/>
        <v>17537551.84070291</v>
      </c>
      <c r="AA68" s="556"/>
      <c r="AB68" s="8"/>
      <c r="AC68" s="859"/>
      <c r="AD68" s="859"/>
      <c r="AE68" s="859"/>
      <c r="AF68" s="859"/>
      <c r="AG68" s="859"/>
      <c r="AH68" s="859"/>
      <c r="AI68" s="859"/>
      <c r="AJ68" s="859"/>
      <c r="AK68" s="859"/>
      <c r="AL68" s="1090" t="s">
        <v>659</v>
      </c>
      <c r="AM68" s="571">
        <f>(+AF76+AF77)/1000000</f>
        <v>10.522880601916668</v>
      </c>
      <c r="AN68" s="479">
        <f>(+AD76+AD77)/(AF77+AF76)*1000000</f>
        <v>2.0906822791463449</v>
      </c>
      <c r="AO68" s="63">
        <f>+(AE77+AE76)/(AF77+AF76)*1000000</f>
        <v>127.05646396448468</v>
      </c>
    </row>
    <row r="69" spans="1:51" s="1112" customFormat="1" ht="19.95" customHeight="1" thickBot="1">
      <c r="A69" s="888" t="s">
        <v>860</v>
      </c>
      <c r="B69" s="2842">
        <v>1275349.9531174074</v>
      </c>
      <c r="C69" s="2842">
        <v>1210953.089027778</v>
      </c>
      <c r="D69" s="2842">
        <v>1255043.9086111113</v>
      </c>
      <c r="E69" s="2842">
        <v>1238958.5034014469</v>
      </c>
      <c r="F69" s="2842">
        <v>1252170.1772221776</v>
      </c>
      <c r="G69" s="2842">
        <v>1275896.6686166667</v>
      </c>
      <c r="H69" s="2842">
        <v>1262138.9025000001</v>
      </c>
      <c r="I69" s="2842">
        <v>1259345.1572222223</v>
      </c>
      <c r="J69" s="2842">
        <v>1350619.5105555556</v>
      </c>
      <c r="K69" s="2842">
        <v>1336861.4905555556</v>
      </c>
      <c r="L69" s="2842">
        <v>1299526.8605555554</v>
      </c>
      <c r="M69" s="2842">
        <v>1201535</v>
      </c>
      <c r="N69" s="836"/>
      <c r="O69" s="2843">
        <f t="shared" si="40"/>
        <v>1275349.9531174074</v>
      </c>
      <c r="P69" s="2843">
        <f t="shared" si="41"/>
        <v>2486303.0421451852</v>
      </c>
      <c r="Q69" s="2843">
        <f t="shared" si="42"/>
        <v>3741346.9507562965</v>
      </c>
      <c r="R69" s="2843">
        <f t="shared" si="43"/>
        <v>4980305.4541577436</v>
      </c>
      <c r="S69" s="2843">
        <f t="shared" si="44"/>
        <v>6232475.631379921</v>
      </c>
      <c r="T69" s="2843">
        <f t="shared" si="45"/>
        <v>7508372.2999965874</v>
      </c>
      <c r="U69" s="2843">
        <f t="shared" si="46"/>
        <v>8770511.2024965882</v>
      </c>
      <c r="V69" s="2843">
        <f t="shared" si="47"/>
        <v>10029856.359718811</v>
      </c>
      <c r="W69" s="2843">
        <f t="shared" si="48"/>
        <v>11380475.870274367</v>
      </c>
      <c r="X69" s="2843">
        <f t="shared" si="49"/>
        <v>12717337.360829923</v>
      </c>
      <c r="Y69" s="2843">
        <f t="shared" si="50"/>
        <v>14016864.221385479</v>
      </c>
      <c r="Z69" s="2843">
        <f t="shared" si="51"/>
        <v>15218399.221385479</v>
      </c>
      <c r="AA69" s="1340"/>
      <c r="AB69" s="1465"/>
      <c r="AC69" s="3274" t="s">
        <v>6307</v>
      </c>
      <c r="AD69" s="3275"/>
      <c r="AE69" s="3275"/>
      <c r="AF69" s="3275"/>
      <c r="AG69" s="3275"/>
      <c r="AH69" s="3276"/>
      <c r="AI69" s="3277" t="s">
        <v>6240</v>
      </c>
      <c r="AJ69" s="3278"/>
      <c r="AK69" s="2861"/>
      <c r="AN69" s="836"/>
    </row>
    <row r="70" spans="1:51" ht="15" customHeight="1">
      <c r="A70" s="8" t="s">
        <v>854</v>
      </c>
      <c r="B70" s="904">
        <v>83594</v>
      </c>
      <c r="C70" s="904">
        <v>69346</v>
      </c>
      <c r="D70" s="904">
        <v>78076</v>
      </c>
      <c r="E70" s="904">
        <v>86263</v>
      </c>
      <c r="F70" s="904">
        <v>79320</v>
      </c>
      <c r="G70" s="904">
        <v>88793</v>
      </c>
      <c r="H70" s="904">
        <v>83206</v>
      </c>
      <c r="I70" s="904">
        <v>88030</v>
      </c>
      <c r="J70" s="904">
        <v>85349</v>
      </c>
      <c r="K70" s="904">
        <v>82987</v>
      </c>
      <c r="L70" s="904">
        <v>84191</v>
      </c>
      <c r="M70" s="904">
        <v>84491</v>
      </c>
      <c r="N70" s="8"/>
      <c r="O70" s="948">
        <f t="shared" si="40"/>
        <v>83594</v>
      </c>
      <c r="P70" s="948">
        <f t="shared" si="41"/>
        <v>152940</v>
      </c>
      <c r="Q70" s="948">
        <f t="shared" si="42"/>
        <v>231016</v>
      </c>
      <c r="R70" s="948">
        <f t="shared" si="43"/>
        <v>317279</v>
      </c>
      <c r="S70" s="948">
        <f t="shared" si="44"/>
        <v>396599</v>
      </c>
      <c r="T70" s="948">
        <f t="shared" si="45"/>
        <v>485392</v>
      </c>
      <c r="U70" s="948">
        <f t="shared" si="46"/>
        <v>568598</v>
      </c>
      <c r="V70" s="948">
        <f t="shared" si="47"/>
        <v>656628</v>
      </c>
      <c r="W70" s="948">
        <f t="shared" si="48"/>
        <v>741977</v>
      </c>
      <c r="X70" s="948">
        <f t="shared" si="49"/>
        <v>824964</v>
      </c>
      <c r="Y70" s="948">
        <f t="shared" si="50"/>
        <v>909155</v>
      </c>
      <c r="Z70" s="948">
        <f t="shared" si="51"/>
        <v>993646</v>
      </c>
      <c r="AA70" s="556"/>
      <c r="AB70" s="8"/>
      <c r="AC70" s="2845"/>
      <c r="AD70" s="2858" t="s">
        <v>297</v>
      </c>
      <c r="AE70" s="2858" t="s">
        <v>635</v>
      </c>
      <c r="AF70" s="2858" t="s">
        <v>302</v>
      </c>
      <c r="AG70" s="2858" t="s">
        <v>264</v>
      </c>
      <c r="AH70" s="2859" t="s">
        <v>265</v>
      </c>
      <c r="AI70" s="2860" t="s">
        <v>264</v>
      </c>
      <c r="AJ70" s="2859" t="s">
        <v>265</v>
      </c>
      <c r="AK70" s="1035"/>
    </row>
    <row r="71" spans="1:51" ht="15" customHeight="1">
      <c r="A71" s="8" t="s">
        <v>861</v>
      </c>
      <c r="B71" s="904">
        <f>+B70+B69</f>
        <v>1358943.9531174074</v>
      </c>
      <c r="C71" s="904">
        <f t="shared" ref="C71:L71" si="55">+C70+C69</f>
        <v>1280299.089027778</v>
      </c>
      <c r="D71" s="904">
        <f t="shared" si="55"/>
        <v>1333119.9086111113</v>
      </c>
      <c r="E71" s="904">
        <f t="shared" si="55"/>
        <v>1325221.5034014469</v>
      </c>
      <c r="F71" s="904">
        <f t="shared" si="55"/>
        <v>1331490.1772221776</v>
      </c>
      <c r="G71" s="904">
        <f t="shared" si="55"/>
        <v>1364689.6686166667</v>
      </c>
      <c r="H71" s="904">
        <f t="shared" si="55"/>
        <v>1345344.9025000001</v>
      </c>
      <c r="I71" s="904">
        <f t="shared" si="55"/>
        <v>1347375.1572222223</v>
      </c>
      <c r="J71" s="904">
        <f t="shared" si="55"/>
        <v>1435968.5105555556</v>
      </c>
      <c r="K71" s="904">
        <f t="shared" si="55"/>
        <v>1419848.4905555556</v>
      </c>
      <c r="L71" s="904">
        <f t="shared" si="55"/>
        <v>1383717.8605555554</v>
      </c>
      <c r="M71" s="904">
        <f>+M70+M69</f>
        <v>1286026</v>
      </c>
      <c r="N71" s="8"/>
      <c r="O71" s="948">
        <f t="shared" si="40"/>
        <v>1358943.9531174074</v>
      </c>
      <c r="P71" s="948">
        <f t="shared" si="41"/>
        <v>2639243.0421451852</v>
      </c>
      <c r="Q71" s="948">
        <f t="shared" si="42"/>
        <v>3972362.9507562965</v>
      </c>
      <c r="R71" s="948">
        <f t="shared" si="43"/>
        <v>5297584.4541577436</v>
      </c>
      <c r="S71" s="948">
        <f t="shared" si="44"/>
        <v>6629074.631379921</v>
      </c>
      <c r="T71" s="948">
        <f t="shared" si="45"/>
        <v>7993764.2999965874</v>
      </c>
      <c r="U71" s="948">
        <f t="shared" si="46"/>
        <v>9339109.2024965882</v>
      </c>
      <c r="V71" s="948">
        <f t="shared" si="47"/>
        <v>10686484.359718811</v>
      </c>
      <c r="W71" s="948">
        <f t="shared" si="48"/>
        <v>12122452.870274367</v>
      </c>
      <c r="X71" s="948">
        <f t="shared" si="49"/>
        <v>13542301.360829923</v>
      </c>
      <c r="Y71" s="948">
        <f t="shared" si="50"/>
        <v>14926019.221385479</v>
      </c>
      <c r="Z71" s="948">
        <f t="shared" si="51"/>
        <v>16212045.221385479</v>
      </c>
      <c r="AA71" s="556"/>
      <c r="AB71" s="1183">
        <f t="shared" ref="AB71:AB77" si="56">+AD71/$AD$78</f>
        <v>2.2988505747126436E-2</v>
      </c>
      <c r="AC71" s="2846" t="s">
        <v>2122</v>
      </c>
      <c r="AD71" s="1274">
        <f>1+1</f>
        <v>2</v>
      </c>
      <c r="AE71" s="1274">
        <f>14+2</f>
        <v>16</v>
      </c>
      <c r="AF71" s="1669">
        <f>4181358+(229*40*48)</f>
        <v>4621038</v>
      </c>
      <c r="AG71" s="1212">
        <f>+(AD71)*1000000/AF71</f>
        <v>0.43280319270259193</v>
      </c>
      <c r="AH71" s="1413">
        <f>+(AE71)*1000000/AF71</f>
        <v>3.4624255416207355</v>
      </c>
      <c r="AI71" s="1412">
        <v>0</v>
      </c>
      <c r="AJ71" s="1413">
        <v>0</v>
      </c>
      <c r="AK71" s="1035" t="s">
        <v>2538</v>
      </c>
      <c r="AL71" t="s">
        <v>5845</v>
      </c>
    </row>
    <row r="72" spans="1:51" ht="15" customHeight="1">
      <c r="A72" s="1137" t="s">
        <v>884</v>
      </c>
      <c r="B72" s="1107">
        <v>1179733.8855555553</v>
      </c>
      <c r="C72" s="1107">
        <v>1139398.3768888889</v>
      </c>
      <c r="D72" s="1107">
        <v>1131139.0363888887</v>
      </c>
      <c r="E72" s="1107">
        <v>1153546.1263888888</v>
      </c>
      <c r="F72" s="1107">
        <v>1101397.4100000001</v>
      </c>
      <c r="G72" s="1107">
        <v>1185170.6399999997</v>
      </c>
      <c r="H72" s="1107">
        <v>1134353.4099999999</v>
      </c>
      <c r="I72" s="1107">
        <v>1181042.8099999998</v>
      </c>
      <c r="J72" s="1107">
        <v>1223707.8730555554</v>
      </c>
      <c r="K72" s="1107">
        <v>1158090.5977777778</v>
      </c>
      <c r="L72" s="1107">
        <v>1131762.7600000002</v>
      </c>
      <c r="M72" s="1107">
        <v>1081133.3999999999</v>
      </c>
      <c r="N72" s="8"/>
      <c r="O72" s="948">
        <f t="shared" si="40"/>
        <v>1179733.8855555553</v>
      </c>
      <c r="P72" s="948">
        <f t="shared" si="41"/>
        <v>2319132.262444444</v>
      </c>
      <c r="Q72" s="948">
        <f t="shared" si="42"/>
        <v>3450271.298833333</v>
      </c>
      <c r="R72" s="948">
        <f t="shared" si="43"/>
        <v>4603817.4252222218</v>
      </c>
      <c r="S72" s="948">
        <f t="shared" si="44"/>
        <v>5705214.8352222219</v>
      </c>
      <c r="T72" s="948">
        <f t="shared" si="45"/>
        <v>6890385.4752222216</v>
      </c>
      <c r="U72" s="948">
        <f t="shared" si="46"/>
        <v>8024738.8852222217</v>
      </c>
      <c r="V72" s="948">
        <f t="shared" si="47"/>
        <v>9205781.6952222213</v>
      </c>
      <c r="W72" s="948">
        <f t="shared" si="48"/>
        <v>10429489.568277776</v>
      </c>
      <c r="X72" s="948">
        <f t="shared" si="49"/>
        <v>11587580.166055555</v>
      </c>
      <c r="Y72" s="948">
        <f t="shared" si="50"/>
        <v>12719342.926055554</v>
      </c>
      <c r="Z72" s="948">
        <f t="shared" si="51"/>
        <v>13800476.326055555</v>
      </c>
      <c r="AA72" s="556"/>
      <c r="AB72" s="1183">
        <f t="shared" si="56"/>
        <v>0.55172413793103448</v>
      </c>
      <c r="AC72" s="2847" t="s">
        <v>2120</v>
      </c>
      <c r="AD72" s="1274">
        <f>+AD75-AD73-AD74-AD71</f>
        <v>48</v>
      </c>
      <c r="AE72" s="1274">
        <f>+AE75-AE73-AE74-AE71</f>
        <v>1801</v>
      </c>
      <c r="AF72" s="1274">
        <f>+AF75-AF71-AF73-AF74</f>
        <v>8231616.5450000055</v>
      </c>
      <c r="AG72" s="1212">
        <f>+(AD72)*1000000/AF72</f>
        <v>5.8311754122166741</v>
      </c>
      <c r="AH72" s="1413">
        <f>+(AE72)*1000000/AF72</f>
        <v>218.79056077921311</v>
      </c>
      <c r="AI72" s="1412">
        <v>4.8797967140358658</v>
      </c>
      <c r="AJ72" s="1413">
        <v>94.110365199263128</v>
      </c>
      <c r="AK72" s="1035"/>
      <c r="AM72" s="357"/>
    </row>
    <row r="73" spans="1:51" ht="15" customHeight="1">
      <c r="A73" s="8" t="s">
        <v>885</v>
      </c>
      <c r="B73" s="904">
        <v>80467</v>
      </c>
      <c r="C73" s="904">
        <v>71610</v>
      </c>
      <c r="D73" s="904">
        <v>77621</v>
      </c>
      <c r="E73" s="1107">
        <v>81940</v>
      </c>
      <c r="F73" s="904">
        <v>77990</v>
      </c>
      <c r="G73" s="1107">
        <v>81110</v>
      </c>
      <c r="H73" s="904">
        <v>75450</v>
      </c>
      <c r="I73" s="904">
        <v>73928</v>
      </c>
      <c r="J73" s="904">
        <v>73952</v>
      </c>
      <c r="K73" s="904">
        <v>74029</v>
      </c>
      <c r="L73" s="904">
        <v>74604</v>
      </c>
      <c r="M73" s="1107">
        <v>74605</v>
      </c>
      <c r="N73" s="8"/>
      <c r="O73" s="948">
        <f t="shared" si="40"/>
        <v>80467</v>
      </c>
      <c r="P73" s="948">
        <f t="shared" si="41"/>
        <v>152077</v>
      </c>
      <c r="Q73" s="948">
        <f t="shared" si="42"/>
        <v>229698</v>
      </c>
      <c r="R73" s="948">
        <f t="shared" si="43"/>
        <v>311638</v>
      </c>
      <c r="S73" s="948">
        <f t="shared" si="44"/>
        <v>389628</v>
      </c>
      <c r="T73" s="948">
        <f t="shared" si="45"/>
        <v>470738</v>
      </c>
      <c r="U73" s="948">
        <f t="shared" si="46"/>
        <v>546188</v>
      </c>
      <c r="V73" s="948">
        <f t="shared" si="47"/>
        <v>620116</v>
      </c>
      <c r="W73" s="948">
        <f t="shared" si="48"/>
        <v>694068</v>
      </c>
      <c r="X73" s="948">
        <f t="shared" si="49"/>
        <v>768097</v>
      </c>
      <c r="Y73" s="948">
        <f t="shared" si="50"/>
        <v>842701</v>
      </c>
      <c r="Z73" s="948">
        <f t="shared" si="51"/>
        <v>917306</v>
      </c>
      <c r="AA73" s="556"/>
      <c r="AB73" s="1183">
        <f t="shared" si="56"/>
        <v>0.16091954022988506</v>
      </c>
      <c r="AC73" s="2847" t="s">
        <v>2121</v>
      </c>
      <c r="AD73" s="2296">
        <v>14</v>
      </c>
      <c r="AE73" s="921">
        <v>154</v>
      </c>
      <c r="AF73" s="1363">
        <f>(112+149+20+32+24)*48*48+(225*48*26)</f>
        <v>1057248</v>
      </c>
      <c r="AG73" s="1212">
        <f>+(AD73)*1000000/AF73</f>
        <v>13.241926208420352</v>
      </c>
      <c r="AH73" s="1413">
        <f>+(AE73)*1000000/AF73</f>
        <v>145.66118829262388</v>
      </c>
      <c r="AI73" s="1412">
        <v>11.052044075551773</v>
      </c>
      <c r="AJ73" s="1413">
        <v>151.96560603883688</v>
      </c>
      <c r="AK73" s="1035" t="s">
        <v>2538</v>
      </c>
      <c r="AL73" s="242" t="s">
        <v>5947</v>
      </c>
      <c r="AM73" s="357"/>
      <c r="AP73" s="242"/>
      <c r="AT73" s="242" t="s">
        <v>5949</v>
      </c>
      <c r="AU73" s="242" t="s">
        <v>5948</v>
      </c>
      <c r="AV73" s="242" t="s">
        <v>5950</v>
      </c>
    </row>
    <row r="74" spans="1:51" ht="15" customHeight="1" thickBot="1">
      <c r="A74" s="675" t="s">
        <v>894</v>
      </c>
      <c r="B74" s="904">
        <v>8332.48</v>
      </c>
      <c r="C74" s="904">
        <v>8503</v>
      </c>
      <c r="D74" s="904">
        <v>9536</v>
      </c>
      <c r="E74" s="1107">
        <v>9655</v>
      </c>
      <c r="F74" s="1107">
        <v>9803</v>
      </c>
      <c r="G74" s="1107">
        <v>12203.53</v>
      </c>
      <c r="H74" s="904">
        <v>10470</v>
      </c>
      <c r="I74" s="904">
        <v>8156.3099999999995</v>
      </c>
      <c r="J74" s="904">
        <v>9771</v>
      </c>
      <c r="K74" s="904">
        <v>13904.16</v>
      </c>
      <c r="L74" s="1133">
        <v>15365.439999999999</v>
      </c>
      <c r="M74" s="1133">
        <v>15365.439999999999</v>
      </c>
      <c r="N74" s="8"/>
      <c r="O74" s="948">
        <f t="shared" si="40"/>
        <v>8332.48</v>
      </c>
      <c r="P74" s="948">
        <f t="shared" si="41"/>
        <v>16835.48</v>
      </c>
      <c r="Q74" s="948">
        <f t="shared" si="42"/>
        <v>26371.48</v>
      </c>
      <c r="R74" s="948">
        <f t="shared" si="43"/>
        <v>36026.479999999996</v>
      </c>
      <c r="S74" s="948">
        <f t="shared" si="44"/>
        <v>45829.479999999996</v>
      </c>
      <c r="T74" s="948">
        <f t="shared" si="45"/>
        <v>58033.009999999995</v>
      </c>
      <c r="U74" s="948">
        <f t="shared" si="46"/>
        <v>68503.009999999995</v>
      </c>
      <c r="V74" s="948">
        <f t="shared" si="47"/>
        <v>76659.319999999992</v>
      </c>
      <c r="W74" s="948">
        <f t="shared" si="48"/>
        <v>86430.319999999992</v>
      </c>
      <c r="X74" s="948">
        <f t="shared" si="49"/>
        <v>100334.48</v>
      </c>
      <c r="Y74" s="948">
        <f t="shared" si="50"/>
        <v>115699.92</v>
      </c>
      <c r="Z74" s="948">
        <f t="shared" si="51"/>
        <v>131065.36</v>
      </c>
      <c r="AA74" s="556"/>
      <c r="AB74" s="1183">
        <f t="shared" si="56"/>
        <v>1.1494252873563218E-2</v>
      </c>
      <c r="AC74" s="2848" t="s">
        <v>2753</v>
      </c>
      <c r="AD74" s="1179">
        <v>1</v>
      </c>
      <c r="AE74" s="1179">
        <v>5</v>
      </c>
      <c r="AF74" s="1455">
        <v>114206</v>
      </c>
      <c r="AG74" s="2849">
        <f>+AD74*1000000/AF74</f>
        <v>8.7561073849009681</v>
      </c>
      <c r="AH74" s="2850">
        <f>+AE74*1000000/AF74</f>
        <v>43.780536924504844</v>
      </c>
      <c r="AI74" s="2851"/>
      <c r="AJ74" s="2850"/>
      <c r="AK74" s="1035" t="s">
        <v>2538</v>
      </c>
      <c r="AM74" s="357"/>
      <c r="AT74">
        <f>+AF73/13*52</f>
        <v>4228992</v>
      </c>
      <c r="AU74">
        <f>230*30*48</f>
        <v>331200</v>
      </c>
      <c r="AV74">
        <f>+AU74+AT74</f>
        <v>4560192</v>
      </c>
      <c r="AW74">
        <v>15</v>
      </c>
      <c r="AX74">
        <f>+AW74*AV74/1000000</f>
        <v>68.402879999999996</v>
      </c>
    </row>
    <row r="75" spans="1:51" ht="15" customHeight="1">
      <c r="A75" s="8" t="s">
        <v>886</v>
      </c>
      <c r="B75" s="904">
        <f>+B73+B72+B74</f>
        <v>1268533.3655555553</v>
      </c>
      <c r="C75" s="904">
        <f t="shared" ref="C75:M75" si="57">+C73+C72+C74</f>
        <v>1219511.3768888889</v>
      </c>
      <c r="D75" s="904">
        <f t="shared" si="57"/>
        <v>1218296.0363888887</v>
      </c>
      <c r="E75" s="904">
        <f t="shared" si="57"/>
        <v>1245141.1263888888</v>
      </c>
      <c r="F75" s="904">
        <f t="shared" si="57"/>
        <v>1189190.4100000001</v>
      </c>
      <c r="G75" s="904">
        <f t="shared" si="57"/>
        <v>1278484.1699999997</v>
      </c>
      <c r="H75" s="904">
        <f t="shared" si="57"/>
        <v>1220273.4099999999</v>
      </c>
      <c r="I75" s="904">
        <f t="shared" si="57"/>
        <v>1263127.1199999999</v>
      </c>
      <c r="J75" s="904">
        <f t="shared" si="57"/>
        <v>1307430.8730555554</v>
      </c>
      <c r="K75" s="904">
        <f t="shared" si="57"/>
        <v>1246023.7577777777</v>
      </c>
      <c r="L75" s="904">
        <f t="shared" si="57"/>
        <v>1221732.2000000002</v>
      </c>
      <c r="M75" s="904">
        <f t="shared" si="57"/>
        <v>1171103.8399999999</v>
      </c>
      <c r="N75" s="8"/>
      <c r="O75" s="904">
        <f>+O73+O72+O74</f>
        <v>1268533.3655555553</v>
      </c>
      <c r="P75" s="904">
        <f t="shared" ref="P75:X75" si="58">+P73+P72+P74</f>
        <v>2488044.742444444</v>
      </c>
      <c r="Q75" s="904">
        <f t="shared" si="58"/>
        <v>3706340.7788333329</v>
      </c>
      <c r="R75" s="904">
        <f t="shared" si="58"/>
        <v>4951481.9052222222</v>
      </c>
      <c r="S75" s="904">
        <f t="shared" si="58"/>
        <v>6140672.3152222224</v>
      </c>
      <c r="T75" s="904">
        <f t="shared" si="58"/>
        <v>7419156.4852222214</v>
      </c>
      <c r="U75" s="904">
        <f t="shared" si="58"/>
        <v>8639429.8952222224</v>
      </c>
      <c r="V75" s="904">
        <f t="shared" si="58"/>
        <v>9902557.0152222216</v>
      </c>
      <c r="W75" s="904">
        <f t="shared" si="58"/>
        <v>11209987.888277777</v>
      </c>
      <c r="X75" s="904">
        <f t="shared" si="58"/>
        <v>12456011.646055555</v>
      </c>
      <c r="Y75" s="904">
        <f>+Y73+Y72+Y74</f>
        <v>13677743.846055554</v>
      </c>
      <c r="Z75" s="904">
        <f>+Z73+Z72+Z74</f>
        <v>14848847.686055554</v>
      </c>
      <c r="AA75" s="556"/>
      <c r="AB75" s="1183">
        <f t="shared" si="56"/>
        <v>0.74712643678160917</v>
      </c>
      <c r="AC75" s="2852" t="s">
        <v>658</v>
      </c>
      <c r="AD75" s="2862">
        <f>SUM('ACCIDENTES INCAPACITANTES'!AI63:BD74)</f>
        <v>65</v>
      </c>
      <c r="AE75" s="2862">
        <f>SUM('DIAS PERDIDOS'!AI63:BD74)</f>
        <v>1976</v>
      </c>
      <c r="AF75" s="2862">
        <f>SUM('HORAS HOMBRE'!AI63:BD74)+'HH ALICORP'!N30</f>
        <v>14024108.545000006</v>
      </c>
      <c r="AG75" s="2863">
        <f>+AD75*1000000/AF75</f>
        <v>4.634875706461524</v>
      </c>
      <c r="AH75" s="2864">
        <f>+AE75*1000000/AF75</f>
        <v>140.90022147643035</v>
      </c>
      <c r="AI75" s="2865">
        <v>3.7084000146148042</v>
      </c>
      <c r="AJ75" s="2864">
        <v>66.957222486100633</v>
      </c>
      <c r="AK75" s="3016"/>
      <c r="AL75" s="2195" t="s">
        <v>5531</v>
      </c>
      <c r="AN75" s="479">
        <f>+AG75</f>
        <v>4.634875706461524</v>
      </c>
      <c r="AO75" s="63">
        <f>+AH75</f>
        <v>140.90022147643035</v>
      </c>
    </row>
    <row r="76" spans="1:51" ht="15" customHeight="1">
      <c r="A76" s="675" t="s">
        <v>1074</v>
      </c>
      <c r="B76" s="904">
        <v>60967</v>
      </c>
      <c r="C76" s="904">
        <v>55971</v>
      </c>
      <c r="D76" s="904">
        <v>65877</v>
      </c>
      <c r="E76" s="904">
        <v>49869</v>
      </c>
      <c r="F76" s="904">
        <v>61207</v>
      </c>
      <c r="G76" s="904">
        <v>67846</v>
      </c>
      <c r="H76" s="904">
        <v>68499</v>
      </c>
      <c r="I76" s="904">
        <v>66467</v>
      </c>
      <c r="J76" s="904">
        <v>61855</v>
      </c>
      <c r="K76" s="904">
        <v>84020</v>
      </c>
      <c r="L76" s="904">
        <v>70085</v>
      </c>
      <c r="M76" s="904">
        <v>82739</v>
      </c>
      <c r="N76" s="262"/>
      <c r="O76" s="904">
        <f t="shared" ref="O76:O81" si="59">+B76</f>
        <v>60967</v>
      </c>
      <c r="P76" s="904">
        <f t="shared" ref="P76:Y81" si="60">+O76+C76</f>
        <v>116938</v>
      </c>
      <c r="Q76" s="904">
        <f t="shared" si="60"/>
        <v>182815</v>
      </c>
      <c r="R76" s="904">
        <f t="shared" si="60"/>
        <v>232684</v>
      </c>
      <c r="S76" s="904">
        <f t="shared" si="60"/>
        <v>293891</v>
      </c>
      <c r="T76" s="904">
        <f t="shared" si="60"/>
        <v>361737</v>
      </c>
      <c r="U76" s="904">
        <f t="shared" si="60"/>
        <v>430236</v>
      </c>
      <c r="V76" s="904">
        <f t="shared" si="60"/>
        <v>496703</v>
      </c>
      <c r="W76" s="904">
        <f t="shared" si="60"/>
        <v>558558</v>
      </c>
      <c r="X76" s="904">
        <f t="shared" si="60"/>
        <v>642578</v>
      </c>
      <c r="Y76" s="904">
        <f t="shared" si="60"/>
        <v>712663</v>
      </c>
      <c r="Z76" s="904">
        <f t="shared" ref="Z76:Z81" si="61">+Y76+M76</f>
        <v>795402</v>
      </c>
      <c r="AA76" s="556"/>
      <c r="AB76" s="1183">
        <f t="shared" si="56"/>
        <v>0</v>
      </c>
      <c r="AC76" s="2844" t="s">
        <v>3549</v>
      </c>
      <c r="AD76" s="1273">
        <v>0</v>
      </c>
      <c r="AE76" s="1273">
        <v>0</v>
      </c>
      <c r="AF76" s="2113">
        <v>82907</v>
      </c>
      <c r="AG76" s="1275">
        <f>+AD76*1000000/AF76</f>
        <v>0</v>
      </c>
      <c r="AH76" s="1415">
        <f>+AE76*1000000/AF76</f>
        <v>0</v>
      </c>
      <c r="AI76" s="1414">
        <v>6.0034459779913671</v>
      </c>
      <c r="AJ76" s="1415">
        <v>12.006891955982734</v>
      </c>
      <c r="AK76" s="1035" t="s">
        <v>2538</v>
      </c>
      <c r="AL76" t="s">
        <v>5532</v>
      </c>
      <c r="AN76" s="479">
        <f>+(AD76+AD77)*1000000/(AF76+AF77)</f>
        <v>2.0906822791463444</v>
      </c>
      <c r="AO76" s="262">
        <f>+(AE76+AE77)*1000000/(AF76+AF78)</f>
        <v>54.339268710353792</v>
      </c>
    </row>
    <row r="77" spans="1:51" ht="15" customHeight="1" thickBot="1">
      <c r="A77" s="675" t="s">
        <v>1982</v>
      </c>
      <c r="B77" s="904">
        <f>+B76+B75</f>
        <v>1329500.3655555553</v>
      </c>
      <c r="C77" s="904">
        <f t="shared" ref="C77:M77" si="62">+C76+C75</f>
        <v>1275482.3768888889</v>
      </c>
      <c r="D77" s="904">
        <f t="shared" si="62"/>
        <v>1284173.0363888887</v>
      </c>
      <c r="E77" s="904">
        <f t="shared" si="62"/>
        <v>1295010.1263888888</v>
      </c>
      <c r="F77" s="904">
        <f t="shared" si="62"/>
        <v>1250397.4100000001</v>
      </c>
      <c r="G77" s="904">
        <f t="shared" si="62"/>
        <v>1346330.1699999997</v>
      </c>
      <c r="H77" s="904">
        <f t="shared" si="62"/>
        <v>1288772.4099999999</v>
      </c>
      <c r="I77" s="904">
        <f t="shared" si="62"/>
        <v>1329594.1199999999</v>
      </c>
      <c r="J77" s="904">
        <f t="shared" si="62"/>
        <v>1369285.8730555554</v>
      </c>
      <c r="K77" s="904">
        <f t="shared" si="62"/>
        <v>1330043.7577777777</v>
      </c>
      <c r="L77" s="904">
        <f t="shared" si="62"/>
        <v>1291817.2000000002</v>
      </c>
      <c r="M77" s="904">
        <f t="shared" si="62"/>
        <v>1253842.8399999999</v>
      </c>
      <c r="N77" s="262"/>
      <c r="O77" s="904">
        <f t="shared" si="59"/>
        <v>1329500.3655555553</v>
      </c>
      <c r="P77" s="904">
        <f t="shared" si="60"/>
        <v>2604982.7424444444</v>
      </c>
      <c r="Q77" s="904">
        <f t="shared" si="60"/>
        <v>3889155.7788333334</v>
      </c>
      <c r="R77" s="904">
        <f t="shared" si="60"/>
        <v>5184165.9052222222</v>
      </c>
      <c r="S77" s="904">
        <f t="shared" si="60"/>
        <v>6434563.3152222224</v>
      </c>
      <c r="T77" s="904">
        <f t="shared" si="60"/>
        <v>7780893.4852222223</v>
      </c>
      <c r="U77" s="904">
        <f t="shared" si="60"/>
        <v>9069665.8952222224</v>
      </c>
      <c r="V77" s="904">
        <f t="shared" si="60"/>
        <v>10399260.015222222</v>
      </c>
      <c r="W77" s="904">
        <f t="shared" si="60"/>
        <v>11768545.888277777</v>
      </c>
      <c r="X77" s="904">
        <f t="shared" si="60"/>
        <v>13098589.646055555</v>
      </c>
      <c r="Y77" s="904">
        <f t="shared" si="60"/>
        <v>14390406.846055556</v>
      </c>
      <c r="Z77" s="904">
        <f t="shared" si="61"/>
        <v>15644249.686055556</v>
      </c>
      <c r="AA77" s="556"/>
      <c r="AB77" s="1183">
        <f t="shared" si="56"/>
        <v>0.25287356321839083</v>
      </c>
      <c r="AC77" s="2853" t="s">
        <v>659</v>
      </c>
      <c r="AD77" s="2854">
        <f>SUM('ACCIDENTES INCAPACITANTES'!BO63:CJ74)-AD76</f>
        <v>22</v>
      </c>
      <c r="AE77" s="2854">
        <f>SUM('DIAS PERDIDOS'!BO63:CJ74)-AE76</f>
        <v>1337</v>
      </c>
      <c r="AF77" s="2854">
        <f>SUM('HORAS HOMBRE'!BO63:CJ74)-AF76</f>
        <v>10439973.601916669</v>
      </c>
      <c r="AG77" s="2855">
        <f>+AD77*1000000/AF77</f>
        <v>2.1072850218664376</v>
      </c>
      <c r="AH77" s="2856">
        <f>+AE77*1000000/AF77</f>
        <v>128.06545791979215</v>
      </c>
      <c r="AI77" s="2857">
        <v>3.2869140924292837</v>
      </c>
      <c r="AJ77" s="2856">
        <v>154.58456580152267</v>
      </c>
      <c r="AK77" s="1210"/>
    </row>
    <row r="78" spans="1:51" ht="19.95" customHeight="1">
      <c r="A78" s="1137" t="s">
        <v>935</v>
      </c>
      <c r="B78" s="1107">
        <v>1105241.9875</v>
      </c>
      <c r="C78" s="1107">
        <v>1126018.1400000001</v>
      </c>
      <c r="D78" s="1107">
        <v>1118494.1299999999</v>
      </c>
      <c r="E78" s="1107">
        <v>1142370.81</v>
      </c>
      <c r="F78" s="1107">
        <v>1181716.21</v>
      </c>
      <c r="G78" s="1107">
        <v>1225017.7800000003</v>
      </c>
      <c r="H78" s="1107">
        <v>1177169.3866666667</v>
      </c>
      <c r="I78" s="1107">
        <v>1222091.6166666667</v>
      </c>
      <c r="J78" s="1107">
        <v>1273191.56</v>
      </c>
      <c r="K78" s="1107">
        <v>1238269.131111111</v>
      </c>
      <c r="L78" s="1107">
        <v>1253349.4908333332</v>
      </c>
      <c r="M78" s="1107">
        <v>1168800.9908333335</v>
      </c>
      <c r="N78" s="262"/>
      <c r="O78" s="948">
        <f t="shared" si="59"/>
        <v>1105241.9875</v>
      </c>
      <c r="P78" s="948">
        <f t="shared" si="60"/>
        <v>2231260.1275000004</v>
      </c>
      <c r="Q78" s="948">
        <f t="shared" si="60"/>
        <v>3349754.2575000003</v>
      </c>
      <c r="R78" s="948">
        <f t="shared" si="60"/>
        <v>4492125.0675000008</v>
      </c>
      <c r="S78" s="948">
        <f t="shared" si="60"/>
        <v>5673841.2775000008</v>
      </c>
      <c r="T78" s="948">
        <f t="shared" si="60"/>
        <v>6898859.057500001</v>
      </c>
      <c r="U78" s="948">
        <f t="shared" si="60"/>
        <v>8076028.4441666678</v>
      </c>
      <c r="V78" s="948">
        <f t="shared" si="60"/>
        <v>9298120.0608333349</v>
      </c>
      <c r="W78" s="948">
        <f t="shared" si="60"/>
        <v>10571311.620833335</v>
      </c>
      <c r="X78" s="948">
        <f t="shared" si="60"/>
        <v>11809580.751944447</v>
      </c>
      <c r="Y78" s="948">
        <f t="shared" si="60"/>
        <v>13062930.24277778</v>
      </c>
      <c r="Z78" s="948">
        <f t="shared" si="61"/>
        <v>14231731.233611112</v>
      </c>
      <c r="AA78" s="556"/>
      <c r="AB78" s="859"/>
      <c r="AC78" s="1214"/>
      <c r="AD78" s="1215">
        <f>+INDICADORES!P39</f>
        <v>87</v>
      </c>
      <c r="AE78" s="1215">
        <f>+INDICADORES!O39</f>
        <v>3313</v>
      </c>
      <c r="AF78" s="1215">
        <f>+INDICADORES!M39</f>
        <v>24521767.146916673</v>
      </c>
      <c r="AG78" s="1216">
        <f>+AD78*1000000/AF78</f>
        <v>3.5478682869288742</v>
      </c>
      <c r="AH78" s="1217">
        <f>+AE78*1000000/AF78</f>
        <v>135.10445557006162</v>
      </c>
      <c r="AI78" s="1216">
        <v>3.5529831881946592</v>
      </c>
      <c r="AJ78" s="1217">
        <v>102.10789185163969</v>
      </c>
      <c r="AK78" s="1210"/>
      <c r="AX78" s="242" t="s">
        <v>447</v>
      </c>
      <c r="AY78">
        <v>1</v>
      </c>
    </row>
    <row r="79" spans="1:51" ht="10.5" customHeight="1">
      <c r="A79" s="8" t="s">
        <v>936</v>
      </c>
      <c r="B79" s="904">
        <v>66949</v>
      </c>
      <c r="C79" s="904">
        <v>63712.5</v>
      </c>
      <c r="D79" s="904">
        <v>64444</v>
      </c>
      <c r="E79" s="1107">
        <v>67550</v>
      </c>
      <c r="F79" s="904">
        <v>69415</v>
      </c>
      <c r="G79" s="1107">
        <v>73235</v>
      </c>
      <c r="H79" s="1107">
        <v>68699</v>
      </c>
      <c r="I79" s="1107">
        <v>40866</v>
      </c>
      <c r="J79" s="1107">
        <v>14017</v>
      </c>
      <c r="K79" s="1107">
        <v>14017</v>
      </c>
      <c r="L79" s="1107">
        <v>14017</v>
      </c>
      <c r="M79" s="1107">
        <v>14017</v>
      </c>
      <c r="N79" s="1264"/>
      <c r="O79" s="948">
        <f t="shared" si="59"/>
        <v>66949</v>
      </c>
      <c r="P79" s="948">
        <f t="shared" si="60"/>
        <v>130661.5</v>
      </c>
      <c r="Q79" s="948">
        <f t="shared" si="60"/>
        <v>195105.5</v>
      </c>
      <c r="R79" s="948">
        <f t="shared" si="60"/>
        <v>262655.5</v>
      </c>
      <c r="S79" s="948">
        <f t="shared" si="60"/>
        <v>332070.5</v>
      </c>
      <c r="T79" s="948">
        <f t="shared" si="60"/>
        <v>405305.5</v>
      </c>
      <c r="U79" s="948">
        <f t="shared" si="60"/>
        <v>474004.5</v>
      </c>
      <c r="V79" s="948">
        <f t="shared" si="60"/>
        <v>514870.5</v>
      </c>
      <c r="W79" s="948">
        <f t="shared" si="60"/>
        <v>528887.5</v>
      </c>
      <c r="X79" s="948">
        <f t="shared" si="60"/>
        <v>542904.5</v>
      </c>
      <c r="Y79" s="948">
        <f t="shared" si="60"/>
        <v>556921.5</v>
      </c>
      <c r="Z79" s="948">
        <f t="shared" si="61"/>
        <v>570938.5</v>
      </c>
      <c r="AA79" s="556"/>
      <c r="AB79" s="242"/>
      <c r="AC79" s="859"/>
      <c r="AD79" s="859"/>
      <c r="AE79" s="859"/>
      <c r="AF79" s="859"/>
      <c r="AG79" s="859"/>
      <c r="AH79" s="859"/>
      <c r="AI79" s="859"/>
      <c r="AJ79" s="859"/>
      <c r="AX79" s="242" t="s">
        <v>5943</v>
      </c>
      <c r="AY79">
        <v>1</v>
      </c>
    </row>
    <row r="80" spans="1:51" ht="16.95" customHeight="1">
      <c r="A80" s="675" t="s">
        <v>894</v>
      </c>
      <c r="B80" s="904">
        <v>7618.48</v>
      </c>
      <c r="C80" s="904">
        <v>9953.15</v>
      </c>
      <c r="D80" s="904">
        <v>9430.51</v>
      </c>
      <c r="E80" s="904">
        <v>8361.92</v>
      </c>
      <c r="F80" s="904">
        <v>8232.26</v>
      </c>
      <c r="G80" s="904">
        <v>9722.61</v>
      </c>
      <c r="H80" s="1107">
        <v>8332.48</v>
      </c>
      <c r="I80" s="1107">
        <v>8332.48</v>
      </c>
      <c r="J80" s="1107">
        <v>8332.48</v>
      </c>
      <c r="K80" s="1107">
        <v>8332.48</v>
      </c>
      <c r="L80" s="904">
        <v>8332.48</v>
      </c>
      <c r="M80" s="904">
        <v>8332.48</v>
      </c>
      <c r="N80" s="1264"/>
      <c r="O80" s="948">
        <f t="shared" si="59"/>
        <v>7618.48</v>
      </c>
      <c r="P80" s="948">
        <f t="shared" si="60"/>
        <v>17571.629999999997</v>
      </c>
      <c r="Q80" s="948">
        <f t="shared" si="60"/>
        <v>27002.14</v>
      </c>
      <c r="R80" s="948">
        <f t="shared" si="60"/>
        <v>35364.06</v>
      </c>
      <c r="S80" s="948">
        <f t="shared" si="60"/>
        <v>43596.32</v>
      </c>
      <c r="T80" s="948">
        <f t="shared" si="60"/>
        <v>53318.93</v>
      </c>
      <c r="U80" s="948">
        <f t="shared" si="60"/>
        <v>61651.41</v>
      </c>
      <c r="V80" s="948">
        <f t="shared" si="60"/>
        <v>69983.89</v>
      </c>
      <c r="W80" s="948">
        <f t="shared" si="60"/>
        <v>78316.37</v>
      </c>
      <c r="X80" s="948">
        <f t="shared" si="60"/>
        <v>86648.849999999991</v>
      </c>
      <c r="Y80" s="948">
        <f t="shared" si="60"/>
        <v>94981.329999999987</v>
      </c>
      <c r="Z80" s="948">
        <f t="shared" si="61"/>
        <v>103313.80999999998</v>
      </c>
      <c r="AA80" s="556"/>
      <c r="AB80" s="1221"/>
      <c r="AC80" s="859"/>
      <c r="AD80" s="859"/>
      <c r="AE80" s="1314"/>
      <c r="AF80" s="2063" t="s">
        <v>6241</v>
      </c>
      <c r="AG80" s="2063" t="s">
        <v>5977</v>
      </c>
      <c r="AH80" s="2063" t="s">
        <v>5976</v>
      </c>
      <c r="AI80" s="859"/>
      <c r="AJ80" s="859"/>
      <c r="AX80" s="242" t="s">
        <v>451</v>
      </c>
      <c r="AY80">
        <v>1</v>
      </c>
    </row>
    <row r="81" spans="1:51" ht="12.6" customHeight="1">
      <c r="A81" s="675" t="s">
        <v>922</v>
      </c>
      <c r="B81" s="1107">
        <v>56804</v>
      </c>
      <c r="C81" s="1107">
        <v>62276</v>
      </c>
      <c r="D81" s="1107">
        <v>65010</v>
      </c>
      <c r="E81" s="1107">
        <v>67096</v>
      </c>
      <c r="F81" s="1107">
        <v>63447</v>
      </c>
      <c r="G81" s="1107">
        <v>62135</v>
      </c>
      <c r="H81" s="1107">
        <v>55090</v>
      </c>
      <c r="I81" s="1107">
        <v>60813</v>
      </c>
      <c r="J81" s="1133">
        <v>60385</v>
      </c>
      <c r="K81" s="1133">
        <v>60385</v>
      </c>
      <c r="L81" s="1133">
        <v>60385</v>
      </c>
      <c r="M81" s="1133">
        <v>60388</v>
      </c>
      <c r="N81" s="1264"/>
      <c r="O81" s="948">
        <f t="shared" si="59"/>
        <v>56804</v>
      </c>
      <c r="P81" s="948">
        <f t="shared" si="60"/>
        <v>119080</v>
      </c>
      <c r="Q81" s="948">
        <f t="shared" si="60"/>
        <v>184090</v>
      </c>
      <c r="R81" s="948">
        <f t="shared" si="60"/>
        <v>251186</v>
      </c>
      <c r="S81" s="948">
        <f t="shared" si="60"/>
        <v>314633</v>
      </c>
      <c r="T81" s="948">
        <f t="shared" si="60"/>
        <v>376768</v>
      </c>
      <c r="U81" s="948">
        <f t="shared" si="60"/>
        <v>431858</v>
      </c>
      <c r="V81" s="948">
        <f t="shared" si="60"/>
        <v>492671</v>
      </c>
      <c r="W81" s="948">
        <f t="shared" si="60"/>
        <v>553056</v>
      </c>
      <c r="X81" s="948">
        <f t="shared" si="60"/>
        <v>613441</v>
      </c>
      <c r="Y81" s="948">
        <f t="shared" si="60"/>
        <v>673826</v>
      </c>
      <c r="Z81" s="948">
        <f t="shared" si="61"/>
        <v>734214</v>
      </c>
      <c r="AA81" s="556"/>
      <c r="AC81" s="859"/>
      <c r="AD81" s="859"/>
      <c r="AE81" s="859"/>
      <c r="AF81" s="859"/>
      <c r="AG81" s="859"/>
      <c r="AI81" s="859"/>
      <c r="AJ81" s="859"/>
      <c r="AX81" t="s">
        <v>471</v>
      </c>
      <c r="AY81">
        <v>1</v>
      </c>
    </row>
    <row r="82" spans="1:51" ht="14.4">
      <c r="A82" s="8" t="s">
        <v>937</v>
      </c>
      <c r="B82" s="904">
        <v>1236613.4675</v>
      </c>
      <c r="C82" s="904">
        <v>1261959.79</v>
      </c>
      <c r="D82" s="904">
        <v>1257378.6399999999</v>
      </c>
      <c r="E82" s="904">
        <v>1285378.73</v>
      </c>
      <c r="F82" s="904">
        <v>1322810.47</v>
      </c>
      <c r="G82" s="904">
        <v>1370110.3900000004</v>
      </c>
      <c r="H82" s="904">
        <v>1309290.8666666667</v>
      </c>
      <c r="I82" s="904">
        <v>1332103.0966666667</v>
      </c>
      <c r="J82" s="904">
        <v>1355926.04</v>
      </c>
      <c r="K82" s="904">
        <v>1321003.611111111</v>
      </c>
      <c r="L82" s="904">
        <v>1336083.9708333332</v>
      </c>
      <c r="M82" s="904">
        <v>1251538.4708333334</v>
      </c>
      <c r="N82" s="1264"/>
      <c r="O82" s="904">
        <f t="shared" ref="O82:Z82" si="63">+O79+O78+O80+O81</f>
        <v>1236613.4675</v>
      </c>
      <c r="P82" s="904">
        <f t="shared" si="63"/>
        <v>2498573.2575000003</v>
      </c>
      <c r="Q82" s="904">
        <f t="shared" si="63"/>
        <v>3755951.8975000004</v>
      </c>
      <c r="R82" s="904">
        <f t="shared" si="63"/>
        <v>5041330.6275000004</v>
      </c>
      <c r="S82" s="904">
        <f t="shared" si="63"/>
        <v>6364141.0975000011</v>
      </c>
      <c r="T82" s="904">
        <f t="shared" si="63"/>
        <v>7734251.4875000007</v>
      </c>
      <c r="U82" s="904">
        <f t="shared" si="63"/>
        <v>9043542.3541666679</v>
      </c>
      <c r="V82" s="904">
        <f t="shared" si="63"/>
        <v>10375645.450833336</v>
      </c>
      <c r="W82" s="904">
        <f t="shared" si="63"/>
        <v>11731571.490833335</v>
      </c>
      <c r="X82" s="904">
        <f t="shared" si="63"/>
        <v>13052575.101944447</v>
      </c>
      <c r="Y82" s="904">
        <f t="shared" si="63"/>
        <v>14388659.07277778</v>
      </c>
      <c r="Z82" s="904">
        <f t="shared" si="63"/>
        <v>15640197.543611113</v>
      </c>
      <c r="AA82" s="556"/>
      <c r="AX82" s="242" t="s">
        <v>1990</v>
      </c>
      <c r="AY82">
        <v>1</v>
      </c>
    </row>
    <row r="83" spans="1:51" ht="14.7" customHeight="1">
      <c r="A83" s="675" t="s">
        <v>2007</v>
      </c>
      <c r="B83" s="904">
        <v>1764</v>
      </c>
      <c r="C83" s="904">
        <v>4285</v>
      </c>
      <c r="D83" s="904">
        <v>4136</v>
      </c>
      <c r="E83" s="904">
        <v>4592</v>
      </c>
      <c r="F83" s="904">
        <v>5899</v>
      </c>
      <c r="G83" s="904">
        <v>6430</v>
      </c>
      <c r="H83" s="904">
        <v>5829</v>
      </c>
      <c r="I83" s="904">
        <v>5803</v>
      </c>
      <c r="J83" s="904">
        <v>5776</v>
      </c>
      <c r="K83" s="904">
        <v>5776</v>
      </c>
      <c r="L83" s="904">
        <v>5776</v>
      </c>
      <c r="M83" s="904">
        <v>5776</v>
      </c>
      <c r="N83" s="1264"/>
      <c r="O83" s="904">
        <f t="shared" ref="O83:O104" si="64">+B83</f>
        <v>1764</v>
      </c>
      <c r="P83" s="904">
        <f t="shared" ref="P83:P104" si="65">+O83+C83</f>
        <v>6049</v>
      </c>
      <c r="Q83" s="904">
        <f t="shared" ref="Q83:Q104" si="66">+P83+D83</f>
        <v>10185</v>
      </c>
      <c r="R83" s="904">
        <f t="shared" ref="R83:R104" si="67">+Q83+E83</f>
        <v>14777</v>
      </c>
      <c r="S83" s="904">
        <f t="shared" ref="S83:S104" si="68">+R83+F83</f>
        <v>20676</v>
      </c>
      <c r="T83" s="904">
        <f t="shared" ref="T83:T104" si="69">+S83+G83</f>
        <v>27106</v>
      </c>
      <c r="U83" s="904">
        <f t="shared" ref="U83:U104" si="70">+T83+H83</f>
        <v>32935</v>
      </c>
      <c r="V83" s="904">
        <f t="shared" ref="V83:V104" si="71">+U83+I83</f>
        <v>38738</v>
      </c>
      <c r="W83" s="904">
        <f t="shared" ref="W83:W104" si="72">+V83+J83</f>
        <v>44514</v>
      </c>
      <c r="X83" s="904">
        <f t="shared" ref="X83:X104" si="73">+W83+K83</f>
        <v>50290</v>
      </c>
      <c r="Y83" s="904">
        <f t="shared" ref="Y83:Y104" si="74">+X83+L83</f>
        <v>56066</v>
      </c>
      <c r="Z83" s="904">
        <f>+Y83+M83</f>
        <v>61842</v>
      </c>
      <c r="AA83" s="556"/>
      <c r="AX83" t="s">
        <v>4342</v>
      </c>
      <c r="AY83">
        <v>1</v>
      </c>
    </row>
    <row r="84" spans="1:51" ht="15" customHeight="1">
      <c r="A84" s="675">
        <v>2016</v>
      </c>
      <c r="B84" s="904">
        <f t="shared" ref="B84:M84" si="75">+B83+B82</f>
        <v>1238377.4675</v>
      </c>
      <c r="C84" s="904">
        <f t="shared" si="75"/>
        <v>1266244.79</v>
      </c>
      <c r="D84" s="904">
        <f t="shared" si="75"/>
        <v>1261514.6399999999</v>
      </c>
      <c r="E84" s="904">
        <f t="shared" si="75"/>
        <v>1289970.73</v>
      </c>
      <c r="F84" s="904">
        <f t="shared" si="75"/>
        <v>1328709.47</v>
      </c>
      <c r="G84" s="904">
        <f t="shared" si="75"/>
        <v>1376540.3900000004</v>
      </c>
      <c r="H84" s="904">
        <f t="shared" si="75"/>
        <v>1315119.8666666667</v>
      </c>
      <c r="I84" s="904">
        <f t="shared" si="75"/>
        <v>1337906.0966666667</v>
      </c>
      <c r="J84" s="904">
        <f t="shared" si="75"/>
        <v>1361702.04</v>
      </c>
      <c r="K84" s="904">
        <f t="shared" si="75"/>
        <v>1326779.611111111</v>
      </c>
      <c r="L84" s="904">
        <f t="shared" si="75"/>
        <v>1341859.9708333332</v>
      </c>
      <c r="M84" s="904">
        <f t="shared" si="75"/>
        <v>1257314.4708333334</v>
      </c>
      <c r="N84" s="1264"/>
      <c r="O84" s="904">
        <f t="shared" si="64"/>
        <v>1238377.4675</v>
      </c>
      <c r="P84" s="904">
        <f t="shared" si="65"/>
        <v>2504622.2575000003</v>
      </c>
      <c r="Q84" s="904">
        <f t="shared" si="66"/>
        <v>3766136.8975</v>
      </c>
      <c r="R84" s="904">
        <f t="shared" si="67"/>
        <v>5056107.6274999995</v>
      </c>
      <c r="S84" s="904">
        <f t="shared" si="68"/>
        <v>6384817.0974999992</v>
      </c>
      <c r="T84" s="904">
        <f t="shared" si="69"/>
        <v>7761357.4874999998</v>
      </c>
      <c r="U84" s="904">
        <f t="shared" si="70"/>
        <v>9076477.354166666</v>
      </c>
      <c r="V84" s="904">
        <f t="shared" si="71"/>
        <v>10414383.450833332</v>
      </c>
      <c r="W84" s="904">
        <f t="shared" si="72"/>
        <v>11776085.490833331</v>
      </c>
      <c r="X84" s="904">
        <f t="shared" si="73"/>
        <v>13102865.101944443</v>
      </c>
      <c r="Y84" s="904">
        <f t="shared" si="74"/>
        <v>14444725.072777776</v>
      </c>
      <c r="Z84" s="904">
        <f t="shared" ref="Z84:Z90" si="76">+Y84+M84</f>
        <v>15702039.543611109</v>
      </c>
      <c r="AA84" s="556"/>
      <c r="AB84" s="2194" t="s">
        <v>2156</v>
      </c>
      <c r="AC84" s="2194" t="s">
        <v>5869</v>
      </c>
      <c r="AD84" s="8" t="s">
        <v>2881</v>
      </c>
      <c r="AX84" s="242" t="s">
        <v>859</v>
      </c>
      <c r="AY84">
        <v>2</v>
      </c>
    </row>
    <row r="85" spans="1:51" ht="14.4">
      <c r="A85" s="1137" t="s">
        <v>2160</v>
      </c>
      <c r="B85" s="1107">
        <v>1152549.71</v>
      </c>
      <c r="C85" s="1107">
        <v>1156882.6399999999</v>
      </c>
      <c r="D85" s="1107">
        <v>1196057.1177777778</v>
      </c>
      <c r="E85" s="1107">
        <v>1202836.5363888887</v>
      </c>
      <c r="F85" s="1107">
        <v>1248399.3477777778</v>
      </c>
      <c r="G85" s="1107">
        <v>1270565.2436111111</v>
      </c>
      <c r="H85" s="1107">
        <v>1289185.58</v>
      </c>
      <c r="I85" s="1107">
        <v>1332664.01</v>
      </c>
      <c r="J85" s="1107">
        <v>1346374.3444444444</v>
      </c>
      <c r="K85" s="1107">
        <v>1314193.0277777778</v>
      </c>
      <c r="L85" s="1107">
        <v>1281749.9099999999</v>
      </c>
      <c r="M85" s="1133">
        <v>1201248.2949999999</v>
      </c>
      <c r="N85" s="1264"/>
      <c r="O85" s="904">
        <f t="shared" si="64"/>
        <v>1152549.71</v>
      </c>
      <c r="P85" s="904">
        <f t="shared" si="65"/>
        <v>2309432.3499999996</v>
      </c>
      <c r="Q85" s="904">
        <f t="shared" si="66"/>
        <v>3505489.4677777775</v>
      </c>
      <c r="R85" s="904">
        <f t="shared" si="67"/>
        <v>4708326.0041666664</v>
      </c>
      <c r="S85" s="904">
        <f t="shared" si="68"/>
        <v>5956725.3519444447</v>
      </c>
      <c r="T85" s="904">
        <f t="shared" si="69"/>
        <v>7227290.595555556</v>
      </c>
      <c r="U85" s="904">
        <f t="shared" si="70"/>
        <v>8516476.175555557</v>
      </c>
      <c r="V85" s="904">
        <f t="shared" si="71"/>
        <v>9849140.1855555568</v>
      </c>
      <c r="W85" s="904">
        <f t="shared" si="72"/>
        <v>11195514.530000001</v>
      </c>
      <c r="X85" s="904">
        <f t="shared" si="73"/>
        <v>12509707.557777779</v>
      </c>
      <c r="Y85" s="904">
        <f t="shared" si="74"/>
        <v>13791457.467777779</v>
      </c>
      <c r="Z85" s="904">
        <f t="shared" si="76"/>
        <v>14992705.762777779</v>
      </c>
      <c r="AA85" s="556"/>
      <c r="AB85" s="556" t="s">
        <v>2320</v>
      </c>
      <c r="AC85" s="8">
        <v>33</v>
      </c>
      <c r="AD85" s="1169">
        <f t="shared" ref="AD85:AD91" si="77">+AC85/$AC$92</f>
        <v>0.44</v>
      </c>
      <c r="AF85" s="556"/>
      <c r="AX85" s="242" t="s">
        <v>2828</v>
      </c>
      <c r="AY85">
        <v>1</v>
      </c>
    </row>
    <row r="86" spans="1:51" ht="14.4">
      <c r="A86" s="675" t="s">
        <v>2789</v>
      </c>
      <c r="B86" s="904">
        <v>17583.766666666656</v>
      </c>
      <c r="C86" s="904">
        <v>17092.263666666673</v>
      </c>
      <c r="D86" s="904">
        <v>17634.350000000009</v>
      </c>
      <c r="E86" s="904">
        <v>13034.68666666667</v>
      </c>
      <c r="F86" s="904">
        <v>18528.433299999997</v>
      </c>
      <c r="G86" s="904">
        <v>16341.966666666667</v>
      </c>
      <c r="H86" s="904">
        <v>13351.633333333335</v>
      </c>
      <c r="I86" s="904">
        <v>15825.399666666664</v>
      </c>
      <c r="J86" s="904">
        <v>13966.600000000002</v>
      </c>
      <c r="K86" s="904">
        <v>13533.879999999997</v>
      </c>
      <c r="L86" s="904">
        <v>12688.849999999999</v>
      </c>
      <c r="M86" s="904">
        <v>12851.060000000001</v>
      </c>
      <c r="N86" s="1266" t="s">
        <v>2538</v>
      </c>
      <c r="O86" s="904">
        <f t="shared" si="64"/>
        <v>17583.766666666656</v>
      </c>
      <c r="P86" s="904">
        <f t="shared" si="65"/>
        <v>34676.030333333329</v>
      </c>
      <c r="Q86" s="904">
        <f t="shared" si="66"/>
        <v>52310.380333333334</v>
      </c>
      <c r="R86" s="904">
        <f t="shared" si="67"/>
        <v>65345.067000000003</v>
      </c>
      <c r="S86" s="904">
        <f t="shared" si="68"/>
        <v>83873.5003</v>
      </c>
      <c r="T86" s="904">
        <f t="shared" si="69"/>
        <v>100215.46696666666</v>
      </c>
      <c r="U86" s="904">
        <f t="shared" si="70"/>
        <v>113567.10029999999</v>
      </c>
      <c r="V86" s="904">
        <f t="shared" si="71"/>
        <v>129392.49996666666</v>
      </c>
      <c r="W86" s="904">
        <f t="shared" si="72"/>
        <v>143359.09996666666</v>
      </c>
      <c r="X86" s="904">
        <f t="shared" si="73"/>
        <v>156892.97996666667</v>
      </c>
      <c r="Y86" s="904">
        <f t="shared" si="74"/>
        <v>169581.82996666667</v>
      </c>
      <c r="Z86" s="904">
        <f t="shared" si="76"/>
        <v>182432.88996666667</v>
      </c>
      <c r="AA86" s="556"/>
      <c r="AB86" s="556" t="s">
        <v>923</v>
      </c>
      <c r="AC86" s="8">
        <v>8</v>
      </c>
      <c r="AD86" s="1169">
        <f t="shared" si="77"/>
        <v>0.10666666666666667</v>
      </c>
      <c r="AF86" s="556"/>
    </row>
    <row r="87" spans="1:51" ht="14.4">
      <c r="A87" s="675" t="s">
        <v>894</v>
      </c>
      <c r="B87" s="1107">
        <f>+JABONERIA!C14</f>
        <v>9372.98</v>
      </c>
      <c r="C87" s="1107">
        <f>+JABONERIA!D14</f>
        <v>9106.48</v>
      </c>
      <c r="D87" s="1107">
        <f>+JABONERIA!E14</f>
        <v>7888.48</v>
      </c>
      <c r="E87" s="1107">
        <f>+JABONERIA!F14</f>
        <v>5710.8700000000008</v>
      </c>
      <c r="F87" s="1107">
        <f>+JABONERIA!G14</f>
        <v>8569.01</v>
      </c>
      <c r="G87" s="1107">
        <f>+JABONERIA!H14</f>
        <v>9073.83</v>
      </c>
      <c r="H87" s="1107">
        <f>+JABONERIA!I14</f>
        <v>9124.15</v>
      </c>
      <c r="I87" s="1107">
        <f>+JABONERIA!J14</f>
        <v>8880.48</v>
      </c>
      <c r="J87" s="1107">
        <f>+JABONERIA!K14</f>
        <v>8653.2800000000007</v>
      </c>
      <c r="K87" s="1107">
        <f>+JABONERIA!L14</f>
        <v>8497.3700000000008</v>
      </c>
      <c r="L87" s="1107">
        <f>+JABONERIA!M14</f>
        <v>8421.48</v>
      </c>
      <c r="M87" s="1107">
        <f>+JABONERIA!N14</f>
        <v>7961.48</v>
      </c>
      <c r="N87" s="1266" t="s">
        <v>2538</v>
      </c>
      <c r="O87" s="904">
        <f t="shared" si="64"/>
        <v>9372.98</v>
      </c>
      <c r="P87" s="904">
        <f t="shared" si="65"/>
        <v>18479.46</v>
      </c>
      <c r="Q87" s="904">
        <f t="shared" si="66"/>
        <v>26367.94</v>
      </c>
      <c r="R87" s="904">
        <f t="shared" si="67"/>
        <v>32078.809999999998</v>
      </c>
      <c r="S87" s="904">
        <f t="shared" si="68"/>
        <v>40647.82</v>
      </c>
      <c r="T87" s="904">
        <f t="shared" si="69"/>
        <v>49721.65</v>
      </c>
      <c r="U87" s="904">
        <f t="shared" si="70"/>
        <v>58845.8</v>
      </c>
      <c r="V87" s="904">
        <f t="shared" si="71"/>
        <v>67726.28</v>
      </c>
      <c r="W87" s="904">
        <f t="shared" si="72"/>
        <v>76379.56</v>
      </c>
      <c r="X87" s="904">
        <f t="shared" si="73"/>
        <v>84876.93</v>
      </c>
      <c r="Y87" s="904">
        <f t="shared" si="74"/>
        <v>93298.409999999989</v>
      </c>
      <c r="Z87" s="904">
        <f t="shared" si="76"/>
        <v>101259.88999999998</v>
      </c>
      <c r="AA87" s="556"/>
      <c r="AB87" s="556" t="s">
        <v>917</v>
      </c>
      <c r="AC87" s="8">
        <v>8</v>
      </c>
      <c r="AD87" s="1169">
        <f t="shared" si="77"/>
        <v>0.10666666666666667</v>
      </c>
      <c r="AF87" s="556"/>
    </row>
    <row r="88" spans="1:51" ht="14.4">
      <c r="A88" s="675" t="s">
        <v>922</v>
      </c>
      <c r="B88" s="904">
        <v>67955</v>
      </c>
      <c r="C88" s="904">
        <v>63920</v>
      </c>
      <c r="D88" s="1107">
        <v>71718</v>
      </c>
      <c r="E88" s="904">
        <v>66685</v>
      </c>
      <c r="F88" s="1107">
        <v>71646</v>
      </c>
      <c r="G88" s="1107">
        <v>77203</v>
      </c>
      <c r="H88" s="1107">
        <v>70748</v>
      </c>
      <c r="I88" s="1107">
        <v>61767</v>
      </c>
      <c r="J88" s="1107">
        <v>70918</v>
      </c>
      <c r="K88" s="1107">
        <v>78543</v>
      </c>
      <c r="L88" s="1107">
        <v>72822</v>
      </c>
      <c r="M88" s="1107">
        <v>65402</v>
      </c>
      <c r="N88" s="1266" t="s">
        <v>2538</v>
      </c>
      <c r="O88" s="904">
        <f t="shared" si="64"/>
        <v>67955</v>
      </c>
      <c r="P88" s="904">
        <f t="shared" si="65"/>
        <v>131875</v>
      </c>
      <c r="Q88" s="904">
        <f t="shared" si="66"/>
        <v>203593</v>
      </c>
      <c r="R88" s="904">
        <f t="shared" si="67"/>
        <v>270278</v>
      </c>
      <c r="S88" s="904">
        <f t="shared" si="68"/>
        <v>341924</v>
      </c>
      <c r="T88" s="904">
        <f t="shared" si="69"/>
        <v>419127</v>
      </c>
      <c r="U88" s="904">
        <f t="shared" si="70"/>
        <v>489875</v>
      </c>
      <c r="V88" s="904">
        <f t="shared" si="71"/>
        <v>551642</v>
      </c>
      <c r="W88" s="904">
        <f t="shared" si="72"/>
        <v>622560</v>
      </c>
      <c r="X88" s="904">
        <f t="shared" si="73"/>
        <v>701103</v>
      </c>
      <c r="Y88" s="904">
        <f t="shared" si="74"/>
        <v>773925</v>
      </c>
      <c r="Z88" s="904">
        <f t="shared" si="76"/>
        <v>839327</v>
      </c>
      <c r="AA88" s="556"/>
      <c r="AB88" s="556" t="s">
        <v>915</v>
      </c>
      <c r="AC88" s="8">
        <v>8</v>
      </c>
      <c r="AD88" s="1169">
        <f t="shared" si="77"/>
        <v>0.10666666666666667</v>
      </c>
      <c r="AF88" s="556"/>
    </row>
    <row r="89" spans="1:51" ht="14.4">
      <c r="A89" s="675" t="s">
        <v>2007</v>
      </c>
      <c r="B89" s="1107">
        <v>5809</v>
      </c>
      <c r="C89" s="1107">
        <v>6244</v>
      </c>
      <c r="D89" s="1107">
        <v>6821</v>
      </c>
      <c r="E89" s="1107">
        <v>6483</v>
      </c>
      <c r="F89" s="1107">
        <v>7713</v>
      </c>
      <c r="G89" s="1107">
        <v>7439</v>
      </c>
      <c r="H89" s="1107">
        <v>7995</v>
      </c>
      <c r="I89" s="1107">
        <v>8256</v>
      </c>
      <c r="J89" s="1107">
        <v>9008</v>
      </c>
      <c r="K89" s="1107">
        <v>8965</v>
      </c>
      <c r="L89" s="1107">
        <v>7946</v>
      </c>
      <c r="M89" s="1107">
        <v>7951</v>
      </c>
      <c r="N89" s="1266" t="s">
        <v>2538</v>
      </c>
      <c r="O89" s="904">
        <f t="shared" si="64"/>
        <v>5809</v>
      </c>
      <c r="P89" s="904">
        <f t="shared" si="65"/>
        <v>12053</v>
      </c>
      <c r="Q89" s="904">
        <f t="shared" si="66"/>
        <v>18874</v>
      </c>
      <c r="R89" s="904">
        <f t="shared" si="67"/>
        <v>25357</v>
      </c>
      <c r="S89" s="904">
        <f t="shared" si="68"/>
        <v>33070</v>
      </c>
      <c r="T89" s="904">
        <f t="shared" si="69"/>
        <v>40509</v>
      </c>
      <c r="U89" s="904">
        <f t="shared" si="70"/>
        <v>48504</v>
      </c>
      <c r="V89" s="904">
        <f t="shared" si="71"/>
        <v>56760</v>
      </c>
      <c r="W89" s="904">
        <f t="shared" si="72"/>
        <v>65768</v>
      </c>
      <c r="X89" s="904">
        <f t="shared" si="73"/>
        <v>74733</v>
      </c>
      <c r="Y89" s="904">
        <f t="shared" si="74"/>
        <v>82679</v>
      </c>
      <c r="Z89" s="904">
        <f t="shared" si="76"/>
        <v>90630</v>
      </c>
      <c r="AA89" s="556"/>
      <c r="AB89" s="556" t="s">
        <v>925</v>
      </c>
      <c r="AC89" s="8">
        <v>6</v>
      </c>
      <c r="AD89" s="1169">
        <f t="shared" si="77"/>
        <v>0.08</v>
      </c>
      <c r="AF89" s="556"/>
    </row>
    <row r="90" spans="1:51" ht="14.4">
      <c r="A90" s="675">
        <v>2017</v>
      </c>
      <c r="B90" s="904">
        <f>SUM(B85:B89)</f>
        <v>1253270.4566666665</v>
      </c>
      <c r="C90" s="904">
        <f t="shared" ref="C90:J90" si="78">SUM(C85:C89)</f>
        <v>1253245.3836666665</v>
      </c>
      <c r="D90" s="904">
        <f t="shared" si="78"/>
        <v>1300118.9477777779</v>
      </c>
      <c r="E90" s="904">
        <f t="shared" si="78"/>
        <v>1294750.0930555556</v>
      </c>
      <c r="F90" s="904">
        <f t="shared" si="78"/>
        <v>1354855.7910777777</v>
      </c>
      <c r="G90" s="904">
        <f t="shared" si="78"/>
        <v>1380623.0402777777</v>
      </c>
      <c r="H90" s="904">
        <f t="shared" si="78"/>
        <v>1390404.3633333333</v>
      </c>
      <c r="I90" s="904">
        <f t="shared" si="78"/>
        <v>1427392.8896666667</v>
      </c>
      <c r="J90" s="904">
        <f t="shared" si="78"/>
        <v>1448920.2244444445</v>
      </c>
      <c r="K90" s="904">
        <f>SUM(K85:K89)</f>
        <v>1423732.2777777778</v>
      </c>
      <c r="L90" s="904">
        <f>SUM(L85:L89)</f>
        <v>1383628.24</v>
      </c>
      <c r="M90" s="904">
        <f>SUM(M85:M89)</f>
        <v>1295413.835</v>
      </c>
      <c r="N90" s="1264"/>
      <c r="O90" s="904">
        <f t="shared" si="64"/>
        <v>1253270.4566666665</v>
      </c>
      <c r="P90" s="904">
        <f t="shared" si="65"/>
        <v>2506515.8403333332</v>
      </c>
      <c r="Q90" s="904">
        <f t="shared" si="66"/>
        <v>3806634.7881111111</v>
      </c>
      <c r="R90" s="904">
        <f t="shared" si="67"/>
        <v>5101384.8811666667</v>
      </c>
      <c r="S90" s="904">
        <f t="shared" si="68"/>
        <v>6456240.6722444445</v>
      </c>
      <c r="T90" s="904">
        <f t="shared" si="69"/>
        <v>7836863.7125222217</v>
      </c>
      <c r="U90" s="904">
        <f t="shared" si="70"/>
        <v>9227268.075855555</v>
      </c>
      <c r="V90" s="904">
        <f t="shared" si="71"/>
        <v>10654660.965522222</v>
      </c>
      <c r="W90" s="904">
        <f t="shared" si="72"/>
        <v>12103581.189966667</v>
      </c>
      <c r="X90" s="904">
        <f t="shared" si="73"/>
        <v>13527313.467744445</v>
      </c>
      <c r="Y90" s="904">
        <f t="shared" si="74"/>
        <v>14910941.707744446</v>
      </c>
      <c r="Z90" s="904">
        <f t="shared" si="76"/>
        <v>16206355.542744447</v>
      </c>
      <c r="AA90" s="556"/>
      <c r="AB90" s="556" t="s">
        <v>3416</v>
      </c>
      <c r="AC90" s="8">
        <v>6</v>
      </c>
      <c r="AD90" s="1169">
        <f t="shared" si="77"/>
        <v>0.08</v>
      </c>
      <c r="AF90" s="556"/>
    </row>
    <row r="91" spans="1:51" ht="14.4">
      <c r="A91" s="1137" t="s">
        <v>2586</v>
      </c>
      <c r="B91" s="1107">
        <v>1144325.48</v>
      </c>
      <c r="C91" s="1107">
        <v>1180581.2285125449</v>
      </c>
      <c r="D91" s="1107">
        <v>1203256.911388889</v>
      </c>
      <c r="E91" s="1107">
        <v>1227298.3405555557</v>
      </c>
      <c r="F91" s="1107">
        <v>1255373.9794444446</v>
      </c>
      <c r="G91" s="1107">
        <v>1285410.2319444444</v>
      </c>
      <c r="H91" s="1107">
        <v>1319149.7443888886</v>
      </c>
      <c r="I91" s="1107">
        <v>1316978.7227777778</v>
      </c>
      <c r="J91" s="1107">
        <v>1352089.61</v>
      </c>
      <c r="K91" s="1107">
        <v>1355536.6947222219</v>
      </c>
      <c r="L91" s="1107">
        <v>1333403.1600000001</v>
      </c>
      <c r="M91" s="1107">
        <v>1232095.1600000001</v>
      </c>
      <c r="N91" s="1264"/>
      <c r="O91" s="904">
        <f t="shared" si="64"/>
        <v>1144325.48</v>
      </c>
      <c r="P91" s="904">
        <f t="shared" si="65"/>
        <v>2324906.7085125446</v>
      </c>
      <c r="Q91" s="904">
        <f t="shared" si="66"/>
        <v>3528163.6199014336</v>
      </c>
      <c r="R91" s="904">
        <f t="shared" si="67"/>
        <v>4755461.9604569897</v>
      </c>
      <c r="S91" s="904">
        <f t="shared" si="68"/>
        <v>6010835.9399014339</v>
      </c>
      <c r="T91" s="904">
        <f t="shared" si="69"/>
        <v>7296246.1718458785</v>
      </c>
      <c r="U91" s="904">
        <f t="shared" si="70"/>
        <v>8615395.9162347671</v>
      </c>
      <c r="V91" s="904">
        <f t="shared" si="71"/>
        <v>9932374.6390125453</v>
      </c>
      <c r="W91" s="904">
        <f t="shared" si="72"/>
        <v>11284464.249012545</v>
      </c>
      <c r="X91" s="904">
        <f t="shared" si="73"/>
        <v>12640000.943734767</v>
      </c>
      <c r="Y91" s="904">
        <f t="shared" si="74"/>
        <v>13973404.103734767</v>
      </c>
      <c r="Z91" s="904">
        <f t="shared" ref="Z91:Z96" si="79">+Y91+M91</f>
        <v>15205499.263734767</v>
      </c>
      <c r="AB91" s="556" t="s">
        <v>913</v>
      </c>
      <c r="AC91" s="8">
        <v>6</v>
      </c>
      <c r="AD91" s="1169">
        <f t="shared" si="77"/>
        <v>0.08</v>
      </c>
      <c r="AF91" s="556"/>
    </row>
    <row r="92" spans="1:51" ht="14.4">
      <c r="A92" s="675" t="s">
        <v>2588</v>
      </c>
      <c r="B92" s="1107">
        <v>12062.130000000001</v>
      </c>
      <c r="C92" s="1107">
        <v>11741.699999999999</v>
      </c>
      <c r="D92" s="1107">
        <v>11215.03</v>
      </c>
      <c r="E92" s="1107">
        <v>12507.730000000001</v>
      </c>
      <c r="F92" s="1107">
        <v>12755.33</v>
      </c>
      <c r="G92" s="1107">
        <v>17364.849999999999</v>
      </c>
      <c r="H92" s="1107">
        <v>16660.55</v>
      </c>
      <c r="I92" s="1107">
        <v>18620.43</v>
      </c>
      <c r="J92" s="1107">
        <v>17415.73</v>
      </c>
      <c r="K92" s="1107">
        <v>14069.42</v>
      </c>
      <c r="L92" s="1107">
        <v>13640.720000000001</v>
      </c>
      <c r="M92" s="1107">
        <v>14174.72</v>
      </c>
      <c r="N92" s="1299" t="s">
        <v>2542</v>
      </c>
      <c r="O92" s="904">
        <f t="shared" si="64"/>
        <v>12062.130000000001</v>
      </c>
      <c r="P92" s="904">
        <f t="shared" si="65"/>
        <v>23803.83</v>
      </c>
      <c r="Q92" s="904">
        <f t="shared" si="66"/>
        <v>35018.86</v>
      </c>
      <c r="R92" s="904">
        <f t="shared" si="67"/>
        <v>47526.590000000004</v>
      </c>
      <c r="S92" s="904">
        <f t="shared" si="68"/>
        <v>60281.920000000006</v>
      </c>
      <c r="T92" s="904">
        <f t="shared" si="69"/>
        <v>77646.77</v>
      </c>
      <c r="U92" s="904">
        <f t="shared" si="70"/>
        <v>94307.32</v>
      </c>
      <c r="V92" s="904">
        <f t="shared" si="71"/>
        <v>112927.75</v>
      </c>
      <c r="W92" s="904">
        <f t="shared" si="72"/>
        <v>130343.48</v>
      </c>
      <c r="X92" s="904">
        <f t="shared" si="73"/>
        <v>144412.9</v>
      </c>
      <c r="Y92" s="904">
        <f t="shared" si="74"/>
        <v>158053.62</v>
      </c>
      <c r="Z92" s="904">
        <f t="shared" si="79"/>
        <v>172228.34</v>
      </c>
      <c r="AC92" s="645">
        <f>SUM(AC85:AC91)</f>
        <v>75</v>
      </c>
      <c r="AD92" s="1169">
        <f>+AC92/$AC$92</f>
        <v>1</v>
      </c>
      <c r="AF92" s="556"/>
    </row>
    <row r="93" spans="1:51" ht="14.4">
      <c r="A93" s="675" t="s">
        <v>894</v>
      </c>
      <c r="B93" s="1107">
        <v>8003.57</v>
      </c>
      <c r="C93" s="1107">
        <v>7999.7199999999993</v>
      </c>
      <c r="D93" s="1107">
        <v>6908.74</v>
      </c>
      <c r="E93" s="1107">
        <v>7988.18</v>
      </c>
      <c r="F93" s="1107">
        <v>7594.2099999999991</v>
      </c>
      <c r="G93" s="1107">
        <v>8037.6299999999992</v>
      </c>
      <c r="H93" s="1107">
        <v>7859.58</v>
      </c>
      <c r="I93" s="1107">
        <v>7731.6299999999992</v>
      </c>
      <c r="J93" s="1107">
        <v>7193.48</v>
      </c>
      <c r="K93" s="1107">
        <v>7107.48</v>
      </c>
      <c r="L93" s="1107">
        <v>7039.4500000000007</v>
      </c>
      <c r="M93" s="1107">
        <v>7132.0400000000009</v>
      </c>
      <c r="N93" s="1299" t="s">
        <v>2542</v>
      </c>
      <c r="O93" s="904">
        <f t="shared" si="64"/>
        <v>8003.57</v>
      </c>
      <c r="P93" s="904">
        <f t="shared" si="65"/>
        <v>16003.289999999999</v>
      </c>
      <c r="Q93" s="904">
        <f t="shared" si="66"/>
        <v>22912.03</v>
      </c>
      <c r="R93" s="904">
        <f t="shared" si="67"/>
        <v>30900.21</v>
      </c>
      <c r="S93" s="904">
        <f t="shared" si="68"/>
        <v>38494.42</v>
      </c>
      <c r="T93" s="904">
        <f t="shared" si="69"/>
        <v>46532.049999999996</v>
      </c>
      <c r="U93" s="904">
        <f t="shared" si="70"/>
        <v>54391.63</v>
      </c>
      <c r="V93" s="904">
        <f t="shared" si="71"/>
        <v>62123.259999999995</v>
      </c>
      <c r="W93" s="904">
        <f t="shared" si="72"/>
        <v>69316.739999999991</v>
      </c>
      <c r="X93" s="904">
        <f t="shared" si="73"/>
        <v>76424.219999999987</v>
      </c>
      <c r="Y93" s="904">
        <f t="shared" si="74"/>
        <v>83463.669999999984</v>
      </c>
      <c r="Z93" s="904">
        <f t="shared" si="79"/>
        <v>90595.709999999992</v>
      </c>
      <c r="AC93" s="8"/>
      <c r="AF93" s="556"/>
    </row>
    <row r="94" spans="1:51" ht="14.4">
      <c r="A94" s="675" t="s">
        <v>922</v>
      </c>
      <c r="B94" s="1107">
        <v>65298</v>
      </c>
      <c r="C94" s="1107">
        <v>66919</v>
      </c>
      <c r="D94" s="1107">
        <v>69628</v>
      </c>
      <c r="E94" s="1107">
        <v>72064</v>
      </c>
      <c r="F94" s="1107">
        <v>77039</v>
      </c>
      <c r="G94" s="1107">
        <v>86926</v>
      </c>
      <c r="H94" s="1107">
        <v>91523</v>
      </c>
      <c r="I94" s="1107">
        <v>85309</v>
      </c>
      <c r="J94" s="1107">
        <v>93571</v>
      </c>
      <c r="K94" s="1107">
        <v>86168</v>
      </c>
      <c r="L94" s="1107">
        <v>86524</v>
      </c>
      <c r="M94" s="1107">
        <v>89365</v>
      </c>
      <c r="N94" s="1299" t="s">
        <v>2542</v>
      </c>
      <c r="O94" s="904">
        <f t="shared" si="64"/>
        <v>65298</v>
      </c>
      <c r="P94" s="904">
        <f t="shared" si="65"/>
        <v>132217</v>
      </c>
      <c r="Q94" s="904">
        <f t="shared" si="66"/>
        <v>201845</v>
      </c>
      <c r="R94" s="904">
        <f t="shared" si="67"/>
        <v>273909</v>
      </c>
      <c r="S94" s="904">
        <f t="shared" si="68"/>
        <v>350948</v>
      </c>
      <c r="T94" s="904">
        <f t="shared" si="69"/>
        <v>437874</v>
      </c>
      <c r="U94" s="904">
        <f t="shared" si="70"/>
        <v>529397</v>
      </c>
      <c r="V94" s="904">
        <f t="shared" si="71"/>
        <v>614706</v>
      </c>
      <c r="W94" s="904">
        <f t="shared" si="72"/>
        <v>708277</v>
      </c>
      <c r="X94" s="904">
        <f t="shared" si="73"/>
        <v>794445</v>
      </c>
      <c r="Y94" s="904">
        <f t="shared" si="74"/>
        <v>880969</v>
      </c>
      <c r="Z94" s="904">
        <f t="shared" si="79"/>
        <v>970334</v>
      </c>
      <c r="AB94" s="2194" t="s">
        <v>2156</v>
      </c>
      <c r="AC94" s="2209" t="s">
        <v>5882</v>
      </c>
      <c r="AF94" s="556"/>
    </row>
    <row r="95" spans="1:51" ht="14.4">
      <c r="A95" s="675" t="s">
        <v>2007</v>
      </c>
      <c r="B95" s="1107">
        <v>7620</v>
      </c>
      <c r="C95" s="1107">
        <v>7084</v>
      </c>
      <c r="D95" s="1107">
        <v>7636</v>
      </c>
      <c r="E95" s="1107">
        <v>8479</v>
      </c>
      <c r="F95" s="1107">
        <v>8107</v>
      </c>
      <c r="G95" s="1107">
        <v>8309</v>
      </c>
      <c r="H95" s="1107">
        <v>8531</v>
      </c>
      <c r="I95" s="1133">
        <v>8531</v>
      </c>
      <c r="J95" s="1133">
        <v>8531</v>
      </c>
      <c r="K95" s="1133">
        <v>8531</v>
      </c>
      <c r="L95" s="1133">
        <v>8531</v>
      </c>
      <c r="M95" s="1133">
        <v>8531</v>
      </c>
      <c r="N95" s="1264"/>
      <c r="O95" s="904">
        <f t="shared" si="64"/>
        <v>7620</v>
      </c>
      <c r="P95" s="904">
        <f t="shared" si="65"/>
        <v>14704</v>
      </c>
      <c r="Q95" s="904">
        <f t="shared" si="66"/>
        <v>22340</v>
      </c>
      <c r="R95" s="904">
        <f t="shared" si="67"/>
        <v>30819</v>
      </c>
      <c r="S95" s="904">
        <f t="shared" si="68"/>
        <v>38926</v>
      </c>
      <c r="T95" s="904">
        <f t="shared" si="69"/>
        <v>47235</v>
      </c>
      <c r="U95" s="904">
        <f t="shared" si="70"/>
        <v>55766</v>
      </c>
      <c r="V95" s="904">
        <f t="shared" si="71"/>
        <v>64297</v>
      </c>
      <c r="W95" s="904">
        <f t="shared" si="72"/>
        <v>72828</v>
      </c>
      <c r="X95" s="904">
        <f t="shared" si="73"/>
        <v>81359</v>
      </c>
      <c r="Y95" s="904">
        <f t="shared" si="74"/>
        <v>89890</v>
      </c>
      <c r="Z95" s="904">
        <f t="shared" si="79"/>
        <v>98421</v>
      </c>
      <c r="AB95" s="556" t="s">
        <v>5875</v>
      </c>
      <c r="AC95" s="8">
        <v>16</v>
      </c>
      <c r="AD95" s="1169">
        <f t="shared" ref="AD95:AD101" si="80">+AC95/$AC$103</f>
        <v>0.36363636363636365</v>
      </c>
    </row>
    <row r="96" spans="1:51" ht="14.4">
      <c r="A96" s="675">
        <v>2018</v>
      </c>
      <c r="B96" s="904">
        <f t="shared" ref="B96:M96" si="81">SUM(B91:B95)</f>
        <v>1237309.18</v>
      </c>
      <c r="C96" s="904">
        <f t="shared" si="81"/>
        <v>1274325.6485125448</v>
      </c>
      <c r="D96" s="904">
        <f t="shared" si="81"/>
        <v>1298644.681388889</v>
      </c>
      <c r="E96" s="904">
        <f t="shared" si="81"/>
        <v>1328337.2505555556</v>
      </c>
      <c r="F96" s="904">
        <f t="shared" si="81"/>
        <v>1360869.5194444447</v>
      </c>
      <c r="G96" s="904">
        <f t="shared" si="81"/>
        <v>1406047.7119444443</v>
      </c>
      <c r="H96" s="904">
        <f t="shared" si="81"/>
        <v>1443723.8743888887</v>
      </c>
      <c r="I96" s="904">
        <f t="shared" si="81"/>
        <v>1437170.7827777776</v>
      </c>
      <c r="J96" s="904">
        <f t="shared" si="81"/>
        <v>1478800.82</v>
      </c>
      <c r="K96" s="904">
        <f t="shared" si="81"/>
        <v>1471412.5947222218</v>
      </c>
      <c r="L96" s="904">
        <f t="shared" si="81"/>
        <v>1449138.33</v>
      </c>
      <c r="M96" s="904">
        <f t="shared" si="81"/>
        <v>1351297.9200000002</v>
      </c>
      <c r="N96" s="1264"/>
      <c r="O96" s="904">
        <f t="shared" si="64"/>
        <v>1237309.18</v>
      </c>
      <c r="P96" s="904">
        <f t="shared" si="65"/>
        <v>2511634.8285125447</v>
      </c>
      <c r="Q96" s="904">
        <f t="shared" si="66"/>
        <v>3810279.5099014337</v>
      </c>
      <c r="R96" s="904">
        <f t="shared" si="67"/>
        <v>5138616.7604569895</v>
      </c>
      <c r="S96" s="904">
        <f t="shared" si="68"/>
        <v>6499486.2799014337</v>
      </c>
      <c r="T96" s="904">
        <f t="shared" si="69"/>
        <v>7905533.9918458778</v>
      </c>
      <c r="U96" s="904">
        <f t="shared" si="70"/>
        <v>9349257.8662347663</v>
      </c>
      <c r="V96" s="904">
        <f t="shared" si="71"/>
        <v>10786428.649012543</v>
      </c>
      <c r="W96" s="904">
        <f t="shared" si="72"/>
        <v>12265229.469012544</v>
      </c>
      <c r="X96" s="904">
        <f t="shared" si="73"/>
        <v>13736642.063734766</v>
      </c>
      <c r="Y96" s="904">
        <f t="shared" si="74"/>
        <v>15185780.393734766</v>
      </c>
      <c r="Z96" s="904">
        <f t="shared" si="79"/>
        <v>16537078.313734766</v>
      </c>
      <c r="AB96" s="556" t="s">
        <v>5874</v>
      </c>
      <c r="AC96" s="8">
        <v>7</v>
      </c>
      <c r="AD96" s="1169">
        <f t="shared" si="80"/>
        <v>0.15909090909090909</v>
      </c>
    </row>
    <row r="97" spans="1:39" ht="14.4">
      <c r="A97" s="675">
        <v>2019</v>
      </c>
      <c r="B97" s="904">
        <v>1393746.9569444447</v>
      </c>
      <c r="C97" s="904">
        <v>1399005.6472222223</v>
      </c>
      <c r="D97" s="904">
        <v>1415261.8838888886</v>
      </c>
      <c r="E97" s="904">
        <v>1476262.3136111111</v>
      </c>
      <c r="F97" s="904">
        <v>1517410.8880555555</v>
      </c>
      <c r="G97" s="904">
        <v>1530301.3905555557</v>
      </c>
      <c r="H97" s="904">
        <v>1614287.8408333336</v>
      </c>
      <c r="I97" s="904">
        <v>1614498.1661111112</v>
      </c>
      <c r="J97" s="904">
        <v>1650259.8969444446</v>
      </c>
      <c r="K97" s="904">
        <v>1656116.9416666667</v>
      </c>
      <c r="L97" s="904">
        <v>1665698.492222222</v>
      </c>
      <c r="M97" s="904">
        <v>1557886.1958333333</v>
      </c>
      <c r="N97" s="1264"/>
      <c r="O97" s="904">
        <f t="shared" si="64"/>
        <v>1393746.9569444447</v>
      </c>
      <c r="P97" s="904">
        <f t="shared" si="65"/>
        <v>2792752.604166667</v>
      </c>
      <c r="Q97" s="904">
        <f t="shared" si="66"/>
        <v>4208014.4880555551</v>
      </c>
      <c r="R97" s="904">
        <f t="shared" si="67"/>
        <v>5684276.8016666658</v>
      </c>
      <c r="S97" s="904">
        <f t="shared" si="68"/>
        <v>7201687.6897222213</v>
      </c>
      <c r="T97" s="904">
        <f t="shared" si="69"/>
        <v>8731989.0802777763</v>
      </c>
      <c r="U97" s="904">
        <f t="shared" si="70"/>
        <v>10346276.921111111</v>
      </c>
      <c r="V97" s="904">
        <f t="shared" si="71"/>
        <v>11960775.087222222</v>
      </c>
      <c r="W97" s="904">
        <f t="shared" si="72"/>
        <v>13611034.984166667</v>
      </c>
      <c r="X97" s="904">
        <f t="shared" si="73"/>
        <v>15267151.925833333</v>
      </c>
      <c r="Y97" s="904">
        <f t="shared" si="74"/>
        <v>16932850.418055557</v>
      </c>
      <c r="Z97" s="904">
        <f t="shared" ref="Z97:Z104" si="82">+Y97+M97</f>
        <v>18490736.61388889</v>
      </c>
      <c r="AB97" s="556" t="s">
        <v>5876</v>
      </c>
      <c r="AC97" s="8">
        <v>7</v>
      </c>
      <c r="AD97" s="1169">
        <f t="shared" si="80"/>
        <v>0.15909090909090909</v>
      </c>
    </row>
    <row r="98" spans="1:39" ht="14.4">
      <c r="A98" s="675" t="s">
        <v>4341</v>
      </c>
      <c r="B98" s="904">
        <v>1755087.9569444447</v>
      </c>
      <c r="C98" s="904">
        <v>1783659.6472222223</v>
      </c>
      <c r="D98" s="904">
        <v>1815601.8838888886</v>
      </c>
      <c r="E98" s="904">
        <v>1822969.3136111111</v>
      </c>
      <c r="F98" s="904">
        <v>2207948.8880555555</v>
      </c>
      <c r="G98" s="904">
        <v>1992189.3905555557</v>
      </c>
      <c r="H98" s="904">
        <v>2087311.8408333336</v>
      </c>
      <c r="I98" s="904">
        <v>2867516.8861111114</v>
      </c>
      <c r="J98" s="904">
        <v>2113898.8969444446</v>
      </c>
      <c r="K98" s="904">
        <v>2046444.5816666665</v>
      </c>
      <c r="L98" s="904">
        <v>2057887.492222222</v>
      </c>
      <c r="M98" s="904">
        <v>1916486.1958333333</v>
      </c>
      <c r="N98" s="1264"/>
      <c r="O98" s="904">
        <f t="shared" si="64"/>
        <v>1755087.9569444447</v>
      </c>
      <c r="P98" s="904">
        <f t="shared" si="65"/>
        <v>3538747.604166667</v>
      </c>
      <c r="Q98" s="904">
        <f t="shared" si="66"/>
        <v>5354349.4880555551</v>
      </c>
      <c r="R98" s="904">
        <f t="shared" si="67"/>
        <v>7177318.8016666658</v>
      </c>
      <c r="S98" s="904">
        <f t="shared" si="68"/>
        <v>9385267.6897222213</v>
      </c>
      <c r="T98" s="904">
        <f t="shared" si="69"/>
        <v>11377457.080277776</v>
      </c>
      <c r="U98" s="904">
        <f t="shared" si="70"/>
        <v>13464768.921111111</v>
      </c>
      <c r="V98" s="904">
        <f t="shared" si="71"/>
        <v>16332285.807222221</v>
      </c>
      <c r="W98" s="904">
        <f t="shared" si="72"/>
        <v>18446184.704166666</v>
      </c>
      <c r="X98" s="904">
        <f t="shared" si="73"/>
        <v>20492629.285833333</v>
      </c>
      <c r="Y98" s="904">
        <f t="shared" si="74"/>
        <v>22550516.778055556</v>
      </c>
      <c r="Z98" s="904">
        <f t="shared" si="82"/>
        <v>24467002.973888889</v>
      </c>
      <c r="AB98" s="556" t="s">
        <v>5878</v>
      </c>
      <c r="AC98" s="8">
        <v>5</v>
      </c>
      <c r="AD98" s="1169">
        <f t="shared" si="80"/>
        <v>0.11363636363636363</v>
      </c>
    </row>
    <row r="99" spans="1:39" ht="14.4">
      <c r="A99" s="675">
        <v>2020</v>
      </c>
      <c r="B99" s="1107">
        <f>+'HORAS HOMBRE'!CU27</f>
        <v>1542893.04</v>
      </c>
      <c r="C99" s="1107">
        <f>+'HORAS HOMBRE'!CU28</f>
        <v>1542262.3599999999</v>
      </c>
      <c r="D99" s="1107">
        <f>+'HORAS HOMBRE'!CU29</f>
        <v>1500846.12</v>
      </c>
      <c r="E99" s="1107">
        <f>+'HORAS HOMBRE'!CU30</f>
        <v>1287218.1500000001</v>
      </c>
      <c r="F99" s="1107">
        <f>+'HORAS HOMBRE'!CU31</f>
        <v>1266373.95</v>
      </c>
      <c r="G99" s="1107">
        <f>+'HORAS HOMBRE'!CU32</f>
        <v>1446452.3</v>
      </c>
      <c r="H99" s="1107">
        <f>+'HORAS HOMBRE'!CU33</f>
        <v>1619003.4999999998</v>
      </c>
      <c r="I99" s="1107">
        <f>+'HORAS HOMBRE'!CU34</f>
        <v>1828154.1600000001</v>
      </c>
      <c r="J99" s="1107">
        <f>+'HORAS HOMBRE'!CU35</f>
        <v>1746610.7600000002</v>
      </c>
      <c r="K99" s="1107">
        <f>+'HORAS HOMBRE'!CU36</f>
        <v>1702561.02</v>
      </c>
      <c r="L99" s="1107">
        <f>+'HORAS HOMBRE'!CU37</f>
        <v>1763352.68</v>
      </c>
      <c r="M99" s="1107">
        <f>+'HORAS HOMBRE'!CU38</f>
        <v>1722703.6600000001</v>
      </c>
      <c r="N99" s="1264"/>
      <c r="O99" s="904">
        <f t="shared" si="64"/>
        <v>1542893.04</v>
      </c>
      <c r="P99" s="904">
        <f t="shared" si="65"/>
        <v>3085155.4</v>
      </c>
      <c r="Q99" s="904">
        <f t="shared" si="66"/>
        <v>4586001.5199999996</v>
      </c>
      <c r="R99" s="904">
        <f t="shared" si="67"/>
        <v>5873219.6699999999</v>
      </c>
      <c r="S99" s="904">
        <f t="shared" si="68"/>
        <v>7139593.6200000001</v>
      </c>
      <c r="T99" s="904">
        <f t="shared" si="69"/>
        <v>8586045.9199999999</v>
      </c>
      <c r="U99" s="904">
        <f t="shared" si="70"/>
        <v>10205049.42</v>
      </c>
      <c r="V99" s="904">
        <f t="shared" si="71"/>
        <v>12033203.58</v>
      </c>
      <c r="W99" s="904">
        <f t="shared" si="72"/>
        <v>13779814.34</v>
      </c>
      <c r="X99" s="904">
        <f t="shared" si="73"/>
        <v>15482375.359999999</v>
      </c>
      <c r="Y99" s="904">
        <f t="shared" si="74"/>
        <v>17245728.039999999</v>
      </c>
      <c r="Z99" s="904">
        <f t="shared" si="82"/>
        <v>18968431.699999999</v>
      </c>
      <c r="AB99" s="556" t="s">
        <v>5880</v>
      </c>
      <c r="AC99" s="8">
        <v>3</v>
      </c>
      <c r="AD99" s="1169">
        <f t="shared" si="80"/>
        <v>6.8181818181818177E-2</v>
      </c>
    </row>
    <row r="100" spans="1:39" ht="14.4">
      <c r="A100" s="675" t="s">
        <v>4337</v>
      </c>
      <c r="B100" s="1107">
        <f>+'HORAS HOMBRE'!$CX27</f>
        <v>1926286.04</v>
      </c>
      <c r="C100" s="1107">
        <f>+'HORAS HOMBRE'!$CX28</f>
        <v>2013117.3599999999</v>
      </c>
      <c r="D100" s="1107">
        <f>+'HORAS HOMBRE'!$CX29</f>
        <v>1932176.12</v>
      </c>
      <c r="E100" s="1107">
        <f>+'HORAS HOMBRE'!$CX30</f>
        <v>1718548.1500000001</v>
      </c>
      <c r="F100" s="1107">
        <f>+'HORAS HOMBRE'!$CX31</f>
        <v>1697703.95</v>
      </c>
      <c r="G100" s="1107">
        <f>+'HORAS HOMBRE'!$CX32</f>
        <v>1877782.3</v>
      </c>
      <c r="H100" s="1107">
        <f>+'HORAS HOMBRE'!$CX33</f>
        <v>2050333.4999999998</v>
      </c>
      <c r="I100" s="1107">
        <f>+'HORAS HOMBRE'!$CX34</f>
        <v>2259484.16</v>
      </c>
      <c r="J100" s="1107">
        <f>+'HORAS HOMBRE'!$CX35</f>
        <v>2177940.7600000002</v>
      </c>
      <c r="K100" s="1107">
        <f>+'HORAS HOMBRE'!$CX36</f>
        <v>2132956.02</v>
      </c>
      <c r="L100" s="1107">
        <f>+'HORAS HOMBRE'!$CX37</f>
        <v>2317795.6799999997</v>
      </c>
      <c r="M100" s="1107">
        <f>+'HORAS HOMBRE'!$CX38</f>
        <v>2616240.66</v>
      </c>
      <c r="N100" s="1264"/>
      <c r="O100" s="904">
        <f t="shared" si="64"/>
        <v>1926286.04</v>
      </c>
      <c r="P100" s="904">
        <f t="shared" si="65"/>
        <v>3939403.4</v>
      </c>
      <c r="Q100" s="904">
        <f t="shared" si="66"/>
        <v>5871579.5199999996</v>
      </c>
      <c r="R100" s="904">
        <f t="shared" si="67"/>
        <v>7590127.6699999999</v>
      </c>
      <c r="S100" s="904">
        <f t="shared" si="68"/>
        <v>9287831.6199999992</v>
      </c>
      <c r="T100" s="904">
        <f t="shared" si="69"/>
        <v>11165613.92</v>
      </c>
      <c r="U100" s="904">
        <f t="shared" si="70"/>
        <v>13215947.42</v>
      </c>
      <c r="V100" s="904">
        <f t="shared" si="71"/>
        <v>15475431.58</v>
      </c>
      <c r="W100" s="904">
        <f t="shared" si="72"/>
        <v>17653372.34</v>
      </c>
      <c r="X100" s="904">
        <f t="shared" si="73"/>
        <v>19786328.359999999</v>
      </c>
      <c r="Y100" s="904">
        <f t="shared" si="74"/>
        <v>22104124.039999999</v>
      </c>
      <c r="Z100" s="904">
        <f t="shared" si="82"/>
        <v>24720364.699999999</v>
      </c>
      <c r="AB100" s="556" t="s">
        <v>2951</v>
      </c>
      <c r="AC100" s="8">
        <v>3</v>
      </c>
      <c r="AD100" s="1169">
        <f t="shared" si="80"/>
        <v>6.8181818181818177E-2</v>
      </c>
    </row>
    <row r="101" spans="1:39" ht="14.4">
      <c r="A101" s="675">
        <v>2021</v>
      </c>
      <c r="B101" s="1107">
        <v>1741824.5733333332</v>
      </c>
      <c r="C101" s="1107">
        <v>1655305.29</v>
      </c>
      <c r="D101" s="1107">
        <v>1821495.8299999998</v>
      </c>
      <c r="E101" s="1107">
        <v>1651995.4899999998</v>
      </c>
      <c r="F101" s="1107">
        <v>1749994.0899999999</v>
      </c>
      <c r="G101" s="1107">
        <v>1738276.6700000002</v>
      </c>
      <c r="H101" s="1107">
        <v>1748517.38</v>
      </c>
      <c r="I101" s="1107">
        <v>1733347.63</v>
      </c>
      <c r="J101" s="1107">
        <v>1708757.4199999997</v>
      </c>
      <c r="K101" s="1107">
        <v>1668969.59</v>
      </c>
      <c r="L101" s="1107">
        <v>1686152.56</v>
      </c>
      <c r="M101" s="1107">
        <v>1559036.83</v>
      </c>
      <c r="N101" s="1264"/>
      <c r="O101" s="904">
        <f t="shared" si="64"/>
        <v>1741824.5733333332</v>
      </c>
      <c r="P101" s="904">
        <f t="shared" si="65"/>
        <v>3397129.8633333333</v>
      </c>
      <c r="Q101" s="904">
        <f t="shared" si="66"/>
        <v>5218625.6933333334</v>
      </c>
      <c r="R101" s="904">
        <f t="shared" si="67"/>
        <v>6870621.1833333336</v>
      </c>
      <c r="S101" s="904">
        <f t="shared" si="68"/>
        <v>8620615.2733333334</v>
      </c>
      <c r="T101" s="904">
        <f t="shared" si="69"/>
        <v>10358891.943333333</v>
      </c>
      <c r="U101" s="904">
        <f t="shared" si="70"/>
        <v>12107409.323333334</v>
      </c>
      <c r="V101" s="904">
        <f t="shared" si="71"/>
        <v>13840756.953333333</v>
      </c>
      <c r="W101" s="904">
        <f t="shared" si="72"/>
        <v>15549514.373333333</v>
      </c>
      <c r="X101" s="904">
        <f t="shared" si="73"/>
        <v>17218483.963333335</v>
      </c>
      <c r="Y101" s="904">
        <f t="shared" si="74"/>
        <v>18904636.523333333</v>
      </c>
      <c r="Z101" s="904">
        <f t="shared" si="82"/>
        <v>20463673.353333332</v>
      </c>
      <c r="AB101" s="556" t="s">
        <v>5877</v>
      </c>
      <c r="AC101" s="8">
        <v>2</v>
      </c>
      <c r="AD101" s="1169">
        <f t="shared" si="80"/>
        <v>4.5454545454545456E-2</v>
      </c>
    </row>
    <row r="102" spans="1:39">
      <c r="A102" s="675" t="s">
        <v>4490</v>
      </c>
      <c r="B102" s="1107">
        <v>2360223.5733333332</v>
      </c>
      <c r="C102" s="1107">
        <v>2273704.29</v>
      </c>
      <c r="D102" s="1107">
        <v>2461192.83</v>
      </c>
      <c r="E102" s="1107">
        <v>2295773.4899999998</v>
      </c>
      <c r="F102" s="1107">
        <v>2349305.09</v>
      </c>
      <c r="G102" s="1107">
        <v>2414744.67</v>
      </c>
      <c r="H102" s="1107">
        <v>2336397.38</v>
      </c>
      <c r="I102" s="1107">
        <v>2279057.63</v>
      </c>
      <c r="J102" s="1107">
        <v>2203957.42</v>
      </c>
      <c r="K102" s="1107">
        <v>2164168.59</v>
      </c>
      <c r="L102" s="1107">
        <v>2119793.56</v>
      </c>
      <c r="M102" s="1107">
        <v>2011973.83</v>
      </c>
      <c r="O102" s="904">
        <f t="shared" si="64"/>
        <v>2360223.5733333332</v>
      </c>
      <c r="P102" s="904">
        <f t="shared" si="65"/>
        <v>4633927.8633333333</v>
      </c>
      <c r="Q102" s="904">
        <f t="shared" si="66"/>
        <v>7095120.6933333334</v>
      </c>
      <c r="R102" s="904">
        <f t="shared" si="67"/>
        <v>9390894.1833333336</v>
      </c>
      <c r="S102" s="904">
        <f t="shared" si="68"/>
        <v>11740199.273333333</v>
      </c>
      <c r="T102" s="904">
        <f t="shared" si="69"/>
        <v>14154943.943333333</v>
      </c>
      <c r="U102" s="904">
        <f t="shared" si="70"/>
        <v>16491341.323333334</v>
      </c>
      <c r="V102" s="904">
        <f t="shared" si="71"/>
        <v>18770398.953333333</v>
      </c>
      <c r="W102" s="904">
        <f t="shared" si="72"/>
        <v>20974356.373333335</v>
      </c>
      <c r="X102" s="904">
        <f t="shared" si="73"/>
        <v>23138524.963333335</v>
      </c>
      <c r="Y102" s="904">
        <f t="shared" si="74"/>
        <v>25258318.523333333</v>
      </c>
      <c r="Z102" s="904">
        <f t="shared" si="82"/>
        <v>27270292.353333332</v>
      </c>
      <c r="AB102" s="556" t="s">
        <v>2236</v>
      </c>
      <c r="AC102" s="8">
        <v>1</v>
      </c>
    </row>
    <row r="103" spans="1:39" ht="15.6">
      <c r="A103" s="675" t="s">
        <v>5177</v>
      </c>
      <c r="B103" s="1107">
        <v>1933736.16</v>
      </c>
      <c r="C103" s="1107">
        <v>1959900.02</v>
      </c>
      <c r="D103" s="1107">
        <v>2019149.1221388888</v>
      </c>
      <c r="E103" s="1107">
        <v>1952995.31</v>
      </c>
      <c r="F103" s="1107">
        <v>2027491.99</v>
      </c>
      <c r="G103" s="1107">
        <v>2206327.7800000003</v>
      </c>
      <c r="H103" s="1107">
        <v>1960836.352</v>
      </c>
      <c r="I103" s="1107">
        <v>2269949.8199999998</v>
      </c>
      <c r="J103" s="1107">
        <v>2147146.46</v>
      </c>
      <c r="K103" s="1107">
        <v>2172517.6033333335</v>
      </c>
      <c r="L103" s="1107">
        <v>2084007.0699999998</v>
      </c>
      <c r="M103" s="1107">
        <v>2033861.3649999998</v>
      </c>
      <c r="O103" s="904">
        <f t="shared" si="64"/>
        <v>1933736.16</v>
      </c>
      <c r="P103" s="904">
        <f t="shared" si="65"/>
        <v>3893636.1799999997</v>
      </c>
      <c r="Q103" s="904">
        <f t="shared" si="66"/>
        <v>5912785.3021388883</v>
      </c>
      <c r="R103" s="904">
        <f t="shared" si="67"/>
        <v>7865780.6121388879</v>
      </c>
      <c r="S103" s="904">
        <f t="shared" si="68"/>
        <v>9893272.6021388881</v>
      </c>
      <c r="T103" s="904">
        <f t="shared" si="69"/>
        <v>12099600.382138889</v>
      </c>
      <c r="U103" s="904">
        <f t="shared" si="70"/>
        <v>14060436.734138889</v>
      </c>
      <c r="V103" s="904">
        <f t="shared" si="71"/>
        <v>16330386.55413889</v>
      </c>
      <c r="W103" s="904">
        <f t="shared" si="72"/>
        <v>18477533.014138889</v>
      </c>
      <c r="X103" s="904">
        <f t="shared" si="73"/>
        <v>20650050.617472224</v>
      </c>
      <c r="Y103" s="904">
        <f t="shared" si="74"/>
        <v>22734057.687472224</v>
      </c>
      <c r="Z103" s="904">
        <f t="shared" si="82"/>
        <v>24767919.052472223</v>
      </c>
      <c r="AC103" s="599">
        <f>SUM(AC95:AC102)</f>
        <v>44</v>
      </c>
    </row>
    <row r="104" spans="1:39" ht="14.4">
      <c r="A104" s="1137" t="s">
        <v>5726</v>
      </c>
      <c r="B104" s="1107">
        <f>+'HORAS HOMBRE'!$CX63</f>
        <v>2144908.17</v>
      </c>
      <c r="C104" s="1107">
        <f>+'HORAS HOMBRE'!$CX64</f>
        <v>2009389.91</v>
      </c>
      <c r="D104" s="1107">
        <f>+'HORAS HOMBRE'!$CX65</f>
        <v>2054587.08</v>
      </c>
      <c r="E104" s="1107">
        <f>+'HORAS HOMBRE'!$CX66</f>
        <v>1999519.1099999999</v>
      </c>
      <c r="F104" s="1107">
        <f>+'HORAS HOMBRE'!$CX67</f>
        <v>2154830.96</v>
      </c>
      <c r="G104" s="1107">
        <f>+'HORAS HOMBRE'!$CX68</f>
        <v>2126391.6749999998</v>
      </c>
      <c r="H104" s="1107">
        <f>+'HORAS HOMBRE'!$CX69</f>
        <v>2083661.95</v>
      </c>
      <c r="I104" s="1107">
        <f>+'HORAS HOMBRE'!$CX70</f>
        <v>2128751.6100000073</v>
      </c>
      <c r="J104" s="1107">
        <f>+'HORAS HOMBRE'!$CX71</f>
        <v>2117046.21</v>
      </c>
      <c r="K104" s="1107">
        <f>+'HORAS HOMBRE'!$CX72</f>
        <v>2029158.1719166667</v>
      </c>
      <c r="L104" s="1107">
        <f>+'HORAS HOMBRE'!$CX73</f>
        <v>1698037.8699999999</v>
      </c>
      <c r="M104" s="1107">
        <f>+'HORAS HOMBRE'!$CX74</f>
        <v>1972700.4300000002</v>
      </c>
      <c r="N104" s="1264"/>
      <c r="O104" s="904">
        <f t="shared" si="64"/>
        <v>2144908.17</v>
      </c>
      <c r="P104" s="904">
        <f t="shared" si="65"/>
        <v>4154298.08</v>
      </c>
      <c r="Q104" s="904">
        <f t="shared" si="66"/>
        <v>6208885.1600000001</v>
      </c>
      <c r="R104" s="904">
        <f t="shared" si="67"/>
        <v>8208404.2699999996</v>
      </c>
      <c r="S104" s="904">
        <f t="shared" si="68"/>
        <v>10363235.23</v>
      </c>
      <c r="T104" s="904">
        <f t="shared" si="69"/>
        <v>12489626.905000001</v>
      </c>
      <c r="U104" s="904">
        <f t="shared" si="70"/>
        <v>14573288.855</v>
      </c>
      <c r="V104" s="904">
        <f t="shared" si="71"/>
        <v>16702040.465000007</v>
      </c>
      <c r="W104" s="904">
        <f t="shared" si="72"/>
        <v>18819086.675000008</v>
      </c>
      <c r="X104" s="904">
        <f t="shared" si="73"/>
        <v>20848244.846916676</v>
      </c>
      <c r="Y104" s="904">
        <f t="shared" si="74"/>
        <v>22546282.716916677</v>
      </c>
      <c r="Z104" s="904">
        <f t="shared" si="82"/>
        <v>24518983.146916676</v>
      </c>
      <c r="AB104" s="2194" t="s">
        <v>2156</v>
      </c>
      <c r="AC104" s="2194" t="s">
        <v>5883</v>
      </c>
    </row>
    <row r="105" spans="1:39" ht="14.4">
      <c r="A105" s="1137"/>
      <c r="B105" s="1107"/>
      <c r="C105" s="1107"/>
      <c r="D105" s="1107"/>
      <c r="E105" s="1107"/>
      <c r="F105" s="1107"/>
      <c r="G105" s="1107"/>
      <c r="H105" s="1107"/>
      <c r="I105" s="1107"/>
      <c r="J105" s="1107"/>
      <c r="K105" s="1107"/>
      <c r="L105" s="1107"/>
      <c r="M105" s="1107"/>
      <c r="N105" s="1264"/>
      <c r="O105" s="904"/>
      <c r="P105" s="904"/>
      <c r="Q105" s="904"/>
      <c r="R105" s="904"/>
      <c r="S105" s="904"/>
      <c r="T105" s="904"/>
      <c r="U105" s="904"/>
      <c r="V105" s="904"/>
      <c r="W105" s="904"/>
      <c r="X105" s="904"/>
      <c r="Y105" s="904"/>
      <c r="Z105" s="904"/>
      <c r="AB105" s="556" t="s">
        <v>3450</v>
      </c>
      <c r="AC105" s="8">
        <v>16</v>
      </c>
      <c r="AD105" s="1169">
        <f t="shared" ref="AD105:AD112" si="83">+AC105/$AC$113</f>
        <v>0.47058823529411764</v>
      </c>
      <c r="AJ105" s="556" t="s">
        <v>2320</v>
      </c>
      <c r="AK105">
        <v>33</v>
      </c>
    </row>
    <row r="106" spans="1:39">
      <c r="A106" s="950" t="s">
        <v>264</v>
      </c>
      <c r="B106" s="1110"/>
      <c r="C106" s="1110"/>
      <c r="D106" s="1110"/>
      <c r="E106" s="1110"/>
      <c r="F106" s="1110"/>
      <c r="G106" s="904"/>
      <c r="H106" s="1254"/>
      <c r="I106" s="708"/>
      <c r="J106" s="708"/>
      <c r="K106" s="1254"/>
      <c r="L106" s="1254"/>
      <c r="M106" s="1254"/>
      <c r="N106" s="8"/>
      <c r="O106" s="948"/>
      <c r="P106" s="948"/>
      <c r="Q106" s="948"/>
      <c r="R106" s="948"/>
      <c r="S106" s="948"/>
      <c r="T106" s="948"/>
      <c r="U106" s="948"/>
      <c r="V106" s="948"/>
      <c r="W106" s="948"/>
      <c r="X106" s="948"/>
      <c r="Y106" s="948"/>
      <c r="Z106" s="948"/>
      <c r="AB106" s="556" t="s">
        <v>2607</v>
      </c>
      <c r="AC106" s="8">
        <v>6</v>
      </c>
      <c r="AD106" s="1169">
        <f t="shared" si="83"/>
        <v>0.17647058823529413</v>
      </c>
      <c r="AJ106" s="556" t="s">
        <v>923</v>
      </c>
      <c r="AK106">
        <v>8</v>
      </c>
    </row>
    <row r="107" spans="1:39">
      <c r="A107" s="8">
        <v>2012</v>
      </c>
      <c r="B107" s="949">
        <f t="shared" ref="B107:M107" si="84">+B8*1000000/B65</f>
        <v>6.6747119194335571</v>
      </c>
      <c r="C107" s="949">
        <f t="shared" si="84"/>
        <v>8.4936698731072617</v>
      </c>
      <c r="D107" s="949">
        <f t="shared" si="84"/>
        <v>16.393198068684548</v>
      </c>
      <c r="E107" s="949">
        <f t="shared" si="84"/>
        <v>4.3324428382185403</v>
      </c>
      <c r="F107" s="949">
        <f t="shared" si="84"/>
        <v>9.8885175593584762</v>
      </c>
      <c r="G107" s="949">
        <f t="shared" si="84"/>
        <v>14.879047210743375</v>
      </c>
      <c r="H107" s="949">
        <f t="shared" si="84"/>
        <v>10.794929718665511</v>
      </c>
      <c r="I107" s="949">
        <f t="shared" si="84"/>
        <v>10.609277547983773</v>
      </c>
      <c r="J107" s="949">
        <f t="shared" si="84"/>
        <v>8.4058134605893429</v>
      </c>
      <c r="K107" s="949">
        <f t="shared" si="84"/>
        <v>13.035079032987685</v>
      </c>
      <c r="L107" s="949">
        <f t="shared" si="84"/>
        <v>16.418955449509951</v>
      </c>
      <c r="M107" s="949">
        <f t="shared" si="84"/>
        <v>9.3880972338642081</v>
      </c>
      <c r="N107" s="8"/>
      <c r="O107" s="949">
        <f t="shared" ref="O107:Z107" si="85">+O8*1000000/O65</f>
        <v>6.6747119194335571</v>
      </c>
      <c r="P107" s="949">
        <f t="shared" si="85"/>
        <v>7.5575173618674594</v>
      </c>
      <c r="Q107" s="949">
        <f t="shared" si="85"/>
        <v>10.345568121324396</v>
      </c>
      <c r="R107" s="949">
        <f t="shared" si="85"/>
        <v>8.8685049495285764</v>
      </c>
      <c r="S107" s="949">
        <f t="shared" si="85"/>
        <v>9.0732364368767655</v>
      </c>
      <c r="T107" s="949">
        <f t="shared" si="85"/>
        <v>10.07934358476491</v>
      </c>
      <c r="U107" s="949">
        <f t="shared" si="85"/>
        <v>10.185252792851735</v>
      </c>
      <c r="V107" s="949">
        <f t="shared" si="85"/>
        <v>10.240750515514607</v>
      </c>
      <c r="W107" s="949">
        <f t="shared" si="85"/>
        <v>10.009017988721229</v>
      </c>
      <c r="X107" s="949">
        <f t="shared" si="85"/>
        <v>10.352342334353947</v>
      </c>
      <c r="Y107" s="949">
        <f t="shared" si="85"/>
        <v>10.976282120305978</v>
      </c>
      <c r="Z107" s="949">
        <f t="shared" si="85"/>
        <v>10.845232934095556</v>
      </c>
      <c r="AB107" s="556" t="s">
        <v>5359</v>
      </c>
      <c r="AC107" s="8">
        <v>4</v>
      </c>
      <c r="AD107" s="1169">
        <f t="shared" si="83"/>
        <v>0.11764705882352941</v>
      </c>
      <c r="AJ107" s="556" t="s">
        <v>917</v>
      </c>
      <c r="AK107">
        <v>8</v>
      </c>
    </row>
    <row r="108" spans="1:39">
      <c r="A108" s="8">
        <v>2013</v>
      </c>
      <c r="B108" s="949">
        <f t="shared" ref="B108:M108" si="86">+B11*1000000/B68</f>
        <v>7.3896687992202796</v>
      </c>
      <c r="C108" s="949">
        <f t="shared" si="86"/>
        <v>5.0210181121821469</v>
      </c>
      <c r="D108" s="949">
        <f t="shared" si="86"/>
        <v>6.3306734301010064</v>
      </c>
      <c r="E108" s="949">
        <f t="shared" si="86"/>
        <v>4.9577439399497232</v>
      </c>
      <c r="F108" s="949">
        <f t="shared" si="86"/>
        <v>5.2257877720792374</v>
      </c>
      <c r="G108" s="949">
        <f t="shared" si="86"/>
        <v>7.1119122112173354</v>
      </c>
      <c r="H108" s="949">
        <f t="shared" si="86"/>
        <v>9.5409836838684061</v>
      </c>
      <c r="I108" s="949">
        <f t="shared" si="86"/>
        <v>2.0360003139859333</v>
      </c>
      <c r="J108" s="949">
        <f t="shared" si="86"/>
        <v>6.5677066640507231</v>
      </c>
      <c r="K108" s="949">
        <f t="shared" si="86"/>
        <v>2.498477305825427</v>
      </c>
      <c r="L108" s="949">
        <f t="shared" si="86"/>
        <v>5.3502433000319698</v>
      </c>
      <c r="M108" s="949">
        <f t="shared" si="86"/>
        <v>2.8244244506622493</v>
      </c>
      <c r="N108" s="8"/>
      <c r="O108" s="949">
        <f t="shared" ref="O108:Z108" si="87">+O11*1000000/O68</f>
        <v>7.3896687992202796</v>
      </c>
      <c r="P108" s="949">
        <f t="shared" si="87"/>
        <v>6.187712967669051</v>
      </c>
      <c r="Q108" s="949">
        <f t="shared" si="87"/>
        <v>6.2327527111159178</v>
      </c>
      <c r="R108" s="949">
        <f t="shared" si="87"/>
        <v>5.8669733138052012</v>
      </c>
      <c r="S108" s="949">
        <f t="shared" si="87"/>
        <v>5.7297975583198175</v>
      </c>
      <c r="T108" s="949">
        <f t="shared" si="87"/>
        <v>5.9567836977261903</v>
      </c>
      <c r="U108" s="949">
        <f t="shared" si="87"/>
        <v>6.4811908021670517</v>
      </c>
      <c r="V108" s="949">
        <f t="shared" si="87"/>
        <v>5.9117591428265692</v>
      </c>
      <c r="W108" s="949">
        <f t="shared" si="87"/>
        <v>5.9884377623268943</v>
      </c>
      <c r="X108" s="949">
        <f t="shared" si="87"/>
        <v>5.606425509981575</v>
      </c>
      <c r="Y108" s="949">
        <f t="shared" si="87"/>
        <v>5.5826645247510411</v>
      </c>
      <c r="Z108" s="949">
        <f t="shared" si="87"/>
        <v>5.3599271354303495</v>
      </c>
      <c r="AB108" s="556" t="s">
        <v>2275</v>
      </c>
      <c r="AC108" s="8">
        <v>3</v>
      </c>
      <c r="AD108" s="1169">
        <f t="shared" si="83"/>
        <v>8.8235294117647065E-2</v>
      </c>
      <c r="AJ108" s="556" t="s">
        <v>915</v>
      </c>
      <c r="AK108">
        <v>8</v>
      </c>
      <c r="AL108" s="556" t="s">
        <v>5875</v>
      </c>
      <c r="AM108">
        <v>14</v>
      </c>
    </row>
    <row r="109" spans="1:39">
      <c r="A109" s="8">
        <v>2014</v>
      </c>
      <c r="B109" s="949">
        <f t="shared" ref="B109:M109" si="88">+B12*1000000/B71</f>
        <v>4.4151931256885497</v>
      </c>
      <c r="C109" s="949">
        <f t="shared" si="88"/>
        <v>3.9053374659485658</v>
      </c>
      <c r="D109" s="949">
        <f t="shared" si="88"/>
        <v>3.7506003531288994</v>
      </c>
      <c r="E109" s="949">
        <f t="shared" si="88"/>
        <v>3.7729541719376698</v>
      </c>
      <c r="F109" s="949">
        <f t="shared" si="88"/>
        <v>3.0041528420021866</v>
      </c>
      <c r="G109" s="949">
        <f t="shared" si="88"/>
        <v>1.4655346530375091</v>
      </c>
      <c r="H109" s="949">
        <f t="shared" si="88"/>
        <v>3.7165190805039674</v>
      </c>
      <c r="I109" s="949">
        <f t="shared" si="88"/>
        <v>6.679654105063503</v>
      </c>
      <c r="J109" s="949">
        <f t="shared" si="88"/>
        <v>4.8747587071333482</v>
      </c>
      <c r="K109" s="949">
        <f t="shared" si="88"/>
        <v>4.9301034910147727</v>
      </c>
      <c r="L109" s="949">
        <f t="shared" si="88"/>
        <v>6.5042161097686106</v>
      </c>
      <c r="M109" s="949">
        <f t="shared" si="88"/>
        <v>1.5551785111654042</v>
      </c>
      <c r="N109" s="8"/>
      <c r="O109" s="949">
        <f t="shared" ref="O109:Z109" si="89">+O12*1000000/O71</f>
        <v>4.4151931256885497</v>
      </c>
      <c r="P109" s="949">
        <f t="shared" si="89"/>
        <v>4.1678617028991631</v>
      </c>
      <c r="Q109" s="949">
        <f t="shared" si="89"/>
        <v>4.0278293293803289</v>
      </c>
      <c r="R109" s="949">
        <f t="shared" si="89"/>
        <v>3.9640708292094162</v>
      </c>
      <c r="S109" s="949">
        <f t="shared" si="89"/>
        <v>3.7712654314763614</v>
      </c>
      <c r="T109" s="949">
        <f t="shared" si="89"/>
        <v>3.3776327380595306</v>
      </c>
      <c r="U109" s="949">
        <f t="shared" si="89"/>
        <v>3.4264509929325553</v>
      </c>
      <c r="V109" s="949">
        <f t="shared" si="89"/>
        <v>3.8366219066902576</v>
      </c>
      <c r="W109" s="949">
        <f t="shared" si="89"/>
        <v>3.9595946887697506</v>
      </c>
      <c r="X109" s="949">
        <f t="shared" si="89"/>
        <v>4.061348107278377</v>
      </c>
      <c r="Y109" s="949">
        <f t="shared" si="89"/>
        <v>4.2878143898075001</v>
      </c>
      <c r="Z109" s="949">
        <f t="shared" si="89"/>
        <v>4.0710471195169573</v>
      </c>
      <c r="AB109" s="556" t="s">
        <v>2238</v>
      </c>
      <c r="AC109" s="8">
        <v>2</v>
      </c>
      <c r="AD109" s="1169">
        <f t="shared" si="83"/>
        <v>5.8823529411764705E-2</v>
      </c>
      <c r="AJ109" s="556" t="s">
        <v>925</v>
      </c>
      <c r="AK109">
        <v>6</v>
      </c>
      <c r="AL109" s="556" t="s">
        <v>5874</v>
      </c>
      <c r="AM109">
        <v>7</v>
      </c>
    </row>
    <row r="110" spans="1:39">
      <c r="A110" s="675" t="s">
        <v>1983</v>
      </c>
      <c r="B110" s="949">
        <f t="shared" ref="B110:M110" si="90">+B13*1000000/B75</f>
        <v>5.5181835890728372</v>
      </c>
      <c r="C110" s="949">
        <f t="shared" si="90"/>
        <v>1.6400011003605606</v>
      </c>
      <c r="D110" s="949">
        <f t="shared" si="90"/>
        <v>3.283274245770567</v>
      </c>
      <c r="E110" s="949">
        <f t="shared" si="90"/>
        <v>4.01560906955247</v>
      </c>
      <c r="F110" s="949">
        <f t="shared" si="90"/>
        <v>0.84090822764034889</v>
      </c>
      <c r="G110" s="949">
        <f t="shared" si="90"/>
        <v>4.69305771693677</v>
      </c>
      <c r="H110" s="949">
        <f t="shared" si="90"/>
        <v>0.81948847840583539</v>
      </c>
      <c r="I110" s="949">
        <f t="shared" si="90"/>
        <v>5.5418016834283481</v>
      </c>
      <c r="J110" s="949">
        <f t="shared" si="90"/>
        <v>2.2945763801559886</v>
      </c>
      <c r="K110" s="949">
        <f t="shared" si="90"/>
        <v>1.6051058316631954</v>
      </c>
      <c r="L110" s="949">
        <f t="shared" si="90"/>
        <v>2.4555299434687892</v>
      </c>
      <c r="M110" s="949">
        <f t="shared" si="90"/>
        <v>4.2694762233893799</v>
      </c>
      <c r="N110" s="8"/>
      <c r="O110" s="949">
        <f t="shared" ref="O110:Z110" si="91">+O15*1000000/O77</f>
        <v>6.0172980822438946</v>
      </c>
      <c r="P110" s="949">
        <f t="shared" si="91"/>
        <v>3.8387970242813485</v>
      </c>
      <c r="Q110" s="949">
        <f t="shared" si="91"/>
        <v>3.5997529531202557</v>
      </c>
      <c r="R110" s="949">
        <f t="shared" si="91"/>
        <v>3.8579012257021295</v>
      </c>
      <c r="S110" s="949">
        <f t="shared" si="91"/>
        <v>3.2636247358574249</v>
      </c>
      <c r="T110" s="949">
        <f t="shared" si="91"/>
        <v>3.5985584500261694</v>
      </c>
      <c r="U110" s="949">
        <f t="shared" si="91"/>
        <v>3.5282446310240787</v>
      </c>
      <c r="V110" s="949">
        <f t="shared" si="91"/>
        <v>3.8464275286365401</v>
      </c>
      <c r="W110" s="949">
        <f t="shared" si="91"/>
        <v>3.7387796604359433</v>
      </c>
      <c r="X110" s="949">
        <f t="shared" si="91"/>
        <v>3.5881725643762992</v>
      </c>
      <c r="Y110" s="949">
        <f t="shared" si="91"/>
        <v>3.5440276668744231</v>
      </c>
      <c r="Z110" s="949">
        <f t="shared" si="91"/>
        <v>3.5795900170217427</v>
      </c>
      <c r="AB110" s="556" t="s">
        <v>3808</v>
      </c>
      <c r="AC110" s="8">
        <v>1</v>
      </c>
      <c r="AD110" s="1169">
        <f t="shared" si="83"/>
        <v>2.9411764705882353E-2</v>
      </c>
      <c r="AJ110" s="556" t="s">
        <v>3416</v>
      </c>
      <c r="AK110">
        <v>6</v>
      </c>
      <c r="AL110" s="556" t="s">
        <v>5876</v>
      </c>
      <c r="AM110">
        <v>6</v>
      </c>
    </row>
    <row r="111" spans="1:39">
      <c r="A111" s="675" t="s">
        <v>1984</v>
      </c>
      <c r="B111" s="949">
        <f t="shared" ref="B111:M111" si="92">+B16*1000000/B82</f>
        <v>6.4692809922030063</v>
      </c>
      <c r="C111" s="949">
        <f t="shared" si="92"/>
        <v>2.3772548252111898</v>
      </c>
      <c r="D111" s="949">
        <f t="shared" si="92"/>
        <v>3.1812215292602715</v>
      </c>
      <c r="E111" s="949">
        <f t="shared" si="92"/>
        <v>2.3339424637904194</v>
      </c>
      <c r="F111" s="949">
        <f t="shared" si="92"/>
        <v>4.5357971803776245</v>
      </c>
      <c r="G111" s="949">
        <f t="shared" si="92"/>
        <v>6.5688137727354929</v>
      </c>
      <c r="H111" s="949">
        <f t="shared" si="92"/>
        <v>3.0550889048692667</v>
      </c>
      <c r="I111" s="949">
        <f t="shared" si="92"/>
        <v>6.7562338249350065</v>
      </c>
      <c r="J111" s="949">
        <f t="shared" si="92"/>
        <v>4.4250201139289276</v>
      </c>
      <c r="K111" s="949">
        <f t="shared" si="92"/>
        <v>9.0840024198773115</v>
      </c>
      <c r="L111" s="949">
        <f t="shared" si="92"/>
        <v>0.74845595174402613</v>
      </c>
      <c r="M111" s="949">
        <f t="shared" si="92"/>
        <v>4.7940995341556834</v>
      </c>
      <c r="N111" s="8"/>
      <c r="O111" s="949">
        <f t="shared" ref="O111:Z111" si="93">+O18*1000000/O84</f>
        <v>6.4600658603310706</v>
      </c>
      <c r="P111" s="949">
        <f t="shared" si="93"/>
        <v>4.3918798401878369</v>
      </c>
      <c r="Q111" s="949">
        <f t="shared" si="93"/>
        <v>3.9828610611465431</v>
      </c>
      <c r="R111" s="949">
        <f t="shared" si="93"/>
        <v>3.5600507991757544</v>
      </c>
      <c r="S111" s="949">
        <f t="shared" si="93"/>
        <v>3.7589173869048333</v>
      </c>
      <c r="T111" s="949">
        <f t="shared" si="93"/>
        <v>4.251833529527266</v>
      </c>
      <c r="U111" s="949">
        <f t="shared" si="93"/>
        <v>4.0764713617684185</v>
      </c>
      <c r="V111" s="949">
        <f t="shared" si="93"/>
        <v>4.512989196325317</v>
      </c>
      <c r="W111" s="949">
        <f t="shared" si="93"/>
        <v>4.5006466742497695</v>
      </c>
      <c r="X111" s="949">
        <f t="shared" si="93"/>
        <v>4.9607470957137547</v>
      </c>
      <c r="Y111" s="949">
        <f t="shared" si="93"/>
        <v>4.6383714236463236</v>
      </c>
      <c r="Z111" s="949">
        <f t="shared" si="93"/>
        <v>4.6490775798423236</v>
      </c>
      <c r="AB111" s="556" t="s">
        <v>2340</v>
      </c>
      <c r="AC111" s="8">
        <v>1</v>
      </c>
      <c r="AD111" s="1169">
        <f t="shared" si="83"/>
        <v>2.9411764705882353E-2</v>
      </c>
      <c r="AJ111" s="556" t="s">
        <v>913</v>
      </c>
      <c r="AK111">
        <v>6</v>
      </c>
      <c r="AL111" s="556" t="s">
        <v>5878</v>
      </c>
      <c r="AM111">
        <v>5</v>
      </c>
    </row>
    <row r="112" spans="1:39">
      <c r="A112" s="675"/>
      <c r="B112" s="949"/>
      <c r="C112" s="949"/>
      <c r="D112" s="949"/>
      <c r="E112" s="949"/>
      <c r="F112" s="949"/>
      <c r="G112" s="949"/>
      <c r="H112" s="949"/>
      <c r="I112" s="949"/>
      <c r="J112" s="949"/>
      <c r="K112" s="949"/>
      <c r="L112" s="949"/>
      <c r="M112" s="949"/>
      <c r="N112" s="8"/>
      <c r="O112" s="949"/>
      <c r="P112" s="949"/>
      <c r="Q112" s="949"/>
      <c r="R112" s="949"/>
      <c r="S112" s="949"/>
      <c r="T112" s="949"/>
      <c r="U112" s="949"/>
      <c r="V112" s="949"/>
      <c r="W112" s="949"/>
      <c r="X112" s="949"/>
      <c r="Y112" s="949"/>
      <c r="Z112" s="949"/>
      <c r="AB112" s="1090" t="s">
        <v>5938</v>
      </c>
      <c r="AC112" s="8">
        <v>1</v>
      </c>
      <c r="AD112" s="1169">
        <f t="shared" si="83"/>
        <v>2.9411764705882353E-2</v>
      </c>
      <c r="AK112" s="556"/>
      <c r="AL112" s="556" t="s">
        <v>5880</v>
      </c>
      <c r="AM112">
        <v>3</v>
      </c>
    </row>
    <row r="113" spans="1:40" ht="15.6">
      <c r="A113" s="8" t="s">
        <v>2159</v>
      </c>
      <c r="B113" s="949">
        <f t="shared" ref="B113:M113" si="94">+B19*1000000/B90</f>
        <v>3.9895618486839144</v>
      </c>
      <c r="C113" s="949">
        <f t="shared" si="94"/>
        <v>7.9792833313637503</v>
      </c>
      <c r="D113" s="949">
        <f t="shared" si="94"/>
        <v>5.3841227465876997</v>
      </c>
      <c r="E113" s="949">
        <f t="shared" si="94"/>
        <v>5.4064487328827262</v>
      </c>
      <c r="F113" s="949">
        <f t="shared" si="94"/>
        <v>5.9046874602322506</v>
      </c>
      <c r="G113" s="949">
        <f t="shared" si="94"/>
        <v>5.7944853639342577</v>
      </c>
      <c r="H113" s="949">
        <f t="shared" si="94"/>
        <v>2.1576457030153788</v>
      </c>
      <c r="I113" s="949">
        <f t="shared" si="94"/>
        <v>4.2034677652073462</v>
      </c>
      <c r="J113" s="949">
        <f t="shared" si="94"/>
        <v>3.4508456129233314</v>
      </c>
      <c r="K113" s="949">
        <f t="shared" si="94"/>
        <v>2.8095169734041368</v>
      </c>
      <c r="L113" s="949">
        <f t="shared" si="94"/>
        <v>3.6136874454080239</v>
      </c>
      <c r="M113" s="949">
        <f t="shared" si="94"/>
        <v>3.0878163347699616</v>
      </c>
      <c r="N113" s="8"/>
      <c r="O113" s="949">
        <f t="shared" ref="O113:Z113" si="95">+O19*1000000/O90</f>
        <v>3.9895618486839144</v>
      </c>
      <c r="P113" s="949">
        <f t="shared" si="95"/>
        <v>5.9844026351755266</v>
      </c>
      <c r="Q113" s="949">
        <f t="shared" si="95"/>
        <v>5.7793828997492591</v>
      </c>
      <c r="R113" s="949">
        <f t="shared" si="95"/>
        <v>5.6847308477081251</v>
      </c>
      <c r="S113" s="949">
        <f t="shared" si="95"/>
        <v>5.7308892091126671</v>
      </c>
      <c r="T113" s="949">
        <f t="shared" si="95"/>
        <v>5.7420929661053357</v>
      </c>
      <c r="U113" s="949">
        <f t="shared" si="95"/>
        <v>5.2019730656356193</v>
      </c>
      <c r="V113" s="949">
        <f t="shared" si="95"/>
        <v>5.0682044388592393</v>
      </c>
      <c r="W113" s="949">
        <f t="shared" si="95"/>
        <v>4.874590344294826</v>
      </c>
      <c r="X113" s="949">
        <f t="shared" si="95"/>
        <v>4.6572440381619007</v>
      </c>
      <c r="Y113" s="949">
        <f t="shared" si="95"/>
        <v>4.5604094853836195</v>
      </c>
      <c r="Z113" s="949">
        <f t="shared" si="95"/>
        <v>4.4427014951078414</v>
      </c>
      <c r="AC113" s="599">
        <f>SUM(AC105:AC112)</f>
        <v>34</v>
      </c>
      <c r="AD113" s="1169">
        <f>+AC113/$AC$113</f>
        <v>1</v>
      </c>
      <c r="AK113" s="556"/>
      <c r="AL113" s="556" t="s">
        <v>5877</v>
      </c>
      <c r="AM113">
        <v>2</v>
      </c>
    </row>
    <row r="114" spans="1:40">
      <c r="A114" s="8" t="s">
        <v>2587</v>
      </c>
      <c r="B114" s="949">
        <f t="shared" ref="B114:M114" si="96">+B20*1000000/B96</f>
        <v>7.2738488855307777</v>
      </c>
      <c r="C114" s="949">
        <f t="shared" si="96"/>
        <v>5.4931013969394265</v>
      </c>
      <c r="D114" s="949">
        <f t="shared" si="96"/>
        <v>3.0801342794720687</v>
      </c>
      <c r="E114" s="949">
        <f t="shared" si="96"/>
        <v>1.5056417330489922</v>
      </c>
      <c r="F114" s="949">
        <f t="shared" si="96"/>
        <v>8.0830673645263147</v>
      </c>
      <c r="G114" s="949">
        <f t="shared" si="96"/>
        <v>2.1336402559563612</v>
      </c>
      <c r="H114" s="949">
        <f t="shared" si="96"/>
        <v>4.8485725866125318</v>
      </c>
      <c r="I114" s="949">
        <f t="shared" si="96"/>
        <v>4.174869174840266</v>
      </c>
      <c r="J114" s="949">
        <f t="shared" si="96"/>
        <v>4.0573415424532966</v>
      </c>
      <c r="K114" s="949">
        <f t="shared" si="96"/>
        <v>2.0388570892764104</v>
      </c>
      <c r="L114" s="949">
        <f t="shared" si="96"/>
        <v>7.5907177198190592</v>
      </c>
      <c r="M114" s="949">
        <f t="shared" si="96"/>
        <v>1.4800585203298469</v>
      </c>
      <c r="N114" s="8"/>
      <c r="O114" s="949">
        <f t="shared" ref="O114:Z114" si="97">+O20*1000000/O96</f>
        <v>7.2738488855307777</v>
      </c>
      <c r="P114" s="949">
        <f t="shared" si="97"/>
        <v>6.3703528149733515</v>
      </c>
      <c r="Q114" s="949">
        <f t="shared" si="97"/>
        <v>5.2489587569698717</v>
      </c>
      <c r="R114" s="949">
        <f t="shared" si="97"/>
        <v>4.281307796544743</v>
      </c>
      <c r="S114" s="949">
        <f t="shared" si="97"/>
        <v>5.0773243574722109</v>
      </c>
      <c r="T114" s="949">
        <f t="shared" si="97"/>
        <v>4.5537720838506308</v>
      </c>
      <c r="U114" s="949">
        <f t="shared" si="97"/>
        <v>4.5992955393065253</v>
      </c>
      <c r="V114" s="949">
        <f t="shared" si="97"/>
        <v>4.5427454808673646</v>
      </c>
      <c r="W114" s="949">
        <f t="shared" si="97"/>
        <v>4.4842210363005934</v>
      </c>
      <c r="X114" s="949">
        <f t="shared" si="97"/>
        <v>4.2222837088492033</v>
      </c>
      <c r="Y114" s="949">
        <f t="shared" si="97"/>
        <v>4.5437243402036485</v>
      </c>
      <c r="Z114" s="949">
        <f t="shared" si="97"/>
        <v>4.2933823407627818</v>
      </c>
      <c r="AB114" s="556"/>
      <c r="AC114" s="8"/>
      <c r="AK114" s="556"/>
      <c r="AL114" s="556" t="s">
        <v>2951</v>
      </c>
      <c r="AM114">
        <v>2</v>
      </c>
    </row>
    <row r="115" spans="1:40">
      <c r="A115" s="8">
        <v>2019</v>
      </c>
      <c r="B115" s="949">
        <f t="shared" ref="B115:M115" si="98">+B21*1000000/B97</f>
        <v>5.0224324904330695</v>
      </c>
      <c r="C115" s="949">
        <f t="shared" si="98"/>
        <v>5.7183471817174558</v>
      </c>
      <c r="D115" s="949">
        <f t="shared" si="98"/>
        <v>3.5329150434412089</v>
      </c>
      <c r="E115" s="949">
        <f t="shared" si="98"/>
        <v>5.419091123738748</v>
      </c>
      <c r="F115" s="949">
        <f t="shared" si="98"/>
        <v>5.9311555431981926</v>
      </c>
      <c r="G115" s="949">
        <f t="shared" si="98"/>
        <v>4.5742623271476885</v>
      </c>
      <c r="H115" s="949">
        <f t="shared" si="98"/>
        <v>5.5752138945393943</v>
      </c>
      <c r="I115" s="949">
        <f t="shared" si="98"/>
        <v>3.7163250636898368</v>
      </c>
      <c r="J115" s="949">
        <f t="shared" si="98"/>
        <v>3.0298257924450569</v>
      </c>
      <c r="K115" s="949">
        <f t="shared" si="98"/>
        <v>4.2267546595806262</v>
      </c>
      <c r="L115" s="949">
        <f t="shared" si="98"/>
        <v>4.202441217714763</v>
      </c>
      <c r="M115" s="949">
        <f t="shared" si="98"/>
        <v>3.2094770551102005</v>
      </c>
      <c r="N115" s="8"/>
      <c r="O115" s="949">
        <f t="shared" ref="O115:Y115" si="99">+O21*1000000/O97</f>
        <v>5.0224324904330695</v>
      </c>
      <c r="P115" s="949">
        <f t="shared" si="99"/>
        <v>5.3710450319232157</v>
      </c>
      <c r="Q115" s="949">
        <f t="shared" si="99"/>
        <v>4.752835347114412</v>
      </c>
      <c r="R115" s="949">
        <f t="shared" si="99"/>
        <v>4.9258684925037821</v>
      </c>
      <c r="S115" s="949">
        <f t="shared" si="99"/>
        <v>5.1376846086791552</v>
      </c>
      <c r="T115" s="949">
        <f t="shared" si="99"/>
        <v>5.0389435437315386</v>
      </c>
      <c r="U115" s="949">
        <f t="shared" si="99"/>
        <v>5.1226156427203193</v>
      </c>
      <c r="V115" s="949">
        <f t="shared" si="99"/>
        <v>4.932790690381772</v>
      </c>
      <c r="W115" s="949">
        <f t="shared" si="99"/>
        <v>4.702067114987905</v>
      </c>
      <c r="X115" s="949">
        <f t="shared" si="99"/>
        <v>4.6505072029748975</v>
      </c>
      <c r="Y115" s="949">
        <f t="shared" si="99"/>
        <v>4.6064305816360562</v>
      </c>
      <c r="Z115" s="949">
        <f>ROUNDDOWN(+Z21*1000000/Z97,1)</f>
        <v>4.4000000000000004</v>
      </c>
      <c r="AC115" s="8"/>
      <c r="AK115" s="556"/>
      <c r="AL115" s="556" t="s">
        <v>6038</v>
      </c>
      <c r="AM115">
        <v>1</v>
      </c>
      <c r="AN115" s="675" t="s">
        <v>3552</v>
      </c>
    </row>
    <row r="116" spans="1:40" ht="14.4">
      <c r="A116" s="675" t="s">
        <v>4341</v>
      </c>
      <c r="B116" s="949">
        <f t="shared" ref="B116:M116" si="100">+B22*1000000/B98</f>
        <v>9.6861242382384578</v>
      </c>
      <c r="C116" s="949">
        <f t="shared" si="100"/>
        <v>9.5309663065343813</v>
      </c>
      <c r="D116" s="949">
        <f t="shared" si="100"/>
        <v>8.8125046255895878</v>
      </c>
      <c r="E116" s="949">
        <f t="shared" si="100"/>
        <v>8.7768893752279773</v>
      </c>
      <c r="F116" s="949">
        <f t="shared" si="100"/>
        <v>8.6052716631191917</v>
      </c>
      <c r="G116" s="949">
        <f t="shared" si="100"/>
        <v>8.5333252353378217</v>
      </c>
      <c r="H116" s="949">
        <f t="shared" si="100"/>
        <v>11.018957277997107</v>
      </c>
      <c r="I116" s="949">
        <f t="shared" si="100"/>
        <v>6.6259418007360189</v>
      </c>
      <c r="J116" s="949">
        <f t="shared" si="100"/>
        <v>10.407309465840637</v>
      </c>
      <c r="K116" s="949">
        <f t="shared" si="100"/>
        <v>9.2843950773032944</v>
      </c>
      <c r="L116" s="949">
        <f t="shared" si="100"/>
        <v>7.28902821786538</v>
      </c>
      <c r="M116" s="949">
        <f t="shared" si="100"/>
        <v>4.6960943520318903</v>
      </c>
      <c r="N116" s="8"/>
      <c r="O116" s="949">
        <f t="shared" ref="O116:Y116" si="101">+O22*1000000/O98</f>
        <v>9.6861242382384578</v>
      </c>
      <c r="P116" s="949">
        <f t="shared" si="101"/>
        <v>9.6079189032772501</v>
      </c>
      <c r="Q116" s="949">
        <f t="shared" si="101"/>
        <v>9.3382025419781893</v>
      </c>
      <c r="R116" s="949">
        <f t="shared" si="101"/>
        <v>9.1956344456475794</v>
      </c>
      <c r="S116" s="949">
        <f t="shared" si="101"/>
        <v>9.0567475334862575</v>
      </c>
      <c r="T116" s="949">
        <f t="shared" si="101"/>
        <v>8.9650964429311397</v>
      </c>
      <c r="U116" s="949">
        <f t="shared" si="101"/>
        <v>9.2834864625129434</v>
      </c>
      <c r="V116" s="949">
        <f t="shared" si="101"/>
        <v>8.8168919953826954</v>
      </c>
      <c r="W116" s="949">
        <f t="shared" si="101"/>
        <v>8.999150917235669</v>
      </c>
      <c r="X116" s="949">
        <f t="shared" si="101"/>
        <v>9.0276361036741886</v>
      </c>
      <c r="Y116" s="949">
        <f t="shared" si="101"/>
        <v>8.8689763506716943</v>
      </c>
      <c r="Z116" s="949">
        <f>ROUNDDOWN(+Z22*1000000/Z98,1)</f>
        <v>8.5</v>
      </c>
      <c r="AB116" s="2194" t="s">
        <v>2156</v>
      </c>
      <c r="AC116" s="2209" t="s">
        <v>5884</v>
      </c>
      <c r="AK116" s="556"/>
      <c r="AL116" s="556" t="s">
        <v>2275</v>
      </c>
      <c r="AM116">
        <v>1</v>
      </c>
    </row>
    <row r="117" spans="1:40">
      <c r="A117" s="675">
        <v>2020</v>
      </c>
      <c r="B117" s="949">
        <f t="shared" ref="B117:M117" si="102">+B23*1000000/B99</f>
        <v>2.592532273008374</v>
      </c>
      <c r="C117" s="949">
        <f t="shared" si="102"/>
        <v>4.5387867729586562</v>
      </c>
      <c r="D117" s="949">
        <f t="shared" si="102"/>
        <v>5.3303266027032805</v>
      </c>
      <c r="E117" s="949">
        <f t="shared" si="102"/>
        <v>4.6612145734582748</v>
      </c>
      <c r="F117" s="949">
        <f t="shared" si="102"/>
        <v>3.1586246700668474</v>
      </c>
      <c r="G117" s="949">
        <f t="shared" si="102"/>
        <v>0.69134668319169601</v>
      </c>
      <c r="H117" s="949">
        <f t="shared" si="102"/>
        <v>4.3236472311517558</v>
      </c>
      <c r="I117" s="949">
        <f t="shared" si="102"/>
        <v>3.8289987535843255</v>
      </c>
      <c r="J117" s="949">
        <f t="shared" si="102"/>
        <v>4.0077618667595969</v>
      </c>
      <c r="K117" s="949">
        <f t="shared" si="102"/>
        <v>4.1114532270919719</v>
      </c>
      <c r="L117" s="949">
        <f t="shared" si="102"/>
        <v>2.2684061137446423</v>
      </c>
      <c r="M117" s="949">
        <f t="shared" si="102"/>
        <v>1.741448671444745</v>
      </c>
      <c r="N117" s="8"/>
      <c r="O117" s="949">
        <f t="shared" ref="O117:Y117" si="103">+O23*1000000/O99</f>
        <v>2.592532273008374</v>
      </c>
      <c r="P117" s="949">
        <f t="shared" si="103"/>
        <v>3.5654605923578435</v>
      </c>
      <c r="Q117" s="949">
        <f t="shared" si="103"/>
        <v>4.1430426739152066</v>
      </c>
      <c r="R117" s="949">
        <f t="shared" si="103"/>
        <v>4.2566090500068086</v>
      </c>
      <c r="S117" s="949">
        <f t="shared" si="103"/>
        <v>4.0618558343100766</v>
      </c>
      <c r="T117" s="949">
        <f t="shared" si="103"/>
        <v>3.4940414108570246</v>
      </c>
      <c r="U117" s="949">
        <f t="shared" si="103"/>
        <v>3.6256561313154325</v>
      </c>
      <c r="V117" s="949">
        <f t="shared" si="103"/>
        <v>3.6565491232219309</v>
      </c>
      <c r="W117" s="949">
        <f t="shared" si="103"/>
        <v>3.7010658301801183</v>
      </c>
      <c r="X117" s="949">
        <f t="shared" si="103"/>
        <v>3.7461951833210172</v>
      </c>
      <c r="Y117" s="949">
        <f t="shared" si="103"/>
        <v>3.5950932228663395</v>
      </c>
      <c r="Z117" s="949">
        <f>+Z23*1000000/Z99</f>
        <v>3.4267461342099255</v>
      </c>
      <c r="AB117" s="1265" t="s">
        <v>5762</v>
      </c>
      <c r="AC117" s="8">
        <v>1</v>
      </c>
      <c r="AL117" s="556" t="s">
        <v>6036</v>
      </c>
      <c r="AM117">
        <v>1</v>
      </c>
    </row>
    <row r="118" spans="1:40">
      <c r="A118" s="1137">
        <v>2021</v>
      </c>
      <c r="B118" s="949">
        <f>+B24*1000000/B101</f>
        <v>4.0187743973574133</v>
      </c>
      <c r="C118" s="949">
        <f t="shared" ref="C118:M118" si="104">+C24*1000000/C100</f>
        <v>4.9674202799582439</v>
      </c>
      <c r="D118" s="949">
        <f t="shared" si="104"/>
        <v>2.5877558201060884</v>
      </c>
      <c r="E118" s="949">
        <f t="shared" si="104"/>
        <v>2.9094325928546136</v>
      </c>
      <c r="F118" s="949">
        <f t="shared" si="104"/>
        <v>2.3561233983109955</v>
      </c>
      <c r="G118" s="949">
        <f t="shared" si="104"/>
        <v>2.6627154809159719</v>
      </c>
      <c r="H118" s="949">
        <f t="shared" si="104"/>
        <v>4.3895298008836132</v>
      </c>
      <c r="I118" s="949">
        <f t="shared" si="104"/>
        <v>1.7703155750381536</v>
      </c>
      <c r="J118" s="949">
        <f t="shared" si="104"/>
        <v>2.7548958677829232</v>
      </c>
      <c r="K118" s="949">
        <f t="shared" si="104"/>
        <v>2.8129975225649519</v>
      </c>
      <c r="L118" s="949">
        <f t="shared" si="104"/>
        <v>1.2943332433858019</v>
      </c>
      <c r="M118" s="949">
        <f t="shared" si="104"/>
        <v>2.2933670024071868</v>
      </c>
      <c r="N118" s="8"/>
      <c r="O118" s="949">
        <f t="shared" ref="O118:Z118" si="105">+O24*1000000/O101</f>
        <v>4.0187743973574133</v>
      </c>
      <c r="P118" s="949">
        <f t="shared" si="105"/>
        <v>5.0042243552382928</v>
      </c>
      <c r="Q118" s="949">
        <f t="shared" si="105"/>
        <v>4.2156692763200976</v>
      </c>
      <c r="R118" s="949">
        <f t="shared" si="105"/>
        <v>3.9297756752324315</v>
      </c>
      <c r="S118" s="949">
        <f t="shared" si="105"/>
        <v>3.5960310276105418</v>
      </c>
      <c r="T118" s="949">
        <f t="shared" si="105"/>
        <v>3.4752751739213288</v>
      </c>
      <c r="U118" s="949">
        <f t="shared" si="105"/>
        <v>3.7167323577039921</v>
      </c>
      <c r="V118" s="949">
        <f t="shared" si="105"/>
        <v>3.5402687992580568</v>
      </c>
      <c r="W118" s="949">
        <f t="shared" si="105"/>
        <v>3.5370879552561685</v>
      </c>
      <c r="X118" s="949">
        <f t="shared" si="105"/>
        <v>3.5427044639876053</v>
      </c>
      <c r="Y118" s="949">
        <f t="shared" si="105"/>
        <v>3.3854128811737287</v>
      </c>
      <c r="Z118" s="949">
        <f t="shared" si="105"/>
        <v>3.4206957270747136</v>
      </c>
      <c r="AB118" s="556" t="s">
        <v>5872</v>
      </c>
      <c r="AC118" s="8">
        <v>1</v>
      </c>
      <c r="AL118" s="556" t="s">
        <v>6032</v>
      </c>
      <c r="AM118">
        <v>1</v>
      </c>
    </row>
    <row r="119" spans="1:40">
      <c r="A119" s="675" t="s">
        <v>555</v>
      </c>
      <c r="B119" s="949">
        <v>3.9</v>
      </c>
      <c r="C119" s="949">
        <v>3.9</v>
      </c>
      <c r="D119" s="949">
        <v>3.9</v>
      </c>
      <c r="E119" s="949">
        <v>3.9</v>
      </c>
      <c r="F119" s="949">
        <v>3.9</v>
      </c>
      <c r="G119" s="949">
        <v>3.9</v>
      </c>
      <c r="H119" s="949">
        <v>3.9</v>
      </c>
      <c r="I119" s="949">
        <v>3.9</v>
      </c>
      <c r="J119" s="949">
        <v>3.9</v>
      </c>
      <c r="K119" s="949">
        <v>3.9</v>
      </c>
      <c r="L119" s="949">
        <v>3.9</v>
      </c>
      <c r="M119" s="949">
        <v>3.9</v>
      </c>
      <c r="N119" s="8"/>
      <c r="O119" s="949"/>
      <c r="P119" s="949"/>
      <c r="Q119" s="949"/>
      <c r="R119" s="949"/>
      <c r="S119" s="949"/>
      <c r="T119" s="949"/>
      <c r="U119" s="949"/>
      <c r="V119" s="949"/>
      <c r="W119" s="949"/>
      <c r="X119" s="949"/>
      <c r="Y119" s="949"/>
      <c r="Z119" s="949"/>
      <c r="AB119" s="556" t="s">
        <v>5797</v>
      </c>
      <c r="AC119" s="8">
        <v>1</v>
      </c>
      <c r="AL119" s="556" t="s">
        <v>2564</v>
      </c>
      <c r="AM119">
        <v>1</v>
      </c>
    </row>
    <row r="120" spans="1:40">
      <c r="A120" s="675" t="s">
        <v>4337</v>
      </c>
      <c r="B120" s="949">
        <f t="shared" ref="B120:M120" si="106">+B26*1000000/B100</f>
        <v>5.1913370041346507</v>
      </c>
      <c r="C120" s="949">
        <f t="shared" si="106"/>
        <v>6.9543883919415412</v>
      </c>
      <c r="D120" s="949">
        <f t="shared" si="106"/>
        <v>11.903676772488007</v>
      </c>
      <c r="E120" s="949">
        <f t="shared" si="106"/>
        <v>3.4913191114255366</v>
      </c>
      <c r="F120" s="949">
        <f t="shared" si="106"/>
        <v>6.4793393453552373</v>
      </c>
      <c r="G120" s="949">
        <f t="shared" si="106"/>
        <v>3.1952585770991662</v>
      </c>
      <c r="H120" s="949">
        <f t="shared" si="106"/>
        <v>10.242236202061763</v>
      </c>
      <c r="I120" s="949">
        <f t="shared" si="106"/>
        <v>4.8683678313549228</v>
      </c>
      <c r="J120" s="949">
        <f t="shared" si="106"/>
        <v>6.8872396694573084</v>
      </c>
      <c r="K120" s="949">
        <f t="shared" si="106"/>
        <v>8.9078254881223469</v>
      </c>
      <c r="L120" s="949">
        <f t="shared" si="106"/>
        <v>7.7659994603148119</v>
      </c>
      <c r="M120" s="949">
        <f t="shared" si="106"/>
        <v>3.44005050361078</v>
      </c>
      <c r="N120" s="8"/>
      <c r="O120" s="949">
        <f t="shared" ref="O120:Z120" si="107">+O26*1000000/O100</f>
        <v>5.1913370041346507</v>
      </c>
      <c r="P120" s="949">
        <f t="shared" si="107"/>
        <v>6.0922930614315867</v>
      </c>
      <c r="Q120" s="949">
        <f t="shared" si="107"/>
        <v>8.0046603882152656</v>
      </c>
      <c r="R120" s="949">
        <f t="shared" si="107"/>
        <v>6.9827547446247369</v>
      </c>
      <c r="S120" s="949">
        <f t="shared" si="107"/>
        <v>6.8907364623390972</v>
      </c>
      <c r="T120" s="949">
        <f t="shared" si="107"/>
        <v>6.2692477548964005</v>
      </c>
      <c r="U120" s="949">
        <f t="shared" si="107"/>
        <v>6.8856206148556245</v>
      </c>
      <c r="V120" s="949">
        <f t="shared" si="107"/>
        <v>6.5910924340114594</v>
      </c>
      <c r="W120" s="949">
        <f t="shared" si="107"/>
        <v>6.6276288601750526</v>
      </c>
      <c r="X120" s="949">
        <f t="shared" si="107"/>
        <v>6.8734328838359584</v>
      </c>
      <c r="Y120" s="949">
        <f t="shared" si="107"/>
        <v>6.967025688116796</v>
      </c>
      <c r="Z120" s="949">
        <f t="shared" si="107"/>
        <v>6.593753853477736</v>
      </c>
      <c r="AB120" s="556" t="s">
        <v>5803</v>
      </c>
      <c r="AC120" s="8">
        <v>1</v>
      </c>
    </row>
    <row r="121" spans="1:40">
      <c r="A121" s="675" t="s">
        <v>4491</v>
      </c>
      <c r="B121" s="1858">
        <v>7.6263961615206988</v>
      </c>
      <c r="C121" s="1858">
        <v>3.5184874458762621</v>
      </c>
      <c r="D121" s="1858">
        <v>6.0946057607359432</v>
      </c>
      <c r="E121" s="1858">
        <v>3.0490812924231481</v>
      </c>
      <c r="F121" s="1858">
        <v>5.9592089846449019</v>
      </c>
      <c r="G121" s="1858">
        <v>5.3835919637830694</v>
      </c>
      <c r="H121" s="1858">
        <v>6.4201407382163733</v>
      </c>
      <c r="I121" s="1858">
        <v>5.2653341635770747</v>
      </c>
      <c r="J121" s="1858">
        <v>4.5372927395303311</v>
      </c>
      <c r="K121" s="1858">
        <v>8.3172817881069054</v>
      </c>
      <c r="L121" s="1858">
        <v>5.1891845543676434</v>
      </c>
      <c r="M121" s="1858">
        <v>3.9761948593536127</v>
      </c>
      <c r="N121" s="1858"/>
      <c r="O121" s="1858">
        <v>7.6263961615206988</v>
      </c>
      <c r="P121" s="1858">
        <v>5.6107908380984943</v>
      </c>
      <c r="Q121" s="1858">
        <v>5.7786191062999288</v>
      </c>
      <c r="R121" s="1858">
        <v>5.1113343482443776</v>
      </c>
      <c r="S121" s="1858">
        <v>5.2810006505448914</v>
      </c>
      <c r="T121" s="1858">
        <v>5.2985020852253779</v>
      </c>
      <c r="U121" s="1858">
        <v>5.4574093298681801</v>
      </c>
      <c r="V121" s="1858">
        <v>5.4340880155819153</v>
      </c>
      <c r="W121" s="1858">
        <v>5.3398539629276112</v>
      </c>
      <c r="X121" s="1858">
        <v>5.6183356634014325</v>
      </c>
      <c r="Y121" s="1858">
        <v>5.5823193404480147</v>
      </c>
      <c r="Z121" s="1858">
        <v>5.4638211453493009</v>
      </c>
      <c r="AB121" s="1265" t="s">
        <v>5879</v>
      </c>
      <c r="AC121" s="8">
        <v>1</v>
      </c>
    </row>
    <row r="122" spans="1:40">
      <c r="A122" s="675" t="s">
        <v>5178</v>
      </c>
      <c r="B122" s="949">
        <f t="shared" ref="B122:M122" si="108">+B28*1000000/B103</f>
        <v>2.5856681503023662</v>
      </c>
      <c r="C122" s="949">
        <f t="shared" si="108"/>
        <v>3.5716107600223403</v>
      </c>
      <c r="D122" s="949">
        <f t="shared" si="108"/>
        <v>7.428871813147941</v>
      </c>
      <c r="E122" s="949">
        <f t="shared" si="108"/>
        <v>3.5842379979908912</v>
      </c>
      <c r="F122" s="949">
        <f t="shared" si="108"/>
        <v>0.9864403952589722</v>
      </c>
      <c r="G122" s="949">
        <f t="shared" si="108"/>
        <v>3.1726926812298033</v>
      </c>
      <c r="H122" s="949">
        <f t="shared" si="108"/>
        <v>4.0798917216320563</v>
      </c>
      <c r="I122" s="949">
        <f t="shared" si="108"/>
        <v>2.202691863910895</v>
      </c>
      <c r="J122" s="949">
        <f t="shared" si="108"/>
        <v>1.397203244346918</v>
      </c>
      <c r="K122" s="949">
        <f t="shared" si="108"/>
        <v>4.602954647942469</v>
      </c>
      <c r="L122" s="949">
        <f t="shared" si="108"/>
        <v>5.7581378550697533</v>
      </c>
      <c r="M122" s="949">
        <f t="shared" si="108"/>
        <v>3.4417291760689896</v>
      </c>
      <c r="N122" s="1858"/>
      <c r="O122" s="949">
        <f t="shared" ref="O122:Z122" si="109">+O28*1000000/O103</f>
        <v>2.5856681503023662</v>
      </c>
      <c r="P122" s="949">
        <f t="shared" si="109"/>
        <v>3.0819520482265501</v>
      </c>
      <c r="Q122" s="949">
        <f t="shared" si="109"/>
        <v>4.5663758483219459</v>
      </c>
      <c r="R122" s="949">
        <f t="shared" si="109"/>
        <v>4.3225207613252525</v>
      </c>
      <c r="S122" s="949">
        <f t="shared" si="109"/>
        <v>3.6388363535254187</v>
      </c>
      <c r="T122" s="949">
        <f t="shared" si="109"/>
        <v>3.553836378222496</v>
      </c>
      <c r="U122" s="949">
        <f t="shared" si="109"/>
        <v>3.6271988533735557</v>
      </c>
      <c r="V122" s="949">
        <f t="shared" si="109"/>
        <v>3.4291901060852084</v>
      </c>
      <c r="W122" s="949">
        <f t="shared" si="109"/>
        <v>3.1930669508128373</v>
      </c>
      <c r="X122" s="949">
        <f t="shared" si="109"/>
        <v>3.3413961678921202</v>
      </c>
      <c r="Y122" s="949">
        <f t="shared" si="109"/>
        <v>3.5629363272283623</v>
      </c>
      <c r="Z122" s="949">
        <f t="shared" si="109"/>
        <v>3.5529831881946592</v>
      </c>
      <c r="AB122" s="1265" t="s">
        <v>2234</v>
      </c>
      <c r="AC122" s="8">
        <v>4</v>
      </c>
    </row>
    <row r="123" spans="1:40">
      <c r="A123" s="1137" t="s">
        <v>5727</v>
      </c>
      <c r="B123" s="949">
        <f t="shared" ref="B123:M123" si="110">+B29*1000000/B104</f>
        <v>5.1284246821625006</v>
      </c>
      <c r="C123" s="949">
        <f t="shared" si="110"/>
        <v>5.4742984152836724</v>
      </c>
      <c r="D123" s="949">
        <f t="shared" si="110"/>
        <v>2.4335790138425284</v>
      </c>
      <c r="E123" s="949">
        <f t="shared" si="110"/>
        <v>2.5006012570692562</v>
      </c>
      <c r="F123" s="949">
        <f t="shared" si="110"/>
        <v>2.3203676264239306</v>
      </c>
      <c r="G123" s="949">
        <f t="shared" si="110"/>
        <v>2.3514012299733071</v>
      </c>
      <c r="H123" s="949">
        <f t="shared" si="110"/>
        <v>4.7992429866082649</v>
      </c>
      <c r="I123" s="949">
        <f t="shared" si="110"/>
        <v>3.2883122517051091</v>
      </c>
      <c r="J123" s="949">
        <f t="shared" si="110"/>
        <v>3.7788499666240161</v>
      </c>
      <c r="K123" s="949">
        <f t="shared" si="110"/>
        <v>3.4497064333767842</v>
      </c>
      <c r="L123" s="949">
        <f t="shared" si="110"/>
        <v>3.5334900981919799</v>
      </c>
      <c r="M123" s="949">
        <f t="shared" si="110"/>
        <v>3.5484353800237169</v>
      </c>
      <c r="N123" s="8"/>
      <c r="O123" s="949">
        <f t="shared" ref="O123:Z123" si="111">+O29*1000000/O104</f>
        <v>5.1284246821625006</v>
      </c>
      <c r="P123" s="949">
        <f t="shared" si="111"/>
        <v>5.2957201376363443</v>
      </c>
      <c r="Q123" s="949">
        <f t="shared" si="111"/>
        <v>4.3486067634080703</v>
      </c>
      <c r="R123" s="949">
        <f t="shared" si="111"/>
        <v>3.8984434668932311</v>
      </c>
      <c r="S123" s="949">
        <f t="shared" si="111"/>
        <v>3.5703136307174219</v>
      </c>
      <c r="T123" s="949">
        <f t="shared" si="111"/>
        <v>3.3627906037117925</v>
      </c>
      <c r="U123" s="949">
        <f t="shared" si="111"/>
        <v>3.5681719148906557</v>
      </c>
      <c r="V123" s="949">
        <f t="shared" si="111"/>
        <v>3.5325025180987653</v>
      </c>
      <c r="W123" s="949">
        <f t="shared" si="111"/>
        <v>3.5602152834018961</v>
      </c>
      <c r="X123" s="949">
        <f t="shared" si="111"/>
        <v>3.5494594649747762</v>
      </c>
      <c r="Y123" s="949">
        <f t="shared" si="111"/>
        <v>3.5482567571981738</v>
      </c>
      <c r="Z123" s="949">
        <f t="shared" si="111"/>
        <v>3.5482711284843993</v>
      </c>
      <c r="AB123" s="556" t="s">
        <v>5807</v>
      </c>
      <c r="AC123" s="8">
        <v>1</v>
      </c>
    </row>
    <row r="124" spans="1:40">
      <c r="A124" s="675" t="s">
        <v>4339</v>
      </c>
      <c r="B124" s="949">
        <v>3.4</v>
      </c>
      <c r="C124" s="949">
        <v>3.4</v>
      </c>
      <c r="D124" s="949">
        <v>3.4</v>
      </c>
      <c r="E124" s="949">
        <v>3.4</v>
      </c>
      <c r="F124" s="949">
        <v>3.4</v>
      </c>
      <c r="G124" s="949">
        <v>3.4</v>
      </c>
      <c r="H124" s="949">
        <v>3.4</v>
      </c>
      <c r="I124" s="949">
        <v>3.4</v>
      </c>
      <c r="J124" s="949">
        <v>3.4</v>
      </c>
      <c r="K124" s="949">
        <v>3.4</v>
      </c>
      <c r="L124" s="949">
        <v>3.4</v>
      </c>
      <c r="M124" s="949">
        <v>3.4</v>
      </c>
      <c r="N124" s="949"/>
      <c r="O124" s="949"/>
      <c r="P124" s="949"/>
      <c r="Q124" s="949"/>
      <c r="R124" s="949"/>
      <c r="S124" s="949"/>
      <c r="T124" s="949"/>
      <c r="U124" s="949"/>
      <c r="V124" s="949"/>
      <c r="W124" s="949"/>
      <c r="X124" s="949"/>
      <c r="Y124" s="949"/>
      <c r="Z124" s="949"/>
      <c r="AB124" s="556" t="s">
        <v>2305</v>
      </c>
      <c r="AC124" s="8">
        <v>1</v>
      </c>
    </row>
    <row r="125" spans="1:40">
      <c r="A125" s="675" t="s">
        <v>5981</v>
      </c>
      <c r="B125" s="949">
        <v>3.6</v>
      </c>
      <c r="C125" s="949">
        <v>3.6</v>
      </c>
      <c r="D125" s="949">
        <v>3.6</v>
      </c>
      <c r="E125" s="949">
        <v>3.6</v>
      </c>
      <c r="F125" s="949">
        <v>3.6</v>
      </c>
      <c r="G125" s="949">
        <v>3.6</v>
      </c>
      <c r="H125" s="949">
        <v>3.6</v>
      </c>
      <c r="I125" s="949">
        <v>3.6</v>
      </c>
      <c r="J125" s="949">
        <v>3.6</v>
      </c>
      <c r="K125" s="949">
        <v>3.6</v>
      </c>
      <c r="L125" s="949">
        <v>3.6</v>
      </c>
      <c r="M125" s="949">
        <v>3.6</v>
      </c>
      <c r="N125" s="8"/>
      <c r="O125" s="949"/>
      <c r="P125" s="949"/>
      <c r="Q125" s="949"/>
      <c r="R125" s="949"/>
      <c r="S125" s="949"/>
      <c r="T125" s="949"/>
      <c r="U125" s="949"/>
      <c r="V125" s="949"/>
      <c r="W125" s="949"/>
      <c r="X125" s="949"/>
      <c r="Y125" s="949"/>
      <c r="Z125" s="949"/>
      <c r="AB125" s="556" t="s">
        <v>2230</v>
      </c>
      <c r="AC125" s="8">
        <v>1</v>
      </c>
    </row>
    <row r="126" spans="1:40">
      <c r="A126" s="950" t="s">
        <v>265</v>
      </c>
      <c r="B126" s="949"/>
      <c r="C126" s="949"/>
      <c r="D126" s="949"/>
      <c r="E126" s="949"/>
      <c r="F126" s="949"/>
      <c r="G126" s="949"/>
      <c r="H126" s="949"/>
      <c r="I126" s="949"/>
      <c r="J126" s="949"/>
      <c r="K126" s="949"/>
      <c r="L126" s="949"/>
      <c r="M126" s="949"/>
      <c r="N126" s="8"/>
      <c r="O126" s="949"/>
      <c r="P126" s="949"/>
      <c r="Q126" s="949"/>
      <c r="R126" s="949"/>
      <c r="S126" s="949"/>
      <c r="T126" s="949"/>
      <c r="U126" s="949"/>
      <c r="V126" s="949"/>
      <c r="W126" s="949"/>
      <c r="X126" s="949"/>
      <c r="Y126" s="949"/>
      <c r="Z126" s="949"/>
      <c r="AB126" s="556" t="s">
        <v>4658</v>
      </c>
      <c r="AC126" s="8">
        <v>1</v>
      </c>
    </row>
    <row r="127" spans="1:40">
      <c r="A127" s="8">
        <v>2012</v>
      </c>
      <c r="B127" s="904">
        <f t="shared" ref="B127:M127" si="112">+B38*1000000/B65</f>
        <v>269.65836154511572</v>
      </c>
      <c r="C127" s="904">
        <f t="shared" si="112"/>
        <v>73.611805566929604</v>
      </c>
      <c r="D127" s="904">
        <f t="shared" si="112"/>
        <v>193.73779535718103</v>
      </c>
      <c r="E127" s="904">
        <f t="shared" si="112"/>
        <v>69.319085411496644</v>
      </c>
      <c r="F127" s="904">
        <f t="shared" si="112"/>
        <v>105.94840242169795</v>
      </c>
      <c r="G127" s="904">
        <f t="shared" si="112"/>
        <v>193.42761373966388</v>
      </c>
      <c r="H127" s="904">
        <f t="shared" si="112"/>
        <v>148.43028363165078</v>
      </c>
      <c r="I127" s="904">
        <f t="shared" si="112"/>
        <v>204.22859279868763</v>
      </c>
      <c r="J127" s="904">
        <f t="shared" si="112"/>
        <v>357.84748732223204</v>
      </c>
      <c r="K127" s="904">
        <f t="shared" si="112"/>
        <v>138.64584062359629</v>
      </c>
      <c r="L127" s="904">
        <f t="shared" si="112"/>
        <v>758.79029827378145</v>
      </c>
      <c r="M127" s="904">
        <f t="shared" si="112"/>
        <v>8236.0435875943003</v>
      </c>
      <c r="N127" s="8"/>
      <c r="O127" s="904">
        <f t="shared" ref="O127:Z127" si="113">+O38*1000000/O65</f>
        <v>269.65836154511572</v>
      </c>
      <c r="P127" s="904">
        <f t="shared" si="113"/>
        <v>174.50994635584863</v>
      </c>
      <c r="Q127" s="904">
        <f t="shared" si="113"/>
        <v>180.5771890267531</v>
      </c>
      <c r="R127" s="904">
        <f t="shared" si="113"/>
        <v>153.2477655278538</v>
      </c>
      <c r="S127" s="904">
        <f t="shared" si="113"/>
        <v>143.75408979676627</v>
      </c>
      <c r="T127" s="904">
        <f t="shared" si="113"/>
        <v>152.36217046737656</v>
      </c>
      <c r="U127" s="904">
        <f t="shared" si="113"/>
        <v>151.78023769739841</v>
      </c>
      <c r="V127" s="904">
        <f t="shared" si="113"/>
        <v>158.64484696915849</v>
      </c>
      <c r="W127" s="904">
        <f t="shared" si="113"/>
        <v>183.80196670197165</v>
      </c>
      <c r="X127" s="904">
        <f t="shared" si="113"/>
        <v>178.67873977086228</v>
      </c>
      <c r="Y127" s="904">
        <f t="shared" si="113"/>
        <v>238.34212604092983</v>
      </c>
      <c r="Z127" s="904">
        <f t="shared" si="113"/>
        <v>898.27301761279216</v>
      </c>
      <c r="AB127" s="556" t="s">
        <v>4204</v>
      </c>
      <c r="AC127" s="8">
        <v>2</v>
      </c>
    </row>
    <row r="128" spans="1:40">
      <c r="A128" s="8">
        <v>2013</v>
      </c>
      <c r="B128" s="904">
        <f t="shared" ref="B128:M128" si="114">+B41*1000000/B68</f>
        <v>216.51729581715418</v>
      </c>
      <c r="C128" s="904">
        <f t="shared" si="114"/>
        <v>224.51123844471599</v>
      </c>
      <c r="D128" s="904">
        <f t="shared" si="114"/>
        <v>93.377433093989836</v>
      </c>
      <c r="E128" s="904">
        <f t="shared" si="114"/>
        <v>34.084489587154344</v>
      </c>
      <c r="F128" s="904">
        <f t="shared" si="114"/>
        <v>97.330297254975804</v>
      </c>
      <c r="G128" s="904">
        <f t="shared" si="114"/>
        <v>60.451253795347355</v>
      </c>
      <c r="H128" s="904">
        <f t="shared" si="114"/>
        <v>153.33723777645653</v>
      </c>
      <c r="I128" s="904">
        <f t="shared" si="114"/>
        <v>10.180001569929667</v>
      </c>
      <c r="J128" s="904">
        <f t="shared" si="114"/>
        <v>84.066645299849256</v>
      </c>
      <c r="K128" s="904">
        <f t="shared" si="114"/>
        <v>71.831222542481029</v>
      </c>
      <c r="L128" s="904">
        <f t="shared" si="114"/>
        <v>92.960477338055469</v>
      </c>
      <c r="M128" s="904">
        <f t="shared" si="114"/>
        <v>43.072472872599306</v>
      </c>
      <c r="N128" s="8"/>
      <c r="O128" s="904">
        <f t="shared" ref="O128:Z128" si="115">+O41*1000000/O68</f>
        <v>216.51729581715418</v>
      </c>
      <c r="P128" s="904">
        <f t="shared" si="115"/>
        <v>220.57376814161441</v>
      </c>
      <c r="Q128" s="904">
        <f t="shared" si="115"/>
        <v>180.500518513917</v>
      </c>
      <c r="R128" s="904">
        <f t="shared" si="115"/>
        <v>138.49612761982581</v>
      </c>
      <c r="S128" s="904">
        <f t="shared" si="115"/>
        <v>129.68907644197051</v>
      </c>
      <c r="T128" s="904">
        <f t="shared" si="115"/>
        <v>118.3180761920908</v>
      </c>
      <c r="U128" s="904">
        <f t="shared" si="115"/>
        <v>123.44175712435093</v>
      </c>
      <c r="V128" s="904">
        <f t="shared" si="115"/>
        <v>108.93285597002487</v>
      </c>
      <c r="W128" s="904">
        <f t="shared" si="115"/>
        <v>106.02605833042874</v>
      </c>
      <c r="X128" s="904">
        <f t="shared" si="115"/>
        <v>102.28308003576142</v>
      </c>
      <c r="Y128" s="904">
        <f t="shared" si="115"/>
        <v>101.41840553297725</v>
      </c>
      <c r="Z128" s="904">
        <f t="shared" si="115"/>
        <v>96.706770443509285</v>
      </c>
      <c r="AB128" s="556" t="s">
        <v>5763</v>
      </c>
      <c r="AC128" s="8">
        <v>1</v>
      </c>
    </row>
    <row r="129" spans="1:30">
      <c r="A129" s="8">
        <v>2014</v>
      </c>
      <c r="B129" s="904">
        <f t="shared" ref="B129:M129" si="116">+B42*1000000/B71</f>
        <v>171.45666638090535</v>
      </c>
      <c r="C129" s="904">
        <f t="shared" si="116"/>
        <v>29.6805647412091</v>
      </c>
      <c r="D129" s="904">
        <f t="shared" si="116"/>
        <v>171.02737610267781</v>
      </c>
      <c r="E129" s="904">
        <f t="shared" si="116"/>
        <v>76.968265107528467</v>
      </c>
      <c r="F129" s="904">
        <f t="shared" si="116"/>
        <v>27.037375578019681</v>
      </c>
      <c r="G129" s="904">
        <f t="shared" si="116"/>
        <v>29.310693060750182</v>
      </c>
      <c r="H129" s="904">
        <f t="shared" si="116"/>
        <v>223.73444864633885</v>
      </c>
      <c r="I129" s="904">
        <f t="shared" si="116"/>
        <v>68.280908629538033</v>
      </c>
      <c r="J129" s="904">
        <f t="shared" si="116"/>
        <v>40.390857859104884</v>
      </c>
      <c r="K129" s="904">
        <f t="shared" si="116"/>
        <v>118.32248378435455</v>
      </c>
      <c r="L129" s="904">
        <f t="shared" si="116"/>
        <v>177.05921632147886</v>
      </c>
      <c r="M129" s="904">
        <f t="shared" si="116"/>
        <v>139.96606600488636</v>
      </c>
      <c r="N129" s="8"/>
      <c r="O129" s="904">
        <f t="shared" ref="O129:Z129" si="117">+O42*1000000/O71</f>
        <v>171.45666638090535</v>
      </c>
      <c r="P129" s="904">
        <f t="shared" si="117"/>
        <v>102.68095649869757</v>
      </c>
      <c r="Q129" s="904">
        <f t="shared" si="117"/>
        <v>125.61792721004902</v>
      </c>
      <c r="R129" s="904">
        <f t="shared" si="117"/>
        <v>113.44793182642186</v>
      </c>
      <c r="S129" s="904">
        <f t="shared" si="117"/>
        <v>96.091843194017699</v>
      </c>
      <c r="T129" s="904">
        <f t="shared" si="117"/>
        <v>84.691013469122296</v>
      </c>
      <c r="U129" s="904">
        <f t="shared" si="117"/>
        <v>104.72090847150122</v>
      </c>
      <c r="V129" s="904">
        <f t="shared" si="117"/>
        <v>100.12647415020916</v>
      </c>
      <c r="W129" s="904">
        <f t="shared" si="117"/>
        <v>93.05047518608913</v>
      </c>
      <c r="X129" s="904">
        <f t="shared" si="117"/>
        <v>95.700129946050481</v>
      </c>
      <c r="Y129" s="904">
        <f t="shared" si="117"/>
        <v>103.24253085458372</v>
      </c>
      <c r="Z129" s="904">
        <f t="shared" si="117"/>
        <v>106.15563776801035</v>
      </c>
      <c r="AB129" s="556" t="s">
        <v>5764</v>
      </c>
      <c r="AC129" s="8">
        <v>1</v>
      </c>
    </row>
    <row r="130" spans="1:30">
      <c r="A130" s="675" t="s">
        <v>1983</v>
      </c>
      <c r="B130" s="904">
        <f t="shared" ref="B130:M130" si="118">+B43*1000000/B75</f>
        <v>333.45595116825859</v>
      </c>
      <c r="C130" s="904">
        <f t="shared" si="118"/>
        <v>68.060045664963255</v>
      </c>
      <c r="D130" s="904">
        <f t="shared" si="118"/>
        <v>311.91105334820389</v>
      </c>
      <c r="E130" s="904">
        <f t="shared" si="118"/>
        <v>132.51509929523149</v>
      </c>
      <c r="F130" s="904">
        <f t="shared" si="118"/>
        <v>4.204541138201745</v>
      </c>
      <c r="G130" s="904">
        <f t="shared" si="118"/>
        <v>161.12831494816243</v>
      </c>
      <c r="H130" s="904">
        <f t="shared" si="118"/>
        <v>28.682096744204237</v>
      </c>
      <c r="I130" s="904">
        <f t="shared" si="118"/>
        <v>433.05221726218662</v>
      </c>
      <c r="J130" s="904">
        <f t="shared" si="118"/>
        <v>16.062034661091918</v>
      </c>
      <c r="K130" s="904">
        <f t="shared" si="118"/>
        <v>4.8153174949895865</v>
      </c>
      <c r="L130" s="904">
        <f t="shared" si="118"/>
        <v>114.59139736187683</v>
      </c>
      <c r="M130" s="904">
        <f t="shared" si="118"/>
        <v>85.389524467787595</v>
      </c>
      <c r="N130" s="8"/>
      <c r="O130" s="904">
        <f t="shared" ref="O130:Z130" si="119">+O45*1000000/O77</f>
        <v>330.19923226313369</v>
      </c>
      <c r="P130" s="904">
        <f t="shared" si="119"/>
        <v>200.38520466748639</v>
      </c>
      <c r="Q130" s="904">
        <f t="shared" si="119"/>
        <v>231.92694026531933</v>
      </c>
      <c r="R130" s="904">
        <f t="shared" si="119"/>
        <v>209.67693161691074</v>
      </c>
      <c r="S130" s="904">
        <f t="shared" si="119"/>
        <v>169.70848626458607</v>
      </c>
      <c r="T130" s="904">
        <f t="shared" si="119"/>
        <v>167.20444798157308</v>
      </c>
      <c r="U130" s="904">
        <f t="shared" si="119"/>
        <v>150.39142739740134</v>
      </c>
      <c r="V130" s="904">
        <f t="shared" si="119"/>
        <v>184.72468206276986</v>
      </c>
      <c r="W130" s="904">
        <f t="shared" si="119"/>
        <v>165.18608317926075</v>
      </c>
      <c r="X130" s="904">
        <f t="shared" si="119"/>
        <v>148.94733347017362</v>
      </c>
      <c r="Y130" s="904">
        <f t="shared" si="119"/>
        <v>146.13902320464533</v>
      </c>
      <c r="Z130" s="904">
        <f t="shared" si="119"/>
        <v>140.8185144196232</v>
      </c>
      <c r="AB130" s="556" t="s">
        <v>5476</v>
      </c>
      <c r="AC130" s="8">
        <v>1</v>
      </c>
    </row>
    <row r="131" spans="1:30">
      <c r="A131" s="675" t="s">
        <v>1984</v>
      </c>
      <c r="B131" s="904">
        <f t="shared" ref="B131:M131" si="120">+B46*1000000/B82</f>
        <v>172.24460641740504</v>
      </c>
      <c r="C131" s="904">
        <f t="shared" si="120"/>
        <v>41.998168578731018</v>
      </c>
      <c r="D131" s="904">
        <f t="shared" si="120"/>
        <v>122.47702887652045</v>
      </c>
      <c r="E131" s="904">
        <f t="shared" si="120"/>
        <v>192.93924367334131</v>
      </c>
      <c r="F131" s="904">
        <f t="shared" si="120"/>
        <v>180.67592101837536</v>
      </c>
      <c r="G131" s="904">
        <f t="shared" si="120"/>
        <v>143.05416660623962</v>
      </c>
      <c r="H131" s="904">
        <f t="shared" si="120"/>
        <v>303.98134603449205</v>
      </c>
      <c r="I131" s="904">
        <f t="shared" si="120"/>
        <v>362.58454860484534</v>
      </c>
      <c r="J131" s="904">
        <f t="shared" si="120"/>
        <v>24.337610626609102</v>
      </c>
      <c r="K131" s="904">
        <f t="shared" si="120"/>
        <v>3983.3350611162014</v>
      </c>
      <c r="L131" s="904">
        <f t="shared" si="120"/>
        <v>2.2453678552320784</v>
      </c>
      <c r="M131" s="904">
        <f t="shared" si="120"/>
        <v>37.553779684219521</v>
      </c>
      <c r="N131" s="8"/>
      <c r="O131" s="904">
        <f t="shared" ref="O131:Z131" si="121">+O48*1000000/O84</f>
        <v>171.99925353131476</v>
      </c>
      <c r="P131" s="904">
        <f t="shared" si="121"/>
        <v>106.20363977181496</v>
      </c>
      <c r="Q131" s="904">
        <f t="shared" si="121"/>
        <v>111.52010971210321</v>
      </c>
      <c r="R131" s="904">
        <f t="shared" si="121"/>
        <v>132.11744076941133</v>
      </c>
      <c r="S131" s="904">
        <f t="shared" si="121"/>
        <v>142.05575291344516</v>
      </c>
      <c r="T131" s="904">
        <f t="shared" si="121"/>
        <v>142.11431463844167</v>
      </c>
      <c r="U131" s="904">
        <f t="shared" si="121"/>
        <v>165.37252740579447</v>
      </c>
      <c r="V131" s="904">
        <f t="shared" si="121"/>
        <v>191.08188299334853</v>
      </c>
      <c r="W131" s="904">
        <f t="shared" si="121"/>
        <v>171.78883437749593</v>
      </c>
      <c r="X131" s="904">
        <f t="shared" si="121"/>
        <v>555.98527065038002</v>
      </c>
      <c r="Y131" s="904">
        <f t="shared" si="121"/>
        <v>505.09787920781457</v>
      </c>
      <c r="Z131" s="904">
        <f t="shared" si="121"/>
        <v>467.64625573674221</v>
      </c>
      <c r="AB131" s="556" t="s">
        <v>3586</v>
      </c>
      <c r="AC131" s="8">
        <v>1</v>
      </c>
    </row>
    <row r="132" spans="1:30">
      <c r="A132" s="8">
        <v>2017</v>
      </c>
      <c r="B132" s="904">
        <f t="shared" ref="B132:M132" si="122">+B49*1000000/B90</f>
        <v>19.149896873682788</v>
      </c>
      <c r="C132" s="904">
        <f t="shared" si="122"/>
        <v>43.088129989364255</v>
      </c>
      <c r="D132" s="904">
        <f t="shared" si="122"/>
        <v>91.530086691990903</v>
      </c>
      <c r="E132" s="904">
        <f t="shared" si="122"/>
        <v>147.51881542580008</v>
      </c>
      <c r="F132" s="904">
        <f t="shared" si="122"/>
        <v>300.40097453931577</v>
      </c>
      <c r="G132" s="904">
        <f t="shared" si="122"/>
        <v>162.24559019015922</v>
      </c>
      <c r="H132" s="904">
        <f t="shared" si="122"/>
        <v>113.63600702547662</v>
      </c>
      <c r="I132" s="904">
        <f t="shared" si="122"/>
        <v>159.73177507787915</v>
      </c>
      <c r="J132" s="904">
        <f t="shared" si="122"/>
        <v>111.11722873613127</v>
      </c>
      <c r="K132" s="904">
        <f t="shared" si="122"/>
        <v>25.28565276063723</v>
      </c>
      <c r="L132" s="904">
        <f t="shared" si="122"/>
        <v>77.332911331731708</v>
      </c>
      <c r="M132" s="904">
        <f t="shared" si="122"/>
        <v>23.930576594467205</v>
      </c>
      <c r="N132" s="8"/>
      <c r="O132" s="904">
        <f t="shared" ref="O132:Z132" si="123">+O49*1000000/O90</f>
        <v>19.149896873682788</v>
      </c>
      <c r="P132" s="904">
        <f t="shared" si="123"/>
        <v>31.118893702912739</v>
      </c>
      <c r="Q132" s="904">
        <f t="shared" si="123"/>
        <v>51.751746875027457</v>
      </c>
      <c r="R132" s="904">
        <f t="shared" si="123"/>
        <v>76.057778238301822</v>
      </c>
      <c r="S132" s="904">
        <f t="shared" si="123"/>
        <v>123.13667354715055</v>
      </c>
      <c r="T132" s="904">
        <f t="shared" si="123"/>
        <v>130.02650516580749</v>
      </c>
      <c r="U132" s="904">
        <f t="shared" si="123"/>
        <v>127.55671454694007</v>
      </c>
      <c r="V132" s="904">
        <f t="shared" si="123"/>
        <v>131.86717104809688</v>
      </c>
      <c r="W132" s="904">
        <f t="shared" si="123"/>
        <v>129.38319456213048</v>
      </c>
      <c r="X132" s="904">
        <f t="shared" si="123"/>
        <v>118.42706268468832</v>
      </c>
      <c r="Y132" s="904">
        <f t="shared" si="123"/>
        <v>114.6138207429501</v>
      </c>
      <c r="Z132" s="904">
        <f t="shared" si="123"/>
        <v>107.36528613177282</v>
      </c>
      <c r="AB132" s="556" t="s">
        <v>2013</v>
      </c>
      <c r="AC132" s="8">
        <v>1</v>
      </c>
    </row>
    <row r="133" spans="1:30">
      <c r="A133" s="8">
        <v>2018</v>
      </c>
      <c r="B133" s="904">
        <f t="shared" ref="B133:M133" si="124">+B50*1000000/B96</f>
        <v>105.06670612433345</v>
      </c>
      <c r="C133" s="904">
        <f t="shared" si="124"/>
        <v>125.55660335861545</v>
      </c>
      <c r="D133" s="904">
        <f t="shared" si="124"/>
        <v>156.3168146832075</v>
      </c>
      <c r="E133" s="904">
        <f t="shared" si="124"/>
        <v>6.0225669321959687</v>
      </c>
      <c r="F133" s="904">
        <f t="shared" si="124"/>
        <v>172.68371187851673</v>
      </c>
      <c r="G133" s="904">
        <f t="shared" si="124"/>
        <v>72.543768702516275</v>
      </c>
      <c r="H133" s="904">
        <f t="shared" si="124"/>
        <v>141.99391146508128</v>
      </c>
      <c r="I133" s="904">
        <f t="shared" si="124"/>
        <v>87.672252671645595</v>
      </c>
      <c r="J133" s="904">
        <f t="shared" si="124"/>
        <v>66.946135450479389</v>
      </c>
      <c r="K133" s="904">
        <f t="shared" si="124"/>
        <v>27.184761190352141</v>
      </c>
      <c r="L133" s="904">
        <f t="shared" si="124"/>
        <v>4178.3450721367644</v>
      </c>
      <c r="M133" s="904">
        <f t="shared" si="124"/>
        <v>8.8803511219790803</v>
      </c>
      <c r="N133" s="8"/>
      <c r="O133" s="904">
        <f t="shared" ref="O133:Z133" si="125">+O50*1000000/O96</f>
        <v>105.06670612433345</v>
      </c>
      <c r="P133" s="904">
        <f t="shared" si="125"/>
        <v>115.46264477139199</v>
      </c>
      <c r="Q133" s="904">
        <f t="shared" si="125"/>
        <v>129.38683335930733</v>
      </c>
      <c r="R133" s="904">
        <f t="shared" si="125"/>
        <v>97.497054821314379</v>
      </c>
      <c r="S133" s="904">
        <f t="shared" si="125"/>
        <v>113.23971900301659</v>
      </c>
      <c r="T133" s="904">
        <f t="shared" si="125"/>
        <v>106.00169461852302</v>
      </c>
      <c r="U133" s="904">
        <f t="shared" si="125"/>
        <v>111.55965691852803</v>
      </c>
      <c r="V133" s="904">
        <f t="shared" si="125"/>
        <v>108.37692790069283</v>
      </c>
      <c r="W133" s="904">
        <f t="shared" si="125"/>
        <v>103.38167770962094</v>
      </c>
      <c r="X133" s="904">
        <f t="shared" si="125"/>
        <v>95.219777434047543</v>
      </c>
      <c r="Y133" s="904">
        <f t="shared" si="125"/>
        <v>484.86148285390527</v>
      </c>
      <c r="Z133" s="904">
        <f t="shared" si="125"/>
        <v>445.96753187500724</v>
      </c>
      <c r="AB133" s="556" t="s">
        <v>5816</v>
      </c>
      <c r="AC133" s="8">
        <v>1</v>
      </c>
    </row>
    <row r="134" spans="1:30">
      <c r="A134" s="8">
        <v>2019</v>
      </c>
      <c r="B134" s="904">
        <f t="shared" ref="B134:M134" si="126">+B51*1000000/B97</f>
        <v>91.121275183571413</v>
      </c>
      <c r="C134" s="904">
        <f t="shared" si="126"/>
        <v>300.92802043788112</v>
      </c>
      <c r="D134" s="904">
        <f t="shared" si="126"/>
        <v>54.406891668994618</v>
      </c>
      <c r="E134" s="904">
        <f t="shared" si="126"/>
        <v>244.53648695871101</v>
      </c>
      <c r="F134" s="904">
        <f t="shared" si="126"/>
        <v>185.18385640429912</v>
      </c>
      <c r="G134" s="904">
        <f t="shared" si="126"/>
        <v>84.950586075599929</v>
      </c>
      <c r="H134" s="904">
        <f t="shared" si="126"/>
        <v>3769.4640609191351</v>
      </c>
      <c r="I134" s="904">
        <f t="shared" si="126"/>
        <v>34.68570059443848</v>
      </c>
      <c r="J134" s="904">
        <f t="shared" si="126"/>
        <v>89.076878297884676</v>
      </c>
      <c r="K134" s="904">
        <f t="shared" si="126"/>
        <v>21.737595392128938</v>
      </c>
      <c r="L134" s="904">
        <f t="shared" si="126"/>
        <v>48.027899631025868</v>
      </c>
      <c r="M134" s="904">
        <f t="shared" si="126"/>
        <v>299.76515694729272</v>
      </c>
      <c r="N134" s="8"/>
      <c r="O134" s="904">
        <f t="shared" ref="O134:Z134" si="127">+O51*1000000/O97</f>
        <v>91.121275183571413</v>
      </c>
      <c r="P134" s="904">
        <f t="shared" si="127"/>
        <v>196.22217849959483</v>
      </c>
      <c r="Q134" s="904">
        <f t="shared" si="127"/>
        <v>148.52610459732537</v>
      </c>
      <c r="R134" s="904">
        <f t="shared" si="127"/>
        <v>173.46094048602603</v>
      </c>
      <c r="S134" s="904">
        <f t="shared" si="127"/>
        <v>175.93098376206729</v>
      </c>
      <c r="T134" s="904">
        <f t="shared" si="127"/>
        <v>159.98645751347635</v>
      </c>
      <c r="U134" s="904">
        <f t="shared" si="127"/>
        <v>723.15868375157413</v>
      </c>
      <c r="V134" s="904">
        <f t="shared" si="127"/>
        <v>630.22671566267445</v>
      </c>
      <c r="W134" s="904">
        <f t="shared" si="127"/>
        <v>564.61540279190694</v>
      </c>
      <c r="X134" s="904">
        <f t="shared" si="127"/>
        <v>505.72628329815757</v>
      </c>
      <c r="Y134" s="904">
        <f t="shared" si="127"/>
        <v>460.7021149659343</v>
      </c>
      <c r="Z134" s="904">
        <f t="shared" si="127"/>
        <v>447.14281386657592</v>
      </c>
      <c r="AB134" s="556" t="s">
        <v>5800</v>
      </c>
      <c r="AC134" s="8">
        <v>1</v>
      </c>
    </row>
    <row r="135" spans="1:30">
      <c r="A135" s="675" t="s">
        <v>4341</v>
      </c>
      <c r="B135" s="904">
        <f t="shared" ref="B135:M135" si="128">+B52*1000000/B98</f>
        <v>232.46698171772297</v>
      </c>
      <c r="C135" s="904">
        <f t="shared" si="128"/>
        <v>3672.2252534000113</v>
      </c>
      <c r="D135" s="904">
        <f t="shared" si="128"/>
        <v>180.10556328548719</v>
      </c>
      <c r="E135" s="904">
        <f t="shared" si="128"/>
        <v>284.70034910895754</v>
      </c>
      <c r="F135" s="904">
        <f t="shared" si="128"/>
        <v>219.6608819269899</v>
      </c>
      <c r="G135" s="904">
        <f t="shared" si="128"/>
        <v>158.11749700773024</v>
      </c>
      <c r="H135" s="904">
        <f t="shared" si="128"/>
        <v>2950.6851250080081</v>
      </c>
      <c r="I135" s="904">
        <f t="shared" si="128"/>
        <v>120.66188752919277</v>
      </c>
      <c r="J135" s="904">
        <f t="shared" si="128"/>
        <v>114.480404124247</v>
      </c>
      <c r="K135" s="904">
        <f t="shared" si="128"/>
        <v>258.4971050470233</v>
      </c>
      <c r="L135" s="904">
        <f t="shared" si="128"/>
        <v>76.291828680324315</v>
      </c>
      <c r="M135" s="904">
        <f t="shared" si="128"/>
        <v>435.17140995495515</v>
      </c>
      <c r="N135" s="8"/>
      <c r="O135" s="904">
        <f t="shared" ref="O135:Z135" si="129">+O52*1000000/O98</f>
        <v>232.46698171772297</v>
      </c>
      <c r="P135" s="904">
        <f t="shared" si="129"/>
        <v>1966.2323449706796</v>
      </c>
      <c r="Q135" s="904">
        <f t="shared" si="129"/>
        <v>1360.5761103662221</v>
      </c>
      <c r="R135" s="904">
        <f t="shared" si="129"/>
        <v>1087.3141093005108</v>
      </c>
      <c r="S135" s="904">
        <f t="shared" si="129"/>
        <v>883.19270947138341</v>
      </c>
      <c r="T135" s="904">
        <f t="shared" si="129"/>
        <v>756.23225289195614</v>
      </c>
      <c r="U135" s="904">
        <f t="shared" si="129"/>
        <v>1096.4168851686286</v>
      </c>
      <c r="V135" s="904">
        <f t="shared" si="129"/>
        <v>925.10014693220239</v>
      </c>
      <c r="W135" s="904">
        <f t="shared" si="129"/>
        <v>832.20461283424538</v>
      </c>
      <c r="X135" s="904">
        <f t="shared" si="129"/>
        <v>774.91276392619523</v>
      </c>
      <c r="Y135" s="904">
        <f t="shared" si="129"/>
        <v>711.15886867860991</v>
      </c>
      <c r="Z135" s="904">
        <f t="shared" si="129"/>
        <v>689.54093061600884</v>
      </c>
      <c r="AB135" s="556" t="s">
        <v>5808</v>
      </c>
      <c r="AC135" s="8">
        <v>1</v>
      </c>
    </row>
    <row r="136" spans="1:30">
      <c r="A136" s="8">
        <v>2020</v>
      </c>
      <c r="B136" s="904">
        <f t="shared" ref="B136:M136" si="130">+B53*1000000/B99</f>
        <v>187.95858979310711</v>
      </c>
      <c r="C136" s="904">
        <f t="shared" si="130"/>
        <v>47.333062060854552</v>
      </c>
      <c r="D136" s="904">
        <f t="shared" si="130"/>
        <v>2088.8217374343481</v>
      </c>
      <c r="E136" s="904">
        <f t="shared" si="130"/>
        <v>38.843454778818952</v>
      </c>
      <c r="F136" s="904">
        <f t="shared" si="130"/>
        <v>65.541461903887082</v>
      </c>
      <c r="G136" s="904">
        <f t="shared" si="130"/>
        <v>4.8394267823418717</v>
      </c>
      <c r="H136" s="904">
        <f t="shared" si="130"/>
        <v>35.206841739378582</v>
      </c>
      <c r="I136" s="904">
        <f t="shared" si="130"/>
        <v>50.32398361853685</v>
      </c>
      <c r="J136" s="904">
        <f t="shared" si="130"/>
        <v>28.054333067317181</v>
      </c>
      <c r="K136" s="904">
        <f t="shared" si="130"/>
        <v>25.256069823564971</v>
      </c>
      <c r="L136" s="904">
        <f t="shared" si="130"/>
        <v>60.679863542669189</v>
      </c>
      <c r="M136" s="904">
        <f t="shared" si="130"/>
        <v>23.219315619263266</v>
      </c>
      <c r="N136" s="8"/>
      <c r="O136" s="904">
        <f t="shared" ref="O136:Z136" si="131">+O53*1000000/O99</f>
        <v>187.95858979310711</v>
      </c>
      <c r="P136" s="904">
        <f t="shared" si="131"/>
        <v>117.66019954780884</v>
      </c>
      <c r="Q136" s="904">
        <f t="shared" si="131"/>
        <v>762.75596175554699</v>
      </c>
      <c r="R136" s="904">
        <f t="shared" si="131"/>
        <v>604.09795637696629</v>
      </c>
      <c r="S136" s="904">
        <f t="shared" si="131"/>
        <v>508.57236325447889</v>
      </c>
      <c r="T136" s="904">
        <f t="shared" si="131"/>
        <v>423.71075508992851</v>
      </c>
      <c r="U136" s="904">
        <f t="shared" si="131"/>
        <v>362.07565960028444</v>
      </c>
      <c r="V136" s="904">
        <f t="shared" si="131"/>
        <v>314.71253476457844</v>
      </c>
      <c r="W136" s="904">
        <f t="shared" si="131"/>
        <v>278.37820636413596</v>
      </c>
      <c r="X136" s="904">
        <f t="shared" si="131"/>
        <v>250.54295027762458</v>
      </c>
      <c r="Y136" s="904">
        <f t="shared" si="131"/>
        <v>231.12970300556822</v>
      </c>
      <c r="Z136" s="904">
        <f t="shared" si="131"/>
        <v>212.24738363583322</v>
      </c>
      <c r="AB136" s="556" t="s">
        <v>5765</v>
      </c>
      <c r="AC136" s="8">
        <v>1</v>
      </c>
    </row>
    <row r="137" spans="1:30">
      <c r="A137" s="1137">
        <v>2021</v>
      </c>
      <c r="B137" s="904">
        <f t="shared" ref="B137:M137" si="132">+B54*1000000/B101</f>
        <v>21.816203871368817</v>
      </c>
      <c r="C137" s="904">
        <f t="shared" si="132"/>
        <v>121.42775185597334</v>
      </c>
      <c r="D137" s="904">
        <f t="shared" si="132"/>
        <v>72.467912265272659</v>
      </c>
      <c r="E137" s="904">
        <f t="shared" si="132"/>
        <v>15.133213226871463</v>
      </c>
      <c r="F137" s="904">
        <f t="shared" si="132"/>
        <v>30.285816565243373</v>
      </c>
      <c r="G137" s="904">
        <f t="shared" si="132"/>
        <v>62.130500779257417</v>
      </c>
      <c r="H137" s="904">
        <f t="shared" si="132"/>
        <v>73.20487715140699</v>
      </c>
      <c r="I137" s="904">
        <f t="shared" si="132"/>
        <v>666.91757613560765</v>
      </c>
      <c r="J137" s="904">
        <f t="shared" si="132"/>
        <v>43.306322555720058</v>
      </c>
      <c r="K137" s="904">
        <f t="shared" si="132"/>
        <v>18.574334838539507</v>
      </c>
      <c r="L137" s="904">
        <f t="shared" si="132"/>
        <v>7.7098598954770736</v>
      </c>
      <c r="M137" s="904">
        <f t="shared" si="132"/>
        <v>60.93505821796397</v>
      </c>
      <c r="N137" s="8"/>
      <c r="O137" s="904">
        <f t="shared" ref="O137:Z137" si="133">+O54*1000000/O101</f>
        <v>21.816203871368817</v>
      </c>
      <c r="P137" s="904">
        <f t="shared" si="133"/>
        <v>70.353507111879537</v>
      </c>
      <c r="Q137" s="904">
        <f t="shared" si="133"/>
        <v>71.091513705216187</v>
      </c>
      <c r="R137" s="904">
        <f t="shared" si="133"/>
        <v>57.636709903408999</v>
      </c>
      <c r="S137" s="904">
        <f t="shared" si="133"/>
        <v>52.084449399907527</v>
      </c>
      <c r="T137" s="904">
        <f t="shared" si="133"/>
        <v>53.770229774282782</v>
      </c>
      <c r="U137" s="904">
        <f t="shared" si="133"/>
        <v>56.576925889494106</v>
      </c>
      <c r="V137" s="904">
        <f t="shared" si="133"/>
        <v>133.01295631498127</v>
      </c>
      <c r="W137" s="904">
        <f t="shared" si="133"/>
        <v>123.15497153301023</v>
      </c>
      <c r="X137" s="904">
        <f t="shared" si="133"/>
        <v>113.01808011344066</v>
      </c>
      <c r="Y137" s="904">
        <f t="shared" si="133"/>
        <v>103.6253724096771</v>
      </c>
      <c r="Z137" s="904">
        <f t="shared" si="133"/>
        <v>100.37298604873516</v>
      </c>
      <c r="AB137" s="556" t="s">
        <v>5761</v>
      </c>
      <c r="AC137" s="8">
        <v>1</v>
      </c>
    </row>
    <row r="138" spans="1:30" ht="15.6">
      <c r="A138" s="675" t="s">
        <v>555</v>
      </c>
      <c r="B138" s="904">
        <v>112</v>
      </c>
      <c r="C138" s="904">
        <v>112</v>
      </c>
      <c r="D138" s="904">
        <v>112</v>
      </c>
      <c r="E138" s="904">
        <v>112</v>
      </c>
      <c r="F138" s="904">
        <v>112</v>
      </c>
      <c r="G138" s="904">
        <v>112</v>
      </c>
      <c r="H138" s="904">
        <v>112</v>
      </c>
      <c r="I138" s="904">
        <v>112</v>
      </c>
      <c r="J138" s="904">
        <v>112</v>
      </c>
      <c r="K138" s="904">
        <v>112</v>
      </c>
      <c r="L138" s="904">
        <v>112</v>
      </c>
      <c r="M138" s="904">
        <v>112</v>
      </c>
      <c r="N138" s="8"/>
      <c r="O138" s="904"/>
      <c r="P138" s="904"/>
      <c r="Q138" s="904"/>
      <c r="R138" s="904"/>
      <c r="S138" s="904"/>
      <c r="T138" s="904"/>
      <c r="U138" s="904"/>
      <c r="V138" s="904"/>
      <c r="W138" s="904"/>
      <c r="X138" s="904"/>
      <c r="Y138" s="904"/>
      <c r="Z138" s="904"/>
      <c r="AC138" s="599">
        <v>25</v>
      </c>
    </row>
    <row r="139" spans="1:30">
      <c r="A139" s="675" t="s">
        <v>4340</v>
      </c>
      <c r="B139" s="904">
        <f t="shared" ref="B139:M139" si="134">+B56*1000000/B100</f>
        <v>210.24914866745334</v>
      </c>
      <c r="C139" s="904">
        <f t="shared" si="134"/>
        <v>75.504788255365312</v>
      </c>
      <c r="D139" s="904">
        <f t="shared" si="134"/>
        <v>1707.9188412700182</v>
      </c>
      <c r="E139" s="904">
        <f t="shared" si="134"/>
        <v>29.094325928546137</v>
      </c>
      <c r="F139" s="904">
        <f t="shared" si="134"/>
        <v>154.91511343894794</v>
      </c>
      <c r="G139" s="904">
        <f t="shared" si="134"/>
        <v>15.976292885495832</v>
      </c>
      <c r="H139" s="904">
        <f t="shared" si="134"/>
        <v>98.520557753165534</v>
      </c>
      <c r="I139" s="904">
        <f t="shared" si="134"/>
        <v>207.56950117322353</v>
      </c>
      <c r="J139" s="904">
        <f t="shared" si="134"/>
        <v>97.798803306293777</v>
      </c>
      <c r="K139" s="904">
        <f t="shared" si="134"/>
        <v>73.137935586688755</v>
      </c>
      <c r="L139" s="904">
        <f t="shared" si="134"/>
        <v>141.08232352905242</v>
      </c>
      <c r="M139" s="904">
        <f t="shared" si="134"/>
        <v>335.59603801891831</v>
      </c>
      <c r="N139" s="8"/>
      <c r="O139" s="904">
        <f t="shared" ref="O139:Z139" si="135">+O56*1000000/O100</f>
        <v>210.24914866745334</v>
      </c>
      <c r="P139" s="904">
        <f t="shared" si="135"/>
        <v>141.39196813405806</v>
      </c>
      <c r="Q139" s="904">
        <f t="shared" si="135"/>
        <v>656.89308760311235</v>
      </c>
      <c r="R139" s="904">
        <f t="shared" si="135"/>
        <v>514.7475997594122</v>
      </c>
      <c r="S139" s="904">
        <f t="shared" si="135"/>
        <v>448.9745476242818</v>
      </c>
      <c r="T139" s="904">
        <f t="shared" si="135"/>
        <v>376.15486529378404</v>
      </c>
      <c r="U139" s="904">
        <f t="shared" si="135"/>
        <v>333.08243897356544</v>
      </c>
      <c r="V139" s="904">
        <f t="shared" si="135"/>
        <v>314.75697300068447</v>
      </c>
      <c r="W139" s="904">
        <f t="shared" si="135"/>
        <v>287.99030021478603</v>
      </c>
      <c r="X139" s="904">
        <f t="shared" si="135"/>
        <v>264.82932581838543</v>
      </c>
      <c r="Y139" s="904">
        <f t="shared" si="135"/>
        <v>251.85345458276754</v>
      </c>
      <c r="Z139" s="904">
        <f t="shared" si="135"/>
        <v>260.71621831695711</v>
      </c>
    </row>
    <row r="140" spans="1:30">
      <c r="A140" s="675" t="s">
        <v>4490</v>
      </c>
      <c r="B140" s="948">
        <v>2722.1997409872492</v>
      </c>
      <c r="C140" s="948">
        <v>84.003887770295762</v>
      </c>
      <c r="D140" s="948">
        <v>73.135269128831325</v>
      </c>
      <c r="E140" s="948">
        <v>44.865053302797747</v>
      </c>
      <c r="F140" s="948">
        <v>30.647360492459498</v>
      </c>
      <c r="G140" s="948">
        <v>72.885552740447707</v>
      </c>
      <c r="H140" s="948">
        <v>194.74426905922999</v>
      </c>
      <c r="I140" s="948">
        <v>100.48012695492918</v>
      </c>
      <c r="J140" s="948">
        <v>112.97858921430525</v>
      </c>
      <c r="K140" s="948">
        <v>144.6282888709701</v>
      </c>
      <c r="L140" s="948">
        <v>33.493827578191151</v>
      </c>
      <c r="M140" s="948">
        <v>37.77385116385932</v>
      </c>
      <c r="N140" s="948"/>
      <c r="O140" s="948">
        <v>2722.1997409872492</v>
      </c>
      <c r="P140" s="948">
        <v>1427.7304686484476</v>
      </c>
      <c r="Q140" s="948">
        <v>957.84135235156873</v>
      </c>
      <c r="R140" s="948">
        <v>734.64782642787418</v>
      </c>
      <c r="S140" s="948">
        <v>593.7718634669103</v>
      </c>
      <c r="T140" s="948">
        <v>504.9119253747437</v>
      </c>
      <c r="U140" s="948">
        <v>460.96917472953231</v>
      </c>
      <c r="V140" s="948">
        <v>417.19944362766648</v>
      </c>
      <c r="W140" s="948">
        <v>385.2323216112062</v>
      </c>
      <c r="X140" s="948">
        <v>362.72839402252481</v>
      </c>
      <c r="Y140" s="948">
        <v>335.09752409611343</v>
      </c>
      <c r="Z140" s="948">
        <v>313.1612924918324</v>
      </c>
    </row>
    <row r="141" spans="1:30">
      <c r="A141" s="675" t="s">
        <v>5177</v>
      </c>
      <c r="B141" s="904">
        <f t="shared" ref="B141:M141" si="136">+B58*1000000/B103</f>
        <v>18.616810682177036</v>
      </c>
      <c r="C141" s="904">
        <f t="shared" si="136"/>
        <v>127.04729703508039</v>
      </c>
      <c r="D141" s="904">
        <f t="shared" si="136"/>
        <v>385.8060761628164</v>
      </c>
      <c r="E141" s="904">
        <f t="shared" si="136"/>
        <v>47.619161973307556</v>
      </c>
      <c r="F141" s="904">
        <f t="shared" si="136"/>
        <v>6.9050827668128054</v>
      </c>
      <c r="G141" s="904">
        <f t="shared" si="136"/>
        <v>28.10099231946397</v>
      </c>
      <c r="H141" s="904">
        <f t="shared" si="136"/>
        <v>116.78690053171761</v>
      </c>
      <c r="I141" s="904">
        <f t="shared" si="136"/>
        <v>17.180996538504981</v>
      </c>
      <c r="J141" s="904">
        <f t="shared" si="136"/>
        <v>102.92730566688962</v>
      </c>
      <c r="K141" s="904">
        <f t="shared" si="136"/>
        <v>120.13711631129843</v>
      </c>
      <c r="L141" s="904">
        <f t="shared" si="136"/>
        <v>155.46972208688334</v>
      </c>
      <c r="M141" s="904">
        <f t="shared" si="136"/>
        <v>109.15198244104511</v>
      </c>
      <c r="N141" s="948"/>
      <c r="O141" s="948">
        <v>19</v>
      </c>
      <c r="P141" s="948">
        <v>73</v>
      </c>
      <c r="Q141" s="948">
        <v>180</v>
      </c>
      <c r="R141" s="948">
        <v>147</v>
      </c>
      <c r="S141" s="948">
        <v>118</v>
      </c>
      <c r="T141" s="948">
        <v>102</v>
      </c>
      <c r="U141" s="948">
        <v>104</v>
      </c>
      <c r="V141" s="948">
        <v>92</v>
      </c>
      <c r="W141" s="948">
        <v>93</v>
      </c>
      <c r="X141" s="948">
        <v>96</v>
      </c>
      <c r="Y141" s="948">
        <v>101</v>
      </c>
      <c r="Z141" s="948">
        <v>102</v>
      </c>
    </row>
    <row r="142" spans="1:30">
      <c r="A142" s="1137" t="s">
        <v>5726</v>
      </c>
      <c r="B142" s="904">
        <f t="shared" ref="B142:M142" si="137">+B59*1000000/B104</f>
        <v>35.432752349486364</v>
      </c>
      <c r="C142" s="904">
        <f t="shared" si="137"/>
        <v>103.51400639809125</v>
      </c>
      <c r="D142" s="904">
        <f t="shared" si="137"/>
        <v>64.246485965442744</v>
      </c>
      <c r="E142" s="904">
        <f t="shared" si="137"/>
        <v>12.503006285346281</v>
      </c>
      <c r="F142" s="904">
        <f t="shared" si="137"/>
        <v>28.308485042371956</v>
      </c>
      <c r="G142" s="904">
        <f t="shared" si="137"/>
        <v>50.79026656742343</v>
      </c>
      <c r="H142" s="904">
        <f t="shared" si="137"/>
        <v>74.388266292428099</v>
      </c>
      <c r="I142" s="904">
        <f t="shared" si="137"/>
        <v>1037.6973948595123</v>
      </c>
      <c r="J142" s="904">
        <f t="shared" si="137"/>
        <v>70.853436874200298</v>
      </c>
      <c r="K142" s="904">
        <f t="shared" si="137"/>
        <v>20.205423395492595</v>
      </c>
      <c r="L142" s="904">
        <f t="shared" si="137"/>
        <v>24.145515670978529</v>
      </c>
      <c r="M142" s="904">
        <f t="shared" si="137"/>
        <v>54.24036938036253</v>
      </c>
      <c r="N142" s="8"/>
      <c r="O142" s="904">
        <f t="shared" ref="O142:Z142" si="138">+O59*1000000/O104</f>
        <v>35.432752349486364</v>
      </c>
      <c r="P142" s="904">
        <f t="shared" si="138"/>
        <v>68.362932685850993</v>
      </c>
      <c r="Q142" s="904">
        <f t="shared" si="138"/>
        <v>67.000756058435456</v>
      </c>
      <c r="R142" s="904">
        <f t="shared" si="138"/>
        <v>53.72542402812234</v>
      </c>
      <c r="S142" s="904">
        <f t="shared" si="138"/>
        <v>48.440471422166105</v>
      </c>
      <c r="T142" s="904">
        <f t="shared" si="138"/>
        <v>48.840530196766508</v>
      </c>
      <c r="U142" s="904">
        <f t="shared" si="138"/>
        <v>52.493298363295217</v>
      </c>
      <c r="V142" s="904">
        <f t="shared" si="138"/>
        <v>178.06207608179201</v>
      </c>
      <c r="W142" s="904">
        <f t="shared" si="138"/>
        <v>166.00167978130631</v>
      </c>
      <c r="X142" s="904">
        <f t="shared" si="138"/>
        <v>151.81134063034008</v>
      </c>
      <c r="Y142" s="904">
        <f t="shared" si="138"/>
        <v>142.19638954471682</v>
      </c>
      <c r="Z142" s="904">
        <f t="shared" si="138"/>
        <v>135.11979596171051</v>
      </c>
    </row>
    <row r="143" spans="1:30" ht="14.4">
      <c r="A143" s="675" t="s">
        <v>4339</v>
      </c>
      <c r="B143" s="904">
        <v>91</v>
      </c>
      <c r="C143" s="904">
        <v>91</v>
      </c>
      <c r="D143" s="904">
        <v>91</v>
      </c>
      <c r="E143" s="904">
        <v>91</v>
      </c>
      <c r="F143" s="904">
        <v>91</v>
      </c>
      <c r="G143" s="904">
        <v>91</v>
      </c>
      <c r="H143" s="904">
        <v>91</v>
      </c>
      <c r="I143" s="904">
        <v>91</v>
      </c>
      <c r="J143" s="904">
        <v>91</v>
      </c>
      <c r="K143" s="904">
        <v>91</v>
      </c>
      <c r="L143" s="904">
        <v>91</v>
      </c>
      <c r="M143" s="904">
        <v>91</v>
      </c>
      <c r="N143" s="8"/>
      <c r="O143" s="904"/>
      <c r="P143" s="904"/>
      <c r="Q143" s="904"/>
      <c r="R143" s="904"/>
      <c r="S143" s="904"/>
      <c r="T143" s="904"/>
      <c r="U143" s="904"/>
      <c r="V143" s="904"/>
      <c r="W143" s="904"/>
      <c r="X143" s="904"/>
      <c r="Y143" s="904"/>
      <c r="Z143" s="904"/>
      <c r="AB143" s="2194" t="s">
        <v>2156</v>
      </c>
      <c r="AC143" s="2194" t="s">
        <v>5885</v>
      </c>
      <c r="AD143" s="675" t="s">
        <v>2881</v>
      </c>
    </row>
    <row r="144" spans="1:30">
      <c r="A144" s="675" t="s">
        <v>5981</v>
      </c>
      <c r="B144" s="904">
        <v>105</v>
      </c>
      <c r="C144" s="904">
        <v>105</v>
      </c>
      <c r="D144" s="904">
        <v>105</v>
      </c>
      <c r="E144" s="904">
        <v>105</v>
      </c>
      <c r="F144" s="904">
        <v>105</v>
      </c>
      <c r="G144" s="904">
        <v>105</v>
      </c>
      <c r="H144" s="904">
        <v>105</v>
      </c>
      <c r="I144" s="904">
        <v>105</v>
      </c>
      <c r="J144" s="904">
        <v>105</v>
      </c>
      <c r="K144" s="904">
        <v>105</v>
      </c>
      <c r="L144" s="904">
        <v>105</v>
      </c>
      <c r="M144" s="904">
        <v>105</v>
      </c>
      <c r="N144" s="8"/>
      <c r="O144" s="904"/>
      <c r="P144" s="904"/>
      <c r="Q144" s="904"/>
      <c r="R144" s="904"/>
      <c r="S144" s="904"/>
      <c r="T144" s="904"/>
      <c r="U144" s="904"/>
      <c r="V144" s="904"/>
      <c r="W144" s="904"/>
      <c r="X144" s="904"/>
      <c r="Y144" s="904"/>
      <c r="Z144" s="904"/>
      <c r="AB144" s="556" t="s">
        <v>6168</v>
      </c>
      <c r="AC144">
        <v>24</v>
      </c>
      <c r="AD144" s="1169">
        <f ca="1">+AC144/$AC$148</f>
        <v>0.48979591836734693</v>
      </c>
    </row>
    <row r="145" spans="1:30">
      <c r="A145" s="950" t="s">
        <v>584</v>
      </c>
      <c r="B145" s="949"/>
      <c r="C145" s="949"/>
      <c r="D145" s="949"/>
      <c r="E145" s="949"/>
      <c r="F145" s="949"/>
      <c r="G145" s="949"/>
      <c r="H145" s="949"/>
      <c r="I145" s="949"/>
      <c r="J145" s="949"/>
      <c r="K145" s="949"/>
      <c r="L145" s="949"/>
      <c r="M145" s="949"/>
      <c r="N145" s="8"/>
      <c r="O145" s="949"/>
      <c r="P145" s="949"/>
      <c r="Q145" s="949"/>
      <c r="R145" s="949"/>
      <c r="S145" s="949"/>
      <c r="T145" s="949"/>
      <c r="U145" s="949"/>
      <c r="V145" s="949"/>
      <c r="W145" s="949"/>
      <c r="X145" s="949"/>
      <c r="Y145" s="949"/>
      <c r="Z145" s="949"/>
      <c r="AB145" s="556" t="s">
        <v>6169</v>
      </c>
      <c r="AC145">
        <v>13</v>
      </c>
      <c r="AD145" s="1169">
        <f ca="1">+AC145/$AC$148</f>
        <v>0.26530612244897961</v>
      </c>
    </row>
    <row r="146" spans="1:30">
      <c r="A146" s="8">
        <v>2012</v>
      </c>
      <c r="B146" s="951">
        <f t="shared" ref="B146:M146" si="139">+B107*B127/1000</f>
        <v>1.7998918799801074</v>
      </c>
      <c r="C146" s="951">
        <f t="shared" si="139"/>
        <v>0.62523437524885939</v>
      </c>
      <c r="D146" s="951">
        <f t="shared" si="139"/>
        <v>3.175982052680542</v>
      </c>
      <c r="E146" s="951">
        <f t="shared" si="139"/>
        <v>0.30032097514289791</v>
      </c>
      <c r="F146" s="951">
        <f t="shared" si="139"/>
        <v>1.0476726377329382</v>
      </c>
      <c r="G146" s="951">
        <f t="shared" si="139"/>
        <v>2.8780185966938929</v>
      </c>
      <c r="H146" s="951">
        <f t="shared" si="139"/>
        <v>1.6022944799252579</v>
      </c>
      <c r="I146" s="951">
        <f t="shared" si="139"/>
        <v>2.166717824235437</v>
      </c>
      <c r="J146" s="951">
        <f t="shared" si="139"/>
        <v>3.0079992257712926</v>
      </c>
      <c r="K146" s="951">
        <f t="shared" si="139"/>
        <v>1.8072594901235923</v>
      </c>
      <c r="L146" s="951">
        <f t="shared" si="139"/>
        <v>12.458544102877585</v>
      </c>
      <c r="M146" s="951">
        <f t="shared" si="139"/>
        <v>77.320778022679093</v>
      </c>
      <c r="N146" s="8"/>
      <c r="O146" s="951">
        <f t="shared" ref="O146:Z146" si="140">+O107*O127/1000</f>
        <v>1.7998918799801074</v>
      </c>
      <c r="P146" s="951">
        <f t="shared" si="140"/>
        <v>1.3188619494028848</v>
      </c>
      <c r="Q146" s="951">
        <f t="shared" si="140"/>
        <v>1.8681736102335464</v>
      </c>
      <c r="R146" s="951">
        <f t="shared" si="140"/>
        <v>1.3590785670879661</v>
      </c>
      <c r="S146" s="951">
        <f t="shared" si="140"/>
        <v>1.3043148454940743</v>
      </c>
      <c r="T146" s="951">
        <f t="shared" si="140"/>
        <v>1.5357106654612096</v>
      </c>
      <c r="U146" s="951">
        <f t="shared" si="140"/>
        <v>1.5459200899071273</v>
      </c>
      <c r="V146" s="951">
        <f t="shared" si="140"/>
        <v>1.6246422983831457</v>
      </c>
      <c r="W146" s="951">
        <f t="shared" si="140"/>
        <v>1.8396771910823748</v>
      </c>
      <c r="X146" s="951">
        <f t="shared" si="140"/>
        <v>1.8497434819789098</v>
      </c>
      <c r="Y146" s="951">
        <f t="shared" si="140"/>
        <v>2.6161104165787719</v>
      </c>
      <c r="Z146" s="951">
        <f t="shared" si="140"/>
        <v>9.7419801144236491</v>
      </c>
      <c r="AB146" s="556" t="s">
        <v>6170</v>
      </c>
      <c r="AC146">
        <v>7</v>
      </c>
      <c r="AD146" s="1169">
        <f ca="1">+AC146/$AC$148</f>
        <v>0.14285714285714285</v>
      </c>
    </row>
    <row r="147" spans="1:30">
      <c r="A147" s="8">
        <v>2013</v>
      </c>
      <c r="B147" s="951">
        <f t="shared" ref="B147:M147" si="141">+B108*B128/1000</f>
        <v>1.5999911053915719</v>
      </c>
      <c r="C147" s="951">
        <f t="shared" si="141"/>
        <v>1.1272749946193636</v>
      </c>
      <c r="D147" s="951">
        <f t="shared" si="141"/>
        <v>0.59114203465915593</v>
      </c>
      <c r="E147" s="951">
        <f t="shared" si="141"/>
        <v>0.16898217169699389</v>
      </c>
      <c r="F147" s="951">
        <f t="shared" si="141"/>
        <v>0.50862747724788993</v>
      </c>
      <c r="G147" s="951">
        <f t="shared" si="141"/>
        <v>0.42992401005052916</v>
      </c>
      <c r="H147" s="951">
        <f t="shared" si="141"/>
        <v>1.4629880837546221</v>
      </c>
      <c r="I147" s="951">
        <f t="shared" si="141"/>
        <v>2.0726486392754099E-2</v>
      </c>
      <c r="J147" s="951">
        <f t="shared" si="141"/>
        <v>0.55212506656020832</v>
      </c>
      <c r="K147" s="951">
        <f t="shared" si="141"/>
        <v>0.17946867937208469</v>
      </c>
      <c r="L147" s="951">
        <f t="shared" si="141"/>
        <v>0.49736117104570504</v>
      </c>
      <c r="M147" s="951">
        <f t="shared" si="141"/>
        <v>0.12165494553185593</v>
      </c>
      <c r="N147" s="8"/>
      <c r="O147" s="951">
        <f t="shared" ref="O147:Z147" si="142">+O108*O128/1000</f>
        <v>1.5999911053915719</v>
      </c>
      <c r="P147" s="951">
        <f t="shared" si="142"/>
        <v>1.3648471654574941</v>
      </c>
      <c r="Q147" s="951">
        <f t="shared" si="142"/>
        <v>1.125015096125445</v>
      </c>
      <c r="R147" s="951">
        <f t="shared" si="142"/>
        <v>0.81255308481087751</v>
      </c>
      <c r="S147" s="951">
        <f t="shared" si="142"/>
        <v>0.74309215353795477</v>
      </c>
      <c r="T147" s="951">
        <f t="shared" si="142"/>
        <v>0.70479518740737168</v>
      </c>
      <c r="U147" s="951">
        <f t="shared" si="142"/>
        <v>0.80004958087768241</v>
      </c>
      <c r="V147" s="951">
        <f t="shared" si="142"/>
        <v>0.6439848072350044</v>
      </c>
      <c r="W147" s="951">
        <f t="shared" si="142"/>
        <v>0.63493045149661353</v>
      </c>
      <c r="X147" s="951">
        <f t="shared" si="142"/>
        <v>0.57344246915197994</v>
      </c>
      <c r="Y147" s="951">
        <f t="shared" si="142"/>
        <v>0.56618493472576681</v>
      </c>
      <c r="Z147" s="951">
        <f t="shared" si="142"/>
        <v>0.51834124307999907</v>
      </c>
      <c r="AB147" s="556" t="s">
        <v>6171</v>
      </c>
      <c r="AC147">
        <v>5</v>
      </c>
      <c r="AD147" s="1169">
        <f ca="1">+AC147/$AC$148</f>
        <v>0.10204081632653061</v>
      </c>
    </row>
    <row r="148" spans="1:30">
      <c r="A148" s="8">
        <v>2014</v>
      </c>
      <c r="B148" s="951">
        <f t="shared" ref="B148:M148" si="143">+B109*B129/1000</f>
        <v>0.75701429475844839</v>
      </c>
      <c r="C148" s="951">
        <f t="shared" si="143"/>
        <v>0.11591262149435588</v>
      </c>
      <c r="D148" s="951">
        <f t="shared" si="143"/>
        <v>0.64145533720541248</v>
      </c>
      <c r="E148" s="951">
        <f t="shared" si="143"/>
        <v>0.29039773694425414</v>
      </c>
      <c r="F148" s="951">
        <f t="shared" si="143"/>
        <v>8.1224408682988344E-2</v>
      </c>
      <c r="G148" s="951">
        <f t="shared" si="143"/>
        <v>4.2955836385075441E-2</v>
      </c>
      <c r="H148" s="951">
        <f t="shared" si="143"/>
        <v>0.83151334736015337</v>
      </c>
      <c r="I148" s="951">
        <f t="shared" si="143"/>
        <v>0.45609285162475971</v>
      </c>
      <c r="J148" s="951">
        <f t="shared" si="143"/>
        <v>0.19689568603725696</v>
      </c>
      <c r="K148" s="951">
        <f t="shared" si="143"/>
        <v>0.58334209037078522</v>
      </c>
      <c r="L148" s="951">
        <f t="shared" si="143"/>
        <v>1.151631407181168</v>
      </c>
      <c r="M148" s="951">
        <f t="shared" si="143"/>
        <v>0.21767221814315788</v>
      </c>
      <c r="N148" s="8"/>
      <c r="O148" s="951">
        <f t="shared" ref="O148:Z148" si="144">+O109*O129/1000</f>
        <v>0.75701429475844839</v>
      </c>
      <c r="P148" s="951">
        <f t="shared" si="144"/>
        <v>0.42796002620797657</v>
      </c>
      <c r="Q148" s="951">
        <f t="shared" si="144"/>
        <v>0.50596757151259864</v>
      </c>
      <c r="R148" s="951">
        <f t="shared" si="144"/>
        <v>0.44971563718725749</v>
      </c>
      <c r="S148" s="951">
        <f t="shared" si="144"/>
        <v>0.362387846484446</v>
      </c>
      <c r="T148" s="951">
        <f t="shared" si="144"/>
        <v>0.28605513971274815</v>
      </c>
      <c r="U148" s="951">
        <f t="shared" si="144"/>
        <v>0.35882106081297455</v>
      </c>
      <c r="V148" s="951">
        <f t="shared" si="144"/>
        <v>0.38414742416434827</v>
      </c>
      <c r="W148" s="951">
        <f t="shared" si="144"/>
        <v>0.36844216733433999</v>
      </c>
      <c r="X148" s="951">
        <f t="shared" si="144"/>
        <v>0.38867154162268686</v>
      </c>
      <c r="Y148" s="951">
        <f t="shared" si="144"/>
        <v>0.44268480943842886</v>
      </c>
      <c r="Z148" s="951">
        <f t="shared" si="144"/>
        <v>0.43216460335594403</v>
      </c>
      <c r="AB148" s="556"/>
      <c r="AC148" s="645">
        <f ca="1">SUM(AC144:AC148)</f>
        <v>49</v>
      </c>
      <c r="AD148" s="1169">
        <f ca="1">+#REF!/$AC$148</f>
        <v>0</v>
      </c>
    </row>
    <row r="149" spans="1:30">
      <c r="A149" s="675" t="s">
        <v>1983</v>
      </c>
      <c r="B149" s="951">
        <f t="shared" ref="B149:M149" si="145">+B110*B130/1000</f>
        <v>1.8400711574153579</v>
      </c>
      <c r="C149" s="951">
        <f t="shared" si="145"/>
        <v>0.11161854978112974</v>
      </c>
      <c r="D149" s="951">
        <f t="shared" si="145"/>
        <v>1.0240895284293272</v>
      </c>
      <c r="E149" s="951">
        <f t="shared" si="145"/>
        <v>0.53212883458257776</v>
      </c>
      <c r="F149" s="951">
        <f t="shared" si="145"/>
        <v>3.5356332365661645E-3</v>
      </c>
      <c r="G149" s="951">
        <f t="shared" si="145"/>
        <v>0.75618448188449205</v>
      </c>
      <c r="H149" s="951">
        <f t="shared" si="145"/>
        <v>2.3504647818396899E-2</v>
      </c>
      <c r="I149" s="951">
        <f t="shared" si="145"/>
        <v>2.3998895066359647</v>
      </c>
      <c r="J149" s="951">
        <f t="shared" si="145"/>
        <v>3.6855565350588315E-2</v>
      </c>
      <c r="K149" s="951">
        <f t="shared" si="145"/>
        <v>7.7290941925175953E-3</v>
      </c>
      <c r="L149" s="951">
        <f t="shared" si="145"/>
        <v>0.28138260748601895</v>
      </c>
      <c r="M149" s="951">
        <f t="shared" si="145"/>
        <v>0.36456854444174486</v>
      </c>
      <c r="N149" s="8"/>
      <c r="O149" s="951">
        <f t="shared" ref="O149:Z149" si="146">+O130*O110/1000</f>
        <v>1.9869072070553606</v>
      </c>
      <c r="P149" s="951">
        <f t="shared" si="146"/>
        <v>0.76923812738755581</v>
      </c>
      <c r="Q149" s="951">
        <f t="shared" si="146"/>
        <v>0.83487968812822844</v>
      </c>
      <c r="R149" s="951">
        <f t="shared" si="146"/>
        <v>0.8089128914863416</v>
      </c>
      <c r="S149" s="951">
        <f t="shared" si="146"/>
        <v>0.55386481365802309</v>
      </c>
      <c r="T149" s="951">
        <f t="shared" si="146"/>
        <v>0.60169497916605086</v>
      </c>
      <c r="U149" s="951">
        <f t="shared" si="146"/>
        <v>0.53061774626692881</v>
      </c>
      <c r="V149" s="951">
        <f t="shared" si="146"/>
        <v>0.71053010230487057</v>
      </c>
      <c r="W149" s="951">
        <f t="shared" si="146"/>
        <v>0.61759436797770006</v>
      </c>
      <c r="X149" s="951">
        <f t="shared" si="146"/>
        <v>0.53444873549468463</v>
      </c>
      <c r="Y149" s="951">
        <f t="shared" si="146"/>
        <v>0.5179207414472663</v>
      </c>
      <c r="Z149" s="951">
        <f t="shared" si="146"/>
        <v>0.5040725484283155</v>
      </c>
    </row>
    <row r="150" spans="1:30">
      <c r="A150" s="675" t="s">
        <v>1984</v>
      </c>
      <c r="B150" s="951">
        <f t="shared" ref="B150:M150" si="147">+B111*B131/1000</f>
        <v>1.1142987583056063</v>
      </c>
      <c r="C150" s="951">
        <f t="shared" si="147"/>
        <v>9.9840348903821291E-2</v>
      </c>
      <c r="D150" s="951">
        <f t="shared" si="147"/>
        <v>0.38962656110181881</v>
      </c>
      <c r="E150" s="951">
        <f t="shared" si="147"/>
        <v>0.45030909374081829</v>
      </c>
      <c r="F150" s="951">
        <f t="shared" si="147"/>
        <v>0.81950933311727736</v>
      </c>
      <c r="G150" s="951">
        <f t="shared" si="147"/>
        <v>0.93969617985026466</v>
      </c>
      <c r="H150" s="951">
        <f t="shared" si="147"/>
        <v>0.92869003755720192</v>
      </c>
      <c r="I150" s="951">
        <f t="shared" si="147"/>
        <v>2.4497059916828472</v>
      </c>
      <c r="J150" s="951">
        <f t="shared" si="147"/>
        <v>0.10769441654771569</v>
      </c>
      <c r="K150" s="951">
        <f t="shared" si="147"/>
        <v>36.184625334361712</v>
      </c>
      <c r="L150" s="951">
        <f t="shared" si="147"/>
        <v>1.680558935103168E-3</v>
      </c>
      <c r="M150" s="951">
        <f t="shared" si="147"/>
        <v>0.18003655768990195</v>
      </c>
      <c r="N150" s="8"/>
      <c r="O150" s="951">
        <f t="shared" ref="O150:Z150" si="148">+O111*O149</f>
        <v>12.835551415944092</v>
      </c>
      <c r="P150" s="951">
        <f t="shared" si="148"/>
        <v>3.3784014239772495</v>
      </c>
      <c r="Q150" s="951">
        <f t="shared" si="148"/>
        <v>3.325209800588091</v>
      </c>
      <c r="R150" s="951">
        <f t="shared" si="148"/>
        <v>2.8797709857995208</v>
      </c>
      <c r="S150" s="951">
        <f t="shared" si="148"/>
        <v>2.0819320780539488</v>
      </c>
      <c r="T150" s="951">
        <f t="shared" si="148"/>
        <v>2.5583068869664247</v>
      </c>
      <c r="U150" s="951">
        <f t="shared" si="148"/>
        <v>2.1630480467032362</v>
      </c>
      <c r="V150" s="951">
        <f t="shared" si="148"/>
        <v>3.2066146753658029</v>
      </c>
      <c r="W150" s="951">
        <f t="shared" si="148"/>
        <v>2.779574038274224</v>
      </c>
      <c r="X150" s="951">
        <f t="shared" si="148"/>
        <v>2.6512650124131456</v>
      </c>
      <c r="Y150" s="951">
        <f t="shared" si="148"/>
        <v>2.4023087668427161</v>
      </c>
      <c r="Z150" s="951">
        <f t="shared" si="148"/>
        <v>2.3434723835120654</v>
      </c>
      <c r="AB150" s="137" t="s">
        <v>2122</v>
      </c>
      <c r="AC150" s="1274">
        <f>+AD71</f>
        <v>2</v>
      </c>
    </row>
    <row r="151" spans="1:30">
      <c r="A151" s="8">
        <v>2017</v>
      </c>
      <c r="B151" s="951">
        <f t="shared" ref="B151:M151" si="149">+B132*B113/1000</f>
        <v>7.6399697973476219E-2</v>
      </c>
      <c r="C151" s="951">
        <f t="shared" si="149"/>
        <v>0.34381239740376873</v>
      </c>
      <c r="D151" s="951">
        <f t="shared" si="149"/>
        <v>0.49280922175549235</v>
      </c>
      <c r="E151" s="951">
        <f t="shared" si="149"/>
        <v>0.79755291273517759</v>
      </c>
      <c r="F151" s="951">
        <f t="shared" si="149"/>
        <v>1.7737738674038452</v>
      </c>
      <c r="G151" s="951">
        <f t="shared" si="149"/>
        <v>0.94012969771975319</v>
      </c>
      <c r="H151" s="951">
        <f t="shared" si="149"/>
        <v>0.24518624226634503</v>
      </c>
      <c r="I151" s="951">
        <f t="shared" si="149"/>
        <v>0.67142736761921518</v>
      </c>
      <c r="J151" s="951">
        <f t="shared" si="149"/>
        <v>0.38344840130427688</v>
      </c>
      <c r="K151" s="951">
        <f t="shared" si="149"/>
        <v>7.1040470614613466E-2</v>
      </c>
      <c r="L151" s="951">
        <f t="shared" si="149"/>
        <v>0.27945697079633081</v>
      </c>
      <c r="M151" s="951">
        <f t="shared" si="149"/>
        <v>7.3893225308859556E-2</v>
      </c>
      <c r="N151" s="8"/>
      <c r="O151" s="951">
        <f t="shared" ref="O151:Z151" si="150">+O132*O113/1000</f>
        <v>7.6399697973476219E-2</v>
      </c>
      <c r="P151" s="951">
        <f t="shared" si="150"/>
        <v>0.18622798947945809</v>
      </c>
      <c r="Q151" s="951">
        <f t="shared" si="150"/>
        <v>0.29909316092168586</v>
      </c>
      <c r="R151" s="951">
        <f t="shared" si="150"/>
        <v>0.43236799815941812</v>
      </c>
      <c r="S151" s="951">
        <f t="shared" si="150"/>
        <v>0.70568263367739426</v>
      </c>
      <c r="T151" s="951">
        <f t="shared" si="150"/>
        <v>0.74662428071984233</v>
      </c>
      <c r="U151" s="951">
        <f t="shared" si="150"/>
        <v>0.66354659341415345</v>
      </c>
      <c r="V151" s="951">
        <f t="shared" si="150"/>
        <v>0.66832978164577517</v>
      </c>
      <c r="W151" s="951">
        <f t="shared" si="150"/>
        <v>0.63069007092658014</v>
      </c>
      <c r="X151" s="951">
        <f t="shared" si="150"/>
        <v>0.55154373164529036</v>
      </c>
      <c r="Y151" s="951">
        <f t="shared" si="150"/>
        <v>0.52268595527220751</v>
      </c>
      <c r="Z151" s="951">
        <f t="shared" si="150"/>
        <v>0.47699191722030831</v>
      </c>
      <c r="AB151" s="1276" t="s">
        <v>2120</v>
      </c>
      <c r="AC151" s="1274">
        <f>+AD72</f>
        <v>48</v>
      </c>
    </row>
    <row r="152" spans="1:30">
      <c r="A152" s="8">
        <v>2018</v>
      </c>
      <c r="B152" s="951">
        <f t="shared" ref="B152:M152" si="151">+B133*B114/1000</f>
        <v>0.76423934324887266</v>
      </c>
      <c r="C152" s="951">
        <f t="shared" si="151"/>
        <v>0.68969515330418008</v>
      </c>
      <c r="D152" s="951">
        <f t="shared" si="151"/>
        <v>0.4814767793636302</v>
      </c>
      <c r="E152" s="951">
        <f t="shared" si="151"/>
        <v>9.0678281131950905E-3</v>
      </c>
      <c r="F152" s="951">
        <f t="shared" si="151"/>
        <v>1.3958140758705038</v>
      </c>
      <c r="G152" s="951">
        <f t="shared" si="151"/>
        <v>0.15478230522247588</v>
      </c>
      <c r="H152" s="951">
        <f t="shared" si="151"/>
        <v>0.68846778659548002</v>
      </c>
      <c r="I152" s="951">
        <f t="shared" si="151"/>
        <v>0.36602018516766038</v>
      </c>
      <c r="J152" s="951">
        <f t="shared" si="151"/>
        <v>0.27162333646993536</v>
      </c>
      <c r="K152" s="951">
        <f t="shared" si="151"/>
        <v>5.5425843073235691E-2</v>
      </c>
      <c r="L152" s="951">
        <f t="shared" si="151"/>
        <v>31.716637978587183</v>
      </c>
      <c r="M152" s="951">
        <f t="shared" si="151"/>
        <v>1.3143439341605855E-2</v>
      </c>
      <c r="N152" s="8"/>
      <c r="O152" s="951">
        <f t="shared" ref="O152:Z152" si="152">+O133*O114/1000</f>
        <v>0.76423934324887266</v>
      </c>
      <c r="P152" s="951">
        <f t="shared" si="152"/>
        <v>0.73553778414370519</v>
      </c>
      <c r="Q152" s="951">
        <f t="shared" si="152"/>
        <v>0.67914615199793771</v>
      </c>
      <c r="R152" s="951">
        <f t="shared" si="152"/>
        <v>0.41741490094664346</v>
      </c>
      <c r="S152" s="951">
        <f t="shared" si="152"/>
        <v>0.57495478352732499</v>
      </c>
      <c r="T152" s="951">
        <f t="shared" si="152"/>
        <v>0.48270755779468977</v>
      </c>
      <c r="U152" s="951">
        <f t="shared" si="152"/>
        <v>0.51309583243195234</v>
      </c>
      <c r="V152" s="951">
        <f t="shared" si="152"/>
        <v>0.49232879945116059</v>
      </c>
      <c r="W152" s="951">
        <f t="shared" si="152"/>
        <v>0.4635862939535304</v>
      </c>
      <c r="X152" s="951">
        <f t="shared" si="152"/>
        <v>0.40204491502002593</v>
      </c>
      <c r="Y152" s="951">
        <f t="shared" si="152"/>
        <v>2.2030769212705232</v>
      </c>
      <c r="Z152" s="951">
        <f t="shared" si="152"/>
        <v>1.914709125905719</v>
      </c>
      <c r="AB152" s="1276" t="s">
        <v>2121</v>
      </c>
      <c r="AC152" s="1274">
        <f>+AD73</f>
        <v>14</v>
      </c>
    </row>
    <row r="153" spans="1:30" ht="13.8" thickBot="1">
      <c r="A153" s="8">
        <v>2019</v>
      </c>
      <c r="B153" s="951">
        <f t="shared" ref="B153:M153" si="153">+B134*B115/1000</f>
        <v>0.45765045305166158</v>
      </c>
      <c r="C153" s="951">
        <f t="shared" si="153"/>
        <v>1.7208108975707705</v>
      </c>
      <c r="D153" s="951">
        <f t="shared" si="153"/>
        <v>0.19221492604426726</v>
      </c>
      <c r="E153" s="951">
        <f t="shared" si="153"/>
        <v>1.325165505908207</v>
      </c>
      <c r="F153" s="951">
        <f t="shared" si="153"/>
        <v>1.0983542564231767</v>
      </c>
      <c r="G153" s="951">
        <f t="shared" si="153"/>
        <v>0.38858626555473375</v>
      </c>
      <c r="H153" s="951">
        <f t="shared" si="153"/>
        <v>21.015568407403251</v>
      </c>
      <c r="I153" s="951">
        <f t="shared" si="153"/>
        <v>0.12890333847075319</v>
      </c>
      <c r="J153" s="951">
        <f t="shared" si="153"/>
        <v>0.26988742337742033</v>
      </c>
      <c r="K153" s="951">
        <f t="shared" si="153"/>
        <v>9.187948261175935E-2</v>
      </c>
      <c r="L153" s="951">
        <f t="shared" si="153"/>
        <v>0.20183442500969076</v>
      </c>
      <c r="M153" s="951">
        <f t="shared" si="153"/>
        <v>0.96208939314384423</v>
      </c>
      <c r="N153" s="8"/>
      <c r="O153" s="951">
        <f t="shared" ref="O153:Z153" si="154">+O134*O115/1000</f>
        <v>0.45765045305166158</v>
      </c>
      <c r="P153" s="951">
        <f t="shared" si="154"/>
        <v>1.0539181569833993</v>
      </c>
      <c r="Q153" s="951">
        <f t="shared" si="154"/>
        <v>0.70592011989938042</v>
      </c>
      <c r="R153" s="951">
        <f t="shared" si="154"/>
        <v>0.85444578142018934</v>
      </c>
      <c r="S153" s="951">
        <f t="shared" si="154"/>
        <v>0.90387790746415542</v>
      </c>
      <c r="T153" s="951">
        <f t="shared" si="154"/>
        <v>0.80616272717201176</v>
      </c>
      <c r="U153" s="951">
        <f t="shared" si="154"/>
        <v>3.7044639855548498</v>
      </c>
      <c r="V153" s="951">
        <f t="shared" si="154"/>
        <v>3.1087764758507204</v>
      </c>
      <c r="W153" s="951">
        <f t="shared" si="154"/>
        <v>2.6548595180834758</v>
      </c>
      <c r="X153" s="951">
        <f t="shared" si="154"/>
        <v>2.3518837232118055</v>
      </c>
      <c r="Y153" s="951">
        <f t="shared" si="154"/>
        <v>2.1221923114034897</v>
      </c>
      <c r="Z153" s="951">
        <f t="shared" si="154"/>
        <v>1.967428381012934</v>
      </c>
      <c r="AB153" s="1277" t="s">
        <v>2753</v>
      </c>
      <c r="AC153" s="1274">
        <f>+AD74</f>
        <v>1</v>
      </c>
    </row>
    <row r="154" spans="1:30">
      <c r="A154" s="675" t="s">
        <v>4341</v>
      </c>
      <c r="B154" s="951">
        <f t="shared" ref="B154:M154" si="155">+B135*B116/1000</f>
        <v>2.2517040662061731</v>
      </c>
      <c r="C154" s="951">
        <f t="shared" si="155"/>
        <v>34.999855160160187</v>
      </c>
      <c r="D154" s="951">
        <f t="shared" si="155"/>
        <v>1.5871811095477741</v>
      </c>
      <c r="E154" s="951">
        <f t="shared" si="155"/>
        <v>2.4987834692181052</v>
      </c>
      <c r="F154" s="951">
        <f t="shared" si="155"/>
        <v>1.8902415627420968</v>
      </c>
      <c r="G154" s="951">
        <f t="shared" si="155"/>
        <v>1.349268027364517</v>
      </c>
      <c r="H154" s="951">
        <f t="shared" si="155"/>
        <v>32.513473333284793</v>
      </c>
      <c r="I154" s="951">
        <f t="shared" si="155"/>
        <v>0.79949864433538653</v>
      </c>
      <c r="J154" s="951">
        <f t="shared" si="155"/>
        <v>1.1914329934955374</v>
      </c>
      <c r="K154" s="951">
        <f t="shared" si="155"/>
        <v>2.3999892495957358</v>
      </c>
      <c r="L154" s="951">
        <f t="shared" si="155"/>
        <v>0.55609329204343516</v>
      </c>
      <c r="M154" s="951">
        <f t="shared" si="155"/>
        <v>2.043606000455219</v>
      </c>
      <c r="N154" s="8"/>
      <c r="O154" s="951">
        <f t="shared" ref="O154:Z154" si="156">+O135*O116/1000</f>
        <v>2.2517040662061731</v>
      </c>
      <c r="P154" s="951">
        <f t="shared" si="156"/>
        <v>18.89140091547895</v>
      </c>
      <c r="Q154" s="951">
        <f t="shared" si="156"/>
        <v>12.705335292376652</v>
      </c>
      <c r="R154" s="951">
        <f t="shared" si="156"/>
        <v>9.9985430767223953</v>
      </c>
      <c r="S154" s="951">
        <f t="shared" si="156"/>
        <v>7.9988533930979964</v>
      </c>
      <c r="T154" s="951">
        <f t="shared" si="156"/>
        <v>6.7796950804314786</v>
      </c>
      <c r="U154" s="951">
        <f t="shared" si="156"/>
        <v>10.178571310733572</v>
      </c>
      <c r="V154" s="951">
        <f t="shared" si="156"/>
        <v>8.1565080804138912</v>
      </c>
      <c r="W154" s="951">
        <f t="shared" si="156"/>
        <v>7.489134904915054</v>
      </c>
      <c r="X154" s="951">
        <f t="shared" si="156"/>
        <v>6.9956304448180733</v>
      </c>
      <c r="Y154" s="951">
        <f t="shared" si="156"/>
        <v>6.307251187881028</v>
      </c>
      <c r="Z154" s="951">
        <f t="shared" si="156"/>
        <v>5.861097910236075</v>
      </c>
      <c r="AB154" s="1278" t="s">
        <v>658</v>
      </c>
      <c r="AC154" s="1213">
        <f>SUM(AC150:AC153)</f>
        <v>65</v>
      </c>
      <c r="AD154" s="1169">
        <f>+AC154/$AC$156</f>
        <v>0.74712643678160917</v>
      </c>
    </row>
    <row r="155" spans="1:30" ht="13.8" thickBot="1">
      <c r="A155" s="8">
        <v>2020</v>
      </c>
      <c r="B155" s="951">
        <f t="shared" ref="B155:M155" si="157">+B117*B136/1000</f>
        <v>0.48728871002777252</v>
      </c>
      <c r="C155" s="951">
        <f t="shared" si="157"/>
        <v>0.21483467600543785</v>
      </c>
      <c r="D155" s="951">
        <f t="shared" si="157"/>
        <v>11.134102075351192</v>
      </c>
      <c r="E155" s="951">
        <f t="shared" si="157"/>
        <v>0.18105767749849838</v>
      </c>
      <c r="F155" s="951">
        <f t="shared" si="157"/>
        <v>0.20702087848186418</v>
      </c>
      <c r="G155" s="951">
        <f t="shared" si="157"/>
        <v>3.3457216545211147E-3</v>
      </c>
      <c r="H155" s="951">
        <f t="shared" si="157"/>
        <v>0.15222196380406228</v>
      </c>
      <c r="I155" s="951">
        <f t="shared" si="157"/>
        <v>0.19269047055077562</v>
      </c>
      <c r="J155" s="951">
        <f t="shared" si="157"/>
        <v>0.11243508626456659</v>
      </c>
      <c r="K155" s="951">
        <f t="shared" si="157"/>
        <v>0.10383914977975636</v>
      </c>
      <c r="L155" s="951">
        <f t="shared" si="157"/>
        <v>0.1376465734413814</v>
      </c>
      <c r="M155" s="951">
        <f t="shared" si="157"/>
        <v>4.0435246337022238E-2</v>
      </c>
      <c r="N155" s="8"/>
      <c r="O155" s="951">
        <f t="shared" ref="O155:Z155" si="158">+O117*O136/1000</f>
        <v>0.48728871002777252</v>
      </c>
      <c r="P155" s="951">
        <f t="shared" si="158"/>
        <v>0.41951280477667258</v>
      </c>
      <c r="Q155" s="951">
        <f t="shared" si="158"/>
        <v>3.1601304993364665</v>
      </c>
      <c r="R155" s="951">
        <f t="shared" si="158"/>
        <v>2.5714088282048126</v>
      </c>
      <c r="S155" s="951">
        <f t="shared" si="158"/>
        <v>2.065747620854069</v>
      </c>
      <c r="T155" s="951">
        <f t="shared" si="158"/>
        <v>1.480462924509709</v>
      </c>
      <c r="U155" s="951">
        <f t="shared" si="158"/>
        <v>1.3127618352298507</v>
      </c>
      <c r="V155" s="951">
        <f t="shared" si="158"/>
        <v>1.1507618430603708</v>
      </c>
      <c r="W155" s="951">
        <f t="shared" si="158"/>
        <v>1.0302960674411332</v>
      </c>
      <c r="X155" s="951">
        <f t="shared" si="158"/>
        <v>0.93858279354507435</v>
      </c>
      <c r="Y155" s="951">
        <f t="shared" si="158"/>
        <v>0.83093282887842812</v>
      </c>
      <c r="Z155" s="951">
        <f t="shared" si="158"/>
        <v>0.72731790137026242</v>
      </c>
      <c r="AB155" s="944" t="s">
        <v>659</v>
      </c>
      <c r="AC155" s="945">
        <f>+AD76+AD77</f>
        <v>22</v>
      </c>
      <c r="AD155" s="1169">
        <f>+AC155/$AC$156</f>
        <v>0.25287356321839083</v>
      </c>
    </row>
    <row r="156" spans="1:30" ht="15.6">
      <c r="A156" s="1137">
        <v>2021</v>
      </c>
      <c r="B156" s="951">
        <f t="shared" ref="B156:M156" si="159">+B118*B137/1000</f>
        <v>8.767440156578668E-2</v>
      </c>
      <c r="C156" s="951">
        <f t="shared" si="159"/>
        <v>0.60318267711909923</v>
      </c>
      <c r="D156" s="951">
        <f t="shared" si="159"/>
        <v>0.18752926173539672</v>
      </c>
      <c r="E156" s="951">
        <f t="shared" si="159"/>
        <v>4.4029063796878376E-2</v>
      </c>
      <c r="F156" s="951">
        <f t="shared" si="159"/>
        <v>7.1357121046324648E-2</v>
      </c>
      <c r="G156" s="951">
        <f t="shared" si="159"/>
        <v>0.16543584626199057</v>
      </c>
      <c r="H156" s="951">
        <f t="shared" si="159"/>
        <v>0.32133498982612491</v>
      </c>
      <c r="I156" s="951">
        <f t="shared" si="159"/>
        <v>1.1806545722995601</v>
      </c>
      <c r="J156" s="951">
        <f t="shared" si="159"/>
        <v>0.1193044090576276</v>
      </c>
      <c r="K156" s="951">
        <f t="shared" si="159"/>
        <v>5.2249557884103508E-2</v>
      </c>
      <c r="L156" s="951">
        <f t="shared" si="159"/>
        <v>9.9791279645629616E-3</v>
      </c>
      <c r="M156" s="951">
        <f t="shared" si="159"/>
        <v>0.13974645180683945</v>
      </c>
      <c r="N156" s="8"/>
      <c r="O156" s="951">
        <f t="shared" ref="O156:Z156" si="160">+O118*O137/1000</f>
        <v>8.767440156578668E-2</v>
      </c>
      <c r="P156" s="951">
        <f t="shared" si="160"/>
        <v>0.35206473376569802</v>
      </c>
      <c r="Q156" s="951">
        <f t="shared" si="160"/>
        <v>0.29969831013416903</v>
      </c>
      <c r="R156" s="951">
        <f t="shared" si="160"/>
        <v>0.22649934057884488</v>
      </c>
      <c r="S156" s="951">
        <f t="shared" si="160"/>
        <v>0.18729729609807874</v>
      </c>
      <c r="T156" s="951">
        <f t="shared" si="160"/>
        <v>0.18686634463061039</v>
      </c>
      <c r="U156" s="951">
        <f t="shared" si="160"/>
        <v>0.21028129115290348</v>
      </c>
      <c r="V156" s="951">
        <f t="shared" si="160"/>
        <v>0.47090161913900314</v>
      </c>
      <c r="W156" s="951">
        <f t="shared" si="160"/>
        <v>0.43560996643932681</v>
      </c>
      <c r="X156" s="951">
        <f t="shared" si="160"/>
        <v>0.40038965692919504</v>
      </c>
      <c r="Y156" s="951">
        <f t="shared" si="160"/>
        <v>0.3508146705721456</v>
      </c>
      <c r="Z156" s="951">
        <f t="shared" si="160"/>
        <v>0.3433454444906382</v>
      </c>
      <c r="AC156" s="2297">
        <f>+AC154+AC155</f>
        <v>87</v>
      </c>
    </row>
    <row r="157" spans="1:30">
      <c r="A157" s="675" t="s">
        <v>555</v>
      </c>
      <c r="B157" s="951">
        <v>0.53</v>
      </c>
      <c r="C157" s="951">
        <v>0.53</v>
      </c>
      <c r="D157" s="951">
        <v>0.53</v>
      </c>
      <c r="E157" s="951">
        <v>0.53</v>
      </c>
      <c r="F157" s="951">
        <v>0.53</v>
      </c>
      <c r="G157" s="951">
        <v>0.53</v>
      </c>
      <c r="H157" s="951">
        <v>0.53</v>
      </c>
      <c r="I157" s="951">
        <v>0.53</v>
      </c>
      <c r="J157" s="951">
        <v>0.53</v>
      </c>
      <c r="K157" s="951">
        <v>0.53</v>
      </c>
      <c r="L157" s="951">
        <v>0.53</v>
      </c>
      <c r="M157" s="951">
        <v>0.53</v>
      </c>
      <c r="N157" s="8"/>
      <c r="O157" s="951"/>
      <c r="P157" s="951"/>
      <c r="Q157" s="951"/>
      <c r="R157" s="951"/>
      <c r="S157" s="951"/>
      <c r="T157" s="951"/>
      <c r="U157" s="951"/>
      <c r="V157" s="951"/>
      <c r="W157" s="951"/>
      <c r="X157" s="951"/>
      <c r="Y157" s="951"/>
      <c r="Z157" s="951"/>
    </row>
    <row r="158" spans="1:30">
      <c r="A158" s="675" t="s">
        <v>4340</v>
      </c>
      <c r="B158" s="951">
        <f t="shared" ref="B158:M158" si="161">+B139*B120/1000</f>
        <v>1.091474185565158</v>
      </c>
      <c r="C158" s="951">
        <f t="shared" si="161"/>
        <v>0.52508962297911654</v>
      </c>
      <c r="D158" s="951">
        <f t="shared" si="161"/>
        <v>20.330513840120549</v>
      </c>
      <c r="E158" s="951">
        <f t="shared" si="161"/>
        <v>0.10157757614837665</v>
      </c>
      <c r="F158" s="951">
        <f t="shared" si="161"/>
        <v>1.0037475896951453</v>
      </c>
      <c r="G158" s="951">
        <f t="shared" si="161"/>
        <v>5.1048386872628942E-2</v>
      </c>
      <c r="H158" s="951">
        <f t="shared" si="161"/>
        <v>1.0090708232667887</v>
      </c>
      <c r="I158" s="951">
        <f t="shared" si="161"/>
        <v>1.0105246822821092</v>
      </c>
      <c r="J158" s="951">
        <f t="shared" si="161"/>
        <v>0.67356379775655906</v>
      </c>
      <c r="K158" s="951">
        <f t="shared" si="161"/>
        <v>0.65149996676775657</v>
      </c>
      <c r="L158" s="951">
        <f t="shared" si="161"/>
        <v>1.0956452483865808</v>
      </c>
      <c r="M158" s="951">
        <f t="shared" si="161"/>
        <v>1.1544673195967623</v>
      </c>
      <c r="N158" s="8"/>
      <c r="O158" s="951">
        <f t="shared" ref="O158:Z158" si="162">+O139*O120/1000</f>
        <v>1.091474185565158</v>
      </c>
      <c r="P158" s="951">
        <f t="shared" si="162"/>
        <v>0.86140130640527801</v>
      </c>
      <c r="Q158" s="951">
        <f t="shared" si="162"/>
        <v>5.2582060776290538</v>
      </c>
      <c r="R158" s="951">
        <f t="shared" si="162"/>
        <v>3.5943562445042305</v>
      </c>
      <c r="S158" s="951">
        <f t="shared" si="162"/>
        <v>3.0937652859768399</v>
      </c>
      <c r="T158" s="951">
        <f t="shared" si="162"/>
        <v>2.3582080447364135</v>
      </c>
      <c r="U158" s="951">
        <f t="shared" si="162"/>
        <v>2.2934793082427727</v>
      </c>
      <c r="V158" s="951">
        <f t="shared" si="162"/>
        <v>2.0745923032971603</v>
      </c>
      <c r="W158" s="951">
        <f t="shared" si="162"/>
        <v>1.9086928251539934</v>
      </c>
      <c r="X158" s="951">
        <f t="shared" si="162"/>
        <v>1.8202865966841975</v>
      </c>
      <c r="Y158" s="951">
        <f t="shared" si="162"/>
        <v>1.7546694877190983</v>
      </c>
      <c r="Z158" s="951">
        <f t="shared" si="162"/>
        <v>1.7190985691915788</v>
      </c>
    </row>
    <row r="159" spans="1:30">
      <c r="A159" s="675" t="s">
        <v>4490</v>
      </c>
      <c r="B159" s="1859">
        <v>20.760573655557796</v>
      </c>
      <c r="C159" s="1859">
        <v>0.2955666245245841</v>
      </c>
      <c r="D159" s="1859">
        <v>0.44573063254554901</v>
      </c>
      <c r="E159" s="1859">
        <v>0.13679719470912799</v>
      </c>
      <c r="F159" s="1859">
        <v>0.18263402600231585</v>
      </c>
      <c r="G159" s="1859">
        <v>0.39238607600936132</v>
      </c>
      <c r="H159" s="1859">
        <v>1.2502856153213329</v>
      </c>
      <c r="I159" s="1859">
        <v>0.52906144521635035</v>
      </c>
      <c r="J159" s="1859">
        <v>0.51261693256444696</v>
      </c>
      <c r="K159" s="1859">
        <v>1.2029142330715843</v>
      </c>
      <c r="L159" s="1859">
        <v>0.17380565273540252</v>
      </c>
      <c r="M159" s="1859">
        <v>0.15019619281572591</v>
      </c>
      <c r="N159" s="1859"/>
      <c r="O159" s="1859">
        <v>20.760573655557796</v>
      </c>
      <c r="P159" s="1859">
        <v>8.0106970327667799</v>
      </c>
      <c r="Q159" s="1859">
        <v>5.535000339502937</v>
      </c>
      <c r="R159" s="1859">
        <v>3.7550306690838671</v>
      </c>
      <c r="S159" s="1859">
        <v>3.1357095972440057</v>
      </c>
      <c r="T159" s="1859">
        <v>2.6752768894532402</v>
      </c>
      <c r="U159" s="1859">
        <v>2.5156974749505849</v>
      </c>
      <c r="V159" s="1859">
        <v>2.2670984967245453</v>
      </c>
      <c r="W159" s="1859">
        <v>2.0570843392034033</v>
      </c>
      <c r="X159" s="1859">
        <v>2.037929872265078</v>
      </c>
      <c r="Y159" s="1859">
        <v>1.8706213896979786</v>
      </c>
      <c r="Z159" s="1859">
        <v>1.711057291821791</v>
      </c>
    </row>
    <row r="160" spans="1:30">
      <c r="A160" s="675" t="s">
        <v>5177</v>
      </c>
      <c r="B160" s="1859">
        <v>20.760573655557796</v>
      </c>
      <c r="C160" s="1859">
        <v>0.2955666245245841</v>
      </c>
      <c r="D160" s="1859">
        <v>0.44573063254554901</v>
      </c>
      <c r="E160" s="1859">
        <v>0.13679719470912799</v>
      </c>
      <c r="F160" s="1859">
        <v>0.18263402600231585</v>
      </c>
      <c r="G160" s="1859">
        <v>0.39238607600936132</v>
      </c>
      <c r="H160" s="1859">
        <v>1.2502856153213329</v>
      </c>
      <c r="I160" s="1859">
        <v>0.52906144521635035</v>
      </c>
      <c r="J160" s="1859">
        <v>0.51261693256444696</v>
      </c>
      <c r="K160" s="1859">
        <v>1.2029142330715843</v>
      </c>
      <c r="L160" s="1859">
        <v>0.17380565273540252</v>
      </c>
      <c r="M160" s="1859">
        <v>0.15019619281572591</v>
      </c>
      <c r="N160" s="1859"/>
      <c r="O160" s="1859">
        <v>20.760573655557796</v>
      </c>
      <c r="P160" s="1859">
        <v>8.0106970327667799</v>
      </c>
      <c r="Q160" s="1859">
        <v>5.535000339502937</v>
      </c>
      <c r="R160" s="1859">
        <v>3.7550306690838671</v>
      </c>
      <c r="S160" s="1859">
        <v>3.1357095972440057</v>
      </c>
      <c r="T160" s="1859">
        <v>2.6752768894532402</v>
      </c>
      <c r="U160" s="1859">
        <v>2.5156974749505849</v>
      </c>
      <c r="V160" s="1859">
        <v>2.2670984967245453</v>
      </c>
      <c r="W160" s="1859">
        <v>2.0570843392034033</v>
      </c>
      <c r="X160" s="1859">
        <v>2.037929872265078</v>
      </c>
      <c r="Y160" s="1859">
        <v>1.8706213896979786</v>
      </c>
      <c r="Z160" s="1859">
        <v>1.711057291821791</v>
      </c>
    </row>
    <row r="161" spans="1:34">
      <c r="A161" s="1137" t="s">
        <v>5726</v>
      </c>
      <c r="B161" s="951">
        <f t="shared" ref="B161:M161" si="163">+B142*B123/1000</f>
        <v>0.1817142017060572</v>
      </c>
      <c r="C161" s="951">
        <f t="shared" si="163"/>
        <v>0.56666656118473491</v>
      </c>
      <c r="D161" s="951">
        <f t="shared" si="163"/>
        <v>0.15634889995862999</v>
      </c>
      <c r="E161" s="951">
        <f t="shared" si="163"/>
        <v>3.1265033234281717E-2</v>
      </c>
      <c r="F161" s="951">
        <f t="shared" si="163"/>
        <v>6.5686092245425959E-2</v>
      </c>
      <c r="G161" s="951">
        <f t="shared" si="163"/>
        <v>0.11942829527731159</v>
      </c>
      <c r="H161" s="951">
        <f t="shared" si="163"/>
        <v>0.35700736528988353</v>
      </c>
      <c r="I161" s="951">
        <f t="shared" si="163"/>
        <v>3.4122730570790085</v>
      </c>
      <c r="J161" s="951">
        <f t="shared" si="163"/>
        <v>0.26774450756726859</v>
      </c>
      <c r="K161" s="951">
        <f t="shared" si="163"/>
        <v>6.9702779076532592E-2</v>
      </c>
      <c r="L161" s="951">
        <f t="shared" si="163"/>
        <v>8.531794053914192E-2</v>
      </c>
      <c r="M161" s="951">
        <f t="shared" si="163"/>
        <v>0.19246844573483349</v>
      </c>
      <c r="N161" s="8"/>
      <c r="O161" s="951">
        <f t="shared" ref="O161:Z161" si="164">+O142*O123/1000</f>
        <v>0.1817142017060572</v>
      </c>
      <c r="P161" s="951">
        <f t="shared" si="164"/>
        <v>0.36203095929233892</v>
      </c>
      <c r="Q161" s="951">
        <f t="shared" si="164"/>
        <v>0.29135994094916667</v>
      </c>
      <c r="R161" s="951">
        <f t="shared" si="164"/>
        <v>0.20944552830850216</v>
      </c>
      <c r="S161" s="951">
        <f t="shared" si="164"/>
        <v>0.17294767539693739</v>
      </c>
      <c r="T161" s="951">
        <f t="shared" si="164"/>
        <v>0.16424047602598846</v>
      </c>
      <c r="U161" s="951">
        <f t="shared" si="164"/>
        <v>0.18730511293988561</v>
      </c>
      <c r="V161" s="951">
        <f t="shared" si="164"/>
        <v>0.62900473213682428</v>
      </c>
      <c r="W161" s="951">
        <f t="shared" si="164"/>
        <v>0.59100171742779428</v>
      </c>
      <c r="X161" s="951">
        <f t="shared" si="164"/>
        <v>0.53884819989087041</v>
      </c>
      <c r="Y161" s="951">
        <f t="shared" si="164"/>
        <v>0.50454930005122522</v>
      </c>
      <c r="Z161" s="951">
        <f t="shared" si="164"/>
        <v>0.47944167089764034</v>
      </c>
      <c r="AC161" t="s">
        <v>5894</v>
      </c>
      <c r="AD161" t="s">
        <v>5895</v>
      </c>
    </row>
    <row r="162" spans="1:34">
      <c r="A162" s="675" t="s">
        <v>4339</v>
      </c>
      <c r="B162" s="951">
        <f>+B143*B124/1000</f>
        <v>0.30939999999999995</v>
      </c>
      <c r="C162" s="951">
        <f t="shared" ref="C162:M162" si="165">+C143*C124/1000</f>
        <v>0.30939999999999995</v>
      </c>
      <c r="D162" s="951">
        <f t="shared" si="165"/>
        <v>0.30939999999999995</v>
      </c>
      <c r="E162" s="951">
        <f t="shared" si="165"/>
        <v>0.30939999999999995</v>
      </c>
      <c r="F162" s="951">
        <f t="shared" si="165"/>
        <v>0.30939999999999995</v>
      </c>
      <c r="G162" s="951">
        <f t="shared" si="165"/>
        <v>0.30939999999999995</v>
      </c>
      <c r="H162" s="951">
        <f t="shared" si="165"/>
        <v>0.30939999999999995</v>
      </c>
      <c r="I162" s="951">
        <f t="shared" si="165"/>
        <v>0.30939999999999995</v>
      </c>
      <c r="J162" s="951">
        <f t="shared" si="165"/>
        <v>0.30939999999999995</v>
      </c>
      <c r="K162" s="951">
        <f t="shared" si="165"/>
        <v>0.30939999999999995</v>
      </c>
      <c r="L162" s="951">
        <f t="shared" si="165"/>
        <v>0.30939999999999995</v>
      </c>
      <c r="M162" s="951">
        <f t="shared" si="165"/>
        <v>0.30939999999999995</v>
      </c>
      <c r="N162" s="8"/>
      <c r="O162" s="951"/>
      <c r="P162" s="951"/>
      <c r="Q162" s="951"/>
      <c r="R162" s="951"/>
      <c r="S162" s="951"/>
      <c r="T162" s="951"/>
      <c r="U162" s="951"/>
      <c r="V162" s="951"/>
      <c r="W162" s="951"/>
      <c r="X162" s="951"/>
      <c r="Y162" s="951"/>
      <c r="Z162" s="951"/>
      <c r="AB162" s="1051">
        <v>44562</v>
      </c>
      <c r="AC162" s="8">
        <v>0</v>
      </c>
      <c r="AD162">
        <v>2</v>
      </c>
    </row>
    <row r="163" spans="1:34">
      <c r="N163" s="8"/>
      <c r="O163" s="904"/>
      <c r="P163" s="904"/>
      <c r="Q163" s="904"/>
      <c r="R163" s="904"/>
      <c r="S163" s="904"/>
      <c r="T163" s="904"/>
      <c r="U163" s="904"/>
      <c r="V163" s="904"/>
      <c r="W163" s="904"/>
      <c r="X163" s="904"/>
      <c r="Y163" s="904"/>
      <c r="Z163" s="904"/>
      <c r="AB163" s="1051">
        <v>44593</v>
      </c>
      <c r="AC163" s="8">
        <v>0</v>
      </c>
      <c r="AD163">
        <v>1</v>
      </c>
    </row>
    <row r="164" spans="1:34">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904"/>
      <c r="Z164" s="904"/>
      <c r="AB164" s="1051">
        <v>44621</v>
      </c>
      <c r="AC164" s="8">
        <v>0</v>
      </c>
      <c r="AD164">
        <v>2</v>
      </c>
    </row>
    <row r="165" spans="1:34" ht="16.5" customHeight="1">
      <c r="A165" s="675"/>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904"/>
      <c r="Z165" s="904"/>
      <c r="AB165" s="1051">
        <v>44652</v>
      </c>
      <c r="AC165" s="8">
        <v>2</v>
      </c>
      <c r="AD165">
        <v>2</v>
      </c>
    </row>
    <row r="166" spans="1:34">
      <c r="A166" s="675"/>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571"/>
      <c r="Z166" s="571"/>
      <c r="AB166" s="1051">
        <v>44682</v>
      </c>
      <c r="AC166" s="8">
        <v>0</v>
      </c>
      <c r="AD166">
        <v>1</v>
      </c>
      <c r="AG166" s="859"/>
      <c r="AH166" s="859"/>
    </row>
    <row r="167" spans="1:34">
      <c r="A167" s="675"/>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B167" s="1051">
        <v>44713</v>
      </c>
      <c r="AC167" s="8">
        <v>1</v>
      </c>
      <c r="AD167">
        <v>2</v>
      </c>
      <c r="AF167" s="859"/>
      <c r="AG167" s="2298" t="s">
        <v>6175</v>
      </c>
      <c r="AH167" s="859"/>
    </row>
    <row r="168" spans="1:34">
      <c r="A168" s="675"/>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259"/>
      <c r="Z168" s="259"/>
      <c r="AB168" s="1051">
        <v>44743</v>
      </c>
      <c r="AC168" s="8">
        <v>3</v>
      </c>
      <c r="AD168">
        <v>0</v>
      </c>
      <c r="AF168" s="137" t="s">
        <v>6172</v>
      </c>
      <c r="AG168" s="543">
        <v>3</v>
      </c>
      <c r="AH168" s="1183">
        <f>+AG168/$AG$177</f>
        <v>4.9180327868852458E-2</v>
      </c>
    </row>
    <row r="169" spans="1:34">
      <c r="B169" s="63"/>
      <c r="C169" s="63"/>
      <c r="D169" s="63"/>
      <c r="E169" s="63"/>
      <c r="F169" s="63"/>
      <c r="G169" s="63"/>
      <c r="H169" s="63"/>
      <c r="I169" s="63"/>
      <c r="J169" s="63"/>
      <c r="K169" s="63"/>
      <c r="L169" s="63"/>
      <c r="M169" s="63"/>
      <c r="N169" s="63"/>
      <c r="Q169" s="63"/>
      <c r="R169" s="63"/>
      <c r="S169" s="63"/>
      <c r="T169" s="63"/>
      <c r="U169" s="63"/>
      <c r="V169" s="63"/>
      <c r="W169" s="63"/>
      <c r="X169" s="63"/>
      <c r="AB169" s="1051">
        <v>44774</v>
      </c>
      <c r="AC169" s="8">
        <v>0</v>
      </c>
      <c r="AD169">
        <v>0</v>
      </c>
      <c r="AF169" s="137" t="s">
        <v>1975</v>
      </c>
      <c r="AG169" s="543">
        <v>4</v>
      </c>
      <c r="AH169" s="1183">
        <f t="shared" ref="AH169:AH176" si="166">+AG169/$AG$177</f>
        <v>6.5573770491803282E-2</v>
      </c>
    </row>
    <row r="170" spans="1:34">
      <c r="AB170" s="1051">
        <v>44805</v>
      </c>
      <c r="AC170" s="8">
        <v>0</v>
      </c>
      <c r="AD170">
        <v>0</v>
      </c>
      <c r="AF170" s="137" t="s">
        <v>6173</v>
      </c>
      <c r="AG170" s="543">
        <v>2</v>
      </c>
      <c r="AH170" s="1183">
        <f t="shared" si="166"/>
        <v>3.2786885245901641E-2</v>
      </c>
    </row>
    <row r="171" spans="1:34">
      <c r="AB171" s="1051">
        <v>44835</v>
      </c>
      <c r="AC171" s="8">
        <v>1</v>
      </c>
      <c r="AD171">
        <v>1</v>
      </c>
      <c r="AF171" s="137" t="s">
        <v>6174</v>
      </c>
      <c r="AG171" s="543">
        <v>5</v>
      </c>
      <c r="AH171" s="1183">
        <f t="shared" si="166"/>
        <v>8.1967213114754092E-2</v>
      </c>
    </row>
    <row r="172" spans="1:34">
      <c r="AB172" s="1051">
        <v>44866</v>
      </c>
      <c r="AC172" s="8">
        <v>3</v>
      </c>
      <c r="AD172">
        <v>1</v>
      </c>
      <c r="AF172" s="1033" t="s">
        <v>6176</v>
      </c>
      <c r="AG172" s="543">
        <v>6</v>
      </c>
      <c r="AH172" s="1183">
        <f t="shared" si="166"/>
        <v>9.8360655737704916E-2</v>
      </c>
    </row>
    <row r="173" spans="1:34">
      <c r="AB173" s="1051">
        <v>44896</v>
      </c>
      <c r="AC173" s="8">
        <v>1</v>
      </c>
      <c r="AD173">
        <v>0</v>
      </c>
      <c r="AF173" s="1033" t="s">
        <v>6177</v>
      </c>
      <c r="AG173" s="543">
        <v>7</v>
      </c>
      <c r="AH173" s="1183">
        <f t="shared" si="166"/>
        <v>0.11475409836065574</v>
      </c>
    </row>
    <row r="174" spans="1:34">
      <c r="AB174" s="1051">
        <v>44927</v>
      </c>
      <c r="AC174" s="8">
        <v>3</v>
      </c>
      <c r="AD174">
        <v>4</v>
      </c>
      <c r="AF174" s="1033" t="s">
        <v>6178</v>
      </c>
      <c r="AG174" s="543">
        <v>1</v>
      </c>
      <c r="AH174" s="1183">
        <f t="shared" si="166"/>
        <v>1.6393442622950821E-2</v>
      </c>
    </row>
    <row r="175" spans="1:34">
      <c r="AB175" s="1051">
        <v>44958</v>
      </c>
      <c r="AC175" s="8">
        <v>6</v>
      </c>
      <c r="AD175">
        <v>4</v>
      </c>
      <c r="AF175" s="1033" t="s">
        <v>6179</v>
      </c>
      <c r="AG175" s="543">
        <v>1</v>
      </c>
      <c r="AH175" s="1183">
        <f t="shared" si="166"/>
        <v>1.6393442622950821E-2</v>
      </c>
    </row>
    <row r="176" spans="1:34" ht="39.6">
      <c r="AB176" s="1051">
        <v>44986</v>
      </c>
      <c r="AC176" s="8">
        <v>0</v>
      </c>
      <c r="AD176">
        <v>2</v>
      </c>
      <c r="AF176" s="1319" t="s">
        <v>6180</v>
      </c>
      <c r="AG176" s="862">
        <f>61-AG168-AG169-AG170-AG171-AG172-AG173-AG174-AG175</f>
        <v>32</v>
      </c>
      <c r="AH176" s="1183">
        <f t="shared" si="166"/>
        <v>0.52459016393442626</v>
      </c>
    </row>
    <row r="177" spans="15:34" ht="15.6">
      <c r="AB177" s="1051">
        <v>45017</v>
      </c>
      <c r="AC177" s="8">
        <v>1</v>
      </c>
      <c r="AD177">
        <v>1</v>
      </c>
      <c r="AF177" s="859"/>
      <c r="AG177" s="2299">
        <f>SUM(AG168:AG176)</f>
        <v>61</v>
      </c>
      <c r="AH177" s="859"/>
    </row>
    <row r="178" spans="15:34">
      <c r="AB178" s="1051">
        <v>45047</v>
      </c>
      <c r="AC178" s="8">
        <v>2</v>
      </c>
      <c r="AD178">
        <v>1</v>
      </c>
      <c r="AF178" s="859"/>
      <c r="AG178" s="859"/>
    </row>
    <row r="179" spans="15:34">
      <c r="AB179" s="1051">
        <v>45078</v>
      </c>
      <c r="AC179" s="8">
        <v>0</v>
      </c>
      <c r="AD179">
        <v>1</v>
      </c>
      <c r="AF179" s="859"/>
      <c r="AG179" s="859"/>
    </row>
    <row r="180" spans="15:34">
      <c r="AB180" s="1051">
        <v>45108</v>
      </c>
      <c r="AC180" s="8">
        <v>0</v>
      </c>
      <c r="AD180">
        <v>1</v>
      </c>
      <c r="AF180" s="859"/>
      <c r="AG180" s="859"/>
    </row>
    <row r="181" spans="15:34">
      <c r="AB181" s="1051">
        <v>45139</v>
      </c>
      <c r="AC181" s="8">
        <v>1</v>
      </c>
      <c r="AD181">
        <v>0</v>
      </c>
      <c r="AF181" s="859"/>
      <c r="AG181" s="859"/>
    </row>
    <row r="182" spans="15:34">
      <c r="AB182" s="1051"/>
    </row>
    <row r="183" spans="15:34">
      <c r="O183"/>
      <c r="AB183" s="1051"/>
    </row>
    <row r="184" spans="15:34">
      <c r="AB184" s="1051"/>
    </row>
    <row r="185" spans="15:34">
      <c r="AB185" s="1051"/>
    </row>
    <row r="186" spans="15:34" ht="12.75" customHeight="1">
      <c r="AB186" s="1051"/>
    </row>
    <row r="187" spans="15:34">
      <c r="AB187" s="1051"/>
    </row>
    <row r="188" spans="15:34">
      <c r="AB188" s="1051"/>
    </row>
    <row r="189" spans="15:34">
      <c r="AB189" s="1051"/>
    </row>
    <row r="190" spans="15:34">
      <c r="AB190" s="1051"/>
    </row>
    <row r="191" spans="15:34">
      <c r="AB191" s="1051"/>
    </row>
    <row r="192" spans="15:34">
      <c r="AB192" s="1051"/>
    </row>
    <row r="193" spans="28:41">
      <c r="AB193" s="1051"/>
    </row>
    <row r="194" spans="28:41">
      <c r="AB194" s="1051"/>
    </row>
    <row r="195" spans="28:41">
      <c r="AB195" s="1051"/>
    </row>
    <row r="196" spans="28:41">
      <c r="AB196" s="1051"/>
    </row>
    <row r="197" spans="28:41">
      <c r="AB197" s="1051"/>
    </row>
    <row r="198" spans="28:41">
      <c r="AB198" s="1051"/>
    </row>
    <row r="199" spans="28:41">
      <c r="AB199" s="1051"/>
    </row>
    <row r="200" spans="28:41">
      <c r="AB200" s="1051"/>
    </row>
    <row r="201" spans="28:41">
      <c r="AB201" s="1051"/>
    </row>
    <row r="202" spans="28:41">
      <c r="AB202" s="1051"/>
    </row>
    <row r="203" spans="28:41">
      <c r="AB203" s="1051"/>
    </row>
    <row r="204" spans="28:41">
      <c r="AB204" s="1051"/>
    </row>
    <row r="205" spans="28:41">
      <c r="AB205" s="1051"/>
    </row>
    <row r="206" spans="28:41">
      <c r="AB206" s="1051"/>
    </row>
    <row r="208" spans="28:41">
      <c r="AF208" s="3251" t="s">
        <v>264</v>
      </c>
      <c r="AG208" s="3251"/>
      <c r="AH208" s="3251"/>
      <c r="AI208" s="3251"/>
      <c r="AJ208" s="3251"/>
      <c r="AK208" s="3251" t="s">
        <v>265</v>
      </c>
      <c r="AL208" s="3251"/>
      <c r="AM208" s="3251"/>
      <c r="AN208" s="3251"/>
      <c r="AO208" s="3251"/>
    </row>
    <row r="209" spans="31:41">
      <c r="AF209" t="s">
        <v>1955</v>
      </c>
      <c r="AG209" t="s">
        <v>1956</v>
      </c>
      <c r="AH209" t="s">
        <v>1957</v>
      </c>
      <c r="AI209" t="s">
        <v>891</v>
      </c>
      <c r="AJ209" t="s">
        <v>892</v>
      </c>
      <c r="AK209" t="s">
        <v>1955</v>
      </c>
      <c r="AL209" t="s">
        <v>1956</v>
      </c>
      <c r="AM209" t="s">
        <v>1957</v>
      </c>
      <c r="AN209" s="8" t="s">
        <v>891</v>
      </c>
      <c r="AO209" t="s">
        <v>892</v>
      </c>
    </row>
    <row r="210" spans="31:41">
      <c r="AE210">
        <v>2014</v>
      </c>
      <c r="AF210" s="587">
        <v>18.100000000000001</v>
      </c>
      <c r="AG210" s="587">
        <v>6.8</v>
      </c>
      <c r="AH210" s="587">
        <v>27.8</v>
      </c>
      <c r="AI210" s="587">
        <v>52.6</v>
      </c>
      <c r="AJ210" s="587">
        <v>24</v>
      </c>
      <c r="AK210" s="357">
        <v>246</v>
      </c>
      <c r="AL210" s="357">
        <v>281</v>
      </c>
      <c r="AM210" s="357">
        <v>223</v>
      </c>
      <c r="AN210" s="63">
        <v>2993</v>
      </c>
      <c r="AO210" s="357">
        <v>2433</v>
      </c>
    </row>
    <row r="211" spans="31:41">
      <c r="AE211">
        <v>2015</v>
      </c>
      <c r="AF211" s="587">
        <v>15.4</v>
      </c>
      <c r="AG211" s="587">
        <v>0</v>
      </c>
      <c r="AH211" s="587">
        <v>14.1</v>
      </c>
      <c r="AI211" s="587">
        <v>45</v>
      </c>
      <c r="AJ211" s="587">
        <v>11.4</v>
      </c>
      <c r="AK211" s="357">
        <v>564</v>
      </c>
      <c r="AL211" s="357">
        <v>0</v>
      </c>
      <c r="AM211" s="357">
        <v>225</v>
      </c>
      <c r="AN211" s="63">
        <v>45</v>
      </c>
      <c r="AO211" s="357">
        <v>1933</v>
      </c>
    </row>
    <row r="212" spans="31:41">
      <c r="AE212">
        <v>2016</v>
      </c>
      <c r="AF212" s="587" t="e">
        <f>+INDICADORES!S46</f>
        <v>#DIV/0!</v>
      </c>
      <c r="AG212" s="587" t="e">
        <f>+INDICADORES!S47</f>
        <v>#DIV/0!</v>
      </c>
      <c r="AH212" s="587" t="e">
        <f>+INDICADORES!S48</f>
        <v>#DIV/0!</v>
      </c>
      <c r="AI212" s="587">
        <f>+INDICADORES!S50</f>
        <v>0</v>
      </c>
      <c r="AJ212" s="587">
        <f>+INDICADORES!S51</f>
        <v>0</v>
      </c>
      <c r="AK212" s="357" t="e">
        <f>+INDICADORES!T46</f>
        <v>#DIV/0!</v>
      </c>
      <c r="AL212" s="357" t="e">
        <f>+INDICADORES!T47</f>
        <v>#DIV/0!</v>
      </c>
      <c r="AM212" s="357" t="e">
        <f>+INDICADORES!T48</f>
        <v>#DIV/0!</v>
      </c>
      <c r="AN212" s="63">
        <f>+INDICADORES!T50</f>
        <v>0</v>
      </c>
      <c r="AO212" s="357">
        <f>+INDICADORES!T51</f>
        <v>0</v>
      </c>
    </row>
    <row r="264" spans="7:15">
      <c r="M264" s="8"/>
      <c r="N264" s="8"/>
    </row>
    <row r="265" spans="7:15">
      <c r="G265" s="242"/>
      <c r="H265" s="242"/>
      <c r="I265" s="242"/>
      <c r="J265" s="242"/>
      <c r="K265" s="242"/>
      <c r="L265" s="242"/>
      <c r="M265" s="242"/>
      <c r="N265" s="358"/>
      <c r="O265" s="358"/>
    </row>
    <row r="266" spans="7:15">
      <c r="M266" s="242"/>
      <c r="N266" s="571"/>
      <c r="O266" s="571"/>
    </row>
    <row r="267" spans="7:15">
      <c r="M267" s="242"/>
      <c r="O267"/>
    </row>
    <row r="268" spans="7:15">
      <c r="O268"/>
    </row>
    <row r="273" spans="1:1">
      <c r="A273" s="675"/>
    </row>
  </sheetData>
  <sortState xmlns:xlrd2="http://schemas.microsoft.com/office/spreadsheetml/2017/richdata2" ref="AJ105:AK111">
    <sortCondition descending="1" ref="AK105:AK111"/>
  </sortState>
  <mergeCells count="13">
    <mergeCell ref="AK208:AO208"/>
    <mergeCell ref="AC69:AH69"/>
    <mergeCell ref="AI69:AJ69"/>
    <mergeCell ref="B1:M1"/>
    <mergeCell ref="O1:Z1"/>
    <mergeCell ref="AE2:AG2"/>
    <mergeCell ref="AF208:AJ208"/>
    <mergeCell ref="AH2:AJ2"/>
    <mergeCell ref="AU2:AW2"/>
    <mergeCell ref="AR2:AT2"/>
    <mergeCell ref="AK2:AN2"/>
    <mergeCell ref="AO2:AQ2"/>
    <mergeCell ref="AX2:AZ2"/>
  </mergeCells>
  <phoneticPr fontId="94" type="noConversion"/>
  <pageMargins left="0.7" right="0.7" top="0.75" bottom="0.75" header="0.3" footer="0.3"/>
  <pageSetup orientation="portrait" r:id="rId1"/>
  <customProperties>
    <customPr name="_pios_id" r:id="rId2"/>
  </customProperties>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0">
    <tabColor theme="4" tint="0.39997558519241921"/>
    <outlinePr summaryBelow="0"/>
    <pageSetUpPr fitToPage="1"/>
  </sheetPr>
  <dimension ref="A1:BT123"/>
  <sheetViews>
    <sheetView showGridLines="0" tabSelected="1" zoomScale="80" zoomScaleNormal="80" workbookViewId="0">
      <pane xSplit="1" ySplit="4" topLeftCell="B12" activePane="bottomRight" state="frozen"/>
      <selection pane="topRight" activeCell="B1" sqref="B1"/>
      <selection pane="bottomLeft" activeCell="A5" sqref="A5"/>
      <selection pane="bottomRight" activeCell="B26" sqref="B26"/>
    </sheetView>
  </sheetViews>
  <sheetFormatPr baseColWidth="10" defaultColWidth="11.44140625" defaultRowHeight="13.2"/>
  <cols>
    <col min="1" max="1" width="2.44140625" style="836" customWidth="1"/>
    <col min="2" max="2" width="24.77734375" customWidth="1"/>
    <col min="3" max="3" width="12.44140625" style="677" hidden="1" customWidth="1"/>
    <col min="4" max="4" width="8.5546875" style="678" hidden="1" customWidth="1"/>
    <col min="5" max="5" width="12" style="678" hidden="1" customWidth="1"/>
    <col min="6" max="6" width="9.44140625" style="678" hidden="1" customWidth="1"/>
    <col min="7" max="7" width="8" style="678" hidden="1" customWidth="1"/>
    <col min="8" max="8" width="11.5546875" style="446" hidden="1" customWidth="1"/>
    <col min="9" max="9" width="11.21875" style="445" hidden="1" customWidth="1"/>
    <col min="10" max="10" width="8.5546875" style="446" hidden="1" customWidth="1"/>
    <col min="11" max="11" width="10.44140625" style="12" hidden="1" customWidth="1"/>
    <col min="12" max="12" width="1.44140625" style="12" hidden="1" customWidth="1"/>
    <col min="13" max="13" width="11.77734375" style="573" customWidth="1"/>
    <col min="14" max="14" width="12.5546875" style="573" customWidth="1"/>
    <col min="15" max="15" width="9.77734375" style="678" customWidth="1"/>
    <col min="16" max="16" width="11.21875" style="377" customWidth="1"/>
    <col min="17" max="17" width="8" style="678" hidden="1" customWidth="1"/>
    <col min="18" max="18" width="8.44140625" style="678" hidden="1" customWidth="1"/>
    <col min="19" max="19" width="10.44140625" style="552" customWidth="1"/>
    <col min="20" max="20" width="9.77734375" style="447" customWidth="1"/>
    <col min="21" max="21" width="8.5546875" style="446" hidden="1" customWidth="1"/>
    <col min="22" max="22" width="10" style="446" hidden="1" customWidth="1"/>
    <col min="23" max="23" width="1.77734375" style="446" customWidth="1"/>
    <col min="24" max="24" width="11.77734375" style="678" hidden="1" customWidth="1"/>
    <col min="25" max="25" width="9.44140625" style="446" hidden="1" customWidth="1"/>
    <col min="26" max="26" width="10.44140625" style="446" hidden="1" customWidth="1"/>
    <col min="27" max="27" width="11" style="446" hidden="1" customWidth="1"/>
    <col min="28" max="29" width="8" style="446" hidden="1" customWidth="1"/>
    <col min="30" max="30" width="1.21875" style="446" hidden="1" customWidth="1"/>
    <col min="31" max="31" width="7.21875" style="372" hidden="1" customWidth="1"/>
    <col min="32" max="32" width="8.77734375" style="372" hidden="1" customWidth="1"/>
    <col min="33" max="33" width="6.44140625" style="12" customWidth="1"/>
    <col min="34" max="34" width="5.44140625" style="12" customWidth="1"/>
    <col min="35" max="35" width="6.44140625" style="12" hidden="1" customWidth="1"/>
    <col min="36" max="36" width="5.5546875" style="12" customWidth="1"/>
    <col min="37" max="37" width="5.77734375" style="12" customWidth="1"/>
    <col min="38" max="38" width="5.5546875" style="12" customWidth="1"/>
    <col min="39" max="39" width="5.5546875" style="12" hidden="1" customWidth="1"/>
    <col min="40" max="40" width="6.44140625" style="12" customWidth="1"/>
    <col min="41" max="41" width="7.44140625" hidden="1" customWidth="1"/>
    <col min="42" max="42" width="6.5546875" hidden="1" customWidth="1"/>
    <col min="43" max="43" width="6.44140625" hidden="1" customWidth="1"/>
    <col min="44" max="44" width="5.5546875" hidden="1" customWidth="1"/>
    <col min="46" max="46" width="19.109375" style="8" customWidth="1"/>
    <col min="65" max="65" width="14.77734375" customWidth="1"/>
    <col min="71" max="71" width="17.5546875" customWidth="1"/>
  </cols>
  <sheetData>
    <row r="1" spans="1:50" ht="13.8" thickBot="1">
      <c r="A1" s="1465"/>
      <c r="B1" s="1314"/>
      <c r="C1" s="1079"/>
      <c r="D1" s="1081"/>
      <c r="E1" s="1076"/>
      <c r="F1" s="1076"/>
      <c r="G1" s="1076"/>
      <c r="H1" s="1073"/>
      <c r="I1" s="1080"/>
      <c r="J1" s="1073"/>
      <c r="K1" s="1081"/>
      <c r="L1" s="1081"/>
      <c r="M1" s="1232" t="s">
        <v>2307</v>
      </c>
      <c r="N1" s="1667"/>
      <c r="O1" s="1076"/>
      <c r="P1" s="1074"/>
      <c r="Q1" s="1076"/>
      <c r="R1" s="1076"/>
      <c r="S1" s="1082"/>
      <c r="T1" s="1083"/>
      <c r="U1" s="1084"/>
      <c r="V1" s="1084"/>
      <c r="W1" s="1073"/>
      <c r="X1" s="859"/>
      <c r="Y1" s="859"/>
      <c r="Z1" s="1085" t="s">
        <v>646</v>
      </c>
      <c r="AA1" s="1077">
        <v>11</v>
      </c>
      <c r="AB1" s="1073"/>
      <c r="AC1" s="1073"/>
      <c r="AD1" s="1073"/>
      <c r="AE1" s="1078"/>
      <c r="AF1" s="1078"/>
      <c r="AG1" s="1081"/>
      <c r="AH1" s="1081"/>
      <c r="AI1" s="1081"/>
      <c r="AJ1" s="1081"/>
      <c r="AK1" s="1081"/>
      <c r="AL1" s="1081"/>
      <c r="AM1" s="1081"/>
      <c r="AN1" s="1081"/>
      <c r="AO1" s="859"/>
      <c r="AP1" s="859"/>
      <c r="AQ1" s="859"/>
      <c r="AR1" s="859"/>
      <c r="AS1" s="859"/>
    </row>
    <row r="2" spans="1:50" ht="25.2" customHeight="1" thickBot="1">
      <c r="A2" s="1465"/>
      <c r="B2" s="3089" t="s">
        <v>6340</v>
      </c>
      <c r="C2" s="3090"/>
      <c r="D2" s="3090"/>
      <c r="E2" s="3090"/>
      <c r="F2" s="3090"/>
      <c r="G2" s="3090"/>
      <c r="H2" s="3090"/>
      <c r="I2" s="3090"/>
      <c r="J2" s="3090"/>
      <c r="K2" s="3090"/>
      <c r="L2" s="3090"/>
      <c r="M2" s="3090"/>
      <c r="N2" s="3090"/>
      <c r="O2" s="3090"/>
      <c r="P2" s="3090"/>
      <c r="Q2" s="3090"/>
      <c r="R2" s="3090"/>
      <c r="S2" s="3090"/>
      <c r="T2" s="3090"/>
      <c r="U2" s="3090"/>
      <c r="V2" s="3091"/>
      <c r="W2" s="2303"/>
      <c r="X2" s="3118" t="s">
        <v>6338</v>
      </c>
      <c r="Y2" s="3119"/>
      <c r="Z2" s="3119"/>
      <c r="AA2" s="3119"/>
      <c r="AB2" s="3119"/>
      <c r="AC2" s="3120"/>
      <c r="AD2" s="2304"/>
      <c r="AE2" s="2305" t="s">
        <v>1940</v>
      </c>
      <c r="AF2" s="2306" t="s">
        <v>5784</v>
      </c>
      <c r="AG2" s="3126" t="s">
        <v>264</v>
      </c>
      <c r="AH2" s="3127"/>
      <c r="AI2" s="3127"/>
      <c r="AJ2" s="3128"/>
      <c r="AK2" s="3129" t="s">
        <v>442</v>
      </c>
      <c r="AL2" s="3130"/>
      <c r="AM2" s="3130"/>
      <c r="AN2" s="3131"/>
      <c r="AO2" s="3110" t="s">
        <v>584</v>
      </c>
      <c r="AP2" s="3111"/>
      <c r="AQ2" s="3111"/>
      <c r="AR2" s="3112"/>
      <c r="AS2" s="859"/>
    </row>
    <row r="3" spans="1:50" ht="12.75" customHeight="1">
      <c r="A3" s="1465"/>
      <c r="B3" s="3092" t="s">
        <v>80</v>
      </c>
      <c r="C3" s="3100" t="s">
        <v>67</v>
      </c>
      <c r="D3" s="3096" t="s">
        <v>68</v>
      </c>
      <c r="E3" s="3096" t="s">
        <v>2915</v>
      </c>
      <c r="F3" s="3094" t="s">
        <v>70</v>
      </c>
      <c r="G3" s="3096" t="s">
        <v>71</v>
      </c>
      <c r="H3" s="3098" t="s">
        <v>656</v>
      </c>
      <c r="I3" s="3100" t="s">
        <v>72</v>
      </c>
      <c r="J3" s="3102" t="s">
        <v>73</v>
      </c>
      <c r="K3" s="3104" t="s">
        <v>647</v>
      </c>
      <c r="L3" s="2307"/>
      <c r="M3" s="3106" t="s">
        <v>67</v>
      </c>
      <c r="N3" s="3106" t="s">
        <v>4644</v>
      </c>
      <c r="O3" s="3094" t="s">
        <v>68</v>
      </c>
      <c r="P3" s="3094" t="s">
        <v>2915</v>
      </c>
      <c r="Q3" s="3108" t="s">
        <v>70</v>
      </c>
      <c r="R3" s="3094" t="s">
        <v>71</v>
      </c>
      <c r="S3" s="3113" t="s">
        <v>656</v>
      </c>
      <c r="T3" s="3106" t="s">
        <v>72</v>
      </c>
      <c r="U3" s="3115" t="s">
        <v>73</v>
      </c>
      <c r="V3" s="3132" t="s">
        <v>647</v>
      </c>
      <c r="W3" s="2303"/>
      <c r="X3" s="3116" t="s">
        <v>5575</v>
      </c>
      <c r="Y3" s="2308"/>
      <c r="Z3" s="3117" t="s">
        <v>656</v>
      </c>
      <c r="AA3" s="3121" t="s">
        <v>72</v>
      </c>
      <c r="AB3" s="3124" t="s">
        <v>647</v>
      </c>
      <c r="AC3" s="3122" t="s">
        <v>73</v>
      </c>
      <c r="AD3" s="2309"/>
      <c r="AE3" s="3136" t="s">
        <v>5783</v>
      </c>
      <c r="AF3" s="3136" t="s">
        <v>5783</v>
      </c>
      <c r="AG3" s="3136" t="s">
        <v>5783</v>
      </c>
      <c r="AH3" s="3134">
        <v>2023</v>
      </c>
      <c r="AI3" s="3134"/>
      <c r="AJ3" s="3135"/>
      <c r="AK3" s="3136" t="s">
        <v>5783</v>
      </c>
      <c r="AL3" s="3134">
        <v>2023</v>
      </c>
      <c r="AM3" s="3134"/>
      <c r="AN3" s="3135"/>
      <c r="AO3" s="3138" t="s">
        <v>5226</v>
      </c>
      <c r="AP3" s="3141">
        <v>2022</v>
      </c>
      <c r="AQ3" s="3141"/>
      <c r="AR3" s="3142"/>
      <c r="AS3" s="859"/>
      <c r="AT3" s="1137"/>
    </row>
    <row r="4" spans="1:50" ht="15" customHeight="1" thickBot="1">
      <c r="A4" s="1465"/>
      <c r="B4" s="3093"/>
      <c r="C4" s="3101"/>
      <c r="D4" s="3097"/>
      <c r="E4" s="3097"/>
      <c r="F4" s="3095"/>
      <c r="G4" s="3097"/>
      <c r="H4" s="3099"/>
      <c r="I4" s="3101"/>
      <c r="J4" s="3103"/>
      <c r="K4" s="3105"/>
      <c r="L4" s="2310"/>
      <c r="M4" s="3107"/>
      <c r="N4" s="3107"/>
      <c r="O4" s="3095"/>
      <c r="P4" s="3095"/>
      <c r="Q4" s="3109"/>
      <c r="R4" s="3095"/>
      <c r="S4" s="3114"/>
      <c r="T4" s="3107"/>
      <c r="U4" s="3103"/>
      <c r="V4" s="3133"/>
      <c r="W4" s="2311"/>
      <c r="X4" s="3116"/>
      <c r="Y4" s="2312" t="s">
        <v>336</v>
      </c>
      <c r="Z4" s="3117"/>
      <c r="AA4" s="3121"/>
      <c r="AB4" s="3125"/>
      <c r="AC4" s="3123"/>
      <c r="AD4" s="2309"/>
      <c r="AE4" s="3137"/>
      <c r="AF4" s="3137"/>
      <c r="AG4" s="3137"/>
      <c r="AH4" s="2313" t="s">
        <v>439</v>
      </c>
      <c r="AI4" s="2314" t="s">
        <v>440</v>
      </c>
      <c r="AJ4" s="2315" t="s">
        <v>441</v>
      </c>
      <c r="AK4" s="3137"/>
      <c r="AL4" s="2313" t="s">
        <v>439</v>
      </c>
      <c r="AM4" s="2314" t="s">
        <v>440</v>
      </c>
      <c r="AN4" s="2315" t="s">
        <v>441</v>
      </c>
      <c r="AO4" s="3139"/>
      <c r="AP4" s="1224" t="s">
        <v>439</v>
      </c>
      <c r="AQ4" s="1225" t="s">
        <v>440</v>
      </c>
      <c r="AR4" s="1226" t="s">
        <v>441</v>
      </c>
      <c r="AS4" s="859"/>
      <c r="AT4" s="2283"/>
    </row>
    <row r="5" spans="1:50" ht="13.5" customHeight="1" thickBot="1">
      <c r="A5" s="1465"/>
      <c r="B5" s="2316" t="s">
        <v>592</v>
      </c>
      <c r="C5" s="2317">
        <f>+'HORAS HOMBRE'!B76</f>
        <v>107782.31</v>
      </c>
      <c r="D5" s="2317">
        <f>+'DIAS PERDIDOS'!B76</f>
        <v>47</v>
      </c>
      <c r="E5" s="2318">
        <f>+'ACCIDENTES INCAPACITANTES'!B76</f>
        <v>5</v>
      </c>
      <c r="F5" s="2318"/>
      <c r="G5" s="2319">
        <f>+'INCIDENTE MATERIAL'!B76</f>
        <v>2</v>
      </c>
      <c r="H5" s="2320">
        <f>+(E5+F5)*1000000/C5</f>
        <v>46.389801814416487</v>
      </c>
      <c r="I5" s="2321">
        <f>+D5*1000000/C5</f>
        <v>436.06413705551495</v>
      </c>
      <c r="J5" s="2322">
        <f>+(G5+F5+E5)*200000/C5</f>
        <v>12.989144508036617</v>
      </c>
      <c r="K5" s="2323">
        <f>+H5*I5/1000</f>
        <v>20.228928896379887</v>
      </c>
      <c r="L5" s="2324"/>
      <c r="M5" s="2317">
        <f>+'HORAS HOMBRE'!$B$75</f>
        <v>30715.96</v>
      </c>
      <c r="N5" s="2325">
        <f>+'INCIDENTE MATERIAL'!B75</f>
        <v>0</v>
      </c>
      <c r="O5" s="2326">
        <f>+'DIAS PERDIDOS'!B75</f>
        <v>0</v>
      </c>
      <c r="P5" s="2326">
        <f>+'ACCIDENTES INCAPACITANTES'!B75</f>
        <v>0</v>
      </c>
      <c r="Q5" s="2318"/>
      <c r="R5" s="2319">
        <f>+'INCIDENTE MATERIAL'!B75</f>
        <v>0</v>
      </c>
      <c r="S5" s="2327">
        <f>+(P5+Q5)*1000000/M5</f>
        <v>0</v>
      </c>
      <c r="T5" s="2328">
        <f>+O5*1000000/M5</f>
        <v>0</v>
      </c>
      <c r="U5" s="2322">
        <f>+(R5+Q5+P5)*200000/M5</f>
        <v>0</v>
      </c>
      <c r="V5" s="2329">
        <f>+S5*T5/1000</f>
        <v>0</v>
      </c>
      <c r="W5" s="2330"/>
      <c r="X5" s="2331">
        <f>+M5/$AA$1*12</f>
        <v>33508.32</v>
      </c>
      <c r="Y5" s="2332">
        <f>+P5*1000000/X5</f>
        <v>0</v>
      </c>
      <c r="Z5" s="2333">
        <f>+(P5+Q5)*1000000/X5</f>
        <v>0</v>
      </c>
      <c r="AA5" s="2334">
        <f>+O5*1000000/X5</f>
        <v>0</v>
      </c>
      <c r="AB5" s="2335">
        <f>+Z5*AA5/1000</f>
        <v>0</v>
      </c>
      <c r="AC5" s="2336">
        <f>+(P5+Q5+R5)*200000/X5</f>
        <v>0</v>
      </c>
      <c r="AD5" s="2337"/>
      <c r="AE5" s="2338">
        <v>1</v>
      </c>
      <c r="AF5" s="2338">
        <v>11</v>
      </c>
      <c r="AG5" s="2339">
        <v>15.111860256396888</v>
      </c>
      <c r="AH5" s="2340">
        <v>0</v>
      </c>
      <c r="AI5" s="2340">
        <v>0</v>
      </c>
      <c r="AJ5" s="2341">
        <v>0</v>
      </c>
      <c r="AK5" s="2342">
        <v>166.23046282036577</v>
      </c>
      <c r="AL5" s="2343">
        <v>0</v>
      </c>
      <c r="AM5" s="2343">
        <v>0</v>
      </c>
      <c r="AN5" s="2344">
        <v>0</v>
      </c>
      <c r="AO5" s="852">
        <v>667.28303196073443</v>
      </c>
      <c r="AP5" s="843">
        <f t="shared" ref="AP5:AP25" si="0">+AL5*AH5/1000</f>
        <v>0</v>
      </c>
      <c r="AQ5" s="843">
        <f t="shared" ref="AQ5:AQ25" si="1">+AM5*AI5/1000</f>
        <v>0</v>
      </c>
      <c r="AR5" s="843">
        <f t="shared" ref="AR5:AR25" si="2">+AN5*AJ5/1000</f>
        <v>0</v>
      </c>
      <c r="AS5" s="942"/>
      <c r="AT5" s="3046" t="s">
        <v>6395</v>
      </c>
    </row>
    <row r="6" spans="1:50" ht="13.8">
      <c r="A6" s="1465"/>
      <c r="B6" s="2345" t="s">
        <v>586</v>
      </c>
      <c r="C6" s="2346">
        <f>+'HORAS HOMBRE'!C76</f>
        <v>833893.38266666676</v>
      </c>
      <c r="D6" s="2346">
        <f>+'DIAS PERDIDOS'!C76</f>
        <v>54</v>
      </c>
      <c r="E6" s="2347">
        <f>+'ACCIDENTES INCAPACITANTES'!C76</f>
        <v>5</v>
      </c>
      <c r="F6" s="2318"/>
      <c r="G6" s="2319">
        <f>+'INCIDENTE MATERIAL'!C76</f>
        <v>5</v>
      </c>
      <c r="H6" s="2333">
        <f>+(E6+F6)*1000000/C6</f>
        <v>5.9959703529613648</v>
      </c>
      <c r="I6" s="2348">
        <f>+D6*1000000/C6</f>
        <v>64.756479811982729</v>
      </c>
      <c r="J6" s="2333">
        <f>+(G6+F6+E6)*200000/C6</f>
        <v>2.3983881411845456</v>
      </c>
      <c r="K6" s="2333">
        <f>+H6*I6/1000</f>
        <v>0.38827793311478959</v>
      </c>
      <c r="L6" s="2324"/>
      <c r="M6" s="2346">
        <f>+'HORAS HOMBRE'!C$75</f>
        <v>413429.00399999996</v>
      </c>
      <c r="N6" s="2349">
        <f>+'INCIDENTE MATERIAL'!C75</f>
        <v>1</v>
      </c>
      <c r="O6" s="2350">
        <f>+'DIAS PERDIDOS'!C75</f>
        <v>1189</v>
      </c>
      <c r="P6" s="2350">
        <f>+'ACCIDENTES INCAPACITANTES'!C75</f>
        <v>4</v>
      </c>
      <c r="Q6" s="2318"/>
      <c r="R6" s="2319">
        <f>+'INCIDENTE MATERIAL'!C75</f>
        <v>1</v>
      </c>
      <c r="S6" s="2351">
        <f>+(P6+Q6)*1000000/M6</f>
        <v>9.6751799252091182</v>
      </c>
      <c r="T6" s="2352">
        <f>+O6*1000000/M6</f>
        <v>2875.9472327684107</v>
      </c>
      <c r="U6" s="2353">
        <f>+(R6+Q6+P6)*200000/M6</f>
        <v>2.4187949813022795</v>
      </c>
      <c r="V6" s="2354">
        <f>+S6*T6/1000</f>
        <v>27.825306932441642</v>
      </c>
      <c r="W6" s="2330"/>
      <c r="X6" s="2331">
        <f>+M6/$AA$1*12</f>
        <v>451013.45890909084</v>
      </c>
      <c r="Y6" s="2355">
        <f>+P6*1000000/X6</f>
        <v>8.868914931441692</v>
      </c>
      <c r="Z6" s="2351">
        <f>+(P6+Q6)*1000000/X6</f>
        <v>8.868914931441692</v>
      </c>
      <c r="AA6" s="2356">
        <f>+O6*1000000/X6</f>
        <v>2636.284963371043</v>
      </c>
      <c r="AB6" s="2357">
        <f>+Z6*AA6/1000</f>
        <v>23.380987075176659</v>
      </c>
      <c r="AC6" s="2358">
        <f>+(P6+Q6+R6)*200000/X6</f>
        <v>2.217228732860423</v>
      </c>
      <c r="AD6" s="2359"/>
      <c r="AE6" s="2360">
        <v>3</v>
      </c>
      <c r="AF6" s="2360">
        <v>27</v>
      </c>
      <c r="AG6" s="2361">
        <v>7.2503522462799648</v>
      </c>
      <c r="AH6" s="2362">
        <v>7.2289156626506026</v>
      </c>
      <c r="AI6" s="2362">
        <v>4.8192771084337354</v>
      </c>
      <c r="AJ6" s="2363">
        <v>2.4096385542168677</v>
      </c>
      <c r="AK6" s="2364">
        <v>65.253170216519692</v>
      </c>
      <c r="AL6" s="2365">
        <v>108.43373493975903</v>
      </c>
      <c r="AM6" s="2365">
        <v>72.289156626506028</v>
      </c>
      <c r="AN6" s="2366">
        <v>48</v>
      </c>
      <c r="AO6" s="853">
        <v>0.29283290765136544</v>
      </c>
      <c r="AP6" s="844">
        <f t="shared" si="0"/>
        <v>0.78385832486572793</v>
      </c>
      <c r="AQ6" s="844">
        <f t="shared" si="1"/>
        <v>0.34838147771810141</v>
      </c>
      <c r="AR6" s="845">
        <f t="shared" si="2"/>
        <v>0.11566265060240966</v>
      </c>
      <c r="AS6" s="942"/>
      <c r="AT6" s="3047">
        <f>M5+M6+M7+M9+M10+M12+M13+M15+M16+M17+M18+M19+M20+M21+M25</f>
        <v>15932895.251916673</v>
      </c>
    </row>
    <row r="7" spans="1:50" ht="14.4" thickBot="1">
      <c r="A7" s="1465"/>
      <c r="B7" s="2367" t="s">
        <v>593</v>
      </c>
      <c r="C7" s="2368">
        <f>+'HORAS HOMBRE'!D76</f>
        <v>1045116.6699999999</v>
      </c>
      <c r="D7" s="2368">
        <f>+'DIAS PERDIDOS'!D76</f>
        <v>117</v>
      </c>
      <c r="E7" s="2369">
        <f>+'ACCIDENTES INCAPACITANTES'!D76</f>
        <v>10</v>
      </c>
      <c r="F7" s="2369"/>
      <c r="G7" s="2370">
        <f>+'INCIDENTE MATERIAL'!D76</f>
        <v>3</v>
      </c>
      <c r="H7" s="2371">
        <f>+(E7+F7)*1000000/C7</f>
        <v>9.5683097275637188</v>
      </c>
      <c r="I7" s="2372">
        <f>+D7*1000000/C7</f>
        <v>111.9492238124955</v>
      </c>
      <c r="J7" s="2373">
        <f>+(G7+F7+E7)*200000/C7</f>
        <v>2.4877605291665668</v>
      </c>
      <c r="K7" s="2373">
        <f>+H7*I7/1000</f>
        <v>1.0711648471983088</v>
      </c>
      <c r="L7" s="2324"/>
      <c r="M7" s="2368">
        <f>+'HORAS HOMBRE'!D$75</f>
        <v>542910.15</v>
      </c>
      <c r="N7" s="2374">
        <f>+'INCIDENTE MATERIAL'!D75</f>
        <v>2</v>
      </c>
      <c r="O7" s="2375">
        <f>+'DIAS PERDIDOS'!D75</f>
        <v>178</v>
      </c>
      <c r="P7" s="2376">
        <f>+'ACCIDENTES INCAPACITANTES'!D75</f>
        <v>11</v>
      </c>
      <c r="Q7" s="2369"/>
      <c r="R7" s="2370">
        <f>+'INCIDENTE MATERIAL'!D75</f>
        <v>2</v>
      </c>
      <c r="S7" s="2377">
        <f>+(P7+Q7)*1000000/M7</f>
        <v>20.261179497196729</v>
      </c>
      <c r="T7" s="2378">
        <f>+O7*1000000/M7</f>
        <v>327.86272277281978</v>
      </c>
      <c r="U7" s="2379">
        <f>+(R7+Q7+P7)*200000/M7</f>
        <v>4.7890060629737716</v>
      </c>
      <c r="V7" s="2380">
        <f>+S7*T7/1000</f>
        <v>6.6428854765397514</v>
      </c>
      <c r="W7" s="2381"/>
      <c r="X7" s="2382">
        <f>+M7/$AA$1*12</f>
        <v>592265.61818181816</v>
      </c>
      <c r="Y7" s="2383">
        <f>+P7*1000000/X7</f>
        <v>18.572747872430334</v>
      </c>
      <c r="Z7" s="2377">
        <f>+(P7+Q7)*1000000/X7</f>
        <v>18.572747872430334</v>
      </c>
      <c r="AA7" s="2384">
        <f>+O7*1000000/X7</f>
        <v>300.54082920841813</v>
      </c>
      <c r="AB7" s="2385">
        <f>+Z7*AA7/1000</f>
        <v>5.5818690462590954</v>
      </c>
      <c r="AC7" s="2386">
        <f>+(P7+Q7+R7)*200000/X7</f>
        <v>4.3899222243926248</v>
      </c>
      <c r="AD7" s="2387"/>
      <c r="AE7" s="2388">
        <v>3</v>
      </c>
      <c r="AF7" s="2388">
        <v>47</v>
      </c>
      <c r="AG7" s="2389">
        <v>5.8421338588657301</v>
      </c>
      <c r="AH7" s="2390">
        <v>7.766990291262136</v>
      </c>
      <c r="AI7" s="2390">
        <v>5.825242718446602</v>
      </c>
      <c r="AJ7" s="2391">
        <v>3.883495145631068</v>
      </c>
      <c r="AK7" s="2392">
        <v>91.526763788896446</v>
      </c>
      <c r="AL7" s="2393">
        <v>116.50485436893204</v>
      </c>
      <c r="AM7" s="2393">
        <v>87.378640776699029</v>
      </c>
      <c r="AN7" s="2394">
        <v>58.252427184466022</v>
      </c>
      <c r="AO7" s="854">
        <v>1.429338295092424</v>
      </c>
      <c r="AP7" s="846">
        <f t="shared" si="0"/>
        <v>0.90489207276840422</v>
      </c>
      <c r="AQ7" s="846">
        <f t="shared" si="1"/>
        <v>0.50900179093222742</v>
      </c>
      <c r="AR7" s="847">
        <f t="shared" si="2"/>
        <v>0.22622301819210106</v>
      </c>
      <c r="AS7" s="1482"/>
      <c r="AT7" s="262"/>
    </row>
    <row r="8" spans="1:50" ht="13.95" hidden="1" customHeight="1" thickBot="1">
      <c r="A8" s="1465"/>
      <c r="B8" s="2316" t="s">
        <v>84</v>
      </c>
      <c r="C8" s="2317"/>
      <c r="D8" s="2317"/>
      <c r="E8" s="2317"/>
      <c r="F8" s="2317"/>
      <c r="G8" s="2317"/>
      <c r="H8" s="2395"/>
      <c r="I8" s="2396"/>
      <c r="J8" s="2322"/>
      <c r="K8" s="2323"/>
      <c r="L8" s="2324">
        <v>11446.459999999997</v>
      </c>
      <c r="M8" s="2317"/>
      <c r="N8" s="2325"/>
      <c r="O8" s="2326"/>
      <c r="P8" s="2326"/>
      <c r="Q8" s="2317"/>
      <c r="R8" s="2317"/>
      <c r="S8" s="2373"/>
      <c r="T8" s="2397"/>
      <c r="U8" s="2398"/>
      <c r="V8" s="2380"/>
      <c r="W8" s="2330"/>
      <c r="X8" s="2399"/>
      <c r="Y8" s="2336"/>
      <c r="Z8" s="2395"/>
      <c r="AA8" s="2400"/>
      <c r="AB8" s="2401"/>
      <c r="AC8" s="2336"/>
      <c r="AD8" s="2337"/>
      <c r="AE8" s="2402"/>
      <c r="AF8" s="2402"/>
      <c r="AG8" s="2403"/>
      <c r="AH8" s="2404"/>
      <c r="AI8" s="2404"/>
      <c r="AJ8" s="2405"/>
      <c r="AK8" s="2342"/>
      <c r="AL8" s="2343"/>
      <c r="AM8" s="2343"/>
      <c r="AN8" s="2344"/>
      <c r="AO8" s="852"/>
      <c r="AP8" s="848">
        <f t="shared" si="0"/>
        <v>0</v>
      </c>
      <c r="AQ8" s="848">
        <f t="shared" si="1"/>
        <v>0</v>
      </c>
      <c r="AR8" s="849">
        <f t="shared" si="2"/>
        <v>0</v>
      </c>
      <c r="AS8" s="859"/>
      <c r="AT8" s="262"/>
    </row>
    <row r="9" spans="1:50" ht="14.4" thickBot="1">
      <c r="A9" s="1465"/>
      <c r="B9" s="2367" t="s">
        <v>2546</v>
      </c>
      <c r="C9" s="2368">
        <f>+'HORAS HOMBRE'!E76</f>
        <v>1909569.3756666672</v>
      </c>
      <c r="D9" s="2368">
        <f>+'DIAS PERDIDOS'!E76</f>
        <v>121</v>
      </c>
      <c r="E9" s="2368">
        <f>+'ACCIDENTES INCAPACITANTES'!E76</f>
        <v>14</v>
      </c>
      <c r="F9" s="2368"/>
      <c r="G9" s="2368">
        <f>+'INCIDENTE MATERIAL'!F76</f>
        <v>0</v>
      </c>
      <c r="H9" s="2377">
        <f>+(E9+F9)*1000000/C9</f>
        <v>7.3314958746195495</v>
      </c>
      <c r="I9" s="2378">
        <f>+D9*1000000/C9</f>
        <v>63.365071487783254</v>
      </c>
      <c r="J9" s="2379">
        <f>+(G9+F9+E9)*200000/C9</f>
        <v>1.46629917492391</v>
      </c>
      <c r="K9" s="2406">
        <f>+H9*I9/1000</f>
        <v>0.4645607602076558</v>
      </c>
      <c r="L9" s="2407"/>
      <c r="M9" s="2368">
        <f>+'HORAS HOMBRE'!$E$75</f>
        <v>982913.28000000014</v>
      </c>
      <c r="N9" s="2374">
        <f>+'INCIDENTE MATERIAL'!E75</f>
        <v>1</v>
      </c>
      <c r="O9" s="2375">
        <f>+'DIAS PERDIDOS'!E75</f>
        <v>63</v>
      </c>
      <c r="P9" s="2375">
        <f>+'ACCIDENTES INCAPACITANTES'!E75</f>
        <v>11</v>
      </c>
      <c r="Q9" s="2368"/>
      <c r="R9" s="2368">
        <f>+'INCIDENTE MATERIAL'!E75</f>
        <v>1</v>
      </c>
      <c r="S9" s="2377">
        <f>+(P9+Q9)*1000000/M9</f>
        <v>11.19122126419942</v>
      </c>
      <c r="T9" s="2408">
        <f>+O9*1000000/M9</f>
        <v>64.095176331323955</v>
      </c>
      <c r="U9" s="2409">
        <f>+(R9+Q9+P9)*200000/M9</f>
        <v>2.4417210030980554</v>
      </c>
      <c r="V9" s="2410">
        <f>+S9*T9/1000</f>
        <v>0.71730330029172396</v>
      </c>
      <c r="W9" s="2381"/>
      <c r="X9" s="2331">
        <f>+M9/$AA$1*12</f>
        <v>1072269.0327272729</v>
      </c>
      <c r="Y9" s="2355">
        <f>+P9*1000000/X9</f>
        <v>10.258619492182801</v>
      </c>
      <c r="Z9" s="2351">
        <f>+(P9+Q9)*1000000/X9</f>
        <v>10.258619492182801</v>
      </c>
      <c r="AA9" s="2334">
        <f>+O9*1000000/X9</f>
        <v>58.753911637046954</v>
      </c>
      <c r="AB9" s="2411">
        <f>+Z9*AA9/1000</f>
        <v>0.60273402316179581</v>
      </c>
      <c r="AC9" s="2383">
        <f t="shared" ref="AC9:AC25" si="3">+(P9+Q9+R9)*200000/X9</f>
        <v>2.238244252839884</v>
      </c>
      <c r="AD9" s="2412"/>
      <c r="AE9" s="2388">
        <v>8</v>
      </c>
      <c r="AF9" s="2388">
        <v>80</v>
      </c>
      <c r="AG9" s="2389">
        <v>8.495527104979228</v>
      </c>
      <c r="AH9" s="2390">
        <v>8.4</v>
      </c>
      <c r="AI9" s="2390">
        <v>7.5</v>
      </c>
      <c r="AJ9" s="2391">
        <v>6.5</v>
      </c>
      <c r="AK9" s="2392">
        <v>84.955271049792287</v>
      </c>
      <c r="AL9" s="2393">
        <v>126</v>
      </c>
      <c r="AM9" s="2393">
        <v>112</v>
      </c>
      <c r="AN9" s="2394">
        <v>98</v>
      </c>
      <c r="AO9" s="854">
        <v>0.24947722504195166</v>
      </c>
      <c r="AP9" s="846">
        <f t="shared" si="0"/>
        <v>1.0584</v>
      </c>
      <c r="AQ9" s="846">
        <f t="shared" si="1"/>
        <v>0.84</v>
      </c>
      <c r="AR9" s="847">
        <f t="shared" si="2"/>
        <v>0.63700000000000001</v>
      </c>
      <c r="AS9" s="1482"/>
      <c r="AT9" s="262"/>
    </row>
    <row r="10" spans="1:50" ht="12.75" customHeight="1">
      <c r="A10" s="1465"/>
      <c r="B10" s="2413" t="s">
        <v>588</v>
      </c>
      <c r="C10" s="2317">
        <f>+'HORAS HOMBRE'!F76</f>
        <v>836131.86944444431</v>
      </c>
      <c r="D10" s="2317">
        <f>+'DIAS PERDIDOS'!F76</f>
        <v>44</v>
      </c>
      <c r="E10" s="2317">
        <f>+'ACCIDENTES INCAPACITANTES'!F76</f>
        <v>4</v>
      </c>
      <c r="F10" s="2317"/>
      <c r="G10" s="2317">
        <f>+'INCIDENTE MATERIAL'!F76</f>
        <v>0</v>
      </c>
      <c r="H10" s="2409">
        <f>+(E10+F10)*1000000/C10</f>
        <v>4.783934384246999</v>
      </c>
      <c r="I10" s="2414">
        <f>+D10*1000000/C10</f>
        <v>52.623278226716991</v>
      </c>
      <c r="J10" s="2415">
        <f>+(G10+F10+E10)*200000/C10</f>
        <v>0.95678687684939978</v>
      </c>
      <c r="K10" s="2416">
        <f>+H10*I10/1000</f>
        <v>0.25174631012058785</v>
      </c>
      <c r="L10" s="2324"/>
      <c r="M10" s="2317">
        <f>+'HORAS HOMBRE'!F75</f>
        <v>404746.61000000004</v>
      </c>
      <c r="N10" s="2325">
        <f>+'INCIDENTE MATERIAL'!F75</f>
        <v>0</v>
      </c>
      <c r="O10" s="2326">
        <f>+'DIAS PERDIDOS'!F75</f>
        <v>0</v>
      </c>
      <c r="P10" s="2326">
        <f>+'ACCIDENTES INCAPACITANTES'!F75</f>
        <v>0</v>
      </c>
      <c r="Q10" s="2317"/>
      <c r="R10" s="2317">
        <f>+'INCIDENTE MATERIAL'!G75</f>
        <v>0</v>
      </c>
      <c r="S10" s="2395">
        <f>+(P10+Q10)*1000000/M10</f>
        <v>0</v>
      </c>
      <c r="T10" s="2408">
        <f>+O10*1000000/M10</f>
        <v>0</v>
      </c>
      <c r="U10" s="2415">
        <f>+(R10+Q10+P10)*200000/M10</f>
        <v>0</v>
      </c>
      <c r="V10" s="2417">
        <f>+S10*T10/1000</f>
        <v>0</v>
      </c>
      <c r="W10" s="2418"/>
      <c r="X10" s="2331">
        <f>+M10/$AA$1*12</f>
        <v>441541.75636363646</v>
      </c>
      <c r="Y10" s="2355">
        <f>+P10*1000000/X10</f>
        <v>0</v>
      </c>
      <c r="Z10" s="2333">
        <f>+(P10+Q10)*1000000/X10</f>
        <v>0</v>
      </c>
      <c r="AA10" s="2334">
        <f>+O10*1000000/X10</f>
        <v>0</v>
      </c>
      <c r="AB10" s="2419">
        <f>+Z10*AA10/1000</f>
        <v>0</v>
      </c>
      <c r="AC10" s="2420">
        <f t="shared" si="3"/>
        <v>0</v>
      </c>
      <c r="AD10" s="2421"/>
      <c r="AE10" s="2338">
        <v>0</v>
      </c>
      <c r="AF10" s="2338">
        <v>0</v>
      </c>
      <c r="AG10" s="2339">
        <v>0</v>
      </c>
      <c r="AH10" s="2340">
        <v>4.7058823529411766</v>
      </c>
      <c r="AI10" s="2340">
        <v>2.3529411764705883</v>
      </c>
      <c r="AJ10" s="2341">
        <v>0</v>
      </c>
      <c r="AK10" s="2422">
        <v>0</v>
      </c>
      <c r="AL10" s="2423">
        <v>70.588235294117652</v>
      </c>
      <c r="AM10" s="2423">
        <v>47</v>
      </c>
      <c r="AN10" s="2424">
        <v>0</v>
      </c>
      <c r="AO10" s="1087">
        <v>1.1310044616144377</v>
      </c>
      <c r="AP10" s="850">
        <f t="shared" si="0"/>
        <v>0.33217993079584779</v>
      </c>
      <c r="AQ10" s="850">
        <f t="shared" si="1"/>
        <v>0.11058823529411765</v>
      </c>
      <c r="AR10" s="851">
        <f t="shared" si="2"/>
        <v>0</v>
      </c>
      <c r="AS10" s="942"/>
      <c r="AT10" s="262"/>
    </row>
    <row r="11" spans="1:50" ht="13.95" hidden="1" customHeight="1">
      <c r="A11" s="1465"/>
      <c r="B11" s="2367" t="s">
        <v>594</v>
      </c>
      <c r="C11" s="2368"/>
      <c r="D11" s="2368"/>
      <c r="E11" s="2368"/>
      <c r="F11" s="2368"/>
      <c r="G11" s="2368"/>
      <c r="H11" s="2373"/>
      <c r="I11" s="2397"/>
      <c r="J11" s="2379"/>
      <c r="K11" s="2425"/>
      <c r="L11" s="2324">
        <v>347061.46</v>
      </c>
      <c r="M11" s="2368"/>
      <c r="N11" s="2426"/>
      <c r="O11" s="2326"/>
      <c r="P11" s="2375"/>
      <c r="Q11" s="2368"/>
      <c r="R11" s="2368"/>
      <c r="S11" s="2373"/>
      <c r="T11" s="2427"/>
      <c r="U11" s="2379"/>
      <c r="V11" s="2380"/>
      <c r="W11" s="2381"/>
      <c r="X11" s="2331"/>
      <c r="Y11" s="2355"/>
      <c r="Z11" s="2333"/>
      <c r="AA11" s="2334"/>
      <c r="AB11" s="2428"/>
      <c r="AC11" s="2386" t="e">
        <f t="shared" si="3"/>
        <v>#DIV/0!</v>
      </c>
      <c r="AD11" s="2387"/>
      <c r="AE11" s="2388"/>
      <c r="AF11" s="2388"/>
      <c r="AG11" s="2389"/>
      <c r="AH11" s="2390"/>
      <c r="AI11" s="2390"/>
      <c r="AJ11" s="2391"/>
      <c r="AK11" s="2392"/>
      <c r="AL11" s="2393"/>
      <c r="AM11" s="2393"/>
      <c r="AN11" s="2394"/>
      <c r="AO11" s="854"/>
      <c r="AP11" s="846">
        <f t="shared" si="0"/>
        <v>0</v>
      </c>
      <c r="AQ11" s="846">
        <f t="shared" si="1"/>
        <v>0</v>
      </c>
      <c r="AR11" s="847">
        <f t="shared" si="2"/>
        <v>0</v>
      </c>
      <c r="AS11" s="859"/>
      <c r="AT11" s="1561"/>
    </row>
    <row r="12" spans="1:50" ht="13.8">
      <c r="A12" s="1466"/>
      <c r="B12" s="2316" t="s">
        <v>91</v>
      </c>
      <c r="C12" s="2317">
        <f>+'HORAS HOMBRE'!G76</f>
        <v>4456404.3296666676</v>
      </c>
      <c r="D12" s="2318">
        <f>+'DIAS PERDIDOS'!G76</f>
        <v>163</v>
      </c>
      <c r="E12" s="2318">
        <f>+'ACCIDENTES INCAPACITANTES'!G76</f>
        <v>15</v>
      </c>
      <c r="F12" s="2318"/>
      <c r="G12" s="2319">
        <f>+'INCIDENTE MATERIAL'!G76</f>
        <v>1</v>
      </c>
      <c r="H12" s="2320">
        <f t="shared" ref="H12:H21" si="4">+(E12+F12)*1000000/C12</f>
        <v>3.3659423360990175</v>
      </c>
      <c r="I12" s="2328">
        <f t="shared" ref="I12:I21" si="5">+D12*1000000/C12</f>
        <v>36.576573385609322</v>
      </c>
      <c r="J12" s="2322">
        <f t="shared" ref="J12:J21" si="6">+(G12+F12+E12)*200000/C12</f>
        <v>0.71806769836779039</v>
      </c>
      <c r="K12" s="2323">
        <f t="shared" ref="K12:K21" si="7">+H12*I12/1000</f>
        <v>0.12311463686805499</v>
      </c>
      <c r="L12" s="2429"/>
      <c r="M12" s="2317">
        <f>+'HORAS HOMBRE'!$G$75</f>
        <v>2207727.4699999997</v>
      </c>
      <c r="N12" s="2325">
        <f>+'INCIDENTE MATERIAL'!G75</f>
        <v>0</v>
      </c>
      <c r="O12" s="2326">
        <f>+'DIAS PERDIDOS'!G75</f>
        <v>69</v>
      </c>
      <c r="P12" s="2326">
        <f>+'ACCIDENTES INCAPACITANTES'!G75</f>
        <v>8</v>
      </c>
      <c r="Q12" s="2318"/>
      <c r="R12" s="2319">
        <f>+'INCIDENTE MATERIAL'!G75</f>
        <v>0</v>
      </c>
      <c r="S12" s="2320">
        <f t="shared" ref="S12:S21" si="8">+(P12+Q12)*1000000/M12</f>
        <v>3.6236356655017756</v>
      </c>
      <c r="T12" s="2348">
        <f t="shared" ref="T12:T21" si="9">+O12*1000000/M12</f>
        <v>31.253857614952814</v>
      </c>
      <c r="U12" s="2322">
        <f t="shared" ref="U12:U21" si="10">+(R12+Q12+P12)*200000/M12</f>
        <v>0.72472713310035508</v>
      </c>
      <c r="V12" s="2431">
        <f t="shared" ref="V12:V21" si="11">+S12*T12/1000</f>
        <v>0.11325259313805727</v>
      </c>
      <c r="W12" s="2330"/>
      <c r="X12" s="2331">
        <f t="shared" ref="X12:X24" si="12">+M12/$AA$1*12</f>
        <v>2408429.9672727268</v>
      </c>
      <c r="Y12" s="2355">
        <f t="shared" ref="Y12:Y25" si="13">+P12*1000000/X12</f>
        <v>3.3216660267099609</v>
      </c>
      <c r="Z12" s="3014">
        <f t="shared" ref="Z12:Z25" si="14">+(P12+Q12)*1000000/X12</f>
        <v>3.3216660267099609</v>
      </c>
      <c r="AA12" s="2334">
        <f t="shared" ref="AA12:AA25" si="15">+O12*1000000/X12</f>
        <v>28.649369480373412</v>
      </c>
      <c r="AB12" s="2433">
        <f t="shared" ref="AB12:AB25" si="16">+Z12*AA12/1000</f>
        <v>9.5163637289617575E-2</v>
      </c>
      <c r="AC12" s="2434">
        <f t="shared" si="3"/>
        <v>0.66433320534199225</v>
      </c>
      <c r="AD12" s="2359"/>
      <c r="AE12" s="2402">
        <v>5</v>
      </c>
      <c r="AF12" s="2402">
        <v>35</v>
      </c>
      <c r="AG12" s="2403">
        <v>2.221662363306669</v>
      </c>
      <c r="AH12" s="2404">
        <v>3.1111111111111112</v>
      </c>
      <c r="AI12" s="2404">
        <v>2.6666666666666665</v>
      </c>
      <c r="AJ12" s="2405">
        <v>2.2222222222222223</v>
      </c>
      <c r="AK12" s="2342">
        <v>15.551636543146683</v>
      </c>
      <c r="AL12" s="2343">
        <v>46.666666666666664</v>
      </c>
      <c r="AM12" s="2343">
        <v>40</v>
      </c>
      <c r="AN12" s="2344">
        <v>33.333333333333336</v>
      </c>
      <c r="AO12" s="852">
        <v>0.22749937165799</v>
      </c>
      <c r="AP12" s="848">
        <f t="shared" si="0"/>
        <v>0.14518518518518519</v>
      </c>
      <c r="AQ12" s="848">
        <f t="shared" si="1"/>
        <v>0.10666666666666666</v>
      </c>
      <c r="AR12" s="849">
        <f t="shared" si="2"/>
        <v>7.407407407407407E-2</v>
      </c>
      <c r="AS12" s="1482"/>
      <c r="AT12" s="2287"/>
    </row>
    <row r="13" spans="1:50" ht="13.8">
      <c r="A13" s="1466"/>
      <c r="B13" s="2345" t="s">
        <v>595</v>
      </c>
      <c r="C13" s="2346">
        <f>+'HORAS HOMBRE'!J76</f>
        <v>1293245.7300000002</v>
      </c>
      <c r="D13" s="2346">
        <f>+'DIAS PERDIDOS'!J76</f>
        <v>124</v>
      </c>
      <c r="E13" s="2318">
        <f>+'ACCIDENTES INCAPACITANTES'!J76</f>
        <v>3</v>
      </c>
      <c r="F13" s="2346"/>
      <c r="G13" s="2346">
        <f>+'INCIDENTE MATERIAL'!J76</f>
        <v>5</v>
      </c>
      <c r="H13" s="2351">
        <f t="shared" si="4"/>
        <v>2.3197447557008362</v>
      </c>
      <c r="I13" s="2348">
        <f t="shared" si="5"/>
        <v>95.882783235634562</v>
      </c>
      <c r="J13" s="2435">
        <f t="shared" si="6"/>
        <v>1.2371972030404459</v>
      </c>
      <c r="K13" s="2436">
        <f t="shared" si="7"/>
        <v>0.22242358357286332</v>
      </c>
      <c r="L13" s="2437"/>
      <c r="M13" s="2346">
        <f>+'HORAS HOMBRE'!$J$75</f>
        <v>711081.74</v>
      </c>
      <c r="N13" s="2349">
        <f>+'INCIDENTE MATERIAL'!J75</f>
        <v>0</v>
      </c>
      <c r="O13" s="2350">
        <f>+'DIAS PERDIDOS'!J75</f>
        <v>141</v>
      </c>
      <c r="P13" s="2326">
        <f>+'ACCIDENTES INCAPACITANTES'!J75</f>
        <v>4</v>
      </c>
      <c r="Q13" s="2346"/>
      <c r="R13" s="2346">
        <f>+'INCIDENTE MATERIAL'!J75</f>
        <v>0</v>
      </c>
      <c r="S13" s="2351">
        <f t="shared" si="8"/>
        <v>5.6252323396744801</v>
      </c>
      <c r="T13" s="2352">
        <f t="shared" si="9"/>
        <v>198.28943997352542</v>
      </c>
      <c r="U13" s="2435">
        <f t="shared" si="10"/>
        <v>1.1250464679348959</v>
      </c>
      <c r="V13" s="2438">
        <f t="shared" si="11"/>
        <v>1.1154241703550167</v>
      </c>
      <c r="W13" s="2330"/>
      <c r="X13" s="2331">
        <f t="shared" si="12"/>
        <v>775725.53454545455</v>
      </c>
      <c r="Y13" s="2355">
        <f t="shared" si="13"/>
        <v>5.1564629780349396</v>
      </c>
      <c r="Z13" s="2351">
        <f t="shared" si="14"/>
        <v>5.1564629780349396</v>
      </c>
      <c r="AA13" s="2356">
        <f t="shared" si="15"/>
        <v>181.76531997573161</v>
      </c>
      <c r="AB13" s="2439">
        <f t="shared" si="16"/>
        <v>0.9372661431455348</v>
      </c>
      <c r="AC13" s="2358">
        <f t="shared" si="3"/>
        <v>1.0312925956069878</v>
      </c>
      <c r="AD13" s="2359"/>
      <c r="AE13" s="2360">
        <v>1</v>
      </c>
      <c r="AF13" s="2360">
        <v>2</v>
      </c>
      <c r="AG13" s="2361">
        <v>1.6905370498099836</v>
      </c>
      <c r="AH13" s="2362">
        <v>2.9</v>
      </c>
      <c r="AI13" s="2362">
        <v>2.9</v>
      </c>
      <c r="AJ13" s="2363">
        <v>1.5</v>
      </c>
      <c r="AK13" s="2364">
        <v>3.3810740996199673</v>
      </c>
      <c r="AL13" s="2365">
        <v>87</v>
      </c>
      <c r="AM13" s="2365">
        <v>87</v>
      </c>
      <c r="AN13" s="2366">
        <v>44</v>
      </c>
      <c r="AO13" s="853">
        <v>0.49422704803551992</v>
      </c>
      <c r="AP13" s="844">
        <f t="shared" si="0"/>
        <v>0.25229999999999997</v>
      </c>
      <c r="AQ13" s="844">
        <f t="shared" si="1"/>
        <v>0.25229999999999997</v>
      </c>
      <c r="AR13" s="845">
        <f t="shared" si="2"/>
        <v>6.6000000000000003E-2</v>
      </c>
      <c r="AS13" s="942"/>
      <c r="AT13" s="262"/>
    </row>
    <row r="14" spans="1:50" ht="13.8">
      <c r="A14" s="1464" t="s">
        <v>380</v>
      </c>
      <c r="B14" s="2345" t="s">
        <v>1073</v>
      </c>
      <c r="C14" s="2346">
        <f>+'HORAS HOMBRE'!U76</f>
        <v>2526797.5</v>
      </c>
      <c r="D14" s="2347">
        <f>+'DIAS PERDIDOS'!U76</f>
        <v>102</v>
      </c>
      <c r="E14" s="2347">
        <f>+'ACCIDENTES INCAPACITANTES'!U76</f>
        <v>8</v>
      </c>
      <c r="F14" s="2347"/>
      <c r="G14" s="2440">
        <f>+'INCIDENTE MATERIAL'!T76</f>
        <v>3</v>
      </c>
      <c r="H14" s="2333">
        <f t="shared" si="4"/>
        <v>3.1660629710137043</v>
      </c>
      <c r="I14" s="2348">
        <f t="shared" si="5"/>
        <v>40.367302880424724</v>
      </c>
      <c r="J14" s="2435">
        <f t="shared" si="6"/>
        <v>0.87066731702876865</v>
      </c>
      <c r="K14" s="2436">
        <f t="shared" si="7"/>
        <v>0.12780542288940758</v>
      </c>
      <c r="L14" s="2429"/>
      <c r="M14" s="2346">
        <f>+'HORAS HOMBRE'!$U$75+'HH ALICORP'!N30</f>
        <v>1243867</v>
      </c>
      <c r="N14" s="2349">
        <f>+'INCIDENTE MATERIAL'!T75</f>
        <v>2</v>
      </c>
      <c r="O14" s="2350">
        <f>+'DIAS PERDIDOS'!U75</f>
        <v>95</v>
      </c>
      <c r="P14" s="2350">
        <f>+'ACCIDENTES INCAPACITANTES'!U75</f>
        <v>6</v>
      </c>
      <c r="Q14" s="2347"/>
      <c r="R14" s="2440">
        <f>+'INCIDENTE MATERIAL'!T75</f>
        <v>2</v>
      </c>
      <c r="S14" s="2351">
        <f t="shared" si="8"/>
        <v>4.8236668389787658</v>
      </c>
      <c r="T14" s="2352">
        <f t="shared" si="9"/>
        <v>76.374724950497125</v>
      </c>
      <c r="U14" s="2435">
        <f t="shared" si="10"/>
        <v>1.2863111570610042</v>
      </c>
      <c r="V14" s="2441">
        <f t="shared" si="11"/>
        <v>0.36840622807983714</v>
      </c>
      <c r="W14" s="2330"/>
      <c r="X14" s="2331">
        <f t="shared" si="12"/>
        <v>1356945.8181818181</v>
      </c>
      <c r="Y14" s="2355">
        <f t="shared" si="13"/>
        <v>4.4216946023972019</v>
      </c>
      <c r="Z14" s="2351">
        <f t="shared" si="14"/>
        <v>4.4216946023972019</v>
      </c>
      <c r="AA14" s="2356">
        <f t="shared" si="15"/>
        <v>70.010164537955703</v>
      </c>
      <c r="AB14" s="2357">
        <f t="shared" si="16"/>
        <v>0.30956356665041873</v>
      </c>
      <c r="AC14" s="2355">
        <f t="shared" si="3"/>
        <v>1.1791185606392538</v>
      </c>
      <c r="AD14" s="2337"/>
      <c r="AE14" s="2360">
        <v>5</v>
      </c>
      <c r="AF14" s="2360">
        <v>30</v>
      </c>
      <c r="AG14" s="2361">
        <v>3.9352199827322547</v>
      </c>
      <c r="AH14" s="2362">
        <v>3.1496062992125986</v>
      </c>
      <c r="AI14" s="2362">
        <v>2.3622047244094486</v>
      </c>
      <c r="AJ14" s="2363">
        <v>1.5748031496062993</v>
      </c>
      <c r="AK14" s="2360">
        <v>23.611319896393528</v>
      </c>
      <c r="AL14" s="2442">
        <v>47.244094488188978</v>
      </c>
      <c r="AM14" s="2365">
        <v>35.433070866141733</v>
      </c>
      <c r="AN14" s="2366">
        <v>23.622047244094489</v>
      </c>
      <c r="AO14" s="853">
        <v>0.136906221511464</v>
      </c>
      <c r="AP14" s="844">
        <f t="shared" si="0"/>
        <v>0.14880029760059521</v>
      </c>
      <c r="AQ14" s="844">
        <f t="shared" si="1"/>
        <v>8.3700167400334785E-2</v>
      </c>
      <c r="AR14" s="845">
        <f t="shared" si="2"/>
        <v>3.7200074400148803E-2</v>
      </c>
      <c r="AS14" s="942"/>
      <c r="AT14" s="262"/>
    </row>
    <row r="15" spans="1:50" ht="13.5" customHeight="1" thickBot="1">
      <c r="A15" s="1466"/>
      <c r="B15" s="2367" t="s">
        <v>77</v>
      </c>
      <c r="C15" s="2368">
        <f>+'HORAS HOMBRE'!I76</f>
        <v>675751.53</v>
      </c>
      <c r="D15" s="2369">
        <f>+'DIAS PERDIDOS'!I76</f>
        <v>32</v>
      </c>
      <c r="E15" s="2369">
        <f>+'ACCIDENTES INCAPACITANTES'!I76</f>
        <v>6</v>
      </c>
      <c r="F15" s="2369"/>
      <c r="G15" s="2370">
        <f>+'INCIDENTE MATERIAL'!I76</f>
        <v>0</v>
      </c>
      <c r="H15" s="2371">
        <f t="shared" si="4"/>
        <v>8.8790032040327009</v>
      </c>
      <c r="I15" s="2397">
        <f t="shared" si="5"/>
        <v>47.354683754841069</v>
      </c>
      <c r="J15" s="2379">
        <f t="shared" si="6"/>
        <v>1.7758006408065401</v>
      </c>
      <c r="K15" s="2406">
        <f t="shared" si="7"/>
        <v>0.42046238878518916</v>
      </c>
      <c r="L15" s="2437"/>
      <c r="M15" s="2368">
        <f>+'HORAS HOMBRE'!$I$75</f>
        <v>281274.58999999997</v>
      </c>
      <c r="N15" s="2374">
        <f>+'INCIDENTE MATERIAL'!I75</f>
        <v>0</v>
      </c>
      <c r="O15" s="2375">
        <f>+'DIAS PERDIDOS'!I75</f>
        <v>40</v>
      </c>
      <c r="P15" s="2375">
        <f>+'ACCIDENTES INCAPACITANTES'!I75</f>
        <v>3</v>
      </c>
      <c r="Q15" s="2369"/>
      <c r="R15" s="2370">
        <f>+'INCIDENTE MATERIAL'!I75</f>
        <v>0</v>
      </c>
      <c r="S15" s="2984">
        <f t="shared" si="8"/>
        <v>10.665734149679146</v>
      </c>
      <c r="T15" s="2985">
        <f t="shared" si="9"/>
        <v>142.2097886623886</v>
      </c>
      <c r="U15" s="2379">
        <f t="shared" si="10"/>
        <v>2.1331468299358289</v>
      </c>
      <c r="V15" s="2443">
        <f t="shared" si="11"/>
        <v>1.5167717993550922</v>
      </c>
      <c r="W15" s="2381"/>
      <c r="X15" s="2382">
        <f t="shared" si="12"/>
        <v>306845.00727272726</v>
      </c>
      <c r="Y15" s="2383">
        <f t="shared" si="13"/>
        <v>9.776922970539216</v>
      </c>
      <c r="Z15" s="2984">
        <f t="shared" si="14"/>
        <v>9.776922970539216</v>
      </c>
      <c r="AA15" s="3004">
        <f t="shared" si="15"/>
        <v>130.35897294052288</v>
      </c>
      <c r="AB15" s="2428">
        <f t="shared" si="16"/>
        <v>1.2745096369580982</v>
      </c>
      <c r="AC15" s="2386">
        <f t="shared" si="3"/>
        <v>1.9553845941078432</v>
      </c>
      <c r="AD15" s="2387"/>
      <c r="AE15" s="2388">
        <v>2</v>
      </c>
      <c r="AF15" s="2388">
        <v>5</v>
      </c>
      <c r="AG15" s="2389">
        <v>5.3261465862063453</v>
      </c>
      <c r="AH15" s="2390">
        <v>8</v>
      </c>
      <c r="AI15" s="2390">
        <v>5.333333333333333</v>
      </c>
      <c r="AJ15" s="2391">
        <v>2.6666666666666665</v>
      </c>
      <c r="AK15" s="2392">
        <v>13.315366465515863</v>
      </c>
      <c r="AL15" s="2393">
        <v>120</v>
      </c>
      <c r="AM15" s="2393">
        <v>80</v>
      </c>
      <c r="AN15" s="2394">
        <v>40</v>
      </c>
      <c r="AO15" s="854">
        <v>0.57311828402076403</v>
      </c>
      <c r="AP15" s="846">
        <f t="shared" si="0"/>
        <v>0.96</v>
      </c>
      <c r="AQ15" s="846">
        <f t="shared" si="1"/>
        <v>0.42666666666666664</v>
      </c>
      <c r="AR15" s="847">
        <f t="shared" si="2"/>
        <v>0.10666666666666666</v>
      </c>
      <c r="AS15" s="1482"/>
      <c r="AT15" s="262"/>
    </row>
    <row r="16" spans="1:50" ht="13.8">
      <c r="A16" s="1466"/>
      <c r="B16" s="2316" t="s">
        <v>597</v>
      </c>
      <c r="C16" s="2317">
        <f>+'HORAS HOMBRE'!K76</f>
        <v>5428428.7583333403</v>
      </c>
      <c r="D16" s="2318">
        <f>+'DIAS PERDIDOS'!K76</f>
        <v>417</v>
      </c>
      <c r="E16" s="2318">
        <f>+'ACCIDENTES INCAPACITANTES'!K76</f>
        <v>12</v>
      </c>
      <c r="F16" s="2318"/>
      <c r="G16" s="2319">
        <f>+'INCIDENTE MATERIAL'!K76</f>
        <v>14</v>
      </c>
      <c r="H16" s="2395">
        <f t="shared" si="4"/>
        <v>2.2105844129534624</v>
      </c>
      <c r="I16" s="2328">
        <f t="shared" si="5"/>
        <v>76.817808350132822</v>
      </c>
      <c r="J16" s="2322">
        <f t="shared" si="6"/>
        <v>0.95791991227983375</v>
      </c>
      <c r="K16" s="2323">
        <f t="shared" si="7"/>
        <v>0.16981224977604994</v>
      </c>
      <c r="L16" s="2437"/>
      <c r="M16" s="2317">
        <f>+'HORAS HOMBRE'!$K$75</f>
        <v>3475064.3800000069</v>
      </c>
      <c r="N16" s="2325">
        <f>+'INCIDENTE MATERIAL'!K75</f>
        <v>5</v>
      </c>
      <c r="O16" s="2326">
        <f>+'DIAS PERDIDOS'!K75</f>
        <v>50</v>
      </c>
      <c r="P16" s="2326">
        <f>+'ACCIDENTES INCAPACITANTES'!K75</f>
        <v>8</v>
      </c>
      <c r="Q16" s="2318"/>
      <c r="R16" s="2319">
        <f>+'INCIDENTE MATERIAL'!K75</f>
        <v>5</v>
      </c>
      <c r="S16" s="2445">
        <f>+(P16+Q16)*1000000/M16</f>
        <v>2.3021156229629289</v>
      </c>
      <c r="T16" s="2328">
        <f t="shared" si="9"/>
        <v>14.388222643518306</v>
      </c>
      <c r="U16" s="2322">
        <f t="shared" si="10"/>
        <v>0.74818757746295184</v>
      </c>
      <c r="V16" s="2446">
        <f t="shared" si="11"/>
        <v>3.3123352134312459E-2</v>
      </c>
      <c r="W16" s="2330"/>
      <c r="X16" s="2399">
        <f t="shared" si="12"/>
        <v>3790979.3236363707</v>
      </c>
      <c r="Y16" s="2336">
        <f t="shared" si="13"/>
        <v>2.1102726543826851</v>
      </c>
      <c r="Z16" s="2395">
        <f t="shared" si="14"/>
        <v>2.1102726543826851</v>
      </c>
      <c r="AA16" s="2400">
        <f t="shared" si="15"/>
        <v>13.189204089891781</v>
      </c>
      <c r="AB16" s="2447">
        <f t="shared" si="16"/>
        <v>2.7832816723970897E-2</v>
      </c>
      <c r="AC16" s="2336">
        <f t="shared" si="3"/>
        <v>0.68583861267437263</v>
      </c>
      <c r="AD16" s="2337"/>
      <c r="AE16" s="2402">
        <v>7</v>
      </c>
      <c r="AF16" s="2402">
        <v>373</v>
      </c>
      <c r="AG16" s="2403">
        <v>3.4116036437876405</v>
      </c>
      <c r="AH16" s="2404">
        <v>2.8</v>
      </c>
      <c r="AI16" s="2404">
        <v>2.2999999999999998</v>
      </c>
      <c r="AJ16" s="2405">
        <v>1.8</v>
      </c>
      <c r="AK16" s="2342">
        <v>181.78973701896999</v>
      </c>
      <c r="AL16" s="2343">
        <v>83</v>
      </c>
      <c r="AM16" s="2343">
        <v>69</v>
      </c>
      <c r="AN16" s="2344">
        <v>55</v>
      </c>
      <c r="AO16" s="852">
        <v>4.3169699440854276E-2</v>
      </c>
      <c r="AP16" s="848">
        <f t="shared" si="0"/>
        <v>0.23239999999999997</v>
      </c>
      <c r="AQ16" s="848">
        <f t="shared" si="1"/>
        <v>0.15869999999999998</v>
      </c>
      <c r="AR16" s="849">
        <f t="shared" si="2"/>
        <v>9.9000000000000005E-2</v>
      </c>
      <c r="AS16" s="1482"/>
      <c r="AT16" s="262"/>
      <c r="AU16" s="358"/>
      <c r="AV16" s="358"/>
      <c r="AW16" s="357"/>
      <c r="AX16" s="571"/>
    </row>
    <row r="17" spans="1:72" ht="14.4" thickBot="1">
      <c r="A17" s="1466"/>
      <c r="B17" s="2367" t="s">
        <v>1931</v>
      </c>
      <c r="C17" s="2368">
        <f>+'HORAS HOMBRE'!L76</f>
        <v>2541880.8899999997</v>
      </c>
      <c r="D17" s="2369">
        <f>+'DIAS PERDIDOS'!L76</f>
        <v>34</v>
      </c>
      <c r="E17" s="2369">
        <f>+'ACCIDENTES INCAPACITANTES'!L76</f>
        <v>2</v>
      </c>
      <c r="F17" s="2369"/>
      <c r="G17" s="2370">
        <f>+'INCIDENTE MATERIAL'!L76</f>
        <v>3</v>
      </c>
      <c r="H17" s="2373">
        <f t="shared" si="4"/>
        <v>0.78681892919065943</v>
      </c>
      <c r="I17" s="2448">
        <f t="shared" si="5"/>
        <v>13.37592179624121</v>
      </c>
      <c r="J17" s="2379">
        <f t="shared" si="6"/>
        <v>0.39340946459532972</v>
      </c>
      <c r="K17" s="2406">
        <f t="shared" si="7"/>
        <v>1.0524428464656512E-2</v>
      </c>
      <c r="L17" s="2437"/>
      <c r="M17" s="2368">
        <f>+'HORAS HOMBRE'!$L$75</f>
        <v>1189736.96</v>
      </c>
      <c r="N17" s="2374">
        <f>+'INCIDENTE MATERIAL'!L75</f>
        <v>2</v>
      </c>
      <c r="O17" s="2375">
        <f>+'DIAS PERDIDOS'!L75</f>
        <v>5</v>
      </c>
      <c r="P17" s="2375">
        <f>+'ACCIDENTES INCAPACITANTES'!L75</f>
        <v>1</v>
      </c>
      <c r="Q17" s="2369"/>
      <c r="R17" s="2370">
        <f>+'INCIDENTE MATERIAL'!L75</f>
        <v>2</v>
      </c>
      <c r="S17" s="2371">
        <f t="shared" si="8"/>
        <v>0.84052192511527934</v>
      </c>
      <c r="T17" s="2372">
        <f t="shared" si="9"/>
        <v>4.2026096255763967</v>
      </c>
      <c r="U17" s="2379">
        <f t="shared" si="10"/>
        <v>0.50431315506916763</v>
      </c>
      <c r="V17" s="2449">
        <f t="shared" si="11"/>
        <v>3.5323855329974763E-3</v>
      </c>
      <c r="W17" s="2381"/>
      <c r="X17" s="2382">
        <f t="shared" si="12"/>
        <v>1297894.8654545455</v>
      </c>
      <c r="Y17" s="2383">
        <f t="shared" si="13"/>
        <v>0.77047843135567262</v>
      </c>
      <c r="Z17" s="2371">
        <f t="shared" si="14"/>
        <v>0.77047843135567262</v>
      </c>
      <c r="AA17" s="2786">
        <f t="shared" si="15"/>
        <v>3.8523921567783632</v>
      </c>
      <c r="AB17" s="2428">
        <f t="shared" si="16"/>
        <v>2.9681850659214895E-3</v>
      </c>
      <c r="AC17" s="2383">
        <f t="shared" si="3"/>
        <v>0.4622870588134036</v>
      </c>
      <c r="AD17" s="2412"/>
      <c r="AE17" s="2388">
        <v>2</v>
      </c>
      <c r="AF17" s="2388">
        <v>34</v>
      </c>
      <c r="AG17" s="2389">
        <v>1.4896269825073103</v>
      </c>
      <c r="AH17" s="2390">
        <v>1.4814814814814814</v>
      </c>
      <c r="AI17" s="2390">
        <v>0.7407407407407407</v>
      </c>
      <c r="AJ17" s="2391">
        <v>0</v>
      </c>
      <c r="AK17" s="2392">
        <v>25.323658702624275</v>
      </c>
      <c r="AL17" s="2393">
        <v>22.222222222222221</v>
      </c>
      <c r="AM17" s="2393">
        <v>11.111111111111111</v>
      </c>
      <c r="AN17" s="2394">
        <v>0</v>
      </c>
      <c r="AO17" s="854">
        <v>0</v>
      </c>
      <c r="AP17" s="846">
        <f t="shared" si="0"/>
        <v>3.292181069958848E-2</v>
      </c>
      <c r="AQ17" s="846">
        <f t="shared" si="1"/>
        <v>8.23045267489712E-3</v>
      </c>
      <c r="AR17" s="847">
        <f t="shared" si="2"/>
        <v>0</v>
      </c>
      <c r="AS17" s="942"/>
      <c r="AT17" s="262"/>
    </row>
    <row r="18" spans="1:72" ht="13.8">
      <c r="A18" s="1466"/>
      <c r="B18" s="2316" t="s">
        <v>598</v>
      </c>
      <c r="C18" s="2317">
        <f>+'HORAS HOMBRE'!M76</f>
        <v>9208632.3136111107</v>
      </c>
      <c r="D18" s="2318">
        <f>+'DIAS PERDIDOS'!M76</f>
        <v>69</v>
      </c>
      <c r="E18" s="2318">
        <f>+'ACCIDENTES INCAPACITANTES'!M76</f>
        <v>6</v>
      </c>
      <c r="F18" s="2318"/>
      <c r="G18" s="2319">
        <f>+'INCIDENTE MATERIAL'!M76</f>
        <v>2</v>
      </c>
      <c r="H18" s="2445">
        <f t="shared" si="4"/>
        <v>0.65156255518330441</v>
      </c>
      <c r="I18" s="2328">
        <f t="shared" si="5"/>
        <v>7.492969384608001</v>
      </c>
      <c r="J18" s="2322">
        <f t="shared" si="6"/>
        <v>0.17375001471554785</v>
      </c>
      <c r="K18" s="2323">
        <f t="shared" si="7"/>
        <v>4.8821382781454609E-3</v>
      </c>
      <c r="L18" s="2437"/>
      <c r="M18" s="2317">
        <f>+'HORAS HOMBRE'!$M$75</f>
        <v>4610064.2279166672</v>
      </c>
      <c r="N18" s="2325">
        <f>+'INCIDENTE MATERIAL'!M75</f>
        <v>0</v>
      </c>
      <c r="O18" s="2326">
        <f>+'DIAS PERDIDOS'!M75</f>
        <v>66</v>
      </c>
      <c r="P18" s="2326">
        <f>+'ACCIDENTES INCAPACITANTES'!M75</f>
        <v>7</v>
      </c>
      <c r="Q18" s="2318"/>
      <c r="R18" s="2450">
        <f>+'INCIDENTE MATERIAL'!M75</f>
        <v>0</v>
      </c>
      <c r="S18" s="2320">
        <f t="shared" si="8"/>
        <v>1.5184170228281977</v>
      </c>
      <c r="T18" s="2986">
        <f t="shared" si="9"/>
        <v>14.316503358094437</v>
      </c>
      <c r="U18" s="2322">
        <f t="shared" si="10"/>
        <v>0.30368340456563953</v>
      </c>
      <c r="V18" s="2431">
        <f t="shared" si="11"/>
        <v>2.1738422406307648E-2</v>
      </c>
      <c r="W18" s="2330"/>
      <c r="X18" s="2399">
        <f t="shared" si="12"/>
        <v>5029160.9759090915</v>
      </c>
      <c r="Y18" s="2336">
        <f t="shared" si="13"/>
        <v>1.391882270925848</v>
      </c>
      <c r="Z18" s="2320">
        <f t="shared" si="14"/>
        <v>1.391882270925848</v>
      </c>
      <c r="AA18" s="2451">
        <f t="shared" si="15"/>
        <v>13.123461411586566</v>
      </c>
      <c r="AB18" s="2452">
        <f t="shared" si="16"/>
        <v>1.8266313271966844E-2</v>
      </c>
      <c r="AC18" s="2336">
        <f t="shared" si="3"/>
        <v>0.2783764541851696</v>
      </c>
      <c r="AD18" s="2337"/>
      <c r="AE18" s="2402">
        <v>3</v>
      </c>
      <c r="AF18" s="2402">
        <v>24</v>
      </c>
      <c r="AG18" s="2403">
        <v>0.65682164008363531</v>
      </c>
      <c r="AH18" s="2404">
        <v>0.65217391304347827</v>
      </c>
      <c r="AI18" s="2404">
        <v>0.43478260869565216</v>
      </c>
      <c r="AJ18" s="2405">
        <v>0.21739130434782608</v>
      </c>
      <c r="AK18" s="2342">
        <v>5.2545731206690824</v>
      </c>
      <c r="AL18" s="2343">
        <v>9.7826086956521738</v>
      </c>
      <c r="AM18" s="2343">
        <v>6.5217391304347823</v>
      </c>
      <c r="AN18" s="2344">
        <v>3.2608695652173911</v>
      </c>
      <c r="AO18" s="852">
        <v>2.9756384966331466E-3</v>
      </c>
      <c r="AP18" s="848">
        <f t="shared" si="0"/>
        <v>6.3799621928166354E-3</v>
      </c>
      <c r="AQ18" s="848">
        <f t="shared" si="1"/>
        <v>2.8355387523629491E-3</v>
      </c>
      <c r="AR18" s="849">
        <f t="shared" si="2"/>
        <v>7.0888468809073729E-4</v>
      </c>
      <c r="AS18" s="942"/>
      <c r="AT18" s="262"/>
    </row>
    <row r="19" spans="1:72" ht="13.8">
      <c r="A19" s="1466"/>
      <c r="B19" s="2453" t="s">
        <v>596</v>
      </c>
      <c r="C19" s="2454">
        <f>+'HORAS HOMBRE'!N76</f>
        <v>377423.44</v>
      </c>
      <c r="D19" s="2454">
        <f>+'DIAS PERDIDOS'!N76</f>
        <v>8</v>
      </c>
      <c r="E19" s="2454">
        <f>+'ACCIDENTES INCAPACITANTES'!N76</f>
        <v>1</v>
      </c>
      <c r="F19" s="2454"/>
      <c r="G19" s="2454">
        <f>+'INCIDENTE MATERIAL'!N76</f>
        <v>1</v>
      </c>
      <c r="H19" s="2333">
        <f t="shared" si="4"/>
        <v>2.6495439710898721</v>
      </c>
      <c r="I19" s="2348">
        <f t="shared" si="5"/>
        <v>21.196351768718976</v>
      </c>
      <c r="J19" s="2435">
        <f t="shared" si="6"/>
        <v>1.0598175884359486</v>
      </c>
      <c r="K19" s="2455">
        <f t="shared" si="7"/>
        <v>5.6160666037909507E-2</v>
      </c>
      <c r="L19" s="2437"/>
      <c r="M19" s="2454">
        <f>+'HORAS HOMBRE'!$N$75</f>
        <v>207050.6</v>
      </c>
      <c r="N19" s="2456">
        <f>+'INCIDENTE MATERIAL'!N75</f>
        <v>0</v>
      </c>
      <c r="O19" s="2457">
        <f>+'DIAS PERDIDOS'!N75</f>
        <v>10</v>
      </c>
      <c r="P19" s="2457">
        <f>+'ACCIDENTES INCAPACITANTES'!N75</f>
        <v>1</v>
      </c>
      <c r="Q19" s="2454"/>
      <c r="R19" s="2454">
        <f>+'INCIDENTE MATERIAL'!N75</f>
        <v>0</v>
      </c>
      <c r="S19" s="2987">
        <f t="shared" si="8"/>
        <v>4.8297372719518803</v>
      </c>
      <c r="T19" s="2430">
        <f t="shared" si="9"/>
        <v>48.297372719518805</v>
      </c>
      <c r="U19" s="2435">
        <f t="shared" si="10"/>
        <v>0.96594745439037599</v>
      </c>
      <c r="V19" s="2458">
        <f t="shared" si="11"/>
        <v>0.2332636211608119</v>
      </c>
      <c r="W19" s="2330"/>
      <c r="X19" s="2331">
        <f t="shared" si="12"/>
        <v>225873.38181818184</v>
      </c>
      <c r="Y19" s="2355">
        <f t="shared" si="13"/>
        <v>4.4272591659558902</v>
      </c>
      <c r="Z19" s="2432">
        <f t="shared" si="14"/>
        <v>4.4272591659558902</v>
      </c>
      <c r="AA19" s="2459">
        <f t="shared" si="15"/>
        <v>44.272591659558898</v>
      </c>
      <c r="AB19" s="2439">
        <f t="shared" si="16"/>
        <v>0.19600623722540442</v>
      </c>
      <c r="AC19" s="2355">
        <f t="shared" si="3"/>
        <v>0.88545183319117804</v>
      </c>
      <c r="AD19" s="2337"/>
      <c r="AE19" s="2460">
        <v>0</v>
      </c>
      <c r="AF19" s="2460">
        <v>0</v>
      </c>
      <c r="AG19" s="2461">
        <v>0</v>
      </c>
      <c r="AH19" s="2462">
        <v>5.7142857142857144</v>
      </c>
      <c r="AI19" s="2462">
        <v>5.7142857142857144</v>
      </c>
      <c r="AJ19" s="2463">
        <v>0</v>
      </c>
      <c r="AK19" s="2464">
        <v>0</v>
      </c>
      <c r="AL19" s="2465">
        <v>85.714285714285708</v>
      </c>
      <c r="AM19" s="2465">
        <v>85.714285714285708</v>
      </c>
      <c r="AN19" s="2466">
        <v>0</v>
      </c>
      <c r="AO19" s="1088">
        <v>0.27665088657828096</v>
      </c>
      <c r="AP19" s="977">
        <f t="shared" si="0"/>
        <v>0.48979591836734693</v>
      </c>
      <c r="AQ19" s="977">
        <f t="shared" si="1"/>
        <v>0.48979591836734693</v>
      </c>
      <c r="AR19" s="978">
        <f t="shared" si="2"/>
        <v>0</v>
      </c>
      <c r="AS19" s="1482"/>
      <c r="AT19" s="1199"/>
    </row>
    <row r="20" spans="1:72" ht="13.5" customHeight="1" thickBot="1">
      <c r="A20" s="1466"/>
      <c r="B20" s="2367" t="s">
        <v>1930</v>
      </c>
      <c r="C20" s="2368">
        <f>+'HORAS HOMBRE'!O76</f>
        <v>940579.03999999969</v>
      </c>
      <c r="D20" s="2369">
        <f>+'DIAS PERDIDOS'!O76</f>
        <v>129</v>
      </c>
      <c r="E20" s="2369">
        <f>+'ACCIDENTES INCAPACITANTES'!O76</f>
        <v>4</v>
      </c>
      <c r="F20" s="2369"/>
      <c r="G20" s="2370">
        <f>+'INCIDENTE MATERIAL'!O76</f>
        <v>4</v>
      </c>
      <c r="H20" s="2377">
        <f t="shared" si="4"/>
        <v>4.2526994860527632</v>
      </c>
      <c r="I20" s="2372">
        <f t="shared" si="5"/>
        <v>137.1495584252016</v>
      </c>
      <c r="J20" s="2379">
        <f t="shared" si="6"/>
        <v>1.7010797944211054</v>
      </c>
      <c r="K20" s="2467">
        <f t="shared" si="7"/>
        <v>0.58325585662721824</v>
      </c>
      <c r="L20" s="2437"/>
      <c r="M20" s="2368">
        <f>+'HORAS HOMBRE'!$O$75</f>
        <v>565956.46</v>
      </c>
      <c r="N20" s="2374">
        <f>+'INCIDENTE MATERIAL'!O75</f>
        <v>2</v>
      </c>
      <c r="O20" s="2375">
        <f>+'DIAS PERDIDOS'!O75</f>
        <v>81</v>
      </c>
      <c r="P20" s="2375">
        <f>+'ACCIDENTES INCAPACITANTES'!O75</f>
        <v>2</v>
      </c>
      <c r="Q20" s="2369"/>
      <c r="R20" s="2370">
        <f>+'INCIDENTE MATERIAL'!O75</f>
        <v>2</v>
      </c>
      <c r="S20" s="2373">
        <f t="shared" si="8"/>
        <v>3.5338407481027785</v>
      </c>
      <c r="T20" s="2372">
        <f t="shared" si="9"/>
        <v>143.12055029816253</v>
      </c>
      <c r="U20" s="2379">
        <f t="shared" si="10"/>
        <v>1.4135362992411113</v>
      </c>
      <c r="V20" s="2380">
        <f t="shared" si="11"/>
        <v>0.50576523253453998</v>
      </c>
      <c r="W20" s="2330"/>
      <c r="X20" s="2382">
        <f t="shared" si="12"/>
        <v>617407.04727272724</v>
      </c>
      <c r="Y20" s="2383">
        <f t="shared" si="13"/>
        <v>3.2393540190942134</v>
      </c>
      <c r="Z20" s="2373">
        <f t="shared" si="14"/>
        <v>3.2393540190942134</v>
      </c>
      <c r="AA20" s="2444">
        <f t="shared" si="15"/>
        <v>131.19383777331564</v>
      </c>
      <c r="AB20" s="2439">
        <f t="shared" si="16"/>
        <v>0.42498328567138421</v>
      </c>
      <c r="AC20" s="2355">
        <f t="shared" si="3"/>
        <v>1.2957416076376853</v>
      </c>
      <c r="AD20" s="2337"/>
      <c r="AE20" s="2388">
        <v>1</v>
      </c>
      <c r="AF20" s="2388">
        <v>120</v>
      </c>
      <c r="AG20" s="2389">
        <v>2.7182998665314764</v>
      </c>
      <c r="AH20" s="2390">
        <v>8</v>
      </c>
      <c r="AI20" s="2390">
        <v>6</v>
      </c>
      <c r="AJ20" s="2391">
        <v>4</v>
      </c>
      <c r="AK20" s="2392">
        <v>326.19598398377718</v>
      </c>
      <c r="AL20" s="2393">
        <v>300</v>
      </c>
      <c r="AM20" s="2393">
        <v>200</v>
      </c>
      <c r="AN20" s="2394">
        <v>100</v>
      </c>
      <c r="AO20" s="854">
        <v>0.99037904837931312</v>
      </c>
      <c r="AP20" s="846">
        <f t="shared" si="0"/>
        <v>2.4</v>
      </c>
      <c r="AQ20" s="846">
        <f t="shared" si="1"/>
        <v>1.2</v>
      </c>
      <c r="AR20" s="847">
        <f t="shared" si="2"/>
        <v>0.4</v>
      </c>
      <c r="AS20" s="942"/>
      <c r="AT20" s="262"/>
    </row>
    <row r="21" spans="1:72" ht="14.4" thickBot="1">
      <c r="A21" s="1466"/>
      <c r="B21" s="2468" t="s">
        <v>893</v>
      </c>
      <c r="C21" s="2469">
        <f>+'HORAS HOMBRE'!H76</f>
        <v>209856.20999999996</v>
      </c>
      <c r="D21" s="2470">
        <f>+'DIAS PERDIDOS'!H76</f>
        <v>20</v>
      </c>
      <c r="E21" s="2470">
        <f>+'ACCIDENTES INCAPACITANTES'!H76</f>
        <v>1</v>
      </c>
      <c r="F21" s="2470"/>
      <c r="G21" s="2470">
        <f>+'INCIDENTE MATERIAL'!H76</f>
        <v>2</v>
      </c>
      <c r="H21" s="2373">
        <f t="shared" si="4"/>
        <v>4.7651675401933549</v>
      </c>
      <c r="I21" s="2397">
        <f t="shared" si="5"/>
        <v>95.303350803867104</v>
      </c>
      <c r="J21" s="2379">
        <f t="shared" si="6"/>
        <v>2.859100524116013</v>
      </c>
      <c r="K21" s="2406">
        <f t="shared" si="7"/>
        <v>0.45413643372224777</v>
      </c>
      <c r="L21" s="2437"/>
      <c r="M21" s="2469">
        <f>+'HORAS HOMBRE'!$H$75</f>
        <v>108460.76</v>
      </c>
      <c r="N21" s="2471">
        <f>+'INCIDENTE MATERIAL'!H75</f>
        <v>1</v>
      </c>
      <c r="O21" s="2472">
        <f>+'DIAS PERDIDOS'!H75</f>
        <v>0</v>
      </c>
      <c r="P21" s="2472">
        <f>+'ACCIDENTES INCAPACITANTES'!H75</f>
        <v>0</v>
      </c>
      <c r="Q21" s="2470"/>
      <c r="R21" s="2470">
        <f>+'INCIDENTE MATERIAL'!H75</f>
        <v>1</v>
      </c>
      <c r="S21" s="2373">
        <f t="shared" si="8"/>
        <v>0</v>
      </c>
      <c r="T21" s="2397">
        <f t="shared" si="9"/>
        <v>0</v>
      </c>
      <c r="U21" s="2379">
        <f t="shared" si="10"/>
        <v>1.8439848660474074</v>
      </c>
      <c r="V21" s="2380">
        <f t="shared" si="11"/>
        <v>0</v>
      </c>
      <c r="W21" s="2330"/>
      <c r="X21" s="2473">
        <f t="shared" si="12"/>
        <v>118320.82909090907</v>
      </c>
      <c r="Y21" s="2474">
        <f t="shared" si="13"/>
        <v>0</v>
      </c>
      <c r="Z21" s="2475">
        <f t="shared" si="14"/>
        <v>0</v>
      </c>
      <c r="AA21" s="2476">
        <f t="shared" si="15"/>
        <v>0</v>
      </c>
      <c r="AB21" s="2439">
        <f t="shared" si="16"/>
        <v>0</v>
      </c>
      <c r="AC21" s="2355">
        <f t="shared" si="3"/>
        <v>1.6903194605434571</v>
      </c>
      <c r="AD21" s="2337"/>
      <c r="AE21" s="2477">
        <v>0</v>
      </c>
      <c r="AF21" s="2477">
        <v>0</v>
      </c>
      <c r="AG21" s="2478">
        <v>0</v>
      </c>
      <c r="AH21" s="2479">
        <v>19.607843137254903</v>
      </c>
      <c r="AI21" s="2479">
        <v>9.8039215686274517</v>
      </c>
      <c r="AJ21" s="2480">
        <v>0</v>
      </c>
      <c r="AK21" s="2481">
        <v>0</v>
      </c>
      <c r="AL21" s="2482">
        <v>294.11764705882354</v>
      </c>
      <c r="AM21" s="2482">
        <v>147.05882352941177</v>
      </c>
      <c r="AN21" s="2483">
        <v>0</v>
      </c>
      <c r="AO21" s="1089">
        <v>3.0166395582921148</v>
      </c>
      <c r="AP21" s="979">
        <f t="shared" si="0"/>
        <v>5.7670126874279131</v>
      </c>
      <c r="AQ21" s="979">
        <f t="shared" si="1"/>
        <v>1.4417531718569783</v>
      </c>
      <c r="AR21" s="980">
        <f t="shared" si="2"/>
        <v>0</v>
      </c>
      <c r="AS21" s="942"/>
      <c r="AT21" s="262"/>
    </row>
    <row r="22" spans="1:72" ht="13.8" hidden="1">
      <c r="A22" s="1466"/>
      <c r="B22" s="2484"/>
      <c r="C22" s="2485"/>
      <c r="D22" s="2486"/>
      <c r="E22" s="2486"/>
      <c r="F22" s="2486"/>
      <c r="G22" s="2486"/>
      <c r="H22" s="2487"/>
      <c r="I22" s="2427"/>
      <c r="J22" s="2488"/>
      <c r="K22" s="2489"/>
      <c r="L22" s="2437"/>
      <c r="M22" s="2485"/>
      <c r="N22" s="2426"/>
      <c r="O22" s="2490"/>
      <c r="P22" s="2490"/>
      <c r="Q22" s="2486"/>
      <c r="R22" s="2486"/>
      <c r="S22" s="2487"/>
      <c r="T22" s="2427"/>
      <c r="U22" s="2488"/>
      <c r="V22" s="2458"/>
      <c r="W22" s="2330"/>
      <c r="X22" s="2491"/>
      <c r="Y22" s="2492"/>
      <c r="Z22" s="2487"/>
      <c r="AA22" s="2493"/>
      <c r="AB22" s="2439"/>
      <c r="AC22" s="2355"/>
      <c r="AD22" s="2337"/>
      <c r="AE22" s="2494"/>
      <c r="AF22" s="2494"/>
      <c r="AG22" s="2495"/>
      <c r="AH22" s="2496"/>
      <c r="AI22" s="2496"/>
      <c r="AJ22" s="2497"/>
      <c r="AK22" s="2498"/>
      <c r="AL22" s="2499"/>
      <c r="AM22" s="2499"/>
      <c r="AN22" s="2500"/>
      <c r="AO22" s="2214"/>
      <c r="AP22" s="2215"/>
      <c r="AQ22" s="2215"/>
      <c r="AR22" s="2216"/>
      <c r="AS22" s="942"/>
      <c r="AT22" s="262"/>
    </row>
    <row r="23" spans="1:72" ht="13.35" hidden="1" customHeight="1">
      <c r="A23" s="1466"/>
      <c r="B23" s="2501" t="s">
        <v>383</v>
      </c>
      <c r="C23" s="2398"/>
      <c r="D23" s="2502"/>
      <c r="E23" s="2502"/>
      <c r="F23" s="2502"/>
      <c r="G23" s="2502"/>
      <c r="H23" s="2395"/>
      <c r="I23" s="2328"/>
      <c r="J23" s="2395"/>
      <c r="K23" s="2503"/>
      <c r="L23" s="2437"/>
      <c r="M23" s="2398"/>
      <c r="N23" s="2328">
        <v>0</v>
      </c>
      <c r="O23" s="2396"/>
      <c r="P23" s="2396"/>
      <c r="Q23" s="2502"/>
      <c r="R23" s="2502"/>
      <c r="S23" s="2395"/>
      <c r="T23" s="2328"/>
      <c r="U23" s="2322"/>
      <c r="V23" s="2504"/>
      <c r="W23" s="2330"/>
      <c r="X23" s="2399">
        <f t="shared" si="12"/>
        <v>0</v>
      </c>
      <c r="Y23" s="2336" t="e">
        <f t="shared" si="13"/>
        <v>#DIV/0!</v>
      </c>
      <c r="Z23" s="2395" t="e">
        <f t="shared" si="14"/>
        <v>#DIV/0!</v>
      </c>
      <c r="AA23" s="2400" t="e">
        <f t="shared" si="15"/>
        <v>#DIV/0!</v>
      </c>
      <c r="AB23" s="2439" t="e">
        <f t="shared" si="16"/>
        <v>#DIV/0!</v>
      </c>
      <c r="AC23" s="2358" t="e">
        <f t="shared" si="3"/>
        <v>#DIV/0!</v>
      </c>
      <c r="AD23" s="2359"/>
      <c r="AE23" s="2402"/>
      <c r="AF23" s="2402"/>
      <c r="AG23" s="2403"/>
      <c r="AH23" s="2404"/>
      <c r="AI23" s="2404"/>
      <c r="AJ23" s="2404"/>
      <c r="AK23" s="2402"/>
      <c r="AL23" s="2343"/>
      <c r="AM23" s="2343"/>
      <c r="AN23" s="2344"/>
      <c r="AO23" s="852"/>
      <c r="AP23" s="848">
        <f t="shared" si="0"/>
        <v>0</v>
      </c>
      <c r="AQ23" s="848">
        <f t="shared" si="1"/>
        <v>0</v>
      </c>
      <c r="AR23" s="849">
        <f t="shared" si="2"/>
        <v>0</v>
      </c>
      <c r="AS23" s="859"/>
      <c r="AT23" s="262"/>
    </row>
    <row r="24" spans="1:72" ht="13.8">
      <c r="A24" s="1464" t="s">
        <v>380</v>
      </c>
      <c r="B24" s="2453" t="s">
        <v>384</v>
      </c>
      <c r="C24" s="2505">
        <f>+'HORAS HOMBRE'!S76</f>
        <v>298012.02</v>
      </c>
      <c r="D24" s="2506">
        <f>+'DIAS PERDIDOS'!S76</f>
        <v>17</v>
      </c>
      <c r="E24" s="2506">
        <f>+'ACCIDENTES INCAPACITANTES'!S76</f>
        <v>2</v>
      </c>
      <c r="F24" s="2506"/>
      <c r="G24" s="2506">
        <f>+'INCIDENTE MATERIAL'!R76</f>
        <v>0</v>
      </c>
      <c r="H24" s="2507">
        <f>+(E24+F24)*1000000/C24</f>
        <v>6.7111386983652537</v>
      </c>
      <c r="I24" s="2508">
        <f>+D24*1000000/C24</f>
        <v>57.044678936104653</v>
      </c>
      <c r="J24" s="2507">
        <f>+(G24+F24+E24)*200000/C24</f>
        <v>1.3422277396730506</v>
      </c>
      <c r="K24" s="2509">
        <f>+H24*I24/1000</f>
        <v>0.38283475234391318</v>
      </c>
      <c r="L24" s="2407"/>
      <c r="M24" s="2505">
        <f>+'HORAS HOMBRE'!$S$75</f>
        <v>157164.15</v>
      </c>
      <c r="N24" s="2510">
        <f>+'INCIDENTE MATERIAL'!R75</f>
        <v>0</v>
      </c>
      <c r="O24" s="2508">
        <f>+'DIAS PERDIDOS'!S75</f>
        <v>0</v>
      </c>
      <c r="P24" s="2508">
        <f>+'ACCIDENTES INCAPACITANTES'!S75</f>
        <v>0</v>
      </c>
      <c r="Q24" s="2506"/>
      <c r="R24" s="2506">
        <f>+'INCIDENTE MATERIAL'!R75</f>
        <v>0</v>
      </c>
      <c r="S24" s="2511">
        <f>+(P24+Q24)*1000000/M24</f>
        <v>0</v>
      </c>
      <c r="T24" s="2510">
        <f>+O24*1000000/M24</f>
        <v>0</v>
      </c>
      <c r="U24" s="2507">
        <f>+(R24+Q24+P24)*200000/M24</f>
        <v>0</v>
      </c>
      <c r="V24" s="2512">
        <f>+S24*T24/1000</f>
        <v>0</v>
      </c>
      <c r="W24" s="2330"/>
      <c r="X24" s="2331">
        <f t="shared" si="12"/>
        <v>171451.8</v>
      </c>
      <c r="Y24" s="2355">
        <f t="shared" si="13"/>
        <v>0</v>
      </c>
      <c r="Z24" s="2333">
        <f t="shared" si="14"/>
        <v>0</v>
      </c>
      <c r="AA24" s="2334">
        <f t="shared" si="15"/>
        <v>0</v>
      </c>
      <c r="AB24" s="2439">
        <f t="shared" si="16"/>
        <v>0</v>
      </c>
      <c r="AC24" s="2355">
        <f t="shared" si="3"/>
        <v>0</v>
      </c>
      <c r="AD24" s="2337"/>
      <c r="AE24" s="2360">
        <v>1</v>
      </c>
      <c r="AF24" s="2360">
        <v>7</v>
      </c>
      <c r="AG24" s="2361">
        <v>7.0346244214021416</v>
      </c>
      <c r="AH24" s="2362">
        <v>6.9930069930069934</v>
      </c>
      <c r="AI24" s="2362">
        <v>6.9930069930069934</v>
      </c>
      <c r="AJ24" s="2362">
        <v>0</v>
      </c>
      <c r="AK24" s="2360">
        <v>49.24237094981499</v>
      </c>
      <c r="AL24" s="2365">
        <v>104.89510489510489</v>
      </c>
      <c r="AM24" s="2365">
        <v>104.89510489510489</v>
      </c>
      <c r="AN24" s="2366">
        <v>0</v>
      </c>
      <c r="AO24" s="853">
        <v>0.57154627452689188</v>
      </c>
      <c r="AP24" s="844">
        <f t="shared" si="0"/>
        <v>0.73353220206367065</v>
      </c>
      <c r="AQ24" s="844">
        <f t="shared" si="1"/>
        <v>0.73353220206367065</v>
      </c>
      <c r="AR24" s="845">
        <f t="shared" si="2"/>
        <v>0</v>
      </c>
      <c r="AS24" s="942"/>
      <c r="AT24" s="262"/>
    </row>
    <row r="25" spans="1:72" ht="14.1" customHeight="1" thickBot="1">
      <c r="A25" s="1466"/>
      <c r="B25" s="2345" t="s">
        <v>4681</v>
      </c>
      <c r="C25" s="2513"/>
      <c r="D25" s="2513"/>
      <c r="E25" s="2513"/>
      <c r="F25" s="2513"/>
      <c r="G25" s="2513"/>
      <c r="H25" s="2435"/>
      <c r="I25" s="2514"/>
      <c r="J25" s="2435"/>
      <c r="K25" s="2515"/>
      <c r="L25" s="2436"/>
      <c r="M25" s="2505">
        <f>+'HORAS HOMBRE'!$P$75</f>
        <v>201763.05999999997</v>
      </c>
      <c r="N25" s="2510">
        <f>+'INCIDENTE MATERIAL'!P75</f>
        <v>0</v>
      </c>
      <c r="O25" s="2514">
        <f>+'DIAS PERDIDOS'!P75</f>
        <v>0</v>
      </c>
      <c r="P25" s="2514">
        <f>+'ACCIDENTES INCAPACITANTES'!P75</f>
        <v>0</v>
      </c>
      <c r="Q25" s="2513"/>
      <c r="R25" s="2513"/>
      <c r="S25" s="2333">
        <f>+(P25+Q25)*1000000/M25</f>
        <v>0</v>
      </c>
      <c r="T25" s="2348">
        <f>+O25*1000000/M25</f>
        <v>0</v>
      </c>
      <c r="U25" s="2435" t="e">
        <f>+(R25+Q25+P25)*200000/#REF!</f>
        <v>#REF!</v>
      </c>
      <c r="V25" s="2504">
        <f>+S25*T25/1000</f>
        <v>0</v>
      </c>
      <c r="W25" s="2330"/>
      <c r="X25" s="2331">
        <f>+M25/$AA$1*12</f>
        <v>220105.15636363631</v>
      </c>
      <c r="Y25" s="2355">
        <f t="shared" si="13"/>
        <v>0</v>
      </c>
      <c r="Z25" s="2333">
        <f t="shared" si="14"/>
        <v>0</v>
      </c>
      <c r="AA25" s="2334">
        <f t="shared" si="15"/>
        <v>0</v>
      </c>
      <c r="AB25" s="2516">
        <f t="shared" si="16"/>
        <v>0</v>
      </c>
      <c r="AC25" s="2517">
        <f t="shared" si="3"/>
        <v>0</v>
      </c>
      <c r="AD25" s="2359"/>
      <c r="AE25" s="2360">
        <v>1</v>
      </c>
      <c r="AF25" s="2360">
        <v>5</v>
      </c>
      <c r="AG25" s="2361">
        <v>5.1939957409234925</v>
      </c>
      <c r="AH25" s="2362">
        <v>13.5</v>
      </c>
      <c r="AI25" s="2362">
        <v>9</v>
      </c>
      <c r="AJ25" s="2362">
        <v>4.5</v>
      </c>
      <c r="AK25" s="2360">
        <v>25.969978704617461</v>
      </c>
      <c r="AL25" s="2365">
        <v>203</v>
      </c>
      <c r="AM25" s="2365">
        <v>135</v>
      </c>
      <c r="AN25" s="2366">
        <v>68</v>
      </c>
      <c r="AO25" s="853">
        <v>0.98070209953744114</v>
      </c>
      <c r="AP25" s="844">
        <f t="shared" si="0"/>
        <v>2.7404999999999999</v>
      </c>
      <c r="AQ25" s="844">
        <f t="shared" si="1"/>
        <v>1.2150000000000001</v>
      </c>
      <c r="AR25" s="845">
        <f t="shared" si="2"/>
        <v>0.30599999999999999</v>
      </c>
      <c r="AS25" s="859"/>
      <c r="AT25" s="262"/>
      <c r="BS25" s="242"/>
      <c r="BT25" s="357"/>
    </row>
    <row r="26" spans="1:72" ht="13.8">
      <c r="A26" s="1464" t="s">
        <v>380</v>
      </c>
      <c r="B26" s="2518" t="s">
        <v>578</v>
      </c>
      <c r="C26" s="2519">
        <f>+'HORAS HOMBRE'!$T$76</f>
        <v>2866729.9749999996</v>
      </c>
      <c r="D26" s="2519">
        <f>+'DIAS PERDIDOS'!T76</f>
        <v>259</v>
      </c>
      <c r="E26" s="2519">
        <f>+'ACCIDENTES INCAPACITANTES'!T76</f>
        <v>7</v>
      </c>
      <c r="F26" s="2519"/>
      <c r="G26" s="2519">
        <f>+'INCIDENTE MATERIAL'!S76</f>
        <v>0</v>
      </c>
      <c r="H26" s="2520">
        <f>+(E26+F26)*1000000/C26</f>
        <v>2.4418065395224402</v>
      </c>
      <c r="I26" s="2521">
        <f>+D26*1000000/C26</f>
        <v>90.346841962330274</v>
      </c>
      <c r="J26" s="2522"/>
      <c r="K26" s="2523">
        <f>+H26*I26/1000</f>
        <v>0.22060950952881847</v>
      </c>
      <c r="L26" s="2524"/>
      <c r="M26" s="2519">
        <f>+'HORAS HOMBRE'!$T$75</f>
        <v>948772.74499999988</v>
      </c>
      <c r="N26" s="2525">
        <f>+'INCIDENTE MATERIAL'!S75</f>
        <v>0</v>
      </c>
      <c r="O26" s="2526">
        <f>+'DIAS PERDIDOS'!T75</f>
        <v>19</v>
      </c>
      <c r="P26" s="2526">
        <f>+'ACCIDENTES INCAPACITANTES'!T75</f>
        <v>2</v>
      </c>
      <c r="Q26" s="2519"/>
      <c r="R26" s="2519">
        <f>+'INCIDENTE MATERIAL'!S75</f>
        <v>0</v>
      </c>
      <c r="S26" s="3011">
        <f>+(P26+Q26)*1000000/M26</f>
        <v>2.1079863545194906</v>
      </c>
      <c r="T26" s="2527">
        <f>+O26*1000000/M26</f>
        <v>20.025870367935159</v>
      </c>
      <c r="U26" s="2528"/>
      <c r="V26" s="2417">
        <f>+S26*T26/1000</f>
        <v>4.2214261472983523E-2</v>
      </c>
      <c r="W26" s="2330"/>
      <c r="X26" s="2331">
        <f>+M26/$AA$1*12</f>
        <v>1035024.8127272726</v>
      </c>
      <c r="Y26" s="2355">
        <f>+P26*1000000/X26</f>
        <v>1.9323208249761996</v>
      </c>
      <c r="Z26" s="2432">
        <f>+(P26+Q26)*1000000/X26</f>
        <v>1.9323208249761996</v>
      </c>
      <c r="AA26" s="2459">
        <f>+O26*1000000/X26</f>
        <v>18.357047837273896</v>
      </c>
      <c r="AB26" s="2357">
        <f>+Z26*AA26/1000</f>
        <v>3.5471705821048659E-2</v>
      </c>
      <c r="AC26" s="2355">
        <f>+(P26+Q26+R26)*200000/X26</f>
        <v>0.38646416499523994</v>
      </c>
      <c r="AD26" s="2337"/>
      <c r="AE26" s="2338">
        <v>3</v>
      </c>
      <c r="AF26" s="2338">
        <v>120</v>
      </c>
      <c r="AG26" s="2339">
        <v>1.6550281409951575</v>
      </c>
      <c r="AH26" s="2529">
        <v>2.2038567493112948</v>
      </c>
      <c r="AI26" s="2529">
        <v>1.6528925619834711</v>
      </c>
      <c r="AJ26" s="2530">
        <v>1.1019283746556474</v>
      </c>
      <c r="AK26" s="2422">
        <v>67</v>
      </c>
      <c r="AL26" s="2531">
        <v>34</v>
      </c>
      <c r="AM26" s="2531">
        <v>24.793388429752067</v>
      </c>
      <c r="AN26" s="2532">
        <v>16.528925619834709</v>
      </c>
      <c r="AO26" s="855">
        <v>0.16779480780207995</v>
      </c>
      <c r="AP26" s="855">
        <f>+AL26*AH26/1000</f>
        <v>7.4931129476584021E-2</v>
      </c>
      <c r="AQ26" s="855">
        <f>+AM26*AI26/1000</f>
        <v>4.0980807321904247E-2</v>
      </c>
      <c r="AR26" s="856">
        <f>+AN26*AJ26/1000</f>
        <v>1.821369214306855E-2</v>
      </c>
      <c r="AS26" s="942"/>
      <c r="AT26" s="262"/>
    </row>
    <row r="27" spans="1:72" ht="13.5" customHeight="1" thickBot="1">
      <c r="A27" s="1466"/>
      <c r="B27" s="2345" t="s">
        <v>821</v>
      </c>
      <c r="C27" s="2533"/>
      <c r="D27" s="2533">
        <f>+'DIAS PERDIDOS'!Q76</f>
        <v>70</v>
      </c>
      <c r="E27" s="2533">
        <f>+'ACCIDENTES INCAPACITANTES'!Q76</f>
        <v>4</v>
      </c>
      <c r="F27" s="2533"/>
      <c r="G27" s="2533">
        <f>+'INCIDENTE MATERIAL'!Q76</f>
        <v>0</v>
      </c>
      <c r="H27" s="2534"/>
      <c r="I27" s="2535"/>
      <c r="J27" s="2536"/>
      <c r="K27" s="2537"/>
      <c r="L27" s="2538"/>
      <c r="M27" s="2533">
        <f>+'HORAS HOMBRE'!$Q$75</f>
        <v>57948</v>
      </c>
      <c r="N27" s="2539">
        <f>+'INCIDENTE MATERIAL'!Q75</f>
        <v>0</v>
      </c>
      <c r="O27" s="2540">
        <f>+'DIAS PERDIDOS'!Q75</f>
        <v>48</v>
      </c>
      <c r="P27" s="2540">
        <f>+'ACCIDENTES INCAPACITANTES'!Q75</f>
        <v>2</v>
      </c>
      <c r="Q27" s="2533"/>
      <c r="R27" s="2533">
        <f>+'INCIDENTE MATERIAL'!Q75</f>
        <v>0</v>
      </c>
      <c r="S27" s="2541"/>
      <c r="T27" s="2542"/>
      <c r="U27" s="2543"/>
      <c r="V27" s="2438"/>
      <c r="W27" s="2544"/>
      <c r="X27" s="2331">
        <f>+M27/AA1*12</f>
        <v>63216</v>
      </c>
      <c r="Y27" s="2545"/>
      <c r="Z27" s="2546"/>
      <c r="AA27" s="2547"/>
      <c r="AB27" s="2548"/>
      <c r="AC27" s="2549"/>
      <c r="AD27" s="2550"/>
      <c r="AE27" s="2360">
        <v>0</v>
      </c>
      <c r="AF27" s="2360">
        <v>0</v>
      </c>
      <c r="AG27" s="2361"/>
      <c r="AH27" s="2538"/>
      <c r="AI27" s="2538"/>
      <c r="AJ27" s="2551"/>
      <c r="AK27" s="2364"/>
      <c r="AL27" s="2538"/>
      <c r="AM27" s="2538"/>
      <c r="AN27" s="2551"/>
      <c r="AO27" s="857"/>
      <c r="AP27" s="857"/>
      <c r="AQ27" s="857"/>
      <c r="AR27" s="858"/>
      <c r="AS27" s="942"/>
      <c r="AT27" s="262"/>
    </row>
    <row r="28" spans="1:72" ht="14.4" thickBot="1">
      <c r="A28" s="1466"/>
      <c r="B28" s="2552" t="s">
        <v>5946</v>
      </c>
      <c r="C28" s="2553" t="e">
        <f>+C26+C27+#REF!</f>
        <v>#REF!</v>
      </c>
      <c r="D28" s="2553" t="e">
        <f>+D26+D27+#REF!</f>
        <v>#REF!</v>
      </c>
      <c r="E28" s="2553" t="e">
        <f>+E26+E27+#REF!</f>
        <v>#REF!</v>
      </c>
      <c r="F28" s="2554"/>
      <c r="G28" s="2553" t="e">
        <f>+G26+G27+#REF!</f>
        <v>#REF!</v>
      </c>
      <c r="H28" s="2555" t="e">
        <f>+(E28+F28)*1000000/C28</f>
        <v>#REF!</v>
      </c>
      <c r="I28" s="2556" t="e">
        <f>+D28*1000000/C28</f>
        <v>#REF!</v>
      </c>
      <c r="J28" s="2557" t="e">
        <f>+(G28+F28+E28)*200000/C28</f>
        <v>#REF!</v>
      </c>
      <c r="K28" s="2558" t="e">
        <f>+H28*I28/1000</f>
        <v>#REF!</v>
      </c>
      <c r="L28" s="2559"/>
      <c r="M28" s="2553">
        <f>+M5+M6+M7+M9+M10+M12+M13+M15+M16+M17+M18+M19+M20+M21+M25+M27</f>
        <v>15990843.251916673</v>
      </c>
      <c r="N28" s="2560">
        <f>+N5+N6+N7+N9+N10+N12+N13+N15+N16+N17+N18+N19+N20+N21+N25+N27</f>
        <v>14</v>
      </c>
      <c r="O28" s="2560">
        <f>+O5+O6+O7+O9+O10+O12+O13+O15+O16+O17+O18+O19+O20+O21+O25+O27</f>
        <v>1940</v>
      </c>
      <c r="P28" s="2560">
        <f>+P5+P6+P7+P9+P10+P12+P13+P15+P16+P17+P18+P19+P20+P21+P25+P27</f>
        <v>62</v>
      </c>
      <c r="Q28" s="2554"/>
      <c r="R28" s="2553" t="e">
        <f>+R26+R27+#REF!</f>
        <v>#REF!</v>
      </c>
      <c r="S28" s="2561">
        <f>+(P28+Q28)*1000000/M28</f>
        <v>3.8772189198070364</v>
      </c>
      <c r="T28" s="2562">
        <f>+O28*1000000/M28</f>
        <v>121.31943071654275</v>
      </c>
      <c r="U28" s="2563" t="e">
        <f>+(R28+Q28+P28)*200000/M28</f>
        <v>#REF!</v>
      </c>
      <c r="V28" s="2564">
        <f>+S28*T28/1000</f>
        <v>0.47038199211439846</v>
      </c>
      <c r="W28" s="2565"/>
      <c r="X28" s="2331">
        <f>+M28/$AA$1*12</f>
        <v>17444556.274818189</v>
      </c>
      <c r="Y28" s="2355">
        <f>+P28*1000000/X28</f>
        <v>3.5541173431564497</v>
      </c>
      <c r="Z28" s="2333">
        <f>+(P28+Q28)*1000000/X28</f>
        <v>3.5541173431564497</v>
      </c>
      <c r="AA28" s="2334">
        <f>+O28*1000000/X28</f>
        <v>111.20947815683085</v>
      </c>
      <c r="AB28" s="2439">
        <f>+Z28*AA28/1000</f>
        <v>0.39525153504057092</v>
      </c>
      <c r="AC28" s="2355" t="e">
        <f>+(P28+Q28+R28)*200000/X28</f>
        <v>#REF!</v>
      </c>
      <c r="AD28" s="2337"/>
      <c r="AE28" s="2477"/>
      <c r="AF28" s="2477"/>
      <c r="AG28" s="2478">
        <v>3.3</v>
      </c>
      <c r="AH28" s="2622">
        <v>2.8</v>
      </c>
      <c r="AI28" s="2622">
        <v>2.7</v>
      </c>
      <c r="AJ28" s="2623">
        <v>2.6</v>
      </c>
      <c r="AK28" s="2624">
        <v>54</v>
      </c>
      <c r="AL28" s="2625">
        <v>54</v>
      </c>
      <c r="AM28" s="2625">
        <v>51</v>
      </c>
      <c r="AN28" s="2626">
        <v>49</v>
      </c>
      <c r="AO28" s="981">
        <v>1.1715737464332934</v>
      </c>
      <c r="AP28" s="981"/>
      <c r="AQ28" s="981"/>
      <c r="AR28" s="982"/>
      <c r="AS28" s="859"/>
      <c r="AT28" s="262"/>
    </row>
    <row r="29" spans="1:72" ht="14.4" thickBot="1">
      <c r="A29" s="1464" t="s">
        <v>380</v>
      </c>
      <c r="B29" s="2484" t="s">
        <v>1958</v>
      </c>
      <c r="C29" s="2485">
        <f>+'HORAS HOMBRE'!$V$76</f>
        <v>179852.54500000001</v>
      </c>
      <c r="D29" s="2485">
        <f>+'DIAS PERDIDOS'!V76</f>
        <v>58</v>
      </c>
      <c r="E29" s="2485">
        <f>+'ACCIDENTES INCAPACITANTES'!V76</f>
        <v>6</v>
      </c>
      <c r="F29" s="2485"/>
      <c r="G29" s="2485">
        <f>+'INCIDENTE MATERIAL'!U76</f>
        <v>1</v>
      </c>
      <c r="H29" s="2566">
        <f>+(E29+F29)*1000000/C29</f>
        <v>33.360662202472582</v>
      </c>
      <c r="I29" s="2567">
        <f>+D29*1000000/C29</f>
        <v>322.48640129056832</v>
      </c>
      <c r="J29" s="2568"/>
      <c r="K29" s="2569">
        <f>+H29*I29/1000</f>
        <v>10.758359898345669</v>
      </c>
      <c r="L29" s="2489"/>
      <c r="M29" s="2485">
        <f>+'HORAS HOMBRE'!$V$75</f>
        <v>45796</v>
      </c>
      <c r="N29" s="2426">
        <f>+'INCIDENTE MATERIAL'!U75</f>
        <v>0</v>
      </c>
      <c r="O29" s="2490">
        <f>+'DIAS PERDIDOS'!V75</f>
        <v>0</v>
      </c>
      <c r="P29" s="2490">
        <f>+'ACCIDENTES INCAPACITANTES'!V75</f>
        <v>0</v>
      </c>
      <c r="Q29" s="2485"/>
      <c r="R29" s="2485">
        <f>+'INCIDENTE MATERIAL'!U75</f>
        <v>0</v>
      </c>
      <c r="S29" s="2487">
        <f>+(P29+Q29)*1000000/M29</f>
        <v>0</v>
      </c>
      <c r="T29" s="2427">
        <f>+O29*1000000/M29</f>
        <v>0</v>
      </c>
      <c r="U29" s="2507">
        <f>+(R29+Q29+P29)*200000/M29</f>
        <v>0</v>
      </c>
      <c r="V29" s="2570">
        <f>+S29*T29/1000</f>
        <v>0</v>
      </c>
      <c r="W29" s="2565"/>
      <c r="X29" s="2382">
        <f>+M29/$AA$1*12</f>
        <v>49959.272727272721</v>
      </c>
      <c r="Y29" s="2383">
        <f>+P29*1000000/X29</f>
        <v>0</v>
      </c>
      <c r="Z29" s="2373">
        <f>+(P29+Q29)*1000000/X29</f>
        <v>0</v>
      </c>
      <c r="AA29" s="2444">
        <f>+O29*1000000/X29</f>
        <v>0</v>
      </c>
      <c r="AB29" s="2357">
        <f>+Z29*AA29/1000</f>
        <v>0</v>
      </c>
      <c r="AC29" s="2355">
        <f>+(P29+Q29+R29)*200000/X29</f>
        <v>0</v>
      </c>
      <c r="AD29" s="2337"/>
      <c r="AE29" s="2571">
        <v>1</v>
      </c>
      <c r="AF29" s="2571">
        <v>3</v>
      </c>
      <c r="AG29" s="2572">
        <v>8.1</v>
      </c>
      <c r="AH29" s="2573">
        <v>24.4</v>
      </c>
      <c r="AI29" s="2574">
        <v>16.3</v>
      </c>
      <c r="AJ29" s="2575">
        <v>8.1</v>
      </c>
      <c r="AK29" s="2576">
        <v>23.885160149998807</v>
      </c>
      <c r="AL29" s="2577">
        <v>366</v>
      </c>
      <c r="AM29" s="2577">
        <v>244</v>
      </c>
      <c r="AN29" s="2578">
        <v>122</v>
      </c>
      <c r="AO29" s="1206">
        <v>24.06324133827648</v>
      </c>
      <c r="AP29" s="844">
        <f t="shared" ref="AP29:AR30" si="17">+AL29*AH29/1000</f>
        <v>8.9303999999999988</v>
      </c>
      <c r="AQ29" s="844">
        <f t="shared" si="17"/>
        <v>3.9772000000000003</v>
      </c>
      <c r="AR29" s="845">
        <f t="shared" si="17"/>
        <v>0.98819999999999997</v>
      </c>
      <c r="AS29" s="942"/>
      <c r="AT29" s="262"/>
    </row>
    <row r="30" spans="1:72" ht="18" customHeight="1" thickBot="1">
      <c r="A30" s="1464" t="s">
        <v>380</v>
      </c>
      <c r="B30" s="2579" t="s">
        <v>876</v>
      </c>
      <c r="C30" s="2580">
        <f>+'HORAS HOMBRE'!W76</f>
        <v>1120789</v>
      </c>
      <c r="D30" s="2580">
        <f>+'DIAS PERDIDOS'!W76</f>
        <v>117</v>
      </c>
      <c r="E30" s="2580">
        <f>+'ACCIDENTES INCAPACITANTES'!W76</f>
        <v>4</v>
      </c>
      <c r="F30" s="2580"/>
      <c r="G30" s="2580">
        <f>+'INCIDENTE MATERIAL'!V76</f>
        <v>1</v>
      </c>
      <c r="H30" s="2581">
        <f>+(E30+F30)*1000000/C30</f>
        <v>3.5689143986959189</v>
      </c>
      <c r="I30" s="2582">
        <f>+D30*1000000/C30</f>
        <v>104.39074616185562</v>
      </c>
      <c r="J30" s="2583">
        <f>+(G30+F30+E30)*200000/C30</f>
        <v>0.89222859967397972</v>
      </c>
      <c r="K30" s="2584">
        <f>+H30*I30/1000</f>
        <v>0.37256163706765721</v>
      </c>
      <c r="L30" s="2585"/>
      <c r="M30" s="2580">
        <f>+'HORAS HOMBRE'!$W75</f>
        <v>513703</v>
      </c>
      <c r="N30" s="2586">
        <f>+'INCIDENTE MATERIAL'!V75</f>
        <v>0</v>
      </c>
      <c r="O30" s="2587">
        <f>+'DIAS PERDIDOS'!W75</f>
        <v>0</v>
      </c>
      <c r="P30" s="2587">
        <f>+'ACCIDENTES INCAPACITANTES'!W75</f>
        <v>0</v>
      </c>
      <c r="Q30" s="2580"/>
      <c r="R30" s="2580">
        <f>+'INCIDENTE MATERIAL'!V75</f>
        <v>0</v>
      </c>
      <c r="S30" s="2475">
        <f>+(P30+Q30)*1000000/M30</f>
        <v>0</v>
      </c>
      <c r="T30" s="2476">
        <f>+O30*1000000/M30</f>
        <v>0</v>
      </c>
      <c r="U30" s="2588">
        <f>+(R30+Q30+P30)*200000/M30</f>
        <v>0</v>
      </c>
      <c r="V30" s="2589">
        <f>+S30*T30/1000</f>
        <v>0</v>
      </c>
      <c r="W30" s="2565"/>
      <c r="X30" s="2473">
        <f>+M30/$AA$1*12</f>
        <v>560403.27272727271</v>
      </c>
      <c r="Y30" s="2474">
        <f>+P30*1000000/X30</f>
        <v>0</v>
      </c>
      <c r="Z30" s="2475">
        <f>+(P30+Q30)*1000000/X30</f>
        <v>0</v>
      </c>
      <c r="AA30" s="2476">
        <f>+O30*1000000/X30</f>
        <v>0</v>
      </c>
      <c r="AB30" s="2590">
        <f>+Z30*AA30/1000</f>
        <v>0</v>
      </c>
      <c r="AC30" s="2355">
        <f>+(P30+Q30+R30)*200000/X30</f>
        <v>0</v>
      </c>
      <c r="AD30" s="2337"/>
      <c r="AE30" s="2571">
        <v>3</v>
      </c>
      <c r="AF30" s="2571">
        <v>77</v>
      </c>
      <c r="AG30" s="2572">
        <v>6.8</v>
      </c>
      <c r="AH30" s="2591">
        <v>6.7</v>
      </c>
      <c r="AI30" s="2591">
        <v>4.4000000000000004</v>
      </c>
      <c r="AJ30" s="2592">
        <v>2.2000000000000002</v>
      </c>
      <c r="AK30" s="2571">
        <v>173</v>
      </c>
      <c r="AL30" s="2593">
        <v>200</v>
      </c>
      <c r="AM30" s="2593">
        <v>133</v>
      </c>
      <c r="AN30" s="2594">
        <v>67</v>
      </c>
      <c r="AO30" s="1515">
        <v>0.37040627509751128</v>
      </c>
      <c r="AP30" s="2091">
        <f t="shared" si="17"/>
        <v>1.34</v>
      </c>
      <c r="AQ30" s="2091">
        <f t="shared" si="17"/>
        <v>0.58520000000000005</v>
      </c>
      <c r="AR30" s="2092">
        <f t="shared" si="17"/>
        <v>0.1474</v>
      </c>
      <c r="AS30" s="2093"/>
      <c r="AT30" s="262"/>
    </row>
    <row r="31" spans="1:72" ht="7.95" customHeight="1" thickBot="1">
      <c r="A31" s="1466"/>
      <c r="B31" s="2595"/>
      <c r="C31" s="2595"/>
      <c r="D31" s="2596"/>
      <c r="E31" s="2596"/>
      <c r="F31" s="2595"/>
      <c r="G31" s="2595"/>
      <c r="H31" s="2597"/>
      <c r="I31" s="2597"/>
      <c r="J31" s="2597"/>
      <c r="K31" s="2597"/>
      <c r="L31" s="2595"/>
      <c r="M31" s="2595"/>
      <c r="N31" s="2598"/>
      <c r="O31" s="2442"/>
      <c r="P31" s="2598"/>
      <c r="Q31" s="2595"/>
      <c r="R31" s="2595"/>
      <c r="S31" s="2599"/>
      <c r="T31" s="2599"/>
      <c r="U31" s="2599"/>
      <c r="V31" s="2599"/>
      <c r="W31" s="2595"/>
      <c r="X31" s="2596"/>
      <c r="Y31" s="2595"/>
      <c r="Z31" s="2599"/>
      <c r="AA31" s="2599"/>
      <c r="AB31" s="2599"/>
      <c r="AC31" s="2595"/>
      <c r="AD31" s="2595"/>
      <c r="AE31" s="2600"/>
      <c r="AF31" s="2600"/>
      <c r="AG31" s="2429"/>
      <c r="AH31" s="2595"/>
      <c r="AI31" s="2595"/>
      <c r="AJ31" s="2595"/>
      <c r="AK31" s="2429"/>
      <c r="AL31" s="2595"/>
      <c r="AM31" s="2595"/>
      <c r="AN31" s="2595"/>
      <c r="AO31" s="8"/>
      <c r="AS31" s="942"/>
      <c r="AT31" s="262"/>
    </row>
    <row r="32" spans="1:72" ht="24" customHeight="1" thickBot="1">
      <c r="A32" s="1466"/>
      <c r="B32" s="2601" t="s">
        <v>5862</v>
      </c>
      <c r="C32" s="2602" t="e">
        <f>+C30+#REF!</f>
        <v>#REF!</v>
      </c>
      <c r="D32" s="2602" t="e">
        <f>+D30+#REF!</f>
        <v>#REF!</v>
      </c>
      <c r="E32" s="2602" t="e">
        <f>+E30+#REF!</f>
        <v>#REF!</v>
      </c>
      <c r="F32" s="2603"/>
      <c r="G32" s="2602" t="e">
        <f>+G30+#REF!</f>
        <v>#REF!</v>
      </c>
      <c r="H32" s="2604" t="e">
        <f>+(E32+F32)*1000000/C32</f>
        <v>#REF!</v>
      </c>
      <c r="I32" s="2605" t="e">
        <f>+D32*1000000/C32</f>
        <v>#REF!</v>
      </c>
      <c r="J32" s="2606" t="e">
        <f>+(G32+F32+E32)*200000/C32</f>
        <v>#REF!</v>
      </c>
      <c r="K32" s="2607" t="e">
        <f>+H32*I32/1000</f>
        <v>#REF!</v>
      </c>
      <c r="L32" s="2608"/>
      <c r="M32" s="2602">
        <f>+M30+M29+M28+M26+M24+M14</f>
        <v>18900146.146916673</v>
      </c>
      <c r="N32" s="2609">
        <f>+N30+N29+N28+N26+N24+N14</f>
        <v>16</v>
      </c>
      <c r="O32" s="2609">
        <f>+O30+O29+O28+O26+O24+O14</f>
        <v>2054</v>
      </c>
      <c r="P32" s="2609">
        <f>+P30+P29+P28+P26+P24+P14</f>
        <v>70</v>
      </c>
      <c r="Q32" s="2610"/>
      <c r="R32" s="2609" t="e">
        <f>+R30+#REF!</f>
        <v>#REF!</v>
      </c>
      <c r="S32" s="2611">
        <f>+(P32+Q32)*1000000/M32</f>
        <v>3.703675064513702</v>
      </c>
      <c r="T32" s="2605">
        <f>+O32*1000000/M32</f>
        <v>108.67640832158776</v>
      </c>
      <c r="U32" s="2612" t="e">
        <f>+(R32+Q32+P32)*200000/M32</f>
        <v>#REF!</v>
      </c>
      <c r="V32" s="2613">
        <f>+S32*T32/1000</f>
        <v>0.40250210360157396</v>
      </c>
      <c r="W32" s="2565"/>
      <c r="X32" s="2614">
        <f>+M32/$AA$1*12</f>
        <v>20618341.251181826</v>
      </c>
      <c r="Y32" s="2615">
        <f>+P32*1000000/X32</f>
        <v>3.3950354758042263</v>
      </c>
      <c r="Z32" s="3005">
        <f>+(P32+Q32)*1000000/X32</f>
        <v>3.3950354758042263</v>
      </c>
      <c r="AA32" s="2617">
        <f>+O32*1000000/X32</f>
        <v>99.620040961455445</v>
      </c>
      <c r="AB32" s="2357">
        <f>+Z32*AA32/1000</f>
        <v>0.33821357316521139</v>
      </c>
      <c r="AC32" s="2618" t="e">
        <f>+(P32+Q32+R32)*200000/X32</f>
        <v>#REF!</v>
      </c>
      <c r="AD32" s="2619"/>
      <c r="AE32" s="2620">
        <v>50</v>
      </c>
      <c r="AF32" s="2620">
        <v>1000</v>
      </c>
      <c r="AG32" s="2621">
        <v>2.7</v>
      </c>
      <c r="AH32" s="2622">
        <v>2.8</v>
      </c>
      <c r="AI32" s="2622">
        <v>2.7</v>
      </c>
      <c r="AJ32" s="2623">
        <v>2.6</v>
      </c>
      <c r="AK32" s="2624">
        <v>54</v>
      </c>
      <c r="AL32" s="2625">
        <v>54</v>
      </c>
      <c r="AM32" s="2625">
        <v>51</v>
      </c>
      <c r="AN32" s="2626">
        <v>49</v>
      </c>
      <c r="AO32" s="1526">
        <v>1.2420541752378156</v>
      </c>
      <c r="AP32" s="1279">
        <f>+AL32*AH32/1000</f>
        <v>0.1512</v>
      </c>
      <c r="AQ32" s="1279">
        <f>+AM32*AI32/1000</f>
        <v>0.13770000000000002</v>
      </c>
      <c r="AR32" s="1279">
        <f>+AN32*AJ32/1000</f>
        <v>0.12740000000000001</v>
      </c>
      <c r="AS32" s="942"/>
      <c r="AT32" s="262"/>
      <c r="BM32" s="242"/>
    </row>
    <row r="33" spans="1:65" ht="7.5" customHeight="1" thickBot="1">
      <c r="A33" s="1466"/>
      <c r="B33" s="2595"/>
      <c r="C33" s="2595"/>
      <c r="D33" s="2595"/>
      <c r="E33" s="2595"/>
      <c r="F33" s="2595"/>
      <c r="G33" s="2595"/>
      <c r="H33" s="2595"/>
      <c r="I33" s="2595"/>
      <c r="J33" s="2595"/>
      <c r="K33" s="2595"/>
      <c r="L33" s="2595"/>
      <c r="M33" s="2595"/>
      <c r="N33" s="2598"/>
      <c r="O33" s="2442"/>
      <c r="P33" s="2598"/>
      <c r="Q33" s="2595"/>
      <c r="R33" s="2595"/>
      <c r="S33" s="2599"/>
      <c r="T33" s="2599"/>
      <c r="U33" s="2627"/>
      <c r="V33" s="2595"/>
      <c r="W33" s="2595"/>
      <c r="X33" s="2595"/>
      <c r="Y33" s="2595"/>
      <c r="Z33" s="2599"/>
      <c r="AA33" s="2599"/>
      <c r="AB33" s="2595"/>
      <c r="AC33" s="2595"/>
      <c r="AD33" s="2595"/>
      <c r="AE33" s="2600"/>
      <c r="AF33" s="2600"/>
      <c r="AG33" s="2429"/>
      <c r="AH33" s="2595"/>
      <c r="AI33" s="2595"/>
      <c r="AJ33" s="2595"/>
      <c r="AK33" s="2429"/>
      <c r="AL33" s="2595"/>
      <c r="AM33" s="2595"/>
      <c r="AN33" s="2595"/>
      <c r="AO33" s="8"/>
      <c r="AS33" s="859"/>
      <c r="AT33" s="262"/>
      <c r="BM33" s="242"/>
    </row>
    <row r="34" spans="1:65" ht="16.5" customHeight="1" thickBot="1">
      <c r="A34" s="1464" t="s">
        <v>380</v>
      </c>
      <c r="B34" s="2413" t="s">
        <v>5859</v>
      </c>
      <c r="C34" s="2628">
        <f>+'HORAS HOMBRE'!X76</f>
        <v>11913371</v>
      </c>
      <c r="D34" s="2628">
        <f>+'DIAS PERDIDOS'!X76</f>
        <v>2713</v>
      </c>
      <c r="E34" s="2628">
        <f>+'ACCIDENTES INCAPACITANTES'!X76</f>
        <v>110</v>
      </c>
      <c r="F34" s="2628"/>
      <c r="G34" s="2628">
        <f>+'INCIDENTE MATERIAL'!W76</f>
        <v>30</v>
      </c>
      <c r="H34" s="2629">
        <f>+(E34+F34)*1000000/C34</f>
        <v>9.233322793355466</v>
      </c>
      <c r="I34" s="2630">
        <f>+D34*1000000/C34</f>
        <v>227.72731580339436</v>
      </c>
      <c r="J34" s="2631">
        <f>+(G34+F34+E34)*200000/C34</f>
        <v>2.3503003473995729</v>
      </c>
      <c r="K34" s="2632">
        <f>+H34*I34/1000</f>
        <v>2.1026798156771398</v>
      </c>
      <c r="L34" s="2416"/>
      <c r="M34" s="2633">
        <f>+M37-M35-M36</f>
        <v>4531915.1399999196</v>
      </c>
      <c r="N34" s="2634">
        <f>+N37-N35-N36</f>
        <v>14</v>
      </c>
      <c r="O34" s="2634">
        <f>+O37-O35-O36</f>
        <v>1221</v>
      </c>
      <c r="P34" s="2634">
        <f>+P37-P35-P36</f>
        <v>15</v>
      </c>
      <c r="Q34" s="2635"/>
      <c r="R34" s="2635"/>
      <c r="S34" s="2636">
        <f>+(P34+Q34)*1000000/M34</f>
        <v>3.3098589749851905</v>
      </c>
      <c r="T34" s="2637">
        <f>+O34*1000000/M34</f>
        <v>269.42252056379454</v>
      </c>
      <c r="U34" s="2638">
        <f>+(R37+Q37+P37)*200000/M37</f>
        <v>1.6721155695127794</v>
      </c>
      <c r="V34" s="2639">
        <f>+S37*T37/1000</f>
        <v>0.67725391734386842</v>
      </c>
      <c r="W34" s="2640"/>
      <c r="X34" s="2641">
        <f>+M37/$AA$1*12</f>
        <v>6132677.4545454541</v>
      </c>
      <c r="Y34" s="2642">
        <f>+P37*1000000/X34</f>
        <v>2.7720355629334197</v>
      </c>
      <c r="Z34" s="2643">
        <f>+(P37+Q37)*1000000/X34</f>
        <v>2.7720355629334197</v>
      </c>
      <c r="AA34" s="2644">
        <f>+O37*1000000/X34</f>
        <v>205.29369257253973</v>
      </c>
      <c r="AB34" s="2645">
        <f>+Z34*AA34/1000</f>
        <v>0.56908141665700052</v>
      </c>
      <c r="AC34" s="2420">
        <f>+(P37+Q37+R37)*200000/X34</f>
        <v>1.5327726053867146</v>
      </c>
      <c r="AD34" s="2619"/>
      <c r="AE34" s="2571">
        <v>38</v>
      </c>
      <c r="AF34" s="2646">
        <v>1529</v>
      </c>
      <c r="AG34" s="2339"/>
      <c r="AH34" s="2529"/>
      <c r="AI34" s="2529"/>
      <c r="AJ34" s="2529"/>
      <c r="AK34" s="2423"/>
      <c r="AL34" s="2531"/>
      <c r="AM34" s="2531"/>
      <c r="AN34" s="2532"/>
      <c r="AO34" s="2177">
        <v>2.3211710683628959</v>
      </c>
      <c r="AP34" s="1279">
        <f>+AL34*AH34/1000</f>
        <v>0</v>
      </c>
      <c r="AQ34" s="1279">
        <f>+AM34*AI34/1000</f>
        <v>0</v>
      </c>
      <c r="AR34" s="1280">
        <f>+AN34*AJ34/1000</f>
        <v>0</v>
      </c>
      <c r="AS34" s="2302" t="s">
        <v>6185</v>
      </c>
      <c r="AT34" s="1199"/>
      <c r="BM34" s="242"/>
    </row>
    <row r="35" spans="1:65" ht="16.5" customHeight="1" thickBot="1">
      <c r="A35" s="1464"/>
      <c r="B35" s="2345" t="s">
        <v>5858</v>
      </c>
      <c r="C35" s="2346"/>
      <c r="D35" s="2346"/>
      <c r="E35" s="2346"/>
      <c r="F35" s="2346"/>
      <c r="G35" s="2346"/>
      <c r="H35" s="2333"/>
      <c r="I35" s="2647"/>
      <c r="J35" s="2648"/>
      <c r="K35" s="2649"/>
      <c r="L35" s="2650"/>
      <c r="M35" s="2331">
        <f>+'HH ALICORP'!N38</f>
        <v>480833.86000008066</v>
      </c>
      <c r="N35" s="2349">
        <v>0</v>
      </c>
      <c r="O35" s="2350">
        <v>0</v>
      </c>
      <c r="P35" s="2349">
        <v>0</v>
      </c>
      <c r="Q35" s="2346"/>
      <c r="R35" s="2346"/>
      <c r="S35" s="2651">
        <f>+(P35+Q35)*1000000/M35</f>
        <v>0</v>
      </c>
      <c r="T35" s="2334">
        <f>+O35*1000000/M35</f>
        <v>0</v>
      </c>
      <c r="U35" s="2652"/>
      <c r="V35" s="2653"/>
      <c r="W35" s="2543"/>
      <c r="X35" s="2346"/>
      <c r="Y35" s="2355"/>
      <c r="Z35" s="2333"/>
      <c r="AA35" s="2333"/>
      <c r="AB35" s="2654"/>
      <c r="AC35" s="2355"/>
      <c r="AD35" s="2619"/>
      <c r="AE35" s="2365"/>
      <c r="AF35" s="2655"/>
      <c r="AG35" s="2361"/>
      <c r="AH35" s="2545"/>
      <c r="AI35" s="2545"/>
      <c r="AJ35" s="2545"/>
      <c r="AK35" s="2365"/>
      <c r="AL35" s="2540"/>
      <c r="AM35" s="2540"/>
      <c r="AN35" s="2656"/>
      <c r="AO35" s="2177"/>
      <c r="AP35" s="1279"/>
      <c r="AQ35" s="1279"/>
      <c r="AR35" s="2176"/>
      <c r="AS35" s="2281" t="s">
        <v>6187</v>
      </c>
      <c r="AT35" s="1199"/>
      <c r="BM35" s="242"/>
    </row>
    <row r="36" spans="1:65" ht="16.5" customHeight="1" thickBot="1">
      <c r="A36" s="1464"/>
      <c r="B36" s="2367" t="s">
        <v>5855</v>
      </c>
      <c r="C36" s="2368"/>
      <c r="D36" s="2368"/>
      <c r="E36" s="2368"/>
      <c r="F36" s="2368"/>
      <c r="G36" s="2368"/>
      <c r="H36" s="2373"/>
      <c r="I36" s="2657"/>
      <c r="J36" s="2658"/>
      <c r="K36" s="2659"/>
      <c r="L36" s="2660"/>
      <c r="M36" s="2382">
        <f>+'HH 3EROS'!N180+'HH ALICORP'!N37</f>
        <v>608872</v>
      </c>
      <c r="N36" s="2374">
        <v>0</v>
      </c>
      <c r="O36" s="2375">
        <f>8+30</f>
        <v>38</v>
      </c>
      <c r="P36" s="2374">
        <f>1+1</f>
        <v>2</v>
      </c>
      <c r="Q36" s="2368"/>
      <c r="R36" s="2368"/>
      <c r="S36" s="2661">
        <f>+(P36+Q36)*1000000/M36</f>
        <v>3.2847626430514132</v>
      </c>
      <c r="T36" s="2444">
        <f>+O36*1000000/M36</f>
        <v>62.41049021797685</v>
      </c>
      <c r="U36" s="2662"/>
      <c r="V36" s="2663"/>
      <c r="W36" s="2664"/>
      <c r="X36" s="2368"/>
      <c r="Y36" s="2383"/>
      <c r="Z36" s="2373"/>
      <c r="AA36" s="2373"/>
      <c r="AB36" s="2665"/>
      <c r="AC36" s="2383"/>
      <c r="AD36" s="2619"/>
      <c r="AE36" s="2393"/>
      <c r="AF36" s="2666"/>
      <c r="AG36" s="2389"/>
      <c r="AH36" s="2667"/>
      <c r="AI36" s="2667"/>
      <c r="AJ36" s="2667"/>
      <c r="AK36" s="2393"/>
      <c r="AL36" s="2668"/>
      <c r="AM36" s="2668"/>
      <c r="AN36" s="2669"/>
      <c r="AO36" s="2177"/>
      <c r="AP36" s="1279"/>
      <c r="AQ36" s="1279"/>
      <c r="AR36" s="2176"/>
      <c r="AS36" s="2281" t="s">
        <v>6187</v>
      </c>
      <c r="AT36" s="1199"/>
      <c r="BM36" s="242"/>
    </row>
    <row r="37" spans="1:65" ht="16.5" customHeight="1" thickBot="1">
      <c r="A37" s="1464"/>
      <c r="B37" s="2670" t="s">
        <v>5860</v>
      </c>
      <c r="C37" s="2671">
        <f>+C35+C33</f>
        <v>0</v>
      </c>
      <c r="D37" s="2671">
        <f>+D35+D33</f>
        <v>0</v>
      </c>
      <c r="E37" s="2671">
        <f>+E35+E33</f>
        <v>0</v>
      </c>
      <c r="F37" s="2672"/>
      <c r="G37" s="2671">
        <f>+G35+G33</f>
        <v>0</v>
      </c>
      <c r="H37" s="2673" t="e">
        <f>+(E37+F37)*1000000/C37</f>
        <v>#DIV/0!</v>
      </c>
      <c r="I37" s="2674" t="e">
        <f>+D37*1000000/C37</f>
        <v>#DIV/0!</v>
      </c>
      <c r="J37" s="2675" t="e">
        <f>+(G37+F37+E37)*200000/C37</f>
        <v>#DIV/0!</v>
      </c>
      <c r="K37" s="2676" t="e">
        <f>+H37*I37/1000</f>
        <v>#DIV/0!</v>
      </c>
      <c r="L37" s="2677"/>
      <c r="M37" s="2678">
        <f>+'HORAS HOMBRE'!X75</f>
        <v>5621621</v>
      </c>
      <c r="N37" s="2679">
        <f>+'INCIDENTE MATERIAL'!W75</f>
        <v>14</v>
      </c>
      <c r="O37" s="2680">
        <f>+'DIAS PERDIDOS'!X75</f>
        <v>1259</v>
      </c>
      <c r="P37" s="2679">
        <f>+'ACCIDENTES INCAPACITANTES'!X75</f>
        <v>17</v>
      </c>
      <c r="Q37" s="2671"/>
      <c r="R37" s="2671">
        <f>+'INCIDENTE MATERIAL'!W76</f>
        <v>30</v>
      </c>
      <c r="S37" s="2681">
        <f>+(P37+Q37)*1000000/M37</f>
        <v>3.0240387959273667</v>
      </c>
      <c r="T37" s="3018">
        <f>+O37*1000000/M37</f>
        <v>223.95675553367971</v>
      </c>
      <c r="U37" s="2563"/>
      <c r="V37" s="2682"/>
      <c r="W37" s="2565"/>
      <c r="X37" s="2683">
        <f>+M37/AA1*12</f>
        <v>6132677.4545454541</v>
      </c>
      <c r="Y37" s="2684"/>
      <c r="Z37" s="2685">
        <f>+P37*1000000/X37</f>
        <v>2.7720355629334197</v>
      </c>
      <c r="AA37" s="3006">
        <f>+O37*1000000/X37</f>
        <v>205.29369257253973</v>
      </c>
      <c r="AB37" s="2686"/>
      <c r="AC37" s="2687"/>
      <c r="AD37" s="2619"/>
      <c r="AE37" s="2688"/>
      <c r="AF37" s="2689"/>
      <c r="AG37" s="2690">
        <v>5.9649752351495273</v>
      </c>
      <c r="AH37" s="2691">
        <v>5.9</v>
      </c>
      <c r="AI37" s="2691">
        <v>5.8</v>
      </c>
      <c r="AJ37" s="2691">
        <v>5</v>
      </c>
      <c r="AK37" s="2692">
        <v>240.01176669851648</v>
      </c>
      <c r="AL37" s="2693">
        <v>238</v>
      </c>
      <c r="AM37" s="2693">
        <v>231</v>
      </c>
      <c r="AN37" s="2694">
        <v>200</v>
      </c>
      <c r="AO37" s="1072"/>
      <c r="AP37" s="1279"/>
      <c r="AQ37" s="1279"/>
      <c r="AR37" s="2176"/>
      <c r="AS37" s="2292"/>
      <c r="AT37" s="1199"/>
      <c r="BM37" s="242"/>
    </row>
    <row r="38" spans="1:65" ht="6.6" customHeight="1" thickBot="1">
      <c r="A38" s="1464"/>
      <c r="B38" s="2695"/>
      <c r="C38" s="2696"/>
      <c r="D38" s="2696"/>
      <c r="E38" s="2696"/>
      <c r="F38" s="2696"/>
      <c r="G38" s="2696"/>
      <c r="H38" s="2697"/>
      <c r="I38" s="2698"/>
      <c r="J38" s="2699"/>
      <c r="K38" s="2700"/>
      <c r="L38" s="2407"/>
      <c r="M38" s="2696"/>
      <c r="N38" s="2701"/>
      <c r="O38" s="2702"/>
      <c r="P38" s="2701"/>
      <c r="Q38" s="2696"/>
      <c r="R38" s="2696"/>
      <c r="S38" s="2703"/>
      <c r="T38" s="2704"/>
      <c r="U38" s="2705"/>
      <c r="V38" s="2706"/>
      <c r="W38" s="2565"/>
      <c r="X38" s="2707"/>
      <c r="Y38" s="2708"/>
      <c r="Z38" s="2709"/>
      <c r="AA38" s="2709"/>
      <c r="AB38" s="2710"/>
      <c r="AC38" s="2337"/>
      <c r="AD38" s="2337"/>
      <c r="AE38" s="2711"/>
      <c r="AF38" s="2711"/>
      <c r="AG38" s="2712"/>
      <c r="AH38" s="2713"/>
      <c r="AI38" s="2713"/>
      <c r="AJ38" s="2713"/>
      <c r="AK38" s="2711"/>
      <c r="AL38" s="2442"/>
      <c r="AM38" s="2442"/>
      <c r="AN38" s="2442"/>
      <c r="AO38" s="2177"/>
      <c r="AP38" s="1279"/>
      <c r="AQ38" s="1279"/>
      <c r="AR38" s="2176"/>
      <c r="AS38" s="2292"/>
      <c r="AT38" s="1199"/>
      <c r="BM38" s="242"/>
    </row>
    <row r="39" spans="1:65" ht="21" customHeight="1" thickBot="1">
      <c r="A39" s="1466"/>
      <c r="B39" s="2714" t="s">
        <v>5863</v>
      </c>
      <c r="C39" s="2715" t="e">
        <f>+C34+C32</f>
        <v>#REF!</v>
      </c>
      <c r="D39" s="2715" t="e">
        <f>+D34+D32</f>
        <v>#REF!</v>
      </c>
      <c r="E39" s="2715" t="e">
        <f>+E34+E32</f>
        <v>#REF!</v>
      </c>
      <c r="F39" s="2716"/>
      <c r="G39" s="2716"/>
      <c r="H39" s="2717" t="e">
        <f>+(E39+F39)*1000000/C39</f>
        <v>#REF!</v>
      </c>
      <c r="I39" s="2718" t="e">
        <f>+D39*1000000/C39</f>
        <v>#REF!</v>
      </c>
      <c r="J39" s="2718" t="e">
        <f>+(G39+F39+E39)*200000/C39</f>
        <v>#REF!</v>
      </c>
      <c r="K39" s="2719" t="e">
        <f>+H39*I39/1000</f>
        <v>#REF!</v>
      </c>
      <c r="L39" s="2720"/>
      <c r="M39" s="2715">
        <f>+M37+M32</f>
        <v>24521767.146916673</v>
      </c>
      <c r="N39" s="2721">
        <f>+N37+N32</f>
        <v>30</v>
      </c>
      <c r="O39" s="2721">
        <f>+O37+O32</f>
        <v>3313</v>
      </c>
      <c r="P39" s="2721">
        <f>+P37+P32</f>
        <v>87</v>
      </c>
      <c r="Q39" s="2716"/>
      <c r="R39" s="2716"/>
      <c r="S39" s="2616">
        <f>+(P39+Q39)*1000000/M39</f>
        <v>3.5478682869288742</v>
      </c>
      <c r="T39" s="2722">
        <f>+O39*1000000/M39</f>
        <v>135.10445557006162</v>
      </c>
      <c r="U39" s="2723">
        <f>+(R39+Q39+P39)*200000/M39</f>
        <v>0.70957365738577483</v>
      </c>
      <c r="V39" s="2724">
        <f>+S39*T39/1000</f>
        <v>0.47933281333981276</v>
      </c>
      <c r="W39" s="2695"/>
      <c r="X39" s="2725">
        <f>+M39/$AA$1*12</f>
        <v>26751018.705727279</v>
      </c>
      <c r="Y39" s="2726">
        <f>+P39*1000000/X39</f>
        <v>3.2522125963514679</v>
      </c>
      <c r="Z39" s="2726">
        <f>+(P39+Q39)*1000000/X39</f>
        <v>3.2522125963514679</v>
      </c>
      <c r="AA39" s="2727">
        <f>+O39*1000000/X39</f>
        <v>123.84575093922314</v>
      </c>
      <c r="AB39" s="2695"/>
      <c r="AC39" s="2695"/>
      <c r="AD39" s="2695"/>
      <c r="AE39" s="2688">
        <v>88</v>
      </c>
      <c r="AF39" s="2688">
        <f>+AF34+AF32</f>
        <v>2529</v>
      </c>
      <c r="AG39" s="2728">
        <v>3.6</v>
      </c>
      <c r="AH39" s="2729">
        <v>3.6</v>
      </c>
      <c r="AI39" s="2729">
        <v>3.5</v>
      </c>
      <c r="AJ39" s="2730" t="s">
        <v>5991</v>
      </c>
      <c r="AK39" s="2731">
        <v>102</v>
      </c>
      <c r="AL39" s="2732">
        <v>105</v>
      </c>
      <c r="AM39" s="2732">
        <v>98</v>
      </c>
      <c r="AN39" s="2733">
        <v>91</v>
      </c>
      <c r="AO39" s="1515">
        <v>1.7110572918217906</v>
      </c>
      <c r="AP39" s="1279">
        <f>+AL39*AH39/1000</f>
        <v>0.378</v>
      </c>
      <c r="AQ39" s="1279">
        <f>+AM39*AI39/1000</f>
        <v>0.34300000000000003</v>
      </c>
      <c r="AR39" s="1279">
        <f>+AN39*AJ39/1000</f>
        <v>0.30939999999999995</v>
      </c>
      <c r="AS39" s="2293"/>
      <c r="AT39" s="262"/>
    </row>
    <row r="40" spans="1:65" ht="7.95" customHeight="1" thickBot="1">
      <c r="A40" s="1464"/>
      <c r="B40" s="2595"/>
      <c r="C40" s="2734"/>
      <c r="D40" s="2735"/>
      <c r="E40" s="2735"/>
      <c r="F40" s="2735"/>
      <c r="G40" s="2735"/>
      <c r="H40" s="2550"/>
      <c r="I40" s="2736"/>
      <c r="J40" s="2550"/>
      <c r="K40" s="2598"/>
      <c r="L40" s="2598"/>
      <c r="M40" s="2737"/>
      <c r="N40" s="2737"/>
      <c r="O40" s="2442"/>
      <c r="P40" s="2442"/>
      <c r="Q40" s="2735"/>
      <c r="R40" s="2735"/>
      <c r="S40" s="2738"/>
      <c r="T40" s="2739"/>
      <c r="U40" s="2550"/>
      <c r="V40" s="2550"/>
      <c r="W40" s="2550"/>
      <c r="X40" s="2735"/>
      <c r="Y40" s="2550"/>
      <c r="Z40" s="2565"/>
      <c r="AA40" s="2565"/>
      <c r="AB40" s="2550"/>
      <c r="AC40" s="2550"/>
      <c r="AD40" s="2550"/>
      <c r="AE40" s="2711"/>
      <c r="AF40" s="2711"/>
      <c r="AG40" s="2740"/>
      <c r="AH40" s="2598"/>
      <c r="AI40" s="2598"/>
      <c r="AJ40" s="2598"/>
      <c r="AK40" s="2740"/>
      <c r="AL40" s="2598"/>
      <c r="AM40" s="2598"/>
      <c r="AN40" s="2598"/>
      <c r="AS40" s="2281"/>
      <c r="AT40" s="262"/>
    </row>
    <row r="41" spans="1:65" ht="15.75" customHeight="1">
      <c r="A41" s="1464" t="s">
        <v>380</v>
      </c>
      <c r="B41" s="2832" t="s">
        <v>857</v>
      </c>
      <c r="C41" s="2741">
        <f>+'HORAS HOMBRE'!$Y$76</f>
        <v>3556284.2936559138</v>
      </c>
      <c r="D41" s="2628">
        <f>+'DIAS PERDIDOS'!Y76</f>
        <v>87</v>
      </c>
      <c r="E41" s="2628">
        <f>+'ACCIDENTES INCAPACITANTES'!Y76</f>
        <v>9</v>
      </c>
      <c r="F41" s="2628"/>
      <c r="G41" s="2628">
        <f>+'INCIDENTE MATERIAL'!X76</f>
        <v>9</v>
      </c>
      <c r="H41" s="2742">
        <f t="shared" ref="H41:H48" si="18">+(E41+F41)*1000000/C41</f>
        <v>2.5307313074084594</v>
      </c>
      <c r="I41" s="2408">
        <f t="shared" ref="I41:I48" si="19">+D41*1000000/C41</f>
        <v>24.463735971615108</v>
      </c>
      <c r="J41" s="2629">
        <f t="shared" ref="J41:J48" si="20">+(G41+F41+E41)*200000/C41</f>
        <v>1.0122925229633837</v>
      </c>
      <c r="K41" s="2629">
        <f t="shared" ref="K41:K48" si="21">+H41*I41/1000</f>
        <v>6.1911142519540857E-2</v>
      </c>
      <c r="L41" s="2416"/>
      <c r="M41" s="2633">
        <f>+M43-M42</f>
        <v>1455814.533655914</v>
      </c>
      <c r="N41" s="2408">
        <f>+N43-N42</f>
        <v>5</v>
      </c>
      <c r="O41" s="2408">
        <f>+O43-O42</f>
        <v>20</v>
      </c>
      <c r="P41" s="2408">
        <f>+P43-P42</f>
        <v>1</v>
      </c>
      <c r="Q41" s="2628"/>
      <c r="R41" s="2628">
        <f>+'INCIDENTE MATERIAL'!X73</f>
        <v>0</v>
      </c>
      <c r="S41" s="2629">
        <f t="shared" ref="S41:S48" si="22">+(P41+Q41)*1000000/M41</f>
        <v>0.68690068472441346</v>
      </c>
      <c r="T41" s="2988">
        <f t="shared" ref="T41:T48" si="23">+O41*1000000/M41</f>
        <v>13.73801369448827</v>
      </c>
      <c r="U41" s="2743"/>
      <c r="V41" s="2744"/>
      <c r="W41" s="2744"/>
      <c r="X41" s="2745"/>
      <c r="Y41" s="2744"/>
      <c r="Z41" s="2744"/>
      <c r="AA41" s="2744"/>
      <c r="AB41" s="2744"/>
      <c r="AC41" s="2744"/>
      <c r="AD41" s="2744"/>
      <c r="AE41" s="2746"/>
      <c r="AF41" s="2747"/>
      <c r="AG41" s="2339">
        <v>3.8692532882849071</v>
      </c>
      <c r="AH41" s="2340">
        <v>3.0769230769230771</v>
      </c>
      <c r="AI41" s="2340">
        <v>2.3076923076923075</v>
      </c>
      <c r="AJ41" s="2341">
        <v>1.5384615384615385</v>
      </c>
      <c r="AK41" s="2422">
        <v>16.250863810796609</v>
      </c>
      <c r="AL41" s="2423">
        <v>46.153846153846153</v>
      </c>
      <c r="AM41" s="2423">
        <v>34.615384615384613</v>
      </c>
      <c r="AN41" s="2424">
        <v>23.076923076923077</v>
      </c>
      <c r="AO41" s="2094">
        <v>6.6911770970565901E-2</v>
      </c>
      <c r="AP41" s="2087">
        <f>+AL43*AH43/1000</f>
        <v>0.129</v>
      </c>
      <c r="AQ41" s="2088">
        <f>+AM43*AI43/1000</f>
        <v>7.9200000000000007E-2</v>
      </c>
      <c r="AR41" s="2089">
        <f>+AJ43*AN43/1000</f>
        <v>2.5999999999999999E-2</v>
      </c>
      <c r="AS41" s="2302" t="s">
        <v>6186</v>
      </c>
    </row>
    <row r="42" spans="1:65" ht="15.75" customHeight="1" thickBot="1">
      <c r="A42" s="1464"/>
      <c r="B42" s="2833" t="s">
        <v>5939</v>
      </c>
      <c r="C42" s="2748"/>
      <c r="D42" s="2368"/>
      <c r="E42" s="2368"/>
      <c r="F42" s="2368"/>
      <c r="G42" s="2368"/>
      <c r="H42" s="2371"/>
      <c r="I42" s="2397"/>
      <c r="J42" s="2373"/>
      <c r="K42" s="2373"/>
      <c r="L42" s="2406"/>
      <c r="M42" s="2748">
        <v>946110</v>
      </c>
      <c r="N42" s="2397">
        <v>0</v>
      </c>
      <c r="O42" s="2375">
        <v>48</v>
      </c>
      <c r="P42" s="2374">
        <v>3</v>
      </c>
      <c r="Q42" s="2368"/>
      <c r="R42" s="2368"/>
      <c r="S42" s="2377">
        <f t="shared" si="22"/>
        <v>3.1708786504740463</v>
      </c>
      <c r="T42" s="3012">
        <f t="shared" si="23"/>
        <v>50.73405840758474</v>
      </c>
      <c r="U42" s="2749"/>
      <c r="V42" s="2432"/>
      <c r="W42" s="2543"/>
      <c r="X42" s="2368"/>
      <c r="Y42" s="2383"/>
      <c r="Z42" s="2377"/>
      <c r="AA42" s="2397"/>
      <c r="AB42" s="2540"/>
      <c r="AC42" s="2744"/>
      <c r="AD42" s="2744"/>
      <c r="AE42" s="2365"/>
      <c r="AF42" s="2655"/>
      <c r="AG42" s="2389"/>
      <c r="AH42" s="2667">
        <v>3</v>
      </c>
      <c r="AI42" s="2667">
        <v>2</v>
      </c>
      <c r="AJ42" s="2750">
        <v>1</v>
      </c>
      <c r="AK42" s="2392"/>
      <c r="AL42" s="2668">
        <v>45</v>
      </c>
      <c r="AM42" s="2668">
        <v>30</v>
      </c>
      <c r="AN42" s="2669">
        <v>15</v>
      </c>
      <c r="AO42" s="2185"/>
      <c r="AP42" s="2188"/>
      <c r="AQ42" s="2186"/>
      <c r="AR42" s="2187"/>
      <c r="AS42" s="2281" t="s">
        <v>6188</v>
      </c>
    </row>
    <row r="43" spans="1:65" ht="15.75" customHeight="1" thickBot="1">
      <c r="A43" s="1464"/>
      <c r="B43" s="2834" t="s">
        <v>5867</v>
      </c>
      <c r="C43" s="2398"/>
      <c r="D43" s="2317"/>
      <c r="E43" s="2317"/>
      <c r="F43" s="2317"/>
      <c r="G43" s="2317"/>
      <c r="H43" s="2445"/>
      <c r="I43" s="2328"/>
      <c r="J43" s="2395"/>
      <c r="K43" s="2395"/>
      <c r="L43" s="2323"/>
      <c r="M43" s="2398">
        <f>+'HORAS HOMBRE'!$Y$75</f>
        <v>2401924.533655914</v>
      </c>
      <c r="N43" s="2328">
        <f>+'INCIDENTE MATERIAL'!X75</f>
        <v>5</v>
      </c>
      <c r="O43" s="2326">
        <f>+'DIAS PERDIDOS'!Y75</f>
        <v>68</v>
      </c>
      <c r="P43" s="2325">
        <f>+'ACCIDENTES INCAPACITANTES'!Y75</f>
        <v>4</v>
      </c>
      <c r="Q43" s="2317"/>
      <c r="R43" s="2317">
        <f>+'INCIDENTE MATERIAL'!X75</f>
        <v>5</v>
      </c>
      <c r="S43" s="2445">
        <f t="shared" si="22"/>
        <v>1.6653312558124764</v>
      </c>
      <c r="T43" s="2451">
        <f t="shared" si="23"/>
        <v>28.310631348812098</v>
      </c>
      <c r="U43" s="2751">
        <f t="shared" ref="U43:U48" si="24">+(R43+Q43+P43)*200000/M43</f>
        <v>0.74939906511561438</v>
      </c>
      <c r="V43" s="2752">
        <f t="shared" ref="V43:V48" si="25">+S43*T43/1000</f>
        <v>4.7146579256961314E-2</v>
      </c>
      <c r="W43" s="2565"/>
      <c r="X43" s="2399">
        <f>+M43/$AA$1*12</f>
        <v>2620281.3094428154</v>
      </c>
      <c r="Y43" s="2336">
        <f>+P43*1000000/X43</f>
        <v>1.5265536511614366</v>
      </c>
      <c r="Z43" s="2445">
        <f>+(P43+Q43)*1000000/X43</f>
        <v>1.5265536511614366</v>
      </c>
      <c r="AA43" s="2451">
        <f>+O43*1000000/X43</f>
        <v>25.951412069744421</v>
      </c>
      <c r="AB43" s="2442"/>
      <c r="AC43" s="2550"/>
      <c r="AD43" s="2550"/>
      <c r="AE43" s="2402">
        <v>5</v>
      </c>
      <c r="AF43" s="2402">
        <v>21</v>
      </c>
      <c r="AG43" s="2403"/>
      <c r="AH43" s="2753">
        <v>3</v>
      </c>
      <c r="AI43" s="2753">
        <v>2.2000000000000002</v>
      </c>
      <c r="AJ43" s="2754">
        <v>1.3</v>
      </c>
      <c r="AK43" s="2402"/>
      <c r="AL43" s="2755">
        <v>43</v>
      </c>
      <c r="AM43" s="2755">
        <v>36</v>
      </c>
      <c r="AN43" s="2756">
        <v>20</v>
      </c>
      <c r="AO43" s="2185"/>
      <c r="AP43" s="2188"/>
      <c r="AQ43" s="2186"/>
      <c r="AR43" s="2187"/>
      <c r="AS43" s="1314"/>
      <c r="AT43" s="262"/>
    </row>
    <row r="44" spans="1:65" ht="14.25" hidden="1" customHeight="1" collapsed="1" thickBot="1">
      <c r="A44" s="1464" t="s">
        <v>380</v>
      </c>
      <c r="B44" s="2835" t="s">
        <v>858</v>
      </c>
      <c r="C44" s="2757">
        <f>+'HORAS HOMBRE'!$Z$76</f>
        <v>0</v>
      </c>
      <c r="D44" s="2346">
        <f>+'DIAS PERDIDOS'!Z76</f>
        <v>130</v>
      </c>
      <c r="E44" s="2346">
        <f>+'ACCIDENTES INCAPACITANTES'!Z76</f>
        <v>2</v>
      </c>
      <c r="F44" s="2346"/>
      <c r="G44" s="2346">
        <f>+'INCIDENTE MATERIAL'!Y76</f>
        <v>0</v>
      </c>
      <c r="H44" s="2351" t="e">
        <f t="shared" si="18"/>
        <v>#DIV/0!</v>
      </c>
      <c r="I44" s="2348" t="e">
        <f t="shared" si="19"/>
        <v>#DIV/0!</v>
      </c>
      <c r="J44" s="2435" t="e">
        <f t="shared" si="20"/>
        <v>#DIV/0!</v>
      </c>
      <c r="K44" s="2333" t="e">
        <f t="shared" si="21"/>
        <v>#DIV/0!</v>
      </c>
      <c r="L44" s="2436"/>
      <c r="M44" s="2757">
        <f>+'HORAS HOMBRE'!$Z$75</f>
        <v>0</v>
      </c>
      <c r="N44" s="2758">
        <f>+'INCIDENTE MATERIAL'!Y75</f>
        <v>0</v>
      </c>
      <c r="O44" s="2350">
        <f>+'DIAS PERDIDOS'!Z75</f>
        <v>0</v>
      </c>
      <c r="P44" s="2349">
        <f>+'ACCIDENTES INCAPACITANTES'!Z75</f>
        <v>0</v>
      </c>
      <c r="Q44" s="2346"/>
      <c r="R44" s="2346">
        <f>+'INCIDENTE MATERIAL'!Y75</f>
        <v>0</v>
      </c>
      <c r="S44" s="2333" t="e">
        <f t="shared" si="22"/>
        <v>#DIV/0!</v>
      </c>
      <c r="T44" s="2759" t="e">
        <f t="shared" si="23"/>
        <v>#DIV/0!</v>
      </c>
      <c r="U44" s="2760" t="e">
        <f t="shared" si="24"/>
        <v>#DIV/0!</v>
      </c>
      <c r="V44" s="2475" t="e">
        <f t="shared" si="25"/>
        <v>#DIV/0!</v>
      </c>
      <c r="W44" s="2565"/>
      <c r="X44" s="2331">
        <f t="shared" ref="X44:X59" si="26">+M44/$AA$1*12</f>
        <v>0</v>
      </c>
      <c r="Y44" s="2355" t="e">
        <f t="shared" ref="Y44:Y59" si="27">+P44*1000000/X44</f>
        <v>#DIV/0!</v>
      </c>
      <c r="Z44" s="2333" t="e">
        <f t="shared" ref="Z44:Z59" si="28">+(P44+Q44)*1000000/X44</f>
        <v>#DIV/0!</v>
      </c>
      <c r="AA44" s="2334" t="e">
        <f t="shared" ref="AA44:AA59" si="29">+O44*1000000/X44</f>
        <v>#DIV/0!</v>
      </c>
      <c r="AB44" s="2442"/>
      <c r="AC44" s="2550"/>
      <c r="AD44" s="2550"/>
      <c r="AE44" s="2360"/>
      <c r="AF44" s="2360"/>
      <c r="AG44" s="2361"/>
      <c r="AH44" s="2545"/>
      <c r="AI44" s="2545"/>
      <c r="AJ44" s="2761"/>
      <c r="AK44" s="2360"/>
      <c r="AL44" s="2540"/>
      <c r="AM44" s="2540"/>
      <c r="AN44" s="2656"/>
      <c r="AO44" s="2095"/>
      <c r="AP44" s="1049"/>
      <c r="AQ44" s="1071"/>
      <c r="AR44" s="1050"/>
      <c r="AS44" s="1314"/>
      <c r="AT44" s="262"/>
    </row>
    <row r="45" spans="1:65" ht="17.7" hidden="1" customHeight="1" thickBot="1">
      <c r="A45" s="1466"/>
      <c r="B45" s="2835" t="s">
        <v>803</v>
      </c>
      <c r="C45" s="2513">
        <f>SUM(C46:C51)</f>
        <v>0</v>
      </c>
      <c r="D45" s="2513">
        <f>SUM(D46:D51)</f>
        <v>67</v>
      </c>
      <c r="E45" s="2513">
        <f>SUM(E46:E51)</f>
        <v>6</v>
      </c>
      <c r="F45" s="2346"/>
      <c r="G45" s="2513">
        <f>SUM(G46:G51)</f>
        <v>1</v>
      </c>
      <c r="H45" s="2432" t="e">
        <f t="shared" si="18"/>
        <v>#DIV/0!</v>
      </c>
      <c r="I45" s="2348" t="e">
        <f t="shared" si="19"/>
        <v>#DIV/0!</v>
      </c>
      <c r="J45" s="2435" t="e">
        <f t="shared" si="20"/>
        <v>#DIV/0!</v>
      </c>
      <c r="K45" s="2762" t="e">
        <f t="shared" si="21"/>
        <v>#DIV/0!</v>
      </c>
      <c r="L45" s="2436"/>
      <c r="M45" s="2513">
        <f>SUM(M46:M51)</f>
        <v>0</v>
      </c>
      <c r="N45" s="2348">
        <f>+'INCIDENTE MATERIAL'!Z75+'INCIDENTE MATERIAL'!AA75+'INCIDENTE MATERIAL'!AB75</f>
        <v>0</v>
      </c>
      <c r="O45" s="2514">
        <f>SUM(O46:O51)</f>
        <v>0</v>
      </c>
      <c r="P45" s="2348">
        <f>SUM(P46:P51)</f>
        <v>0</v>
      </c>
      <c r="Q45" s="2346"/>
      <c r="R45" s="2513">
        <f>SUM(R46:R51)</f>
        <v>0</v>
      </c>
      <c r="S45" s="2333" t="e">
        <f t="shared" si="22"/>
        <v>#DIV/0!</v>
      </c>
      <c r="T45" s="2334" t="e">
        <f t="shared" si="23"/>
        <v>#DIV/0!</v>
      </c>
      <c r="U45" s="2760" t="e">
        <f t="shared" si="24"/>
        <v>#DIV/0!</v>
      </c>
      <c r="V45" s="2763" t="e">
        <f t="shared" si="25"/>
        <v>#DIV/0!</v>
      </c>
      <c r="W45" s="2565"/>
      <c r="X45" s="2331">
        <f t="shared" si="26"/>
        <v>0</v>
      </c>
      <c r="Y45" s="2355" t="e">
        <f t="shared" si="27"/>
        <v>#DIV/0!</v>
      </c>
      <c r="Z45" s="2333" t="e">
        <f t="shared" si="28"/>
        <v>#DIV/0!</v>
      </c>
      <c r="AA45" s="2334" t="e">
        <f t="shared" si="29"/>
        <v>#DIV/0!</v>
      </c>
      <c r="AB45" s="2442"/>
      <c r="AC45" s="2550"/>
      <c r="AD45" s="2550"/>
      <c r="AE45" s="2360"/>
      <c r="AF45" s="2360"/>
      <c r="AG45" s="2361"/>
      <c r="AH45" s="2545"/>
      <c r="AI45" s="2545"/>
      <c r="AJ45" s="2761"/>
      <c r="AK45" s="2360"/>
      <c r="AL45" s="2540"/>
      <c r="AM45" s="2538"/>
      <c r="AN45" s="2656"/>
      <c r="AO45" s="2095"/>
      <c r="AP45" s="1049"/>
      <c r="AQ45" s="1071"/>
      <c r="AR45" s="1050"/>
      <c r="AS45" s="859"/>
      <c r="AT45" s="262"/>
      <c r="AU45">
        <v>55854</v>
      </c>
      <c r="AV45">
        <v>47812.31</v>
      </c>
      <c r="AW45">
        <v>45184.26</v>
      </c>
    </row>
    <row r="46" spans="1:65" ht="15.6" hidden="1" customHeight="1" thickBot="1">
      <c r="A46" s="1466"/>
      <c r="B46" s="2836" t="s">
        <v>888</v>
      </c>
      <c r="C46" s="2757">
        <f>+'HORAS HOMBRE'!$AA$76</f>
        <v>0</v>
      </c>
      <c r="D46" s="2346">
        <f>+'DIAS PERDIDOS'!AA76</f>
        <v>32</v>
      </c>
      <c r="E46" s="2346">
        <f>+'ACCIDENTES INCAPACITANTES'!AA76</f>
        <v>4</v>
      </c>
      <c r="F46" s="2346"/>
      <c r="G46" s="2346">
        <f>+'INCIDENTE MATERIAL'!Z76</f>
        <v>1</v>
      </c>
      <c r="H46" s="2333" t="e">
        <f t="shared" si="18"/>
        <v>#DIV/0!</v>
      </c>
      <c r="I46" s="2348" t="e">
        <f t="shared" si="19"/>
        <v>#DIV/0!</v>
      </c>
      <c r="J46" s="2435" t="e">
        <f t="shared" si="20"/>
        <v>#DIV/0!</v>
      </c>
      <c r="K46" s="2762" t="e">
        <f t="shared" si="21"/>
        <v>#DIV/0!</v>
      </c>
      <c r="L46" s="2436"/>
      <c r="M46" s="2757">
        <f>+'HORAS HOMBRE'!$AA$75</f>
        <v>0</v>
      </c>
      <c r="N46" s="2758"/>
      <c r="O46" s="2350">
        <f>+'DIAS PERDIDOS'!AA75</f>
        <v>0</v>
      </c>
      <c r="P46" s="2349">
        <f>+'ACCIDENTES INCAPACITANTES'!AA75</f>
        <v>0</v>
      </c>
      <c r="Q46" s="2346"/>
      <c r="R46" s="2346">
        <f>+'INCIDENTE MATERIAL'!Z75</f>
        <v>0</v>
      </c>
      <c r="S46" s="2333" t="e">
        <f t="shared" si="22"/>
        <v>#DIV/0!</v>
      </c>
      <c r="T46" s="2334" t="e">
        <f t="shared" si="23"/>
        <v>#DIV/0!</v>
      </c>
      <c r="U46" s="2764" t="e">
        <f t="shared" si="24"/>
        <v>#DIV/0!</v>
      </c>
      <c r="V46" s="2765" t="e">
        <f t="shared" si="25"/>
        <v>#DIV/0!</v>
      </c>
      <c r="W46" s="2565"/>
      <c r="X46" s="2331">
        <f t="shared" si="26"/>
        <v>0</v>
      </c>
      <c r="Y46" s="2355" t="e">
        <f t="shared" si="27"/>
        <v>#DIV/0!</v>
      </c>
      <c r="Z46" s="2333" t="e">
        <f t="shared" si="28"/>
        <v>#DIV/0!</v>
      </c>
      <c r="AA46" s="2334" t="e">
        <f t="shared" si="29"/>
        <v>#DIV/0!</v>
      </c>
      <c r="AB46" s="2442"/>
      <c r="AC46" s="2550"/>
      <c r="AD46" s="2550"/>
      <c r="AE46" s="2360"/>
      <c r="AF46" s="2360"/>
      <c r="AG46" s="2361">
        <v>4.2804279571871593</v>
      </c>
      <c r="AH46" s="2545"/>
      <c r="AI46" s="2545"/>
      <c r="AJ46" s="2761"/>
      <c r="AK46" s="2360">
        <v>34.243423657497274</v>
      </c>
      <c r="AL46" s="2538"/>
      <c r="AM46" s="2538"/>
      <c r="AN46" s="2551"/>
      <c r="AO46" s="2095">
        <v>0.1465765079733555</v>
      </c>
      <c r="AP46" s="1049"/>
      <c r="AQ46" s="1071"/>
      <c r="AR46" s="1050"/>
      <c r="AS46" s="859"/>
      <c r="AT46" s="262"/>
    </row>
    <row r="47" spans="1:65" ht="23.1" hidden="1" customHeight="1" thickBot="1">
      <c r="A47" s="1466"/>
      <c r="B47" s="2836" t="s">
        <v>889</v>
      </c>
      <c r="C47" s="2346">
        <f>+'HORAS HOMBRE'!$AB76</f>
        <v>0</v>
      </c>
      <c r="D47" s="2346">
        <f>+'DIAS PERDIDOS'!AB76</f>
        <v>20</v>
      </c>
      <c r="E47" s="2346">
        <f>+'ACCIDENTES INCAPACITANTES'!AB76</f>
        <v>1</v>
      </c>
      <c r="F47" s="2346"/>
      <c r="G47" s="2346">
        <f>+'INCIDENTE MATERIAL'!AA76</f>
        <v>0</v>
      </c>
      <c r="H47" s="2333" t="e">
        <f t="shared" si="18"/>
        <v>#DIV/0!</v>
      </c>
      <c r="I47" s="2348" t="e">
        <f t="shared" si="19"/>
        <v>#DIV/0!</v>
      </c>
      <c r="J47" s="2435" t="e">
        <f t="shared" si="20"/>
        <v>#DIV/0!</v>
      </c>
      <c r="K47" s="2762" t="e">
        <f t="shared" si="21"/>
        <v>#DIV/0!</v>
      </c>
      <c r="L47" s="2436"/>
      <c r="M47" s="2346">
        <f>+'HORAS HOMBRE'!$AB$75</f>
        <v>0</v>
      </c>
      <c r="N47" s="2349"/>
      <c r="O47" s="2350">
        <f>+'DIAS PERDIDOS'!AB75</f>
        <v>0</v>
      </c>
      <c r="P47" s="2349">
        <f>+'ACCIDENTES INCAPACITANTES'!AB75</f>
        <v>0</v>
      </c>
      <c r="Q47" s="2346"/>
      <c r="R47" s="2346">
        <f>+'INCIDENTE MATERIAL'!AA75</f>
        <v>0</v>
      </c>
      <c r="S47" s="2333" t="e">
        <f t="shared" si="22"/>
        <v>#DIV/0!</v>
      </c>
      <c r="T47" s="2334" t="e">
        <f t="shared" si="23"/>
        <v>#DIV/0!</v>
      </c>
      <c r="U47" s="2652" t="e">
        <f t="shared" si="24"/>
        <v>#DIV/0!</v>
      </c>
      <c r="V47" s="2762" t="e">
        <f t="shared" si="25"/>
        <v>#DIV/0!</v>
      </c>
      <c r="W47" s="2565"/>
      <c r="X47" s="2331">
        <f t="shared" si="26"/>
        <v>0</v>
      </c>
      <c r="Y47" s="2355" t="e">
        <f t="shared" si="27"/>
        <v>#DIV/0!</v>
      </c>
      <c r="Z47" s="2333" t="e">
        <f t="shared" si="28"/>
        <v>#DIV/0!</v>
      </c>
      <c r="AA47" s="2334" t="e">
        <f t="shared" si="29"/>
        <v>#DIV/0!</v>
      </c>
      <c r="AB47" s="2442"/>
      <c r="AC47" s="2550"/>
      <c r="AD47" s="2550"/>
      <c r="AE47" s="2360"/>
      <c r="AF47" s="2360"/>
      <c r="AG47" s="2361">
        <v>3.2752200129043669</v>
      </c>
      <c r="AH47" s="2545"/>
      <c r="AI47" s="2545"/>
      <c r="AJ47" s="2761"/>
      <c r="AK47" s="2360">
        <v>65.504400258087344</v>
      </c>
      <c r="AL47" s="2538"/>
      <c r="AM47" s="2538"/>
      <c r="AN47" s="2551"/>
      <c r="AO47" s="2095">
        <v>0.21454132265858564</v>
      </c>
      <c r="AP47" s="1049"/>
      <c r="AQ47" s="1071"/>
      <c r="AR47" s="1050"/>
      <c r="AS47" s="859"/>
      <c r="AT47" s="262"/>
    </row>
    <row r="48" spans="1:65" ht="14.1" hidden="1" customHeight="1" thickBot="1">
      <c r="A48" s="1466"/>
      <c r="B48" s="2836" t="s">
        <v>890</v>
      </c>
      <c r="C48" s="2346">
        <f>+'HORAS HOMBRE'!AC76</f>
        <v>0</v>
      </c>
      <c r="D48" s="2346">
        <f>+'DIAS PERDIDOS'!AC76</f>
        <v>15</v>
      </c>
      <c r="E48" s="2346">
        <f>+'ACCIDENTES INCAPACITANTES'!AC76</f>
        <v>1</v>
      </c>
      <c r="F48" s="2346"/>
      <c r="G48" s="2346">
        <f>+'INCIDENTE MATERIAL'!AB76</f>
        <v>0</v>
      </c>
      <c r="H48" s="2333" t="e">
        <f t="shared" si="18"/>
        <v>#DIV/0!</v>
      </c>
      <c r="I48" s="2348" t="e">
        <f t="shared" si="19"/>
        <v>#DIV/0!</v>
      </c>
      <c r="J48" s="2435" t="e">
        <f t="shared" si="20"/>
        <v>#DIV/0!</v>
      </c>
      <c r="K48" s="2762" t="e">
        <f t="shared" si="21"/>
        <v>#DIV/0!</v>
      </c>
      <c r="L48" s="2436"/>
      <c r="M48" s="2346">
        <f>+'HORAS HOMBRE'!$AC75</f>
        <v>0</v>
      </c>
      <c r="N48" s="2349"/>
      <c r="O48" s="2350">
        <f>+'DIAS PERDIDOS'!AC75</f>
        <v>0</v>
      </c>
      <c r="P48" s="2349">
        <f>+'ACCIDENTES INCAPACITANTES'!AC75</f>
        <v>0</v>
      </c>
      <c r="Q48" s="2346"/>
      <c r="R48" s="2346">
        <f>+'INCIDENTE MATERIAL'!AB75</f>
        <v>0</v>
      </c>
      <c r="S48" s="2333" t="e">
        <f t="shared" si="22"/>
        <v>#DIV/0!</v>
      </c>
      <c r="T48" s="2334" t="e">
        <f t="shared" si="23"/>
        <v>#DIV/0!</v>
      </c>
      <c r="U48" s="2652" t="e">
        <f t="shared" si="24"/>
        <v>#DIV/0!</v>
      </c>
      <c r="V48" s="2762" t="e">
        <f t="shared" si="25"/>
        <v>#DIV/0!</v>
      </c>
      <c r="W48" s="2565"/>
      <c r="X48" s="2331">
        <f t="shared" si="26"/>
        <v>0</v>
      </c>
      <c r="Y48" s="2355" t="e">
        <f t="shared" si="27"/>
        <v>#DIV/0!</v>
      </c>
      <c r="Z48" s="2333" t="e">
        <f t="shared" si="28"/>
        <v>#DIV/0!</v>
      </c>
      <c r="AA48" s="2334" t="e">
        <f t="shared" si="29"/>
        <v>#DIV/0!</v>
      </c>
      <c r="AB48" s="2442"/>
      <c r="AC48" s="2550"/>
      <c r="AD48" s="2550"/>
      <c r="AE48" s="2360"/>
      <c r="AF48" s="2360"/>
      <c r="AG48" s="2361">
        <v>2.4492935012895529</v>
      </c>
      <c r="AH48" s="2545"/>
      <c r="AI48" s="2538"/>
      <c r="AJ48" s="2761"/>
      <c r="AK48" s="2360">
        <v>36.739402519343294</v>
      </c>
      <c r="AL48" s="2538"/>
      <c r="AM48" s="2538"/>
      <c r="AN48" s="2551"/>
      <c r="AO48" s="2095">
        <v>8.9985579831888554E-2</v>
      </c>
      <c r="AP48" s="1049"/>
      <c r="AQ48" s="1071"/>
      <c r="AR48" s="1050"/>
      <c r="AS48" s="859"/>
      <c r="AT48" s="262"/>
    </row>
    <row r="49" spans="1:72" ht="23.1" hidden="1" customHeight="1" thickBot="1">
      <c r="A49" s="1466"/>
      <c r="B49" s="2836" t="s">
        <v>927</v>
      </c>
      <c r="C49" s="2346"/>
      <c r="D49" s="2346"/>
      <c r="E49" s="2346"/>
      <c r="F49" s="2346"/>
      <c r="G49" s="2346"/>
      <c r="H49" s="2333"/>
      <c r="I49" s="2348"/>
      <c r="J49" s="2435"/>
      <c r="K49" s="2762"/>
      <c r="L49" s="2436"/>
      <c r="M49" s="2346"/>
      <c r="N49" s="2349"/>
      <c r="O49" s="2350"/>
      <c r="P49" s="2349"/>
      <c r="Q49" s="2346"/>
      <c r="R49" s="2346"/>
      <c r="S49" s="2333"/>
      <c r="T49" s="2334"/>
      <c r="U49" s="2652"/>
      <c r="V49" s="2762"/>
      <c r="W49" s="2565"/>
      <c r="X49" s="2331">
        <f t="shared" si="26"/>
        <v>0</v>
      </c>
      <c r="Y49" s="2355" t="e">
        <f t="shared" si="27"/>
        <v>#DIV/0!</v>
      </c>
      <c r="Z49" s="2333" t="e">
        <f t="shared" si="28"/>
        <v>#DIV/0!</v>
      </c>
      <c r="AA49" s="2334" t="e">
        <f t="shared" si="29"/>
        <v>#DIV/0!</v>
      </c>
      <c r="AB49" s="2442"/>
      <c r="AC49" s="2550"/>
      <c r="AD49" s="2550"/>
      <c r="AE49" s="2360"/>
      <c r="AF49" s="2360"/>
      <c r="AG49" s="2361"/>
      <c r="AH49" s="2545"/>
      <c r="AI49" s="2538"/>
      <c r="AJ49" s="2761"/>
      <c r="AK49" s="2360"/>
      <c r="AL49" s="2538"/>
      <c r="AM49" s="2538"/>
      <c r="AN49" s="2551"/>
      <c r="AO49" s="2095"/>
      <c r="AP49" s="1049"/>
      <c r="AQ49" s="1071"/>
      <c r="AR49" s="1050"/>
      <c r="AS49" s="859"/>
      <c r="AT49" s="262"/>
    </row>
    <row r="50" spans="1:72" ht="15.6" hidden="1" customHeight="1" thickBot="1">
      <c r="A50" s="1466"/>
      <c r="B50" s="2836" t="s">
        <v>891</v>
      </c>
      <c r="C50" s="2346"/>
      <c r="D50" s="2346"/>
      <c r="E50" s="2346"/>
      <c r="F50" s="2346"/>
      <c r="G50" s="2346"/>
      <c r="H50" s="2333"/>
      <c r="I50" s="2348"/>
      <c r="J50" s="2435"/>
      <c r="K50" s="2762"/>
      <c r="L50" s="2436"/>
      <c r="M50" s="2346"/>
      <c r="N50" s="2349"/>
      <c r="O50" s="2350"/>
      <c r="P50" s="2349"/>
      <c r="Q50" s="2346"/>
      <c r="R50" s="2346"/>
      <c r="S50" s="2333"/>
      <c r="T50" s="2334"/>
      <c r="U50" s="2652"/>
      <c r="V50" s="2762"/>
      <c r="W50" s="2565"/>
      <c r="X50" s="2331">
        <f t="shared" si="26"/>
        <v>0</v>
      </c>
      <c r="Y50" s="2355" t="e">
        <f t="shared" si="27"/>
        <v>#DIV/0!</v>
      </c>
      <c r="Z50" s="2333" t="e">
        <f t="shared" si="28"/>
        <v>#DIV/0!</v>
      </c>
      <c r="AA50" s="2334" t="e">
        <f t="shared" si="29"/>
        <v>#DIV/0!</v>
      </c>
      <c r="AB50" s="2442"/>
      <c r="AC50" s="2550"/>
      <c r="AD50" s="2550"/>
      <c r="AE50" s="2360"/>
      <c r="AF50" s="2360"/>
      <c r="AG50" s="2361"/>
      <c r="AH50" s="2545"/>
      <c r="AI50" s="2538"/>
      <c r="AJ50" s="2761"/>
      <c r="AK50" s="2360"/>
      <c r="AL50" s="2538"/>
      <c r="AM50" s="2538"/>
      <c r="AN50" s="2551"/>
      <c r="AO50" s="2095"/>
      <c r="AP50" s="1049"/>
      <c r="AQ50" s="1071"/>
      <c r="AR50" s="1050"/>
      <c r="AS50" s="859"/>
      <c r="AT50" s="262"/>
    </row>
    <row r="51" spans="1:72" ht="15.75" hidden="1" customHeight="1" thickBot="1">
      <c r="B51" s="2836" t="s">
        <v>892</v>
      </c>
      <c r="C51" s="2346"/>
      <c r="D51" s="2346"/>
      <c r="E51" s="2346"/>
      <c r="F51" s="2346"/>
      <c r="G51" s="2346"/>
      <c r="H51" s="2333"/>
      <c r="I51" s="2348"/>
      <c r="J51" s="2435"/>
      <c r="K51" s="2762"/>
      <c r="L51" s="2436"/>
      <c r="M51" s="2346"/>
      <c r="N51" s="2349"/>
      <c r="O51" s="2350"/>
      <c r="P51" s="2349"/>
      <c r="Q51" s="2346"/>
      <c r="R51" s="2346"/>
      <c r="S51" s="2333"/>
      <c r="T51" s="2334"/>
      <c r="U51" s="2662"/>
      <c r="V51" s="2766"/>
      <c r="W51" s="2565"/>
      <c r="X51" s="2331">
        <f t="shared" si="26"/>
        <v>0</v>
      </c>
      <c r="Y51" s="2355" t="e">
        <f t="shared" si="27"/>
        <v>#DIV/0!</v>
      </c>
      <c r="Z51" s="2333" t="e">
        <f t="shared" si="28"/>
        <v>#DIV/0!</v>
      </c>
      <c r="AA51" s="2334" t="e">
        <f t="shared" si="29"/>
        <v>#DIV/0!</v>
      </c>
      <c r="AB51" s="2442"/>
      <c r="AC51" s="2550"/>
      <c r="AD51" s="2550"/>
      <c r="AE51" s="2360"/>
      <c r="AF51" s="2360"/>
      <c r="AG51" s="2361"/>
      <c r="AH51" s="2538"/>
      <c r="AI51" s="2538"/>
      <c r="AJ51" s="2761"/>
      <c r="AK51" s="2360"/>
      <c r="AL51" s="2538"/>
      <c r="AM51" s="2538"/>
      <c r="AN51" s="2551"/>
      <c r="AO51" s="2095"/>
      <c r="AP51" s="1049"/>
      <c r="AQ51" s="1071"/>
      <c r="AR51" s="1050"/>
      <c r="AS51" s="1314"/>
      <c r="AT51" s="262"/>
    </row>
    <row r="52" spans="1:72" ht="14.4" thickBot="1">
      <c r="A52" s="1466" t="s">
        <v>380</v>
      </c>
      <c r="B52" s="2837" t="s">
        <v>859</v>
      </c>
      <c r="C52" s="2513">
        <f>+'HORAS HOMBRE'!$AD$76</f>
        <v>1891904</v>
      </c>
      <c r="D52" s="2346">
        <f>+'DIAS PERDIDOS'!AD76</f>
        <v>45</v>
      </c>
      <c r="E52" s="2346">
        <f>+'ACCIDENTES INCAPACITANTES'!AD76</f>
        <v>6</v>
      </c>
      <c r="F52" s="2346"/>
      <c r="G52" s="2346">
        <f>+'INCIDENTE MATERIAL'!AC76</f>
        <v>6</v>
      </c>
      <c r="H52" s="2333">
        <f>+(E52+F52)*1000000/C52</f>
        <v>3.1714082744156151</v>
      </c>
      <c r="I52" s="2348">
        <f>+D52*1000000/C52</f>
        <v>23.785562058117115</v>
      </c>
      <c r="J52" s="2435">
        <f>+(G52+F52+E52)*200000/C52</f>
        <v>1.2685633097662461</v>
      </c>
      <c r="K52" s="2515">
        <f>+H52*I52/1000</f>
        <v>7.543372832273873E-2</v>
      </c>
      <c r="L52" s="2436"/>
      <c r="M52" s="2513">
        <f>+'HORAS HOMBRE'!$AD$75</f>
        <v>948630</v>
      </c>
      <c r="N52" s="2348">
        <f>+'INCIDENTE MATERIAL'!AC75</f>
        <v>3</v>
      </c>
      <c r="O52" s="2350">
        <f>+'DIAS PERDIDOS'!AD75</f>
        <v>31</v>
      </c>
      <c r="P52" s="2349">
        <f>+'ACCIDENTES INCAPACITANTES'!AD75</f>
        <v>3</v>
      </c>
      <c r="Q52" s="2346"/>
      <c r="R52" s="2346">
        <f>+'INCIDENTE MATERIAL'!AC75</f>
        <v>3</v>
      </c>
      <c r="S52" s="2432">
        <f>+(P52+Q52)*1000000/M52</f>
        <v>3.1624553303184593</v>
      </c>
      <c r="T52" s="2459">
        <f>+O52*1000000/M52</f>
        <v>32.67870507995741</v>
      </c>
      <c r="U52" s="2760">
        <f>+(R52+Q52+P52)*200000/M52</f>
        <v>1.2649821321273838</v>
      </c>
      <c r="V52" s="2767">
        <f>+S52*T52/1000</f>
        <v>0.10334494506801623</v>
      </c>
      <c r="W52" s="2565"/>
      <c r="X52" s="2331">
        <f t="shared" si="26"/>
        <v>1034869.0909090909</v>
      </c>
      <c r="Y52" s="2355">
        <f t="shared" si="27"/>
        <v>2.8989173861252544</v>
      </c>
      <c r="Z52" s="2432">
        <f t="shared" si="28"/>
        <v>2.8989173861252544</v>
      </c>
      <c r="AA52" s="2459">
        <f t="shared" si="29"/>
        <v>29.955479656627627</v>
      </c>
      <c r="AB52" s="2442"/>
      <c r="AC52" s="2550"/>
      <c r="AD52" s="2550"/>
      <c r="AE52" s="2360">
        <v>2</v>
      </c>
      <c r="AF52" s="2360">
        <v>17</v>
      </c>
      <c r="AG52" s="2361">
        <v>2.1220271725579445</v>
      </c>
      <c r="AH52" s="2362">
        <v>4.2</v>
      </c>
      <c r="AI52" s="2362">
        <v>3.2</v>
      </c>
      <c r="AJ52" s="2363">
        <v>2.1</v>
      </c>
      <c r="AK52" s="2360">
        <v>18.037230966742531</v>
      </c>
      <c r="AL52" s="2540">
        <v>64</v>
      </c>
      <c r="AM52" s="2540">
        <v>48</v>
      </c>
      <c r="AN52" s="2656">
        <v>32</v>
      </c>
      <c r="AO52" s="2095">
        <v>0.12834067841174748</v>
      </c>
      <c r="AP52" s="1049">
        <f>+AL52*AH52/1000</f>
        <v>0.26880000000000004</v>
      </c>
      <c r="AQ52" s="1071">
        <f>+AM52*AI52/1000</f>
        <v>0.15360000000000001</v>
      </c>
      <c r="AR52" s="1050">
        <f>+AJ52*AN52/1000</f>
        <v>6.720000000000001E-2</v>
      </c>
      <c r="AS52" s="859"/>
      <c r="AT52" s="262"/>
    </row>
    <row r="53" spans="1:72" ht="5.7" hidden="1" customHeight="1">
      <c r="A53" s="1466"/>
      <c r="B53" s="2838"/>
      <c r="C53" s="2538"/>
      <c r="D53" s="2768"/>
      <c r="E53" s="2768"/>
      <c r="F53" s="2538"/>
      <c r="G53" s="2538"/>
      <c r="H53" s="2538"/>
      <c r="I53" s="2538"/>
      <c r="J53" s="2538"/>
      <c r="K53" s="2538"/>
      <c r="L53" s="2538"/>
      <c r="M53" s="2538"/>
      <c r="N53" s="2538"/>
      <c r="O53" s="2540"/>
      <c r="P53" s="2538"/>
      <c r="Q53" s="2538"/>
      <c r="R53" s="2538"/>
      <c r="S53" s="2769"/>
      <c r="T53" s="2770"/>
      <c r="U53" s="2771"/>
      <c r="V53" s="2772"/>
      <c r="W53" s="2565"/>
      <c r="X53" s="2331">
        <f t="shared" si="26"/>
        <v>0</v>
      </c>
      <c r="Y53" s="2355" t="e">
        <f t="shared" si="27"/>
        <v>#DIV/0!</v>
      </c>
      <c r="Z53" s="2333" t="e">
        <f t="shared" si="28"/>
        <v>#DIV/0!</v>
      </c>
      <c r="AA53" s="2334" t="e">
        <f t="shared" si="29"/>
        <v>#DIV/0!</v>
      </c>
      <c r="AB53" s="2442"/>
      <c r="AC53" s="2550"/>
      <c r="AD53" s="2550"/>
      <c r="AE53" s="2360"/>
      <c r="AF53" s="2360"/>
      <c r="AG53" s="2361"/>
      <c r="AH53" s="2538"/>
      <c r="AI53" s="2538"/>
      <c r="AJ53" s="2551"/>
      <c r="AK53" s="2360"/>
      <c r="AL53" s="2538"/>
      <c r="AM53" s="2538"/>
      <c r="AN53" s="2551"/>
      <c r="AO53" s="2095"/>
      <c r="AP53" s="543"/>
      <c r="AQ53" s="543"/>
      <c r="AR53" s="1963"/>
      <c r="AS53" s="1314"/>
      <c r="AT53" s="1199"/>
      <c r="BS53" s="556" t="s">
        <v>91</v>
      </c>
      <c r="BT53">
        <v>2</v>
      </c>
    </row>
    <row r="54" spans="1:72" ht="13.8" hidden="1">
      <c r="A54" s="1464" t="s">
        <v>380</v>
      </c>
      <c r="B54" s="2839" t="s">
        <v>2787</v>
      </c>
      <c r="C54" s="2773">
        <f>+'HORAS HOMBRE'!$AE$76</f>
        <v>1999883.2841666711</v>
      </c>
      <c r="D54" s="2533">
        <f>+'DIAS PERDIDOS'!AE76</f>
        <v>38</v>
      </c>
      <c r="E54" s="2533">
        <f>+'ACCIDENTES INCAPACITANTES'!AE76</f>
        <v>3</v>
      </c>
      <c r="F54" s="2746"/>
      <c r="G54" s="2774">
        <f>+'INCIDENTE MATERIAL'!AD76</f>
        <v>3</v>
      </c>
      <c r="H54" s="2333">
        <f t="shared" ref="H54:H59" si="30">+(E54+F54)*1000000/C54</f>
        <v>1.5000875419837645</v>
      </c>
      <c r="I54" s="2348">
        <f t="shared" ref="I54:I59" si="31">+D54*1000000/C54</f>
        <v>19.001108865127684</v>
      </c>
      <c r="J54" s="2333">
        <f t="shared" ref="J54:J59" si="32">+(G54+F54+E54)*200000/C54</f>
        <v>0.60003501679350579</v>
      </c>
      <c r="K54" s="2333">
        <f t="shared" ref="K54:K59" si="33">+H54*I54/1000</f>
        <v>2.8503326692455304E-2</v>
      </c>
      <c r="L54" s="2746"/>
      <c r="M54" s="2773">
        <f>+'HORAS HOMBRE'!$AE$75</f>
        <v>970499.67583333829</v>
      </c>
      <c r="N54" s="2775"/>
      <c r="O54" s="2540">
        <f>+'DIAS PERDIDOS'!AE75</f>
        <v>101</v>
      </c>
      <c r="P54" s="2539">
        <f>+'ACCIDENTES INCAPACITANTES'!AE75</f>
        <v>4</v>
      </c>
      <c r="Q54" s="2746"/>
      <c r="R54" s="2774">
        <f>+'INCIDENTE MATERIAL'!AD75</f>
        <v>2</v>
      </c>
      <c r="S54" s="2333">
        <f t="shared" ref="S54:S59" si="34">+(P54+Q54)*1000000/M54</f>
        <v>4.1215881876161609</v>
      </c>
      <c r="T54" s="2334">
        <f t="shared" ref="T54:T59" si="35">+O54*1000000/M54</f>
        <v>104.07010173730805</v>
      </c>
      <c r="U54" s="2749">
        <f t="shared" ref="U54:U59" si="36">+(R54+Q54+P54)*200000/M54</f>
        <v>1.236476456284848</v>
      </c>
      <c r="V54" s="2333">
        <f t="shared" ref="V54:V59" si="37">+S54*T54/1000</f>
        <v>0.42893410200450099</v>
      </c>
      <c r="W54" s="2595"/>
      <c r="X54" s="2331">
        <f t="shared" si="26"/>
        <v>1058726.9190909145</v>
      </c>
      <c r="Y54" s="2355">
        <f t="shared" si="27"/>
        <v>3.7781225053148138</v>
      </c>
      <c r="Z54" s="2333">
        <f t="shared" si="28"/>
        <v>3.7781225053148138</v>
      </c>
      <c r="AA54" s="2334">
        <f t="shared" si="29"/>
        <v>95.397593259199041</v>
      </c>
      <c r="AB54" s="2595"/>
      <c r="AC54" s="2595"/>
      <c r="AD54" s="2595"/>
      <c r="AE54" s="2360"/>
      <c r="AF54" s="2360"/>
      <c r="AG54" s="2361">
        <v>1.9216314861415817</v>
      </c>
      <c r="AH54" s="2545"/>
      <c r="AI54" s="2545"/>
      <c r="AJ54" s="2761"/>
      <c r="AK54" s="2360">
        <v>34.589366750548471</v>
      </c>
      <c r="AL54" s="2540"/>
      <c r="AM54" s="2538"/>
      <c r="AN54" s="2656"/>
      <c r="AO54" s="2095">
        <v>6.6468016233552668E-2</v>
      </c>
      <c r="AP54" s="1049"/>
      <c r="AQ54" s="1071"/>
      <c r="AR54" s="1050"/>
      <c r="AS54" s="1314"/>
      <c r="AT54" s="1199"/>
      <c r="BS54" s="556"/>
    </row>
    <row r="55" spans="1:72" ht="14.4" hidden="1" thickBot="1">
      <c r="A55" s="1464" t="s">
        <v>380</v>
      </c>
      <c r="B55" s="2839" t="s">
        <v>2786</v>
      </c>
      <c r="C55" s="2513">
        <f>+'HORAS HOMBRE'!$AF$76</f>
        <v>2004546.0200000005</v>
      </c>
      <c r="D55" s="2533">
        <f>+'DIAS PERDIDOS'!AF76</f>
        <v>128</v>
      </c>
      <c r="E55" s="2533">
        <f>+'ACCIDENTES INCAPACITANTES'!AF76</f>
        <v>6</v>
      </c>
      <c r="F55" s="2746"/>
      <c r="G55" s="2774">
        <f>+'INCIDENTE MATERIAL'!AE76</f>
        <v>2</v>
      </c>
      <c r="H55" s="2333">
        <f t="shared" si="30"/>
        <v>2.9931964345722522</v>
      </c>
      <c r="I55" s="2348">
        <f t="shared" si="31"/>
        <v>63.85485727087471</v>
      </c>
      <c r="J55" s="2333">
        <f t="shared" si="32"/>
        <v>0.7981857158859339</v>
      </c>
      <c r="K55" s="2333">
        <f t="shared" si="33"/>
        <v>0.19113013111330224</v>
      </c>
      <c r="L55" s="2746"/>
      <c r="M55" s="2513">
        <f>+'HORAS HOMBRE'!$AF$75</f>
        <v>989642.86</v>
      </c>
      <c r="N55" s="2348"/>
      <c r="O55" s="2540">
        <f>+'DIAS PERDIDOS'!AF75</f>
        <v>107</v>
      </c>
      <c r="P55" s="2539">
        <f>+'ACCIDENTES INCAPACITANTES'!AF75</f>
        <v>3</v>
      </c>
      <c r="Q55" s="2746"/>
      <c r="R55" s="2774">
        <f>+'INCIDENTE MATERIAL'!AE75</f>
        <v>1</v>
      </c>
      <c r="S55" s="2333">
        <f t="shared" si="34"/>
        <v>3.0313965989710674</v>
      </c>
      <c r="T55" s="2334">
        <f t="shared" si="35"/>
        <v>108.11981202996806</v>
      </c>
      <c r="U55" s="2776">
        <f t="shared" si="36"/>
        <v>0.80837242639228457</v>
      </c>
      <c r="V55" s="2373">
        <f t="shared" si="37"/>
        <v>0.32775403046903623</v>
      </c>
      <c r="W55" s="2595"/>
      <c r="X55" s="2331">
        <f t="shared" si="26"/>
        <v>1079610.3927272728</v>
      </c>
      <c r="Y55" s="2355">
        <f t="shared" si="27"/>
        <v>2.778780215723478</v>
      </c>
      <c r="Z55" s="2333">
        <f t="shared" si="28"/>
        <v>2.778780215723478</v>
      </c>
      <c r="AA55" s="2334">
        <f t="shared" si="29"/>
        <v>99.10982769413738</v>
      </c>
      <c r="AB55" s="2595"/>
      <c r="AC55" s="2595"/>
      <c r="AD55" s="2595"/>
      <c r="AE55" s="2360"/>
      <c r="AF55" s="2360"/>
      <c r="AG55" s="2361">
        <v>4.1827025382207523</v>
      </c>
      <c r="AH55" s="2545"/>
      <c r="AI55" s="2545"/>
      <c r="AJ55" s="2761"/>
      <c r="AK55" s="2360">
        <v>19.867837056548574</v>
      </c>
      <c r="AL55" s="2540"/>
      <c r="AM55" s="2538"/>
      <c r="AN55" s="2656"/>
      <c r="AO55" s="2095">
        <v>8.3101252485382041E-2</v>
      </c>
      <c r="AP55" s="1049"/>
      <c r="AQ55" s="1071"/>
      <c r="AR55" s="1050"/>
      <c r="AS55" s="859"/>
      <c r="AT55" s="262"/>
      <c r="BS55" s="556" t="s">
        <v>1223</v>
      </c>
      <c r="BT55">
        <v>2</v>
      </c>
    </row>
    <row r="56" spans="1:72" ht="13.8" hidden="1">
      <c r="A56" s="1466"/>
      <c r="B56" s="2840" t="s">
        <v>2788</v>
      </c>
      <c r="C56" s="2777">
        <f>+C55+C54</f>
        <v>4004429.3041666718</v>
      </c>
      <c r="D56" s="2777">
        <f>+D55+D54</f>
        <v>166</v>
      </c>
      <c r="E56" s="2777">
        <f>+E55+E54</f>
        <v>9</v>
      </c>
      <c r="F56" s="2778"/>
      <c r="G56" s="2777">
        <f>+G55+G54</f>
        <v>5</v>
      </c>
      <c r="H56" s="2779">
        <f t="shared" si="30"/>
        <v>2.2475112722393074</v>
      </c>
      <c r="I56" s="2780">
        <f t="shared" si="31"/>
        <v>41.454096799080553</v>
      </c>
      <c r="J56" s="2779">
        <f t="shared" si="32"/>
        <v>0.6992257291411178</v>
      </c>
      <c r="K56" s="2779">
        <f t="shared" si="33"/>
        <v>9.3168549836432926E-2</v>
      </c>
      <c r="L56" s="2746"/>
      <c r="M56" s="2777">
        <f>+M55+M54</f>
        <v>1960142.5358333383</v>
      </c>
      <c r="N56" s="2780">
        <f>+N55+N54</f>
        <v>0</v>
      </c>
      <c r="O56" s="2781">
        <f>+O55+O54</f>
        <v>208</v>
      </c>
      <c r="P56" s="2780">
        <f>+P55+P54</f>
        <v>7</v>
      </c>
      <c r="Q56" s="2778"/>
      <c r="R56" s="2777">
        <f>+R55+R54</f>
        <v>3</v>
      </c>
      <c r="S56" s="2779">
        <f t="shared" si="34"/>
        <v>3.5711688675864628</v>
      </c>
      <c r="T56" s="2759">
        <f t="shared" si="35"/>
        <v>106.11473206542632</v>
      </c>
      <c r="U56" s="2782">
        <f t="shared" si="36"/>
        <v>1.0203339621675607</v>
      </c>
      <c r="V56" s="2783">
        <f t="shared" si="37"/>
        <v>0.37895362754432943</v>
      </c>
      <c r="W56" s="2565"/>
      <c r="X56" s="2331">
        <f t="shared" si="26"/>
        <v>2138337.3118181871</v>
      </c>
      <c r="Y56" s="2355">
        <f t="shared" si="27"/>
        <v>3.2735714619542575</v>
      </c>
      <c r="Z56" s="2333">
        <f t="shared" si="28"/>
        <v>3.2735714619542575</v>
      </c>
      <c r="AA56" s="2334">
        <f t="shared" si="29"/>
        <v>97.271837726640797</v>
      </c>
      <c r="AB56" s="2303"/>
      <c r="AC56" s="2565"/>
      <c r="AD56" s="2565"/>
      <c r="AE56" s="2360"/>
      <c r="AF56" s="2360"/>
      <c r="AG56" s="2361">
        <v>3.0043536384838001</v>
      </c>
      <c r="AH56" s="2545"/>
      <c r="AI56" s="2545"/>
      <c r="AJ56" s="2761"/>
      <c r="AK56" s="2360">
        <v>27.539908352768169</v>
      </c>
      <c r="AL56" s="2540"/>
      <c r="AM56" s="2538"/>
      <c r="AN56" s="2656"/>
      <c r="AO56" s="2095">
        <v>8.2739623863149453E-2</v>
      </c>
      <c r="AP56" s="1049"/>
      <c r="AQ56" s="1071"/>
      <c r="AR56" s="1050"/>
      <c r="AS56" s="1314"/>
      <c r="AT56" s="1199"/>
      <c r="BS56" s="556"/>
    </row>
    <row r="57" spans="1:72" ht="13.8" hidden="1">
      <c r="A57" s="1464" t="s">
        <v>380</v>
      </c>
      <c r="B57" s="2839" t="s">
        <v>2754</v>
      </c>
      <c r="C57" s="2513">
        <f>+'HORAS HOMBRE'!AG76</f>
        <v>2593716.2600000002</v>
      </c>
      <c r="D57" s="2513">
        <f>+'DIAS PERDIDOS'!AG76</f>
        <v>590</v>
      </c>
      <c r="E57" s="2513">
        <f>+'ACCIDENTES INCAPACITANTES'!AG76</f>
        <v>7</v>
      </c>
      <c r="F57" s="2746"/>
      <c r="G57" s="2774">
        <f>+'INCIDENTE MATERIAL'!AF76</f>
        <v>1</v>
      </c>
      <c r="H57" s="2333">
        <f t="shared" si="30"/>
        <v>2.6988302876275294</v>
      </c>
      <c r="I57" s="2348">
        <f t="shared" si="31"/>
        <v>227.47283852860605</v>
      </c>
      <c r="J57" s="2333">
        <f t="shared" si="32"/>
        <v>0.61687549431486377</v>
      </c>
      <c r="K57" s="2333">
        <f t="shared" si="33"/>
        <v>0.6139105862336085</v>
      </c>
      <c r="L57" s="2746"/>
      <c r="M57" s="2513">
        <f>+'HORAS HOMBRE'!$AG$75</f>
        <v>1613657.66</v>
      </c>
      <c r="N57" s="2348"/>
      <c r="O57" s="2514">
        <f>+'DIAS PERDIDOS'!AG75</f>
        <v>26</v>
      </c>
      <c r="P57" s="2348">
        <f>+'ACCIDENTES INCAPACITANTES'!AG75</f>
        <v>2</v>
      </c>
      <c r="Q57" s="2746"/>
      <c r="R57" s="2774">
        <f>+'INCIDENTE MATERIAL'!AF75</f>
        <v>1</v>
      </c>
      <c r="S57" s="2779">
        <f t="shared" si="34"/>
        <v>1.2394202621639092</v>
      </c>
      <c r="T57" s="2759">
        <f t="shared" si="35"/>
        <v>16.112463408130818</v>
      </c>
      <c r="U57" s="2749">
        <f t="shared" si="36"/>
        <v>0.37182607864917272</v>
      </c>
      <c r="V57" s="2333">
        <f t="shared" si="37"/>
        <v>1.9970113621411895E-2</v>
      </c>
      <c r="W57" s="2565"/>
      <c r="X57" s="2331">
        <f t="shared" si="26"/>
        <v>1760353.810909091</v>
      </c>
      <c r="Y57" s="2355">
        <f t="shared" si="27"/>
        <v>1.1361352403169165</v>
      </c>
      <c r="Z57" s="2333">
        <f t="shared" si="28"/>
        <v>1.1361352403169165</v>
      </c>
      <c r="AA57" s="2334">
        <f t="shared" si="29"/>
        <v>14.769758124119916</v>
      </c>
      <c r="AB57" s="2303"/>
      <c r="AC57" s="2565"/>
      <c r="AD57" s="2565"/>
      <c r="AE57" s="2360"/>
      <c r="AF57" s="2360"/>
      <c r="AG57" s="2361">
        <v>2.4109398808031322</v>
      </c>
      <c r="AH57" s="2545"/>
      <c r="AI57" s="2545"/>
      <c r="AJ57" s="2761"/>
      <c r="AK57" s="2360">
        <v>27.72580862923602</v>
      </c>
      <c r="AL57" s="2540"/>
      <c r="AM57" s="2538"/>
      <c r="AN57" s="2656"/>
      <c r="AO57" s="2095">
        <v>6.6845257751740744E-2</v>
      </c>
      <c r="AP57" s="1049"/>
      <c r="AQ57" s="1071"/>
      <c r="AR57" s="1050"/>
      <c r="AS57" s="859"/>
      <c r="AT57" s="262"/>
      <c r="BS57" s="556"/>
    </row>
    <row r="58" spans="1:72" ht="15.6" customHeight="1">
      <c r="A58" s="1466"/>
      <c r="B58" s="2835" t="s">
        <v>2828</v>
      </c>
      <c r="C58" s="2513">
        <f>+C57+C56</f>
        <v>6598145.5641666725</v>
      </c>
      <c r="D58" s="2513">
        <f>+D57+D56</f>
        <v>756</v>
      </c>
      <c r="E58" s="2513">
        <f>+E57+E56</f>
        <v>16</v>
      </c>
      <c r="F58" s="2746"/>
      <c r="G58" s="2513">
        <f>+G57+G56</f>
        <v>6</v>
      </c>
      <c r="H58" s="2333">
        <f t="shared" si="30"/>
        <v>2.4249237675041737</v>
      </c>
      <c r="I58" s="2352">
        <f t="shared" si="31"/>
        <v>114.57764801457222</v>
      </c>
      <c r="J58" s="2333">
        <f t="shared" si="32"/>
        <v>0.66685403606364779</v>
      </c>
      <c r="K58" s="2333">
        <f t="shared" si="33"/>
        <v>0.27784206189526356</v>
      </c>
      <c r="L58" s="2746"/>
      <c r="M58" s="2513">
        <f>+M57+M56</f>
        <v>3573800.1958333384</v>
      </c>
      <c r="N58" s="2348">
        <f>+'INCIDENTE MATERIAL'!AD75+'INCIDENTE MATERIAL'!AE75+'INCIDENTE MATERIAL'!AF75</f>
        <v>4</v>
      </c>
      <c r="O58" s="2514">
        <f>+O57+O56</f>
        <v>234</v>
      </c>
      <c r="P58" s="2348">
        <f>+P57+P56</f>
        <v>9</v>
      </c>
      <c r="Q58" s="2746"/>
      <c r="R58" s="2513">
        <f>+R57+R56</f>
        <v>4</v>
      </c>
      <c r="S58" s="3019">
        <f t="shared" si="34"/>
        <v>2.5183276923239917</v>
      </c>
      <c r="T58" s="2334">
        <f t="shared" si="35"/>
        <v>65.476520000423776</v>
      </c>
      <c r="U58" s="2749">
        <f t="shared" si="36"/>
        <v>0.72751688889359756</v>
      </c>
      <c r="V58" s="2351">
        <f t="shared" si="37"/>
        <v>0.1648913335140729</v>
      </c>
      <c r="W58" s="2565"/>
      <c r="X58" s="2331">
        <f t="shared" si="26"/>
        <v>3898691.1227272782</v>
      </c>
      <c r="Y58" s="2355">
        <f t="shared" si="27"/>
        <v>2.3084670512969923</v>
      </c>
      <c r="Z58" s="2432">
        <f t="shared" si="28"/>
        <v>2.3084670512969923</v>
      </c>
      <c r="AA58" s="2334">
        <f t="shared" si="29"/>
        <v>60.020143333721798</v>
      </c>
      <c r="AB58" s="2303"/>
      <c r="AC58" s="2565"/>
      <c r="AD58" s="2565"/>
      <c r="AE58" s="2360">
        <v>6</v>
      </c>
      <c r="AF58" s="2360">
        <v>655</v>
      </c>
      <c r="AG58" s="2361">
        <v>1.9810342385449171</v>
      </c>
      <c r="AH58" s="2545">
        <v>2.3102310231023102</v>
      </c>
      <c r="AI58" s="2545">
        <v>1.9801980198019802</v>
      </c>
      <c r="AJ58" s="2761">
        <v>1.6501650165016502</v>
      </c>
      <c r="AK58" s="2360">
        <v>216.26290437448679</v>
      </c>
      <c r="AL58" s="2540">
        <v>69</v>
      </c>
      <c r="AM58" s="2540">
        <v>59</v>
      </c>
      <c r="AN58" s="2656">
        <v>50</v>
      </c>
      <c r="AO58" s="2095">
        <v>7.809789968503246E-2</v>
      </c>
      <c r="AP58" s="1049">
        <f>+AL58*AH58/1000</f>
        <v>0.15940594059405941</v>
      </c>
      <c r="AQ58" s="1071">
        <f>+AM58*AI58/1000</f>
        <v>0.11683168316831682</v>
      </c>
      <c r="AR58" s="1050">
        <f>+AJ58*AN58/1000</f>
        <v>8.2508250825082508E-2</v>
      </c>
      <c r="AS58" s="859"/>
      <c r="AT58" s="262"/>
      <c r="BS58" s="556"/>
    </row>
    <row r="59" spans="1:72" ht="14.4" thickBot="1">
      <c r="A59" s="1466" t="s">
        <v>380</v>
      </c>
      <c r="B59" s="2833" t="s">
        <v>3737</v>
      </c>
      <c r="C59" s="2748">
        <f>+'HORAS HOMBRE'!AH76</f>
        <v>648469.79240000015</v>
      </c>
      <c r="D59" s="2748">
        <f>+'DIAS PERDIDOS'!AH76</f>
        <v>21</v>
      </c>
      <c r="E59" s="2748">
        <f>+'ACCIDENTES INCAPACITANTES'!AH76</f>
        <v>1</v>
      </c>
      <c r="F59" s="2784"/>
      <c r="G59" s="2785">
        <f>+'INCIDENTE MATERIAL'!AG76</f>
        <v>2</v>
      </c>
      <c r="H59" s="2371">
        <f t="shared" si="30"/>
        <v>1.5420918780179094</v>
      </c>
      <c r="I59" s="2378">
        <f t="shared" si="31"/>
        <v>32.383929438376093</v>
      </c>
      <c r="J59" s="2373">
        <f t="shared" si="32"/>
        <v>0.92525512681074562</v>
      </c>
      <c r="K59" s="2373">
        <f t="shared" si="33"/>
        <v>4.9938994565224853E-2</v>
      </c>
      <c r="L59" s="2784"/>
      <c r="M59" s="2748">
        <f>+'HORAS HOMBRE'!$AH$75</f>
        <v>343702.41</v>
      </c>
      <c r="N59" s="2397">
        <f>+'INCIDENTE MATERIAL'!AG75</f>
        <v>0</v>
      </c>
      <c r="O59" s="2448">
        <f>+'DIAS PERDIDOS'!AH75</f>
        <v>82</v>
      </c>
      <c r="P59" s="2397">
        <f>+'ACCIDENTES INCAPACITANTES'!AH75</f>
        <v>2</v>
      </c>
      <c r="Q59" s="2784"/>
      <c r="R59" s="2785">
        <f>+'INCIDENTE MATERIAL'!AG75</f>
        <v>0</v>
      </c>
      <c r="S59" s="3015">
        <f t="shared" si="34"/>
        <v>5.8189874199601919</v>
      </c>
      <c r="T59" s="3012">
        <f t="shared" si="35"/>
        <v>238.57848421836789</v>
      </c>
      <c r="U59" s="2749">
        <f t="shared" si="36"/>
        <v>1.1637974839920384</v>
      </c>
      <c r="V59" s="2787">
        <f t="shared" si="37"/>
        <v>1.3882851983398539</v>
      </c>
      <c r="W59" s="2565"/>
      <c r="X59" s="2382">
        <f t="shared" si="26"/>
        <v>374948.08363636362</v>
      </c>
      <c r="Y59" s="2383">
        <f t="shared" si="27"/>
        <v>5.3340718016301762</v>
      </c>
      <c r="Z59" s="2371">
        <f t="shared" si="28"/>
        <v>5.3340718016301762</v>
      </c>
      <c r="AA59" s="3004">
        <f t="shared" si="29"/>
        <v>218.69694386683722</v>
      </c>
      <c r="AB59" s="2303"/>
      <c r="AC59" s="2565"/>
      <c r="AD59" s="2565"/>
      <c r="AE59" s="2388">
        <v>1</v>
      </c>
      <c r="AF59" s="2388">
        <v>21</v>
      </c>
      <c r="AG59" s="2389">
        <v>3.2085012448984829</v>
      </c>
      <c r="AH59" s="2667">
        <v>6.3492063492063489</v>
      </c>
      <c r="AI59" s="2667">
        <v>3.1746031746031744</v>
      </c>
      <c r="AJ59" s="2750">
        <v>0</v>
      </c>
      <c r="AK59" s="2388">
        <v>67.378526142868139</v>
      </c>
      <c r="AL59" s="2668">
        <v>95.238095238095241</v>
      </c>
      <c r="AM59" s="2668">
        <v>47.61904761904762</v>
      </c>
      <c r="AN59" s="2669">
        <v>0</v>
      </c>
      <c r="AO59" s="2096">
        <v>0</v>
      </c>
      <c r="AP59" s="1281">
        <f>+AL59*AH59/1000</f>
        <v>0.60468631897203329</v>
      </c>
      <c r="AQ59" s="1281">
        <f>+AM59*AI59/1000</f>
        <v>0.15117157974300832</v>
      </c>
      <c r="AR59" s="2090">
        <f>+AN59*AJ59/1000</f>
        <v>0</v>
      </c>
      <c r="AS59" s="859"/>
      <c r="AT59" s="262"/>
      <c r="BS59" s="556"/>
    </row>
    <row r="60" spans="1:72" ht="6" customHeight="1" thickBot="1">
      <c r="A60" s="1466"/>
      <c r="B60" s="2788"/>
      <c r="C60" s="2789"/>
      <c r="D60" s="2789"/>
      <c r="E60" s="2789"/>
      <c r="F60" s="2788"/>
      <c r="G60" s="2788"/>
      <c r="H60" s="2790"/>
      <c r="I60" s="2791"/>
      <c r="J60" s="2790"/>
      <c r="K60" s="2790"/>
      <c r="L60" s="2595"/>
      <c r="M60" s="2789"/>
      <c r="N60" s="2791"/>
      <c r="O60" s="2792"/>
      <c r="P60" s="2791"/>
      <c r="Q60" s="2788"/>
      <c r="R60" s="2788"/>
      <c r="S60" s="2790"/>
      <c r="T60" s="2791"/>
      <c r="U60" s="2790"/>
      <c r="V60" s="2790"/>
      <c r="W60" s="2565"/>
      <c r="X60" s="2793"/>
      <c r="Y60" s="2794"/>
      <c r="Z60" s="2794"/>
      <c r="AA60" s="2303"/>
      <c r="AB60" s="2303"/>
      <c r="AC60" s="2565"/>
      <c r="AD60" s="2565"/>
      <c r="AE60" s="2795"/>
      <c r="AF60" s="2795"/>
      <c r="AG60" s="2796"/>
      <c r="AH60" s="2565"/>
      <c r="AI60" s="2565"/>
      <c r="AJ60" s="2565"/>
      <c r="AK60" s="2795"/>
      <c r="AL60" s="2599"/>
      <c r="AM60" s="2599"/>
      <c r="AN60" s="2772"/>
      <c r="AO60" s="756"/>
      <c r="AP60" s="859"/>
      <c r="AQ60" s="859"/>
      <c r="AR60" s="859"/>
      <c r="AS60" s="859"/>
      <c r="AT60" s="262"/>
      <c r="BS60" s="556"/>
    </row>
    <row r="61" spans="1:72" ht="22.5" customHeight="1" thickBot="1">
      <c r="A61" s="1466"/>
      <c r="B61" s="2797" t="s">
        <v>3551</v>
      </c>
      <c r="C61" s="2798" t="e">
        <f>+#REF!+C58+C59</f>
        <v>#REF!</v>
      </c>
      <c r="D61" s="2798" t="e">
        <f>+#REF!+D58+D59</f>
        <v>#REF!</v>
      </c>
      <c r="E61" s="2798" t="e">
        <f>+#REF!+E58+E59</f>
        <v>#REF!</v>
      </c>
      <c r="F61" s="2798"/>
      <c r="G61" s="2798" t="e">
        <f>+G60+G54+G53+#REF!</f>
        <v>#REF!</v>
      </c>
      <c r="H61" s="2799" t="e">
        <f>ROUNDDOWN(+(E61+F61)*1000000/C61,1)</f>
        <v>#REF!</v>
      </c>
      <c r="I61" s="2718" t="e">
        <f>+D61*1000000/C61</f>
        <v>#REF!</v>
      </c>
      <c r="J61" s="2800" t="e">
        <f>+(G61+F61+E61)*200000/C61</f>
        <v>#REF!</v>
      </c>
      <c r="K61" s="2801" t="e">
        <f>+H61*I61/1000</f>
        <v>#REF!</v>
      </c>
      <c r="L61" s="2802"/>
      <c r="M61" s="2803">
        <f>+M43+M44+M45+M52+M58+M59</f>
        <v>7268057.1394892521</v>
      </c>
      <c r="N61" s="2804">
        <f>+N43+N44+N45+N52+N58+N59</f>
        <v>12</v>
      </c>
      <c r="O61" s="2804">
        <f>+O43+O44+O45+O52+O58+O59</f>
        <v>415</v>
      </c>
      <c r="P61" s="2804">
        <f>+P43+P44+P45+P52+P58+P59</f>
        <v>18</v>
      </c>
      <c r="Q61" s="2798"/>
      <c r="R61" s="2798" t="e">
        <f>+R60+R54+R53+#REF!</f>
        <v>#REF!</v>
      </c>
      <c r="S61" s="2799">
        <f>+(P61+Q61)*1000000/M61</f>
        <v>2.4765903259347399</v>
      </c>
      <c r="T61" s="2804">
        <f>+O61*1000000/M61</f>
        <v>57.099165847939837</v>
      </c>
      <c r="U61" s="2805" t="e">
        <f>+(R61+Q61+P61)*200000/M61</f>
        <v>#REF!</v>
      </c>
      <c r="V61" s="2806">
        <f>+S61*T61/1000</f>
        <v>0.14141124175795111</v>
      </c>
      <c r="W61" s="2565"/>
      <c r="X61" s="2807">
        <f>+M61/$AA$1*12</f>
        <v>7928789.6067155469</v>
      </c>
      <c r="Y61" s="2799">
        <f>+P61*1000000/X61</f>
        <v>2.2702077987735119</v>
      </c>
      <c r="Z61" s="2616">
        <f>+(P61+Q61)*1000000/X61</f>
        <v>2.2702077987735119</v>
      </c>
      <c r="AA61" s="2808">
        <f>+O61*1000000/X61</f>
        <v>52.34090202727819</v>
      </c>
      <c r="AB61" s="2303"/>
      <c r="AC61" s="2565"/>
      <c r="AD61" s="2565"/>
      <c r="AE61" s="2620">
        <v>14</v>
      </c>
      <c r="AF61" s="2620">
        <f>SUM(AF42:AF59)</f>
        <v>714</v>
      </c>
      <c r="AG61" s="2728">
        <v>2.5</v>
      </c>
      <c r="AH61" s="2729">
        <v>2.5053686471009304</v>
      </c>
      <c r="AI61" s="2729">
        <v>2.3264137437365782</v>
      </c>
      <c r="AJ61" s="2730">
        <v>2.1474588403722263</v>
      </c>
      <c r="AK61" s="2731">
        <v>128</v>
      </c>
      <c r="AL61" s="2809">
        <v>113</v>
      </c>
      <c r="AM61" s="2809">
        <v>105</v>
      </c>
      <c r="AN61" s="2810">
        <v>97</v>
      </c>
      <c r="AO61" s="1675">
        <v>0.10513670990704445</v>
      </c>
      <c r="AP61" s="1676">
        <f>+AL61*AH61/1000</f>
        <v>0.28310665712240513</v>
      </c>
      <c r="AQ61" s="1677">
        <f>+AM61*AI61/1000</f>
        <v>0.2442734430923407</v>
      </c>
      <c r="AR61" s="1678">
        <f>+AJ61*AN61/1000</f>
        <v>0.20830350751610596</v>
      </c>
      <c r="AS61" s="859"/>
      <c r="AT61" s="262"/>
      <c r="BS61" s="556"/>
    </row>
    <row r="62" spans="1:72" ht="13.8" hidden="1">
      <c r="A62" s="1466"/>
      <c r="B62" s="2788"/>
      <c r="C62" s="2789"/>
      <c r="D62" s="2789"/>
      <c r="E62" s="2789"/>
      <c r="F62" s="2788"/>
      <c r="G62" s="2788"/>
      <c r="H62" s="2790"/>
      <c r="I62" s="2791"/>
      <c r="J62" s="2790"/>
      <c r="K62" s="2790"/>
      <c r="L62" s="2595"/>
      <c r="M62" s="2789"/>
      <c r="N62" s="2791"/>
      <c r="O62" s="2792"/>
      <c r="P62" s="2791"/>
      <c r="Q62" s="2788"/>
      <c r="R62" s="2788"/>
      <c r="S62" s="2790"/>
      <c r="T62" s="2791"/>
      <c r="U62" s="2790"/>
      <c r="V62" s="2790"/>
      <c r="W62" s="2565"/>
      <c r="X62" s="2793"/>
      <c r="Y62" s="2794"/>
      <c r="Z62" s="2794"/>
      <c r="AA62" s="2303"/>
      <c r="AB62" s="2303"/>
      <c r="AC62" s="2565"/>
      <c r="AD62" s="2565"/>
      <c r="AE62" s="2795"/>
      <c r="AF62" s="2795"/>
      <c r="AG62" s="2796"/>
      <c r="AH62" s="2565"/>
      <c r="AI62" s="2565"/>
      <c r="AJ62" s="2565"/>
      <c r="AK62" s="2795"/>
      <c r="AL62" s="2599"/>
      <c r="AM62" s="2599"/>
      <c r="AN62" s="2772"/>
      <c r="AO62" s="756"/>
      <c r="AP62" s="859"/>
      <c r="AQ62" s="859"/>
      <c r="AR62" s="859"/>
      <c r="AS62" s="859"/>
      <c r="AT62" s="262"/>
      <c r="BS62" s="1090" t="s">
        <v>429</v>
      </c>
      <c r="BT62">
        <v>2</v>
      </c>
    </row>
    <row r="63" spans="1:72" ht="16.2" hidden="1" customHeight="1" thickBot="1">
      <c r="A63" s="1466"/>
      <c r="B63" s="2778" t="s">
        <v>3619</v>
      </c>
      <c r="C63" s="2777" t="e">
        <f>+C58+#REF!</f>
        <v>#REF!</v>
      </c>
      <c r="D63" s="2777" t="e">
        <f>+D58+#REF!</f>
        <v>#REF!</v>
      </c>
      <c r="E63" s="2777" t="e">
        <f>+E58+#REF!</f>
        <v>#REF!</v>
      </c>
      <c r="F63" s="2778"/>
      <c r="G63" s="2777" t="e">
        <f>+G58+#REF!</f>
        <v>#REF!</v>
      </c>
      <c r="H63" s="2779" t="e">
        <f>+(E63+F63)*1000000/C63</f>
        <v>#REF!</v>
      </c>
      <c r="I63" s="2352" t="e">
        <f>+D63*1000000/C63</f>
        <v>#REF!</v>
      </c>
      <c r="J63" s="2779" t="e">
        <f>+(G63+F63+E63)*200000/C63</f>
        <v>#REF!</v>
      </c>
      <c r="K63" s="2779" t="e">
        <f>+H63*I63/1000</f>
        <v>#REF!</v>
      </c>
      <c r="L63" s="2746"/>
      <c r="M63" s="2777" t="e">
        <f>+M58+#REF!+M59</f>
        <v>#REF!</v>
      </c>
      <c r="N63" s="2780" t="e">
        <f>+N58+#REF!+N59</f>
        <v>#REF!</v>
      </c>
      <c r="O63" s="2781" t="e">
        <f>+O58+#REF!+O59</f>
        <v>#REF!</v>
      </c>
      <c r="P63" s="2780" t="e">
        <f>+P58+#REF!+P59</f>
        <v>#REF!</v>
      </c>
      <c r="Q63" s="2778"/>
      <c r="R63" s="2777" t="e">
        <f>+R58+#REF!+R59</f>
        <v>#REF!</v>
      </c>
      <c r="S63" s="2811" t="e">
        <f>+(P63+Q63)*1000000/M63</f>
        <v>#REF!</v>
      </c>
      <c r="T63" s="2352" t="e">
        <f>+O63*1000000/M63</f>
        <v>#REF!</v>
      </c>
      <c r="U63" s="2779" t="e">
        <f>+(R63+Q63+P63)*200000/M63</f>
        <v>#REF!</v>
      </c>
      <c r="V63" s="2351" t="e">
        <f>+S63*T63/1000</f>
        <v>#REF!</v>
      </c>
      <c r="W63" s="2565"/>
      <c r="X63" s="2793"/>
      <c r="Y63" s="2794"/>
      <c r="Z63" s="2794"/>
      <c r="AA63" s="2303"/>
      <c r="AB63" s="2303"/>
      <c r="AC63" s="2565"/>
      <c r="AD63" s="2565"/>
      <c r="AE63" s="2365"/>
      <c r="AF63" s="2365"/>
      <c r="AG63" s="2362">
        <v>3.29961073945895</v>
      </c>
      <c r="AH63" s="2545">
        <v>3.8</v>
      </c>
      <c r="AI63" s="2545">
        <v>3.9</v>
      </c>
      <c r="AJ63" s="2545">
        <v>3.6</v>
      </c>
      <c r="AK63" s="2365">
        <v>256.88844444496033</v>
      </c>
      <c r="AL63" s="2540">
        <v>114</v>
      </c>
      <c r="AM63" s="2538">
        <v>116</v>
      </c>
      <c r="AN63" s="2540">
        <v>109</v>
      </c>
      <c r="AO63" s="1049">
        <v>0.84763187013349495</v>
      </c>
      <c r="AP63" s="844">
        <f>(+AL63*AH63)/1000</f>
        <v>0.43319999999999997</v>
      </c>
      <c r="AQ63" s="1071">
        <v>0.45224993917806749</v>
      </c>
      <c r="AR63" s="844">
        <f>(+AN63*AJ63)/1000</f>
        <v>0.39240000000000003</v>
      </c>
      <c r="AS63" s="859"/>
      <c r="AT63" s="262"/>
      <c r="BS63" s="1090"/>
    </row>
    <row r="64" spans="1:72" ht="8.6999999999999993" customHeight="1" thickBot="1">
      <c r="A64" s="1464"/>
      <c r="B64" s="2812"/>
      <c r="C64" s="2595"/>
      <c r="D64" s="2595"/>
      <c r="E64" s="2595"/>
      <c r="F64" s="2595"/>
      <c r="G64" s="2595"/>
      <c r="H64" s="2595"/>
      <c r="I64" s="2595"/>
      <c r="J64" s="2595"/>
      <c r="K64" s="2595"/>
      <c r="L64" s="2595"/>
      <c r="M64" s="2595"/>
      <c r="N64" s="2595"/>
      <c r="O64" s="2442"/>
      <c r="P64" s="2598"/>
      <c r="Q64" s="2595"/>
      <c r="R64" s="2595"/>
      <c r="S64" s="2595"/>
      <c r="T64" s="2595"/>
      <c r="U64" s="2595"/>
      <c r="V64" s="2595"/>
      <c r="W64" s="2565"/>
      <c r="X64" s="2793"/>
      <c r="Y64" s="2794"/>
      <c r="Z64" s="2794"/>
      <c r="AA64" s="2303"/>
      <c r="AB64" s="2303"/>
      <c r="AC64" s="2565"/>
      <c r="AD64" s="2565"/>
      <c r="AE64" s="2795"/>
      <c r="AF64" s="2795"/>
      <c r="AG64" s="2813"/>
      <c r="AH64" s="2794"/>
      <c r="AI64" s="2794"/>
      <c r="AJ64" s="2794"/>
      <c r="AK64" s="2813"/>
      <c r="AL64" s="2772"/>
      <c r="AM64" s="2772"/>
      <c r="AN64" s="2772"/>
      <c r="AO64" s="859"/>
      <c r="AP64" s="859"/>
      <c r="AQ64" s="859"/>
      <c r="AR64" s="859"/>
      <c r="AT64" s="262"/>
      <c r="BS64" s="556" t="s">
        <v>77</v>
      </c>
      <c r="BT64">
        <v>2</v>
      </c>
    </row>
    <row r="65" spans="1:72" ht="22.5" customHeight="1" thickBot="1">
      <c r="A65" s="1464"/>
      <c r="B65" s="2814" t="s">
        <v>4734</v>
      </c>
      <c r="C65" s="2815" t="e">
        <f>+C39+C61</f>
        <v>#REF!</v>
      </c>
      <c r="D65" s="2815" t="e">
        <f>+D39+D61</f>
        <v>#REF!</v>
      </c>
      <c r="E65" s="2815" t="e">
        <f>+E39+E61</f>
        <v>#REF!</v>
      </c>
      <c r="F65" s="2816"/>
      <c r="G65" s="2815"/>
      <c r="H65" s="2817" t="e">
        <f>+(E65+F65)*1000000/C65</f>
        <v>#REF!</v>
      </c>
      <c r="I65" s="2818" t="e">
        <f>+D65*1000000/C65</f>
        <v>#REF!</v>
      </c>
      <c r="J65" s="2817" t="e">
        <f>+(G65+F65+E65)*200000/C65</f>
        <v>#REF!</v>
      </c>
      <c r="K65" s="2819" t="e">
        <f>+H65*I65/1000</f>
        <v>#REF!</v>
      </c>
      <c r="L65" s="2820"/>
      <c r="M65" s="2815">
        <f>+M39+M61</f>
        <v>31789824.286405925</v>
      </c>
      <c r="N65" s="2821">
        <f>+N39+N61</f>
        <v>42</v>
      </c>
      <c r="O65" s="2822">
        <f>+O39+O61</f>
        <v>3728</v>
      </c>
      <c r="P65" s="2821">
        <f>+P39+P61</f>
        <v>105</v>
      </c>
      <c r="Q65" s="2816"/>
      <c r="R65" s="2815"/>
      <c r="S65" s="3013">
        <f>+(P65+Q65)*1000000/M65</f>
        <v>3.3029437046904491</v>
      </c>
      <c r="T65" s="2823">
        <f>+O65*1000000/M65</f>
        <v>117.27022981986661</v>
      </c>
      <c r="U65" s="2824">
        <f>+(R65+Q65+P65)*200000/M65</f>
        <v>0.66058874093808984</v>
      </c>
      <c r="V65" s="2779">
        <f>+S65*T65/1000</f>
        <v>0.3873369673311306</v>
      </c>
      <c r="W65" s="2565"/>
      <c r="X65" s="2825">
        <f>+M65/$AA$1*12</f>
        <v>34679808.312442824</v>
      </c>
      <c r="Y65" s="2817">
        <f>+P65*1000000/X65</f>
        <v>3.0276983959662451</v>
      </c>
      <c r="Z65" s="2817">
        <f>+(P65+Q65)*1000000/X65</f>
        <v>3.0276983959662451</v>
      </c>
      <c r="AA65" s="2823">
        <f>+O65*1000000/X65</f>
        <v>107.49771066821107</v>
      </c>
      <c r="AB65" s="2303">
        <f>+Z65*AA65/1000</f>
        <v>0.32547064616018617</v>
      </c>
      <c r="AC65" s="2565">
        <f>+(P66+Q66+R66)*200000/X65</f>
        <v>0</v>
      </c>
      <c r="AD65" s="2565"/>
      <c r="AE65" s="2826">
        <f>+AE61+AE39</f>
        <v>102</v>
      </c>
      <c r="AF65" s="2827">
        <f>+AF61+AF39</f>
        <v>3243</v>
      </c>
      <c r="AG65" s="2828">
        <v>3.4</v>
      </c>
      <c r="AH65" s="2829">
        <v>3.4</v>
      </c>
      <c r="AI65" s="2829">
        <v>3.3</v>
      </c>
      <c r="AJ65" s="2829">
        <v>3.2</v>
      </c>
      <c r="AK65" s="2830">
        <v>107</v>
      </c>
      <c r="AL65" s="2830">
        <v>103</v>
      </c>
      <c r="AM65" s="2830">
        <v>94</v>
      </c>
      <c r="AN65" s="2831">
        <v>88</v>
      </c>
      <c r="AO65" s="2183">
        <v>1.1862308912314954</v>
      </c>
      <c r="AP65" s="844">
        <f>(+AL65*AH65)/1000</f>
        <v>0.35020000000000001</v>
      </c>
      <c r="AQ65" s="1578"/>
      <c r="AR65" s="844">
        <f>(+AN65*AJ65)/1000</f>
        <v>0.28160000000000002</v>
      </c>
      <c r="AT65" s="262"/>
      <c r="BS65" s="556" t="s">
        <v>591</v>
      </c>
      <c r="BT65">
        <v>2</v>
      </c>
    </row>
    <row r="66" spans="1:72" ht="10.5" customHeight="1">
      <c r="A66" s="1464"/>
      <c r="C66"/>
      <c r="D66"/>
      <c r="E66"/>
      <c r="F66"/>
      <c r="G66"/>
      <c r="H66"/>
      <c r="I66"/>
      <c r="J66"/>
      <c r="K66"/>
      <c r="L66"/>
      <c r="M66"/>
      <c r="N66" s="8"/>
      <c r="O66" s="357"/>
      <c r="P66" s="262"/>
      <c r="Q66"/>
      <c r="R66"/>
      <c r="T66" s="552"/>
      <c r="U66"/>
      <c r="V66"/>
      <c r="AT66" s="262"/>
      <c r="BS66" s="556" t="s">
        <v>893</v>
      </c>
      <c r="BT66">
        <v>1</v>
      </c>
    </row>
    <row r="67" spans="1:72">
      <c r="A67" s="1464"/>
      <c r="B67" s="1033" t="s">
        <v>689</v>
      </c>
      <c r="C67" s="2178"/>
      <c r="D67" s="2179"/>
      <c r="E67" s="2179"/>
      <c r="F67" s="2179"/>
      <c r="G67" s="2179"/>
      <c r="H67" s="2086"/>
      <c r="I67" s="2180"/>
      <c r="J67" s="2086"/>
      <c r="K67" s="373"/>
      <c r="L67" s="373"/>
      <c r="M67" s="2178">
        <f>+M16+M17+M36</f>
        <v>5273673.3400000073</v>
      </c>
      <c r="N67" s="2181">
        <f>+N16+N17+N36</f>
        <v>7</v>
      </c>
      <c r="O67" s="2181">
        <f>+O16+O17+O36</f>
        <v>93</v>
      </c>
      <c r="P67" s="2181">
        <f>+P16+P17+P36</f>
        <v>11</v>
      </c>
      <c r="Q67" s="2179"/>
      <c r="R67" s="2179"/>
      <c r="S67" s="2184">
        <f>+(P67+Q67)*1000000/M67</f>
        <v>2.0858326427931511</v>
      </c>
      <c r="T67" s="2181">
        <f>+O67*1000000/M67</f>
        <v>17.634766889069368</v>
      </c>
      <c r="AG67" s="446"/>
      <c r="AH67" s="446"/>
      <c r="AI67" s="446"/>
      <c r="AJ67" s="446"/>
      <c r="AK67" s="446"/>
      <c r="AL67" s="446"/>
      <c r="AM67" s="446"/>
      <c r="AN67" s="446"/>
      <c r="BS67" s="556" t="s">
        <v>1057</v>
      </c>
      <c r="BT67">
        <v>1</v>
      </c>
    </row>
    <row r="68" spans="1:72">
      <c r="A68" s="1464"/>
      <c r="B68" s="1033" t="s">
        <v>5861</v>
      </c>
      <c r="C68" s="2178"/>
      <c r="D68" s="2179"/>
      <c r="E68" s="2179"/>
      <c r="F68" s="2179"/>
      <c r="G68" s="2179"/>
      <c r="H68" s="2086"/>
      <c r="I68" s="2180"/>
      <c r="J68" s="2086"/>
      <c r="K68" s="373"/>
      <c r="L68" s="373"/>
      <c r="M68" s="2178">
        <f>+M25+M35</f>
        <v>682596.9200000806</v>
      </c>
      <c r="N68" s="2181">
        <f>+N25+N35</f>
        <v>0</v>
      </c>
      <c r="O68" s="2181">
        <f>+O25+O35</f>
        <v>0</v>
      </c>
      <c r="P68" s="2181">
        <f>+P25+P35</f>
        <v>0</v>
      </c>
      <c r="Q68" s="2179"/>
      <c r="R68" s="2179"/>
      <c r="S68" s="2184">
        <f>+(P68+Q68)*1000000/M68</f>
        <v>0</v>
      </c>
      <c r="T68" s="2181">
        <f>+O68*1000000/M68</f>
        <v>0</v>
      </c>
      <c r="AG68" s="446"/>
      <c r="AH68" s="446"/>
      <c r="AI68" s="446"/>
      <c r="AJ68" s="446"/>
      <c r="AK68" s="446"/>
      <c r="AL68" s="446"/>
      <c r="AM68" s="446"/>
      <c r="AN68" s="446"/>
      <c r="BS68" s="556" t="s">
        <v>1309</v>
      </c>
      <c r="BT68">
        <v>1</v>
      </c>
    </row>
    <row r="69" spans="1:72">
      <c r="A69" s="1464"/>
      <c r="BS69" s="556" t="s">
        <v>694</v>
      </c>
      <c r="BT69">
        <v>1</v>
      </c>
    </row>
    <row r="70" spans="1:72">
      <c r="A70" s="1464"/>
      <c r="S70" s="3140" t="s">
        <v>6189</v>
      </c>
      <c r="T70" s="3140"/>
      <c r="U70" s="3140"/>
      <c r="V70" s="3140"/>
      <c r="W70" s="3140"/>
      <c r="X70" s="3140"/>
      <c r="Y70" s="3140"/>
      <c r="Z70" s="3140"/>
      <c r="AA70" s="3140"/>
      <c r="AT70" s="675" t="s">
        <v>3548</v>
      </c>
      <c r="BS70" s="556" t="s">
        <v>1006</v>
      </c>
      <c r="BT70">
        <v>1</v>
      </c>
    </row>
    <row r="71" spans="1:72">
      <c r="A71" s="1464"/>
      <c r="AT71" s="2284" t="s">
        <v>2546</v>
      </c>
      <c r="BS71" s="556" t="s">
        <v>588</v>
      </c>
      <c r="BT71">
        <v>1</v>
      </c>
    </row>
    <row r="72" spans="1:72">
      <c r="A72" s="1464"/>
      <c r="AT72" s="2284" t="s">
        <v>598</v>
      </c>
      <c r="BS72" s="556" t="s">
        <v>1958</v>
      </c>
      <c r="BT72">
        <v>1</v>
      </c>
    </row>
    <row r="73" spans="1:72">
      <c r="A73" s="1464"/>
      <c r="AT73" s="2284" t="s">
        <v>578</v>
      </c>
      <c r="BS73" s="556" t="s">
        <v>1053</v>
      </c>
      <c r="BT73">
        <v>1</v>
      </c>
    </row>
    <row r="74" spans="1:72">
      <c r="A74" s="1464"/>
      <c r="AT74" s="2285" t="s">
        <v>876</v>
      </c>
      <c r="BS74" s="556" t="s">
        <v>918</v>
      </c>
      <c r="BT74">
        <v>1</v>
      </c>
    </row>
    <row r="75" spans="1:72">
      <c r="A75" s="1464"/>
      <c r="AT75" s="2284" t="s">
        <v>91</v>
      </c>
      <c r="BN75" s="1036" t="s">
        <v>2203</v>
      </c>
      <c r="BO75" s="1036"/>
      <c r="BP75" s="842" t="s">
        <v>2204</v>
      </c>
      <c r="BQ75" s="1036"/>
      <c r="BS75" s="556" t="s">
        <v>938</v>
      </c>
      <c r="BT75">
        <v>0</v>
      </c>
    </row>
    <row r="76" spans="1:72">
      <c r="A76" s="1464"/>
      <c r="AT76" s="2284" t="s">
        <v>1073</v>
      </c>
      <c r="BM76" s="242" t="s">
        <v>450</v>
      </c>
      <c r="BN76" s="1037">
        <f>+S5</f>
        <v>0</v>
      </c>
      <c r="BO76" s="1038"/>
      <c r="BP76" s="678">
        <f>+T5</f>
        <v>0</v>
      </c>
      <c r="BQ76" s="678"/>
      <c r="BS76" s="556" t="s">
        <v>1993</v>
      </c>
      <c r="BT76">
        <v>0</v>
      </c>
    </row>
    <row r="77" spans="1:72">
      <c r="A77" s="1464"/>
      <c r="AT77" s="2284" t="s">
        <v>586</v>
      </c>
      <c r="BM77" s="242" t="s">
        <v>451</v>
      </c>
      <c r="BN77" s="1037">
        <f>+S6</f>
        <v>9.6751799252091182</v>
      </c>
      <c r="BO77" s="1038"/>
      <c r="BP77" s="678">
        <f>+T6</f>
        <v>2875.9472327684107</v>
      </c>
      <c r="BQ77" s="678"/>
    </row>
    <row r="78" spans="1:72">
      <c r="A78" s="1464"/>
      <c r="AT78" s="2285" t="s">
        <v>1958</v>
      </c>
      <c r="BM78" t="str">
        <f>+B7</f>
        <v>MOL. CALLAO</v>
      </c>
      <c r="BN78" s="1037">
        <f>+S7</f>
        <v>20.261179497196729</v>
      </c>
      <c r="BO78" s="1038"/>
      <c r="BP78" s="678">
        <f>+T7</f>
        <v>327.86272277281978</v>
      </c>
      <c r="BQ78" s="678"/>
    </row>
    <row r="79" spans="1:72">
      <c r="A79" s="1464"/>
      <c r="AT79" s="2284" t="s">
        <v>597</v>
      </c>
      <c r="BM79" s="242" t="s">
        <v>1989</v>
      </c>
      <c r="BN79" s="1037">
        <f>+S9</f>
        <v>11.19122126419942</v>
      </c>
      <c r="BO79" s="1038"/>
      <c r="BP79" s="678">
        <f>+T9</f>
        <v>64.095176331323955</v>
      </c>
      <c r="BQ79" s="678"/>
    </row>
    <row r="80" spans="1:72">
      <c r="A80" s="1464"/>
      <c r="AT80" s="2284" t="s">
        <v>592</v>
      </c>
      <c r="BM80" s="242" t="s">
        <v>717</v>
      </c>
      <c r="BN80" s="1037">
        <f>+S10</f>
        <v>0</v>
      </c>
      <c r="BO80" s="1038"/>
      <c r="BP80" s="678">
        <f>+T10</f>
        <v>0</v>
      </c>
      <c r="BQ80" s="678"/>
    </row>
    <row r="81" spans="1:69">
      <c r="A81" s="1464"/>
      <c r="AT81" s="2284" t="s">
        <v>588</v>
      </c>
      <c r="BM81" s="242" t="s">
        <v>447</v>
      </c>
      <c r="BN81" s="1037">
        <f>+S12</f>
        <v>3.6236356655017756</v>
      </c>
      <c r="BO81" s="1038"/>
      <c r="BP81" s="678">
        <f>+T12</f>
        <v>31.253857614952814</v>
      </c>
      <c r="BQ81" s="678"/>
    </row>
    <row r="82" spans="1:69">
      <c r="AT82" s="2284" t="s">
        <v>77</v>
      </c>
      <c r="BM82" s="242" t="s">
        <v>471</v>
      </c>
      <c r="BN82" s="1037">
        <f>+S13</f>
        <v>5.6252323396744801</v>
      </c>
      <c r="BO82" s="1038"/>
      <c r="BP82" s="678">
        <f>+T13</f>
        <v>198.28943997352542</v>
      </c>
      <c r="BQ82" s="678"/>
    </row>
    <row r="83" spans="1:69" ht="12.75" customHeight="1">
      <c r="AT83" s="2284" t="s">
        <v>596</v>
      </c>
      <c r="BM83" s="242" t="s">
        <v>1990</v>
      </c>
      <c r="BN83" s="1037">
        <f>+S14</f>
        <v>4.8236668389787658</v>
      </c>
      <c r="BO83" s="1038"/>
      <c r="BP83" s="678">
        <f>+T14</f>
        <v>76.374724950497125</v>
      </c>
      <c r="BQ83" s="678"/>
    </row>
    <row r="84" spans="1:69">
      <c r="AT84" s="2284" t="s">
        <v>1930</v>
      </c>
      <c r="BM84" s="242" t="s">
        <v>1991</v>
      </c>
      <c r="BN84" s="1037">
        <f>+S15</f>
        <v>10.665734149679146</v>
      </c>
      <c r="BO84" s="1038"/>
      <c r="BP84" s="678">
        <f>+T15</f>
        <v>142.2097886623886</v>
      </c>
      <c r="BQ84" s="678"/>
    </row>
    <row r="85" spans="1:69">
      <c r="AT85" s="2284" t="s">
        <v>593</v>
      </c>
      <c r="AZ85" s="1198"/>
      <c r="BA85" s="1198"/>
      <c r="BB85" s="1198"/>
      <c r="BC85" s="1198"/>
      <c r="BD85" s="1198"/>
      <c r="BE85" s="1198"/>
      <c r="BM85" s="242" t="s">
        <v>894</v>
      </c>
      <c r="BN85" s="1037">
        <f>+S21</f>
        <v>0</v>
      </c>
      <c r="BO85" s="1038"/>
      <c r="BP85" s="677">
        <f>+T21</f>
        <v>0</v>
      </c>
      <c r="BQ85" s="678"/>
    </row>
    <row r="86" spans="1:69">
      <c r="AT86" s="2284" t="s">
        <v>595</v>
      </c>
      <c r="BM86" s="242" t="s">
        <v>944</v>
      </c>
      <c r="BN86" s="1037">
        <f>+S16</f>
        <v>2.3021156229629289</v>
      </c>
      <c r="BO86" s="1038"/>
      <c r="BP86" s="678">
        <f>+T16</f>
        <v>14.388222643518306</v>
      </c>
      <c r="BQ86" s="678"/>
    </row>
    <row r="87" spans="1:69">
      <c r="AT87" s="2284" t="s">
        <v>1931</v>
      </c>
      <c r="BM87" s="242" t="s">
        <v>1992</v>
      </c>
      <c r="BN87" s="1037">
        <f>+S17</f>
        <v>0.84052192511527934</v>
      </c>
      <c r="BO87" s="1038"/>
      <c r="BP87" s="678">
        <f>+T17</f>
        <v>4.2026096255763967</v>
      </c>
      <c r="BQ87" s="678"/>
    </row>
    <row r="88" spans="1:69">
      <c r="AT88" s="2284" t="s">
        <v>893</v>
      </c>
      <c r="BM88" s="242" t="s">
        <v>448</v>
      </c>
      <c r="BN88" s="1037">
        <f>+S18</f>
        <v>1.5184170228281977</v>
      </c>
      <c r="BO88" s="1038"/>
      <c r="BP88" s="678">
        <f>+T18</f>
        <v>14.316503358094437</v>
      </c>
      <c r="BQ88" s="678"/>
    </row>
    <row r="89" spans="1:69" ht="12.75" customHeight="1">
      <c r="AT89" s="2284" t="s">
        <v>384</v>
      </c>
      <c r="BM89" s="242" t="s">
        <v>1993</v>
      </c>
      <c r="BN89" s="1037">
        <f>+S19</f>
        <v>4.8297372719518803</v>
      </c>
      <c r="BO89" s="1038"/>
      <c r="BP89" s="678">
        <f>+T19</f>
        <v>48.297372719518805</v>
      </c>
      <c r="BQ89" s="678"/>
    </row>
    <row r="90" spans="1:69">
      <c r="AT90" s="2284" t="s">
        <v>821</v>
      </c>
      <c r="BM90" s="242" t="s">
        <v>552</v>
      </c>
      <c r="BN90" s="1037">
        <f>+S20</f>
        <v>3.5338407481027785</v>
      </c>
      <c r="BO90" s="1038"/>
      <c r="BP90" s="678">
        <f>+T20</f>
        <v>143.12055029816253</v>
      </c>
      <c r="BQ90" s="678"/>
    </row>
    <row r="91" spans="1:69">
      <c r="BM91" s="242" t="s">
        <v>947</v>
      </c>
      <c r="BN91" s="1037">
        <f>+S24</f>
        <v>0</v>
      </c>
      <c r="BO91" s="1038"/>
      <c r="BP91" s="678">
        <f>+T24</f>
        <v>0</v>
      </c>
      <c r="BQ91" s="678"/>
    </row>
    <row r="92" spans="1:69">
      <c r="BM92" s="242" t="s">
        <v>591</v>
      </c>
      <c r="BN92" s="1037">
        <f>+S26</f>
        <v>2.1079863545194906</v>
      </c>
      <c r="BO92" s="1038"/>
      <c r="BP92" s="678">
        <f>+T26</f>
        <v>20.025870367935159</v>
      </c>
      <c r="BQ92" s="678"/>
    </row>
    <row r="93" spans="1:69">
      <c r="BM93" s="242" t="s">
        <v>922</v>
      </c>
      <c r="BN93" s="1037">
        <f>+S30</f>
        <v>0</v>
      </c>
      <c r="BO93" s="678"/>
      <c r="BP93" s="677">
        <f>+T30</f>
        <v>0</v>
      </c>
      <c r="BQ93" s="678"/>
    </row>
    <row r="94" spans="1:69">
      <c r="AT94" s="2284"/>
      <c r="BM94" s="242" t="s">
        <v>2007</v>
      </c>
      <c r="BN94" s="1227">
        <f>+S29</f>
        <v>0</v>
      </c>
      <c r="BP94" s="358">
        <f>+T29</f>
        <v>0</v>
      </c>
    </row>
    <row r="95" spans="1:69">
      <c r="AT95" s="2286"/>
      <c r="BM95" s="242" t="s">
        <v>4343</v>
      </c>
      <c r="BN95" s="1037">
        <f>+S32</f>
        <v>3.703675064513702</v>
      </c>
      <c r="BO95" s="1038"/>
      <c r="BP95" s="678">
        <f>+T32</f>
        <v>108.67640832158776</v>
      </c>
      <c r="BQ95" s="678"/>
    </row>
    <row r="96" spans="1:69">
      <c r="BM96" s="242" t="s">
        <v>4342</v>
      </c>
      <c r="BN96" s="1037">
        <f>+S37</f>
        <v>3.0240387959273667</v>
      </c>
      <c r="BP96" s="678">
        <f>+T37</f>
        <v>223.95675553367971</v>
      </c>
    </row>
    <row r="97" spans="46:68">
      <c r="BM97" s="242" t="s">
        <v>951</v>
      </c>
      <c r="BN97" s="1227">
        <f>+S39</f>
        <v>3.5478682869288742</v>
      </c>
      <c r="BP97" s="678">
        <f>+T39</f>
        <v>135.10445557006162</v>
      </c>
    </row>
    <row r="98" spans="46:68">
      <c r="AT98" s="2286"/>
      <c r="BM98" s="242" t="s">
        <v>857</v>
      </c>
      <c r="BN98" s="1227">
        <f>+S43</f>
        <v>1.6653312558124764</v>
      </c>
      <c r="BP98" s="358">
        <f>+T43</f>
        <v>28.310631348812098</v>
      </c>
    </row>
    <row r="99" spans="46:68">
      <c r="BM99" s="242" t="s">
        <v>859</v>
      </c>
      <c r="BN99" s="1227">
        <f>+S52</f>
        <v>3.1624553303184593</v>
      </c>
      <c r="BP99" s="358">
        <f>+T52</f>
        <v>32.67870507995741</v>
      </c>
    </row>
    <row r="100" spans="46:68">
      <c r="BM100" s="242" t="s">
        <v>3737</v>
      </c>
      <c r="BN100" s="1227">
        <f>+S59</f>
        <v>5.8189874199601919</v>
      </c>
      <c r="BP100" s="358">
        <f>+T59</f>
        <v>238.57848421836789</v>
      </c>
    </row>
    <row r="101" spans="46:68">
      <c r="BM101" s="242" t="s">
        <v>2828</v>
      </c>
      <c r="BN101" s="1227">
        <f>+S58</f>
        <v>2.5183276923239917</v>
      </c>
      <c r="BP101" s="358">
        <f>+T58</f>
        <v>65.476520000423776</v>
      </c>
    </row>
    <row r="102" spans="46:68">
      <c r="BM102" s="242" t="s">
        <v>5427</v>
      </c>
      <c r="BN102" s="1227">
        <f>+S61</f>
        <v>2.4765903259347399</v>
      </c>
      <c r="BP102" s="358">
        <f>+T61</f>
        <v>57.099165847939837</v>
      </c>
    </row>
    <row r="103" spans="46:68">
      <c r="BM103" s="242" t="s">
        <v>55</v>
      </c>
      <c r="BN103" s="1227">
        <f>+S65</f>
        <v>3.3029437046904491</v>
      </c>
      <c r="BP103" s="358">
        <f>+T65</f>
        <v>117.27022981986661</v>
      </c>
    </row>
    <row r="120" spans="46:59">
      <c r="AT120" s="8" t="s">
        <v>1958</v>
      </c>
      <c r="AW120">
        <v>18.801940360245176</v>
      </c>
      <c r="AX120">
        <v>159.81649306208402</v>
      </c>
      <c r="AZ120">
        <v>3.0048601711368406</v>
      </c>
      <c r="BB120">
        <v>98421</v>
      </c>
      <c r="BC120">
        <v>9</v>
      </c>
      <c r="BD120">
        <v>1</v>
      </c>
      <c r="BG120">
        <v>10.160433240873392</v>
      </c>
    </row>
    <row r="121" spans="46:59">
      <c r="AW121">
        <v>4.1254927416388538</v>
      </c>
      <c r="AX121">
        <v>473.28922114462972</v>
      </c>
      <c r="AY121">
        <v>0.85048619596862518</v>
      </c>
      <c r="AZ121">
        <v>1.9525512465280763</v>
      </c>
      <c r="BB121">
        <v>15566744.437901435</v>
      </c>
      <c r="BC121">
        <v>7370</v>
      </c>
      <c r="BD121">
        <v>61</v>
      </c>
      <c r="BE121">
        <v>0</v>
      </c>
      <c r="BF121">
        <v>0</v>
      </c>
      <c r="BG121">
        <v>3.9186099729034582</v>
      </c>
    </row>
    <row r="123" spans="46:59">
      <c r="AT123" s="8" t="s">
        <v>876</v>
      </c>
      <c r="AV123">
        <v>0</v>
      </c>
      <c r="AW123">
        <v>9.5268308901775516</v>
      </c>
      <c r="AX123">
        <v>41.918055916781228</v>
      </c>
      <c r="AY123">
        <v>1.9053661780355102</v>
      </c>
      <c r="AZ123">
        <v>0.39934622996418129</v>
      </c>
      <c r="BB123">
        <v>984265</v>
      </c>
      <c r="BC123">
        <v>51</v>
      </c>
      <c r="BD123">
        <v>10</v>
      </c>
      <c r="BF123">
        <v>0</v>
      </c>
      <c r="BG123">
        <v>10.159865483380999</v>
      </c>
    </row>
  </sheetData>
  <mergeCells count="39">
    <mergeCell ref="R3:R4"/>
    <mergeCell ref="AE3:AE4"/>
    <mergeCell ref="AF3:AF4"/>
    <mergeCell ref="S70:AA70"/>
    <mergeCell ref="AP3:AR3"/>
    <mergeCell ref="AL3:AN3"/>
    <mergeCell ref="AK3:AK4"/>
    <mergeCell ref="AO2:AR2"/>
    <mergeCell ref="S3:S4"/>
    <mergeCell ref="T3:T4"/>
    <mergeCell ref="U3:U4"/>
    <mergeCell ref="X3:X4"/>
    <mergeCell ref="Z3:Z4"/>
    <mergeCell ref="X2:AC2"/>
    <mergeCell ref="AA3:AA4"/>
    <mergeCell ref="AC3:AC4"/>
    <mergeCell ref="AB3:AB4"/>
    <mergeCell ref="AG2:AJ2"/>
    <mergeCell ref="AK2:AN2"/>
    <mergeCell ref="V3:V4"/>
    <mergeCell ref="AH3:AJ3"/>
    <mergeCell ref="AG3:AG4"/>
    <mergeCell ref="AO3:AO4"/>
    <mergeCell ref="B2:V2"/>
    <mergeCell ref="B3:B4"/>
    <mergeCell ref="O3:O4"/>
    <mergeCell ref="G3:G4"/>
    <mergeCell ref="H3:H4"/>
    <mergeCell ref="I3:I4"/>
    <mergeCell ref="J3:J4"/>
    <mergeCell ref="K3:K4"/>
    <mergeCell ref="N3:N4"/>
    <mergeCell ref="C3:C4"/>
    <mergeCell ref="D3:D4"/>
    <mergeCell ref="E3:E4"/>
    <mergeCell ref="F3:F4"/>
    <mergeCell ref="M3:M4"/>
    <mergeCell ref="P3:P4"/>
    <mergeCell ref="Q3:Q4"/>
  </mergeCells>
  <phoneticPr fontId="44" type="noConversion"/>
  <pageMargins left="0.35433070866141736" right="0.19685039370078741" top="0.98425196850393704" bottom="0.98425196850393704" header="0" footer="0"/>
  <pageSetup paperSize="9" scale="10" orientation="landscape" r:id="rId1"/>
  <headerFooter alignWithMargins="0"/>
  <customProperties>
    <customPr name="_pios_id" r:id="rId2"/>
  </customProperties>
  <ignoredErrors>
    <ignoredError sqref="O5:O25 N5:N30 P5:P25 S5:S15 T5:T26 O29:O30 P29:P30 S29:S30 T29:T30 M5:M15 N32:T32 M35 O36:P36 S35:S36 T35:T37 S37 O37 M37:N37 P37:R37 X37:AA37 X34:AA34 X39:AA39 M39:T39 X5:AA26 X28:AA30 Y27:AA27 X32:AA32 N41:T41 N61:T61 N65:T65 M43:M59 N59:T59 O58:T58 M61:M65 X43:X61 Z43:Z61 AA43:AA61 X65:AA65 M18:M32 S17:S26 N43:T57 N42 Q42:T42" unlockedFormula="1"/>
    <ignoredError sqref="X27 N58" formula="1" unlockedFormula="1"/>
    <ignoredError sqref="AJ39" numberStoredAsText="1"/>
  </ignoredErrors>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683D-A440-4E62-B1D1-3693AB56169D}">
  <dimension ref="B2:N30"/>
  <sheetViews>
    <sheetView showGridLines="0" zoomScale="70" zoomScaleNormal="70" workbookViewId="0">
      <selection activeCell="B5" sqref="B5:N30"/>
    </sheetView>
  </sheetViews>
  <sheetFormatPr baseColWidth="10" defaultRowHeight="13.2"/>
  <cols>
    <col min="1" max="1" width="4.109375" customWidth="1"/>
    <col min="2" max="2" width="19.5546875" customWidth="1"/>
  </cols>
  <sheetData>
    <row r="2" spans="2:14" ht="15.6">
      <c r="B2" s="3281" t="s">
        <v>6396</v>
      </c>
      <c r="C2" s="3281"/>
      <c r="D2" s="3281"/>
      <c r="E2" s="3281"/>
      <c r="F2" s="3281"/>
      <c r="G2" s="3281"/>
      <c r="H2" s="3281"/>
      <c r="I2" s="3281"/>
      <c r="J2" s="3281"/>
      <c r="K2" s="3281"/>
      <c r="L2" s="3281"/>
      <c r="M2" s="3281"/>
      <c r="N2" s="3281"/>
    </row>
    <row r="3" spans="2:14">
      <c r="B3" t="s">
        <v>6397</v>
      </c>
      <c r="C3" t="s">
        <v>6398</v>
      </c>
    </row>
    <row r="5" spans="2:14" ht="13.8" thickBot="1">
      <c r="B5" s="3282" t="s">
        <v>6399</v>
      </c>
      <c r="C5" s="3282"/>
      <c r="D5" s="3282"/>
      <c r="E5" s="3282"/>
      <c r="F5" s="3282"/>
      <c r="G5" s="3282"/>
      <c r="H5" s="3282"/>
      <c r="I5" s="3282"/>
      <c r="J5" s="3282"/>
      <c r="K5" s="3282"/>
      <c r="L5" s="3282"/>
      <c r="M5" s="3282"/>
      <c r="N5" s="3282"/>
    </row>
    <row r="6" spans="2:14" ht="13.8" thickBot="1">
      <c r="B6" s="3048" t="s">
        <v>3277</v>
      </c>
      <c r="C6" s="1403" t="s">
        <v>102</v>
      </c>
      <c r="D6" s="1404" t="s">
        <v>103</v>
      </c>
      <c r="E6" s="1405" t="s">
        <v>104</v>
      </c>
      <c r="F6" s="1405" t="s">
        <v>105</v>
      </c>
      <c r="G6" s="1405" t="s">
        <v>1061</v>
      </c>
      <c r="H6" s="1405" t="s">
        <v>1240</v>
      </c>
      <c r="I6" s="1405" t="s">
        <v>1144</v>
      </c>
      <c r="J6" s="1405" t="s">
        <v>1110</v>
      </c>
      <c r="K6" s="3049" t="s">
        <v>1086</v>
      </c>
      <c r="L6" s="1405" t="s">
        <v>653</v>
      </c>
      <c r="M6" s="1405" t="s">
        <v>1102</v>
      </c>
      <c r="N6" s="1405" t="s">
        <v>1154</v>
      </c>
    </row>
    <row r="7" spans="2:14">
      <c r="B7" s="3050" t="s">
        <v>3278</v>
      </c>
      <c r="C7" s="3051">
        <v>24796.5</v>
      </c>
      <c r="D7" s="3051">
        <v>24634.5</v>
      </c>
      <c r="E7" s="3051">
        <v>26511</v>
      </c>
      <c r="F7" s="3051">
        <v>24890</v>
      </c>
      <c r="G7" s="3051">
        <v>27204</v>
      </c>
      <c r="H7" s="3051">
        <v>27075.5</v>
      </c>
      <c r="I7" s="3051">
        <v>23368.5</v>
      </c>
      <c r="J7" s="3052">
        <v>25739</v>
      </c>
      <c r="K7" s="3051">
        <v>25870.5</v>
      </c>
      <c r="L7" s="3053">
        <v>25839</v>
      </c>
      <c r="M7" s="3054">
        <v>25207</v>
      </c>
      <c r="N7" s="3054">
        <v>25286</v>
      </c>
    </row>
    <row r="8" spans="2:14">
      <c r="B8" s="3055" t="s">
        <v>586</v>
      </c>
      <c r="C8" s="3056">
        <v>28198.5</v>
      </c>
      <c r="D8" s="3056">
        <v>25303.33</v>
      </c>
      <c r="E8" s="3056">
        <v>30074</v>
      </c>
      <c r="F8" s="3056">
        <v>29095</v>
      </c>
      <c r="G8" s="3056">
        <v>31260</v>
      </c>
      <c r="H8" s="3056">
        <v>29938</v>
      </c>
      <c r="I8" s="3056">
        <v>27813.95</v>
      </c>
      <c r="J8" s="3057">
        <v>29947.35</v>
      </c>
      <c r="K8" s="3058">
        <v>28619.769999999997</v>
      </c>
      <c r="L8" s="3059">
        <v>27409</v>
      </c>
      <c r="M8" s="3060">
        <v>26309</v>
      </c>
      <c r="N8" s="3060">
        <v>26620</v>
      </c>
    </row>
    <row r="9" spans="2:14">
      <c r="B9" s="3055" t="s">
        <v>587</v>
      </c>
      <c r="C9" s="3056">
        <v>23226</v>
      </c>
      <c r="D9" s="3056">
        <v>21309.5</v>
      </c>
      <c r="E9" s="3056">
        <v>23675.5</v>
      </c>
      <c r="F9" s="3056">
        <v>21809</v>
      </c>
      <c r="G9" s="3056">
        <v>23963.5</v>
      </c>
      <c r="H9" s="3056">
        <v>24721.5</v>
      </c>
      <c r="I9" s="3056">
        <v>21160</v>
      </c>
      <c r="J9" s="3057">
        <v>23829</v>
      </c>
      <c r="K9" s="3058">
        <v>23275</v>
      </c>
      <c r="L9" s="3059">
        <v>22075</v>
      </c>
      <c r="M9" s="3060">
        <v>23900</v>
      </c>
      <c r="N9" s="3060">
        <v>22458</v>
      </c>
    </row>
    <row r="10" spans="2:14">
      <c r="B10" s="3055" t="s">
        <v>3279</v>
      </c>
      <c r="C10" s="3056">
        <v>0</v>
      </c>
      <c r="D10" s="3056">
        <v>0</v>
      </c>
      <c r="E10" s="3056">
        <v>0</v>
      </c>
      <c r="F10" s="3056">
        <v>0</v>
      </c>
      <c r="G10" s="3056">
        <v>0</v>
      </c>
      <c r="H10" s="3056">
        <v>0</v>
      </c>
      <c r="I10" s="3056">
        <v>0</v>
      </c>
      <c r="J10" s="3057">
        <v>0</v>
      </c>
      <c r="K10" s="3058">
        <v>0</v>
      </c>
      <c r="L10" s="3059">
        <v>0</v>
      </c>
      <c r="M10" s="3060">
        <v>0</v>
      </c>
      <c r="N10" s="3060">
        <v>0</v>
      </c>
    </row>
    <row r="11" spans="2:14">
      <c r="B11" s="3055" t="s">
        <v>589</v>
      </c>
      <c r="C11" s="3056">
        <v>26353</v>
      </c>
      <c r="D11" s="3056">
        <v>21935</v>
      </c>
      <c r="E11" s="3056">
        <v>27289</v>
      </c>
      <c r="F11" s="3056">
        <v>23576</v>
      </c>
      <c r="G11" s="3056">
        <v>26466</v>
      </c>
      <c r="H11" s="3056">
        <v>27811</v>
      </c>
      <c r="I11" s="3056">
        <v>26207.5</v>
      </c>
      <c r="J11" s="3057">
        <v>27985</v>
      </c>
      <c r="K11" s="3061">
        <v>25943</v>
      </c>
      <c r="L11" s="3062">
        <v>26693</v>
      </c>
      <c r="M11" s="3063">
        <v>25683</v>
      </c>
      <c r="N11" s="3064">
        <v>26078</v>
      </c>
    </row>
    <row r="12" spans="2:14">
      <c r="B12" s="3065" t="s">
        <v>6400</v>
      </c>
      <c r="C12" s="3056">
        <v>37583.5</v>
      </c>
      <c r="D12" s="3056">
        <v>30917.5</v>
      </c>
      <c r="E12" s="3056">
        <v>40576</v>
      </c>
      <c r="F12" s="3056">
        <v>36556.5</v>
      </c>
      <c r="G12" s="3056">
        <v>42297.5</v>
      </c>
      <c r="H12" s="3056">
        <v>41371.300000000003</v>
      </c>
      <c r="I12" s="3056">
        <v>45526</v>
      </c>
      <c r="J12" s="3057">
        <v>47979</v>
      </c>
      <c r="K12" s="3058">
        <v>47529</v>
      </c>
      <c r="L12" s="3059">
        <v>46601</v>
      </c>
      <c r="M12" s="3060">
        <v>44652</v>
      </c>
      <c r="N12" s="3060">
        <v>46791</v>
      </c>
    </row>
    <row r="13" spans="2:14">
      <c r="B13" s="3066" t="s">
        <v>1006</v>
      </c>
      <c r="C13" s="3056">
        <v>68717.600000000006</v>
      </c>
      <c r="D13" s="3056">
        <v>52553.65</v>
      </c>
      <c r="E13" s="3056">
        <v>69514.02</v>
      </c>
      <c r="F13" s="3056">
        <v>53527</v>
      </c>
      <c r="G13" s="3056">
        <v>70541.05</v>
      </c>
      <c r="H13" s="3056">
        <v>61611.740000000005</v>
      </c>
      <c r="I13" s="3056">
        <v>66082.5</v>
      </c>
      <c r="J13" s="3057">
        <v>83672</v>
      </c>
      <c r="K13" s="3058">
        <v>80963.41</v>
      </c>
      <c r="L13" s="3059">
        <v>79662</v>
      </c>
      <c r="M13" s="3060">
        <v>75868</v>
      </c>
      <c r="N13" s="3060">
        <v>65877</v>
      </c>
    </row>
    <row r="14" spans="2:14">
      <c r="B14" s="3066" t="s">
        <v>2983</v>
      </c>
      <c r="C14" s="3056">
        <v>0</v>
      </c>
      <c r="D14" s="3056">
        <v>0</v>
      </c>
      <c r="E14" s="3056">
        <v>0</v>
      </c>
      <c r="F14" s="3056">
        <v>0</v>
      </c>
      <c r="G14" s="3056">
        <v>0</v>
      </c>
      <c r="H14" s="3056">
        <v>0</v>
      </c>
      <c r="I14" s="3056">
        <v>0</v>
      </c>
      <c r="J14" s="3057">
        <v>0</v>
      </c>
      <c r="K14" s="3058">
        <v>0</v>
      </c>
      <c r="L14" s="3059">
        <v>0</v>
      </c>
      <c r="M14" s="3060">
        <v>0</v>
      </c>
      <c r="N14" s="3060">
        <v>0</v>
      </c>
    </row>
    <row r="15" spans="2:14">
      <c r="B15" s="3066" t="s">
        <v>3280</v>
      </c>
      <c r="C15" s="3056">
        <v>0</v>
      </c>
      <c r="D15" s="3056">
        <v>0</v>
      </c>
      <c r="E15" s="3056">
        <v>0</v>
      </c>
      <c r="F15" s="3056">
        <v>0</v>
      </c>
      <c r="G15" s="3056">
        <v>0</v>
      </c>
      <c r="H15" s="3056">
        <v>0</v>
      </c>
      <c r="I15" s="3056">
        <v>0</v>
      </c>
      <c r="J15" s="3057">
        <v>0</v>
      </c>
      <c r="K15" s="3056">
        <v>0</v>
      </c>
      <c r="L15" s="3059">
        <v>0</v>
      </c>
      <c r="M15" s="3060">
        <v>0</v>
      </c>
      <c r="N15" s="3060">
        <v>0</v>
      </c>
    </row>
    <row r="16" spans="2:14">
      <c r="B16" s="3066" t="s">
        <v>3281</v>
      </c>
      <c r="C16" s="3056">
        <v>114509.92</v>
      </c>
      <c r="D16" s="3056">
        <v>103382.85</v>
      </c>
      <c r="E16" s="3056">
        <v>122997.3</v>
      </c>
      <c r="F16" s="3056">
        <v>106270.45</v>
      </c>
      <c r="G16" s="3056">
        <v>123943.35</v>
      </c>
      <c r="H16" s="3056">
        <v>116322.55</v>
      </c>
      <c r="I16" s="3056">
        <v>103397.95</v>
      </c>
      <c r="J16" s="3057">
        <v>106472.25</v>
      </c>
      <c r="K16" s="3056">
        <v>108281.72</v>
      </c>
      <c r="L16" s="3062">
        <v>103765</v>
      </c>
      <c r="M16" s="3063">
        <v>102450</v>
      </c>
      <c r="N16" s="3064">
        <v>103540</v>
      </c>
    </row>
    <row r="17" spans="2:14">
      <c r="B17" s="3066" t="s">
        <v>3282</v>
      </c>
      <c r="C17" s="3056">
        <v>36000</v>
      </c>
      <c r="D17" s="3056">
        <v>35800</v>
      </c>
      <c r="E17" s="3056">
        <v>35600</v>
      </c>
      <c r="F17" s="3056">
        <v>35200</v>
      </c>
      <c r="G17" s="3056">
        <v>36000</v>
      </c>
      <c r="H17" s="3056">
        <v>36400</v>
      </c>
      <c r="I17" s="3056">
        <v>37000</v>
      </c>
      <c r="J17" s="3057">
        <v>37000</v>
      </c>
      <c r="K17" s="3056">
        <v>48456</v>
      </c>
      <c r="L17" s="3062">
        <v>42400</v>
      </c>
      <c r="M17" s="3063">
        <v>41800</v>
      </c>
      <c r="N17" s="3064">
        <v>44600</v>
      </c>
    </row>
    <row r="18" spans="2:14">
      <c r="B18" s="3055" t="s">
        <v>91</v>
      </c>
      <c r="C18" s="3056">
        <v>120873.32</v>
      </c>
      <c r="D18" s="3056">
        <v>111404.67</v>
      </c>
      <c r="E18" s="3056">
        <v>123690</v>
      </c>
      <c r="F18" s="3056">
        <v>116773</v>
      </c>
      <c r="G18" s="3056">
        <v>126212.58</v>
      </c>
      <c r="H18" s="3056">
        <v>109746.01</v>
      </c>
      <c r="I18" s="3056">
        <v>114328.75</v>
      </c>
      <c r="J18" s="3057">
        <v>119207.67000000001</v>
      </c>
      <c r="K18" s="3058">
        <v>124279.01999999999</v>
      </c>
      <c r="L18" s="3059">
        <v>125367</v>
      </c>
      <c r="M18" s="3060">
        <v>124519</v>
      </c>
      <c r="N18" s="3060">
        <v>125180</v>
      </c>
    </row>
    <row r="19" spans="2:14">
      <c r="B19" s="3066" t="s">
        <v>93</v>
      </c>
      <c r="C19" s="3056">
        <v>19316.3</v>
      </c>
      <c r="D19" s="3056">
        <v>18066</v>
      </c>
      <c r="E19" s="3056">
        <v>19160.25</v>
      </c>
      <c r="F19" s="3056">
        <v>16959</v>
      </c>
      <c r="G19" s="3056">
        <v>18965.25</v>
      </c>
      <c r="H19" s="3056">
        <v>18928.5</v>
      </c>
      <c r="I19" s="3056">
        <v>17740.5</v>
      </c>
      <c r="J19" s="3057">
        <v>18109</v>
      </c>
      <c r="K19" s="3058">
        <v>17948</v>
      </c>
      <c r="L19" s="3059">
        <v>17546</v>
      </c>
      <c r="M19" s="3060">
        <v>17237</v>
      </c>
      <c r="N19" s="3060">
        <v>17108</v>
      </c>
    </row>
    <row r="20" spans="2:14">
      <c r="B20" s="3066" t="s">
        <v>3283</v>
      </c>
      <c r="C20" s="3056">
        <v>4520</v>
      </c>
      <c r="D20" s="3056">
        <v>4510</v>
      </c>
      <c r="E20" s="3056">
        <v>4797</v>
      </c>
      <c r="F20" s="3056">
        <v>4707</v>
      </c>
      <c r="G20" s="3056">
        <v>4822</v>
      </c>
      <c r="H20" s="3056">
        <v>4754</v>
      </c>
      <c r="I20" s="3056">
        <v>4674</v>
      </c>
      <c r="J20" s="3057">
        <v>5239</v>
      </c>
      <c r="K20" s="3058">
        <v>4866</v>
      </c>
      <c r="L20" s="3059">
        <v>4556</v>
      </c>
      <c r="M20" s="3060">
        <v>4410</v>
      </c>
      <c r="N20" s="3060">
        <v>4990</v>
      </c>
    </row>
    <row r="21" spans="2:14">
      <c r="B21" s="3066" t="s">
        <v>3284</v>
      </c>
      <c r="C21" s="3056">
        <v>7192</v>
      </c>
      <c r="D21" s="3056">
        <v>6730</v>
      </c>
      <c r="E21" s="3056">
        <v>7020</v>
      </c>
      <c r="F21" s="3056">
        <v>6217</v>
      </c>
      <c r="G21" s="3056">
        <v>6762</v>
      </c>
      <c r="H21" s="3056">
        <v>6857</v>
      </c>
      <c r="I21" s="3056">
        <v>6635</v>
      </c>
      <c r="J21" s="3057">
        <v>6742</v>
      </c>
      <c r="K21" s="3058">
        <v>4410</v>
      </c>
      <c r="L21" s="3059">
        <v>7099</v>
      </c>
      <c r="M21" s="3060">
        <v>6461</v>
      </c>
      <c r="N21" s="3060">
        <v>6761</v>
      </c>
    </row>
    <row r="22" spans="2:14">
      <c r="B22" s="3066" t="s">
        <v>3285</v>
      </c>
      <c r="C22" s="3056">
        <v>19850.5</v>
      </c>
      <c r="D22" s="3056">
        <v>18348</v>
      </c>
      <c r="E22" s="3056">
        <v>19551</v>
      </c>
      <c r="F22" s="3056">
        <v>19217</v>
      </c>
      <c r="G22" s="3056">
        <v>18783.5</v>
      </c>
      <c r="H22" s="3056">
        <v>19022</v>
      </c>
      <c r="I22" s="3056">
        <v>18391.099999999999</v>
      </c>
      <c r="J22" s="3057">
        <v>17915</v>
      </c>
      <c r="K22" s="3058">
        <v>18336.55</v>
      </c>
      <c r="L22" s="3059">
        <v>17739</v>
      </c>
      <c r="M22" s="3060">
        <v>17363</v>
      </c>
      <c r="N22" s="3060">
        <v>18279</v>
      </c>
    </row>
    <row r="23" spans="2:14">
      <c r="B23" s="3066" t="s">
        <v>3286</v>
      </c>
      <c r="C23" s="3056">
        <v>16435.25</v>
      </c>
      <c r="D23" s="3056">
        <v>14848.75</v>
      </c>
      <c r="E23" s="3056">
        <v>18027.099999999999</v>
      </c>
      <c r="F23" s="3056">
        <v>15255</v>
      </c>
      <c r="G23" s="3056">
        <v>17345.5</v>
      </c>
      <c r="H23" s="3056">
        <v>16646</v>
      </c>
      <c r="I23" s="3056">
        <v>15360.6</v>
      </c>
      <c r="J23" s="3057">
        <v>15682</v>
      </c>
      <c r="K23" s="3067">
        <v>15936.8</v>
      </c>
      <c r="L23" s="3059">
        <v>15936.8</v>
      </c>
      <c r="M23" s="3060">
        <v>14633</v>
      </c>
      <c r="N23" s="3060">
        <v>16034</v>
      </c>
    </row>
    <row r="24" spans="2:14">
      <c r="B24" s="3066" t="s">
        <v>565</v>
      </c>
      <c r="C24" s="3056">
        <v>1800</v>
      </c>
      <c r="D24" s="3056">
        <v>1600</v>
      </c>
      <c r="E24" s="3056">
        <v>2200</v>
      </c>
      <c r="F24" s="3056">
        <v>2000</v>
      </c>
      <c r="G24" s="3056">
        <v>2000</v>
      </c>
      <c r="H24" s="3056">
        <v>0</v>
      </c>
      <c r="I24" s="3056">
        <v>1800</v>
      </c>
      <c r="J24" s="3057">
        <v>1932</v>
      </c>
      <c r="K24" s="3061">
        <v>1732</v>
      </c>
      <c r="L24" s="3059">
        <v>1732</v>
      </c>
      <c r="M24" s="3060">
        <v>1732</v>
      </c>
      <c r="N24" s="3060">
        <v>1732</v>
      </c>
    </row>
    <row r="25" spans="2:14">
      <c r="B25" s="3055" t="s">
        <v>3287</v>
      </c>
      <c r="C25" s="3056">
        <v>276508</v>
      </c>
      <c r="D25" s="3056">
        <v>277368</v>
      </c>
      <c r="E25" s="3056">
        <v>279628</v>
      </c>
      <c r="F25" s="3056">
        <v>281424</v>
      </c>
      <c r="G25" s="3056">
        <v>284956</v>
      </c>
      <c r="H25" s="3056">
        <v>289488</v>
      </c>
      <c r="I25" s="3056">
        <v>288680</v>
      </c>
      <c r="J25" s="3057">
        <v>288148</v>
      </c>
      <c r="K25" s="3061">
        <v>289820</v>
      </c>
      <c r="L25" s="3059">
        <v>288330</v>
      </c>
      <c r="M25" s="3060">
        <v>274740</v>
      </c>
      <c r="N25" s="3060">
        <v>276857</v>
      </c>
    </row>
    <row r="26" spans="2:14">
      <c r="B26" s="3065" t="s">
        <v>3288</v>
      </c>
      <c r="C26" s="3056">
        <v>0</v>
      </c>
      <c r="D26" s="3056">
        <v>0</v>
      </c>
      <c r="E26" s="3056">
        <v>0</v>
      </c>
      <c r="F26" s="3056">
        <v>0</v>
      </c>
      <c r="G26" s="3056">
        <v>0</v>
      </c>
      <c r="H26" s="3056">
        <v>0</v>
      </c>
      <c r="I26" s="3056">
        <v>0</v>
      </c>
      <c r="J26" s="3057">
        <v>0</v>
      </c>
      <c r="K26" s="3061">
        <v>0</v>
      </c>
      <c r="L26" s="3059">
        <v>0</v>
      </c>
      <c r="M26" s="3060">
        <v>0</v>
      </c>
      <c r="N26" s="3060">
        <v>0</v>
      </c>
    </row>
    <row r="27" spans="2:14" ht="13.8" thickBot="1">
      <c r="B27" s="3068" t="s">
        <v>4712</v>
      </c>
      <c r="C27" s="3069">
        <v>808324.39</v>
      </c>
      <c r="D27" s="3069">
        <v>750495.75</v>
      </c>
      <c r="E27" s="3069">
        <v>825194.16999999993</v>
      </c>
      <c r="F27" s="3069">
        <v>767963.95</v>
      </c>
      <c r="G27" s="3069">
        <v>835878.23</v>
      </c>
      <c r="H27" s="3069">
        <v>805125.1</v>
      </c>
      <c r="I27" s="3069">
        <v>791542.35</v>
      </c>
      <c r="J27" s="3070">
        <v>826402.27</v>
      </c>
      <c r="K27" s="3071">
        <v>868866.77</v>
      </c>
      <c r="L27" s="3072">
        <v>826685.8</v>
      </c>
      <c r="M27" s="3073">
        <v>801434</v>
      </c>
      <c r="N27" s="3074">
        <v>802665</v>
      </c>
    </row>
    <row r="28" spans="2:14" ht="13.8" thickBot="1">
      <c r="C28" s="3075">
        <f t="shared" ref="C28:N28" si="0">SUM(C7:C27)</f>
        <v>1634204.78</v>
      </c>
      <c r="D28" s="3076">
        <f t="shared" si="0"/>
        <v>1519207.5</v>
      </c>
      <c r="E28" s="3076">
        <f t="shared" si="0"/>
        <v>1675504.3399999999</v>
      </c>
      <c r="F28" s="3076">
        <f t="shared" si="0"/>
        <v>1561439.9</v>
      </c>
      <c r="G28" s="3076">
        <f t="shared" si="0"/>
        <v>1697400.46</v>
      </c>
      <c r="H28" s="3076">
        <f t="shared" si="0"/>
        <v>1635818.2</v>
      </c>
      <c r="I28" s="3076">
        <f t="shared" si="0"/>
        <v>1609708.7</v>
      </c>
      <c r="J28" s="3076">
        <f t="shared" si="0"/>
        <v>1682000.54</v>
      </c>
      <c r="K28" s="3076">
        <f t="shared" si="0"/>
        <v>1735133.54</v>
      </c>
      <c r="L28" s="3077">
        <f t="shared" si="0"/>
        <v>1679435.6</v>
      </c>
      <c r="M28" s="3077">
        <f t="shared" si="0"/>
        <v>1628398</v>
      </c>
      <c r="N28" s="3078">
        <f t="shared" si="0"/>
        <v>1630856</v>
      </c>
    </row>
    <row r="29" spans="2:14">
      <c r="C29">
        <v>831492.39</v>
      </c>
      <c r="D29" s="859">
        <v>774191.75</v>
      </c>
      <c r="E29" s="859">
        <v>858286.17</v>
      </c>
      <c r="F29" s="859">
        <v>801243.95</v>
      </c>
      <c r="G29" s="859">
        <v>869290.23</v>
      </c>
      <c r="H29" s="859">
        <v>838461.1</v>
      </c>
      <c r="I29" s="859">
        <v>825726.35</v>
      </c>
      <c r="J29" s="859">
        <v>860606.27</v>
      </c>
      <c r="K29" s="859">
        <v>866597.77000000014</v>
      </c>
      <c r="L29" s="859">
        <v>857170.8</v>
      </c>
      <c r="M29" s="859">
        <v>831885</v>
      </c>
      <c r="N29" s="859">
        <v>832593</v>
      </c>
    </row>
    <row r="30" spans="2:14">
      <c r="C30" s="280">
        <v>831492</v>
      </c>
      <c r="D30" s="859"/>
      <c r="E30" s="859"/>
      <c r="F30" s="859"/>
      <c r="G30" s="859"/>
      <c r="H30" s="859"/>
      <c r="I30" s="859"/>
      <c r="J30" s="859"/>
      <c r="K30" s="859"/>
      <c r="L30" s="859"/>
      <c r="M30" s="859"/>
      <c r="N30" s="859"/>
    </row>
  </sheetData>
  <mergeCells count="2">
    <mergeCell ref="B2:N2"/>
    <mergeCell ref="B5:N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31"/>
  <dimension ref="A1:P36"/>
  <sheetViews>
    <sheetView topLeftCell="F36" workbookViewId="0">
      <selection activeCell="P13" sqref="P13"/>
    </sheetView>
  </sheetViews>
  <sheetFormatPr baseColWidth="10" defaultRowHeight="13.2"/>
  <cols>
    <col min="1" max="1" width="24.5546875" bestFit="1" customWidth="1"/>
    <col min="2" max="5" width="14.5546875" customWidth="1"/>
    <col min="6" max="6" width="11.5546875" customWidth="1"/>
    <col min="7" max="8" width="10.5546875" customWidth="1"/>
    <col min="9" max="9" width="10.5546875" style="8" customWidth="1"/>
    <col min="10" max="10" width="10.5546875" customWidth="1"/>
    <col min="11" max="11" width="10.5546875" style="8" customWidth="1"/>
    <col min="12" max="12" width="19.5546875" customWidth="1"/>
    <col min="13" max="13" width="23.44140625" bestFit="1" customWidth="1"/>
    <col min="14" max="14" width="19.5546875" bestFit="1" customWidth="1"/>
    <col min="15" max="15" width="23.44140625" bestFit="1" customWidth="1"/>
    <col min="16" max="16" width="19.5546875" bestFit="1" customWidth="1"/>
    <col min="17" max="17" width="28.44140625" bestFit="1" customWidth="1"/>
    <col min="18" max="18" width="25" bestFit="1" customWidth="1"/>
  </cols>
  <sheetData>
    <row r="1" spans="1:16">
      <c r="B1" s="8">
        <v>2012</v>
      </c>
      <c r="C1" s="8">
        <v>2013</v>
      </c>
      <c r="D1" s="8">
        <v>2014</v>
      </c>
      <c r="E1" s="8">
        <v>2015</v>
      </c>
      <c r="F1" s="8">
        <v>2016</v>
      </c>
      <c r="G1" s="8">
        <v>2017</v>
      </c>
      <c r="H1" s="8">
        <v>2018</v>
      </c>
      <c r="I1" s="8">
        <v>2019</v>
      </c>
      <c r="J1" s="8">
        <v>2020</v>
      </c>
      <c r="K1" s="8">
        <v>2021</v>
      </c>
      <c r="O1" s="242" t="s">
        <v>2637</v>
      </c>
      <c r="P1" s="358">
        <f>+P7-P2-P3-P4-P5-P6</f>
        <v>70</v>
      </c>
    </row>
    <row r="2" spans="1:16">
      <c r="A2" s="242" t="s">
        <v>1935</v>
      </c>
      <c r="B2" s="8">
        <v>51</v>
      </c>
      <c r="C2" s="8">
        <v>70</v>
      </c>
      <c r="D2" s="8">
        <v>66</v>
      </c>
      <c r="E2" s="8">
        <v>46</v>
      </c>
      <c r="F2" s="262">
        <v>71</v>
      </c>
      <c r="G2" s="262">
        <v>72</v>
      </c>
      <c r="H2" s="1339">
        <v>71</v>
      </c>
      <c r="I2" s="8">
        <v>83</v>
      </c>
      <c r="J2" s="8">
        <v>65</v>
      </c>
      <c r="K2" s="262">
        <f>+[10]INDICADORES!P36</f>
        <v>73</v>
      </c>
      <c r="O2" s="242" t="s">
        <v>1960</v>
      </c>
      <c r="P2">
        <v>0</v>
      </c>
    </row>
    <row r="3" spans="1:16">
      <c r="A3" s="242" t="s">
        <v>1974</v>
      </c>
      <c r="B3" s="8">
        <v>903</v>
      </c>
      <c r="C3" s="8">
        <v>1255</v>
      </c>
      <c r="D3" s="8">
        <v>2134</v>
      </c>
      <c r="E3" s="8">
        <v>1809</v>
      </c>
      <c r="F3" s="8">
        <v>2119</v>
      </c>
      <c r="G3" s="262">
        <v>1740</v>
      </c>
      <c r="H3" s="1339">
        <v>7375</v>
      </c>
      <c r="I3" s="8">
        <v>8238</v>
      </c>
      <c r="J3" s="8">
        <v>4026</v>
      </c>
      <c r="K3" s="262">
        <f>+[10]INDICADORES!O36</f>
        <v>7125</v>
      </c>
      <c r="O3" s="242" t="s">
        <v>2675</v>
      </c>
      <c r="P3">
        <v>0</v>
      </c>
    </row>
    <row r="4" spans="1:16">
      <c r="A4" s="556" t="s">
        <v>912</v>
      </c>
      <c r="B4" s="8">
        <v>21</v>
      </c>
      <c r="C4" s="8">
        <v>30</v>
      </c>
      <c r="D4" s="8">
        <v>30</v>
      </c>
      <c r="E4" s="8">
        <v>24</v>
      </c>
      <c r="F4" s="8">
        <v>37</v>
      </c>
      <c r="G4" s="8">
        <v>36</v>
      </c>
      <c r="H4" s="983">
        <v>34</v>
      </c>
      <c r="I4" s="983">
        <v>41</v>
      </c>
      <c r="J4" s="8">
        <v>27</v>
      </c>
      <c r="K4" s="983">
        <v>38</v>
      </c>
      <c r="O4" s="242" t="s">
        <v>558</v>
      </c>
      <c r="P4">
        <v>0</v>
      </c>
    </row>
    <row r="5" spans="1:16">
      <c r="B5" s="8">
        <v>408</v>
      </c>
      <c r="C5" s="8">
        <v>695</v>
      </c>
      <c r="D5" s="8">
        <v>1334</v>
      </c>
      <c r="E5" s="8">
        <v>1328</v>
      </c>
      <c r="F5" s="8">
        <v>1293</v>
      </c>
      <c r="G5" s="8">
        <v>786</v>
      </c>
      <c r="H5" s="983">
        <v>769</v>
      </c>
      <c r="I5" s="983">
        <v>687</v>
      </c>
      <c r="J5" s="8">
        <v>357</v>
      </c>
      <c r="K5" s="983">
        <v>532</v>
      </c>
      <c r="O5" s="242" t="s">
        <v>2158</v>
      </c>
      <c r="P5">
        <v>0</v>
      </c>
    </row>
    <row r="6" spans="1:16">
      <c r="B6" s="1169">
        <f t="shared" ref="B6:G7" si="0">+B4/B2</f>
        <v>0.41176470588235292</v>
      </c>
      <c r="C6" s="1169">
        <f t="shared" si="0"/>
        <v>0.42857142857142855</v>
      </c>
      <c r="D6" s="1169">
        <f t="shared" si="0"/>
        <v>0.45454545454545453</v>
      </c>
      <c r="E6" s="1169">
        <f t="shared" si="0"/>
        <v>0.52173913043478259</v>
      </c>
      <c r="F6" s="1169">
        <f>+F4/F2</f>
        <v>0.52112676056338025</v>
      </c>
      <c r="G6" s="1169">
        <f>+G4/G2</f>
        <v>0.5</v>
      </c>
      <c r="H6" s="1183">
        <v>0.47887323943661969</v>
      </c>
      <c r="I6" s="1169">
        <f>+I4/J2</f>
        <v>0.63076923076923075</v>
      </c>
      <c r="J6" s="1980">
        <f>+J4/J2</f>
        <v>0.41538461538461541</v>
      </c>
      <c r="K6" s="1980">
        <f>+K4/K2</f>
        <v>0.52054794520547942</v>
      </c>
      <c r="O6" s="242" t="s">
        <v>821</v>
      </c>
      <c r="P6">
        <v>0</v>
      </c>
    </row>
    <row r="7" spans="1:16">
      <c r="B7" s="1169">
        <f t="shared" si="0"/>
        <v>0.45182724252491696</v>
      </c>
      <c r="C7" s="1169">
        <f t="shared" si="0"/>
        <v>0.55378486055776888</v>
      </c>
      <c r="D7" s="1169">
        <f t="shared" si="0"/>
        <v>0.62511715089034681</v>
      </c>
      <c r="E7" s="1169">
        <f t="shared" si="0"/>
        <v>0.73410724156992813</v>
      </c>
      <c r="F7" s="1169">
        <f t="shared" si="0"/>
        <v>0.61019348749410096</v>
      </c>
      <c r="G7" s="1169">
        <f t="shared" si="0"/>
        <v>0.4517241379310345</v>
      </c>
      <c r="H7" s="1183">
        <v>0.10427118644067797</v>
      </c>
      <c r="I7" s="1169">
        <f>+I5/J3</f>
        <v>0.1706408345752608</v>
      </c>
      <c r="J7" s="1980">
        <f>+J5/J3</f>
        <v>8.867362146050671E-2</v>
      </c>
      <c r="K7" s="1980">
        <f>+K5/K3</f>
        <v>7.4666666666666673E-2</v>
      </c>
      <c r="P7" s="358">
        <f>+INDICADORES!P32</f>
        <v>70</v>
      </c>
    </row>
    <row r="8" spans="1:16">
      <c r="H8" s="859"/>
    </row>
    <row r="9" spans="1:16">
      <c r="H9" s="859"/>
    </row>
    <row r="10" spans="1:16">
      <c r="A10" s="242" t="s">
        <v>1975</v>
      </c>
      <c r="B10" s="8">
        <v>3</v>
      </c>
      <c r="C10" s="8">
        <v>2</v>
      </c>
      <c r="D10" s="8">
        <v>6</v>
      </c>
      <c r="E10" s="8">
        <v>6</v>
      </c>
      <c r="F10" s="8">
        <v>6</v>
      </c>
      <c r="G10" s="8">
        <v>11</v>
      </c>
      <c r="H10" s="983">
        <v>8</v>
      </c>
      <c r="I10" s="983">
        <v>14</v>
      </c>
      <c r="J10" s="8">
        <v>5</v>
      </c>
      <c r="K10" s="1981">
        <v>7</v>
      </c>
    </row>
    <row r="11" spans="1:16">
      <c r="A11" s="947" t="s">
        <v>1976</v>
      </c>
      <c r="B11" s="8">
        <v>225</v>
      </c>
      <c r="C11" s="8">
        <v>180</v>
      </c>
      <c r="D11" s="8">
        <v>512</v>
      </c>
      <c r="E11" s="8">
        <v>482</v>
      </c>
      <c r="F11" s="8">
        <v>322</v>
      </c>
      <c r="G11" s="8">
        <v>825</v>
      </c>
      <c r="H11" s="983">
        <v>520</v>
      </c>
      <c r="I11" s="983">
        <v>892</v>
      </c>
      <c r="J11" s="8">
        <v>108</v>
      </c>
      <c r="K11" s="1981">
        <v>183</v>
      </c>
    </row>
    <row r="12" spans="1:16">
      <c r="A12" s="242" t="s">
        <v>4301</v>
      </c>
      <c r="B12" s="8">
        <v>1</v>
      </c>
      <c r="C12" s="8">
        <v>0</v>
      </c>
      <c r="D12" s="8">
        <v>3</v>
      </c>
      <c r="E12" s="8">
        <v>3</v>
      </c>
      <c r="F12" s="8">
        <v>7</v>
      </c>
      <c r="G12" s="8">
        <v>0</v>
      </c>
      <c r="H12" s="983">
        <v>0</v>
      </c>
      <c r="I12" s="983">
        <v>1</v>
      </c>
      <c r="J12" s="8">
        <v>2</v>
      </c>
      <c r="K12" s="1981">
        <v>1</v>
      </c>
    </row>
    <row r="13" spans="1:16">
      <c r="A13" s="947" t="s">
        <v>1976</v>
      </c>
      <c r="B13" s="8">
        <v>60</v>
      </c>
      <c r="C13" s="8">
        <v>0</v>
      </c>
      <c r="D13" s="8">
        <v>705</v>
      </c>
      <c r="E13" s="8">
        <v>373</v>
      </c>
      <c r="F13" s="8">
        <v>628</v>
      </c>
      <c r="G13" s="8">
        <v>0</v>
      </c>
      <c r="H13" s="983">
        <v>0</v>
      </c>
      <c r="I13" s="983">
        <v>30</v>
      </c>
      <c r="J13" s="8">
        <v>137</v>
      </c>
      <c r="K13" s="1981">
        <v>40</v>
      </c>
    </row>
    <row r="14" spans="1:16">
      <c r="B14" s="8"/>
      <c r="C14" s="8"/>
      <c r="D14" s="8"/>
      <c r="E14" s="8"/>
      <c r="F14" s="8"/>
      <c r="G14" s="8"/>
      <c r="H14" s="8"/>
      <c r="J14" s="8"/>
    </row>
    <row r="15" spans="1:16">
      <c r="E15" s="8"/>
      <c r="F15" s="8"/>
      <c r="G15" s="8"/>
      <c r="H15" s="8"/>
      <c r="J15" s="8"/>
    </row>
    <row r="16" spans="1:16">
      <c r="H16" s="1223"/>
      <c r="I16" s="1223"/>
      <c r="J16" s="1223"/>
      <c r="K16" s="1223"/>
    </row>
    <row r="17" spans="8:11">
      <c r="H17" s="983"/>
      <c r="I17" s="983"/>
      <c r="J17" s="983"/>
      <c r="K17" s="983"/>
    </row>
    <row r="18" spans="8:11" ht="13.5" customHeight="1">
      <c r="H18" s="983"/>
      <c r="I18" s="983"/>
      <c r="J18" s="983"/>
      <c r="K18" s="983"/>
    </row>
    <row r="19" spans="8:11">
      <c r="H19" s="859"/>
      <c r="I19" s="983"/>
      <c r="J19" s="859"/>
      <c r="K19" s="983"/>
    </row>
    <row r="20" spans="8:11">
      <c r="H20" s="1223"/>
      <c r="I20" s="1223"/>
      <c r="J20" s="1223"/>
      <c r="K20" s="1223"/>
    </row>
    <row r="21" spans="8:11">
      <c r="H21" s="1223"/>
      <c r="I21" s="1223"/>
      <c r="J21" s="1223"/>
      <c r="K21" s="1223"/>
    </row>
    <row r="22" spans="8:11">
      <c r="H22" s="1223"/>
      <c r="I22" s="1223"/>
      <c r="J22" s="1223"/>
      <c r="K22" s="1223"/>
    </row>
    <row r="23" spans="8:11">
      <c r="H23" s="1223"/>
      <c r="I23" s="1223"/>
      <c r="J23" s="1223"/>
      <c r="K23" s="1223"/>
    </row>
    <row r="24" spans="8:11">
      <c r="H24" s="1223"/>
      <c r="I24" s="1223"/>
      <c r="J24" s="1223"/>
      <c r="K24" s="1223"/>
    </row>
    <row r="25" spans="8:11">
      <c r="H25" s="1223"/>
      <c r="I25" s="1223"/>
      <c r="J25" s="1223"/>
      <c r="K25" s="1223"/>
    </row>
    <row r="26" spans="8:11">
      <c r="H26" s="1223"/>
      <c r="I26" s="1223"/>
      <c r="J26" s="1223"/>
      <c r="K26" s="1223"/>
    </row>
    <row r="27" spans="8:11">
      <c r="H27" s="1223"/>
      <c r="I27" s="1223"/>
      <c r="J27" s="1223"/>
      <c r="K27" s="1223"/>
    </row>
    <row r="28" spans="8:11">
      <c r="H28" s="1223"/>
      <c r="I28" s="1223"/>
      <c r="J28" s="1223"/>
      <c r="K28" s="1223"/>
    </row>
    <row r="29" spans="8:11">
      <c r="H29" s="1035"/>
      <c r="I29" s="1223"/>
      <c r="J29" s="1035"/>
      <c r="K29" s="1223"/>
    </row>
    <row r="30" spans="8:11">
      <c r="H30" s="983"/>
      <c r="I30" s="983"/>
      <c r="J30" s="983"/>
      <c r="K30" s="983"/>
    </row>
    <row r="31" spans="8:11">
      <c r="H31" s="983"/>
      <c r="I31" s="983"/>
      <c r="J31" s="983"/>
      <c r="K31" s="983"/>
    </row>
    <row r="32" spans="8:11">
      <c r="H32" s="983"/>
      <c r="I32" s="983"/>
      <c r="J32" s="983"/>
      <c r="K32" s="983"/>
    </row>
    <row r="33" spans="8:11">
      <c r="H33" s="983"/>
      <c r="I33" s="983"/>
      <c r="J33" s="983"/>
      <c r="K33" s="983"/>
    </row>
    <row r="34" spans="8:11">
      <c r="H34" s="983"/>
      <c r="I34" s="983"/>
      <c r="J34" s="983"/>
      <c r="K34" s="983"/>
    </row>
    <row r="35" spans="8:11">
      <c r="H35" s="983"/>
      <c r="I35" s="983"/>
      <c r="J35" s="983"/>
      <c r="K35" s="983"/>
    </row>
    <row r="36" spans="8:11">
      <c r="H36" s="983"/>
      <c r="I36" s="983"/>
      <c r="J36" s="983"/>
      <c r="K36" s="983"/>
    </row>
  </sheetData>
  <pageMargins left="0.7" right="0.7" top="0.75" bottom="0.75" header="0.3" footer="0.3"/>
  <customProperties>
    <customPr name="_pios_id" r:id="rId1"/>
  </customPropertie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32"/>
  <dimension ref="A1:L73"/>
  <sheetViews>
    <sheetView zoomScaleNormal="100" workbookViewId="0">
      <selection activeCell="K13" sqref="K13"/>
    </sheetView>
  </sheetViews>
  <sheetFormatPr baseColWidth="10" defaultRowHeight="13.2"/>
  <cols>
    <col min="1" max="1" width="36.44140625" bestFit="1" customWidth="1"/>
    <col min="2" max="2" width="5.5546875" bestFit="1" customWidth="1"/>
    <col min="3" max="12" width="9.5546875" style="8" customWidth="1"/>
    <col min="13" max="13" width="3" customWidth="1"/>
  </cols>
  <sheetData>
    <row r="1" spans="1:12">
      <c r="A1" s="150" t="s">
        <v>2543</v>
      </c>
      <c r="C1" s="1203">
        <v>2012</v>
      </c>
      <c r="D1" s="1203">
        <v>2013</v>
      </c>
      <c r="E1" s="1203">
        <v>2014</v>
      </c>
      <c r="F1" s="1203">
        <v>2015</v>
      </c>
      <c r="G1" s="1203">
        <v>2016</v>
      </c>
      <c r="H1" s="1203">
        <v>2017</v>
      </c>
      <c r="I1" s="1203">
        <v>2018</v>
      </c>
      <c r="J1" s="1203">
        <v>2019</v>
      </c>
      <c r="K1" s="1203">
        <v>2020</v>
      </c>
      <c r="L1" s="1204" t="s">
        <v>907</v>
      </c>
    </row>
    <row r="2" spans="1:12">
      <c r="A2" s="556" t="s">
        <v>558</v>
      </c>
      <c r="B2" s="11" t="s">
        <v>1940</v>
      </c>
      <c r="C2" s="8">
        <v>6</v>
      </c>
      <c r="D2" s="8">
        <v>11</v>
      </c>
      <c r="E2" s="8">
        <v>4</v>
      </c>
      <c r="F2" s="8">
        <v>7</v>
      </c>
      <c r="G2" s="8">
        <v>8</v>
      </c>
      <c r="H2" s="675">
        <v>3</v>
      </c>
      <c r="I2" s="675">
        <v>5</v>
      </c>
      <c r="J2" s="675">
        <v>2</v>
      </c>
      <c r="K2" s="675">
        <v>7</v>
      </c>
      <c r="L2" s="8">
        <f t="shared" ref="L2:L11" si="0">+C2+D2+E2+F2+G2</f>
        <v>36</v>
      </c>
    </row>
    <row r="3" spans="1:12">
      <c r="A3" s="556"/>
      <c r="B3" s="11" t="s">
        <v>1936</v>
      </c>
      <c r="C3" s="8">
        <v>124</v>
      </c>
      <c r="D3" s="8">
        <v>320</v>
      </c>
      <c r="E3" s="8">
        <v>156</v>
      </c>
      <c r="F3" s="8">
        <v>646</v>
      </c>
      <c r="G3" s="8">
        <v>545</v>
      </c>
      <c r="H3" s="675">
        <v>167</v>
      </c>
      <c r="I3" s="675">
        <v>78</v>
      </c>
      <c r="J3" s="675">
        <v>36</v>
      </c>
      <c r="K3" s="675">
        <v>170</v>
      </c>
      <c r="L3" s="8">
        <f t="shared" si="0"/>
        <v>1791</v>
      </c>
    </row>
    <row r="4" spans="1:12">
      <c r="A4" s="556" t="s">
        <v>864</v>
      </c>
      <c r="B4" s="11" t="s">
        <v>1940</v>
      </c>
      <c r="C4" s="8">
        <v>19</v>
      </c>
      <c r="D4" s="8">
        <v>9</v>
      </c>
      <c r="E4" s="8">
        <v>17</v>
      </c>
      <c r="F4" s="8">
        <v>15</v>
      </c>
      <c r="G4" s="8">
        <v>25</v>
      </c>
      <c r="H4" s="675">
        <v>42</v>
      </c>
      <c r="I4" s="675">
        <v>44</v>
      </c>
      <c r="J4" s="675">
        <v>70</v>
      </c>
      <c r="K4" s="675">
        <v>56</v>
      </c>
      <c r="L4" s="8">
        <f t="shared" si="0"/>
        <v>85</v>
      </c>
    </row>
    <row r="5" spans="1:12">
      <c r="A5" s="556"/>
      <c r="B5" s="11" t="s">
        <v>1936</v>
      </c>
      <c r="C5" s="8">
        <v>476</v>
      </c>
      <c r="D5" s="8">
        <v>199</v>
      </c>
      <c r="E5" s="8">
        <f>226+127</f>
        <v>353</v>
      </c>
      <c r="F5" s="8">
        <v>527</v>
      </c>
      <c r="G5" s="8">
        <f>620+144</f>
        <v>764</v>
      </c>
      <c r="H5" s="675">
        <v>843</v>
      </c>
      <c r="I5" s="675">
        <v>855</v>
      </c>
      <c r="J5" s="675">
        <v>7540</v>
      </c>
      <c r="K5" s="675">
        <f>395+22+45+170</f>
        <v>632</v>
      </c>
      <c r="L5" s="8">
        <f t="shared" si="0"/>
        <v>2319</v>
      </c>
    </row>
    <row r="6" spans="1:12">
      <c r="A6" s="1090" t="s">
        <v>1960</v>
      </c>
      <c r="B6" s="11" t="s">
        <v>1940</v>
      </c>
      <c r="C6" s="8">
        <v>7</v>
      </c>
      <c r="D6" s="8">
        <v>11</v>
      </c>
      <c r="E6" s="8">
        <v>8</v>
      </c>
      <c r="F6" s="8">
        <v>3</v>
      </c>
      <c r="G6" s="8">
        <v>7</v>
      </c>
      <c r="H6" s="675">
        <v>10</v>
      </c>
      <c r="I6" s="675">
        <v>10</v>
      </c>
      <c r="J6" s="675">
        <v>11</v>
      </c>
      <c r="K6" s="675">
        <v>6</v>
      </c>
      <c r="L6" s="8">
        <f t="shared" si="0"/>
        <v>36</v>
      </c>
    </row>
    <row r="7" spans="1:12">
      <c r="A7" s="556"/>
      <c r="B7" s="11" t="s">
        <v>1936</v>
      </c>
      <c r="C7" s="8">
        <v>114</v>
      </c>
      <c r="D7" s="8">
        <v>111</v>
      </c>
      <c r="E7" s="8">
        <v>163</v>
      </c>
      <c r="F7" s="8">
        <v>42</v>
      </c>
      <c r="G7" s="8">
        <v>69</v>
      </c>
      <c r="H7" s="675">
        <v>98</v>
      </c>
      <c r="I7" s="675">
        <v>273</v>
      </c>
      <c r="J7" s="675">
        <v>372</v>
      </c>
      <c r="K7" s="675">
        <v>91</v>
      </c>
      <c r="L7" s="8">
        <f t="shared" si="0"/>
        <v>499</v>
      </c>
    </row>
    <row r="8" spans="1:12">
      <c r="A8" s="1090" t="s">
        <v>1939</v>
      </c>
      <c r="B8" s="11" t="s">
        <v>1940</v>
      </c>
      <c r="H8" s="675"/>
      <c r="I8" s="675"/>
      <c r="J8" s="675"/>
      <c r="K8" s="675"/>
      <c r="L8" s="8">
        <f t="shared" si="0"/>
        <v>0</v>
      </c>
    </row>
    <row r="9" spans="1:12">
      <c r="A9" s="1090"/>
      <c r="B9" s="11" t="s">
        <v>1936</v>
      </c>
      <c r="H9" s="675"/>
      <c r="I9" s="675"/>
      <c r="J9" s="675"/>
      <c r="K9" s="675"/>
      <c r="L9" s="8">
        <f t="shared" si="0"/>
        <v>0</v>
      </c>
    </row>
    <row r="10" spans="1:12">
      <c r="A10" s="556" t="s">
        <v>1104</v>
      </c>
      <c r="B10" s="11" t="s">
        <v>1940</v>
      </c>
      <c r="C10" s="8">
        <v>5</v>
      </c>
      <c r="D10" s="8">
        <v>3</v>
      </c>
      <c r="E10" s="8">
        <v>4</v>
      </c>
      <c r="F10" s="8">
        <v>3</v>
      </c>
      <c r="G10" s="8">
        <v>3</v>
      </c>
      <c r="H10" s="675">
        <v>6</v>
      </c>
      <c r="I10" s="675">
        <v>2</v>
      </c>
      <c r="J10" s="675">
        <v>6</v>
      </c>
      <c r="K10" s="675">
        <v>2</v>
      </c>
      <c r="L10" s="8">
        <f t="shared" si="0"/>
        <v>18</v>
      </c>
    </row>
    <row r="11" spans="1:12">
      <c r="A11" s="556"/>
      <c r="B11" s="11" t="s">
        <v>1936</v>
      </c>
      <c r="C11" s="8">
        <v>35</v>
      </c>
      <c r="D11" s="8">
        <v>15</v>
      </c>
      <c r="E11" s="8">
        <v>347</v>
      </c>
      <c r="F11" s="8">
        <v>23</v>
      </c>
      <c r="G11" s="8">
        <v>41</v>
      </c>
      <c r="H11" s="675">
        <v>284</v>
      </c>
      <c r="I11" s="675">
        <v>6024</v>
      </c>
      <c r="J11" s="675">
        <v>155</v>
      </c>
      <c r="K11" s="675">
        <v>10</v>
      </c>
      <c r="L11" s="8">
        <f t="shared" si="0"/>
        <v>461</v>
      </c>
    </row>
    <row r="12" spans="1:12">
      <c r="A12" s="1090" t="s">
        <v>934</v>
      </c>
      <c r="B12" s="11" t="s">
        <v>1940</v>
      </c>
      <c r="C12" s="8">
        <v>1</v>
      </c>
      <c r="D12" s="8">
        <v>4</v>
      </c>
      <c r="E12" s="8">
        <v>3</v>
      </c>
      <c r="F12" s="8">
        <v>2</v>
      </c>
      <c r="G12" s="8">
        <v>9</v>
      </c>
      <c r="H12" s="675">
        <v>4</v>
      </c>
      <c r="I12" s="675">
        <v>6</v>
      </c>
      <c r="J12" s="675"/>
      <c r="K12" s="675"/>
      <c r="L12" s="8">
        <f>+C12+D12+E12+F12+G12</f>
        <v>19</v>
      </c>
    </row>
    <row r="13" spans="1:12">
      <c r="A13" s="1090"/>
      <c r="B13" s="11" t="s">
        <v>1936</v>
      </c>
      <c r="C13" s="8">
        <v>60</v>
      </c>
      <c r="D13" s="8">
        <v>182</v>
      </c>
      <c r="E13" s="8">
        <v>19</v>
      </c>
      <c r="F13" s="8">
        <v>67</v>
      </c>
      <c r="G13" s="8">
        <v>345</v>
      </c>
      <c r="H13" s="675">
        <v>82</v>
      </c>
      <c r="I13" s="675">
        <v>93</v>
      </c>
      <c r="J13" s="675"/>
      <c r="K13" s="675"/>
      <c r="L13" s="8">
        <f>+C13+D13+E13+F13+G13</f>
        <v>673</v>
      </c>
    </row>
    <row r="14" spans="1:12">
      <c r="A14" s="1090" t="s">
        <v>1905</v>
      </c>
      <c r="B14" s="556"/>
      <c r="H14" s="675"/>
      <c r="I14" s="675"/>
      <c r="J14" s="675"/>
      <c r="K14" s="675"/>
    </row>
    <row r="15" spans="1:12">
      <c r="A15" s="556"/>
      <c r="B15" s="556"/>
      <c r="H15" s="675"/>
      <c r="I15" s="675"/>
      <c r="J15" s="675"/>
      <c r="K15" s="675"/>
    </row>
    <row r="18" spans="1:12">
      <c r="A18" s="1265" t="s">
        <v>2544</v>
      </c>
      <c r="B18" s="556"/>
      <c r="C18" s="1203">
        <v>2012</v>
      </c>
      <c r="D18" s="1203">
        <v>2013</v>
      </c>
      <c r="E18" s="1203">
        <v>2014</v>
      </c>
      <c r="F18" s="1203">
        <v>2015</v>
      </c>
      <c r="G18" s="1203">
        <v>2016</v>
      </c>
      <c r="H18" s="1203">
        <f>+H1</f>
        <v>2017</v>
      </c>
      <c r="I18" s="1203">
        <v>2018</v>
      </c>
      <c r="J18" s="1203">
        <v>2019</v>
      </c>
      <c r="K18" s="1203">
        <v>2020</v>
      </c>
      <c r="L18" s="1204" t="s">
        <v>907</v>
      </c>
    </row>
    <row r="19" spans="1:12">
      <c r="A19" s="1090" t="s">
        <v>1937</v>
      </c>
      <c r="B19" s="11" t="s">
        <v>1940</v>
      </c>
      <c r="C19" s="8">
        <v>6</v>
      </c>
      <c r="D19" s="8">
        <v>9</v>
      </c>
      <c r="E19" s="8">
        <v>12</v>
      </c>
      <c r="F19" s="8">
        <v>13</v>
      </c>
      <c r="G19" s="8">
        <v>16</v>
      </c>
      <c r="H19" s="8">
        <v>26</v>
      </c>
      <c r="I19" s="8">
        <v>32</v>
      </c>
      <c r="K19" s="8">
        <v>15</v>
      </c>
      <c r="L19" s="8">
        <f t="shared" ref="L19:L26" si="1">SUM(C19:I19)</f>
        <v>114</v>
      </c>
    </row>
    <row r="20" spans="1:12">
      <c r="A20" s="1090"/>
      <c r="B20" s="11" t="s">
        <v>1936</v>
      </c>
      <c r="C20" s="8">
        <v>126</v>
      </c>
      <c r="D20" s="8">
        <v>240</v>
      </c>
      <c r="E20" s="8">
        <v>383</v>
      </c>
      <c r="F20" s="675">
        <v>1029</v>
      </c>
      <c r="G20" s="8">
        <v>454</v>
      </c>
      <c r="H20" s="8">
        <v>438</v>
      </c>
      <c r="I20" s="8">
        <v>609</v>
      </c>
      <c r="K20" s="8">
        <v>205</v>
      </c>
      <c r="L20" s="8">
        <f t="shared" si="1"/>
        <v>3279</v>
      </c>
    </row>
    <row r="21" spans="1:12">
      <c r="A21" s="1090" t="s">
        <v>1241</v>
      </c>
      <c r="B21" s="11" t="s">
        <v>1940</v>
      </c>
      <c r="C21" s="8">
        <v>2</v>
      </c>
      <c r="D21" s="8">
        <v>4</v>
      </c>
      <c r="E21" s="8">
        <v>5</v>
      </c>
      <c r="F21" s="8">
        <v>1</v>
      </c>
      <c r="G21" s="8">
        <v>4</v>
      </c>
      <c r="H21" s="8">
        <v>3</v>
      </c>
      <c r="I21" s="8">
        <v>3</v>
      </c>
      <c r="J21" s="8">
        <v>3</v>
      </c>
      <c r="K21" s="8">
        <v>3</v>
      </c>
      <c r="L21" s="8">
        <f>SUM(C21:K21)</f>
        <v>28</v>
      </c>
    </row>
    <row r="22" spans="1:12">
      <c r="A22" s="1090"/>
      <c r="B22" s="11" t="s">
        <v>1936</v>
      </c>
      <c r="C22" s="8">
        <v>35</v>
      </c>
      <c r="D22" s="8">
        <v>249</v>
      </c>
      <c r="E22" s="8">
        <v>244</v>
      </c>
      <c r="F22" s="8">
        <v>26</v>
      </c>
      <c r="G22" s="8">
        <v>131</v>
      </c>
      <c r="H22" s="8">
        <v>14</v>
      </c>
      <c r="I22" s="8">
        <v>73</v>
      </c>
      <c r="J22" s="8">
        <v>60</v>
      </c>
      <c r="K22" s="8">
        <v>38</v>
      </c>
      <c r="L22" s="8">
        <f>SUM(C22:K22)</f>
        <v>870</v>
      </c>
    </row>
    <row r="23" spans="1:12">
      <c r="A23" s="1090" t="s">
        <v>2268</v>
      </c>
      <c r="B23" s="11" t="s">
        <v>1940</v>
      </c>
      <c r="C23" s="8">
        <v>5</v>
      </c>
      <c r="D23" s="8">
        <v>3</v>
      </c>
      <c r="E23" s="8">
        <v>4</v>
      </c>
      <c r="F23" s="8">
        <v>3</v>
      </c>
      <c r="G23" s="8">
        <v>3</v>
      </c>
      <c r="H23" s="8">
        <v>6</v>
      </c>
      <c r="I23" s="8">
        <v>2</v>
      </c>
      <c r="J23" s="8">
        <v>6</v>
      </c>
      <c r="K23" s="8">
        <v>2</v>
      </c>
      <c r="L23" s="8">
        <f>SUM(C23:K23)</f>
        <v>34</v>
      </c>
    </row>
    <row r="24" spans="1:12">
      <c r="A24" s="1090"/>
      <c r="B24" s="11" t="s">
        <v>1936</v>
      </c>
      <c r="C24" s="8">
        <v>35</v>
      </c>
      <c r="D24" s="8">
        <v>15</v>
      </c>
      <c r="E24" s="8">
        <v>347</v>
      </c>
      <c r="F24" s="8">
        <v>23</v>
      </c>
      <c r="G24" s="8">
        <v>41</v>
      </c>
      <c r="H24" s="8">
        <v>284</v>
      </c>
      <c r="I24" s="8">
        <v>6024</v>
      </c>
      <c r="J24" s="8">
        <v>155</v>
      </c>
      <c r="K24" s="8">
        <v>10</v>
      </c>
      <c r="L24" s="8">
        <f>SUM(C24:K24)</f>
        <v>6934</v>
      </c>
    </row>
    <row r="25" spans="1:12">
      <c r="A25" s="1090" t="s">
        <v>1301</v>
      </c>
      <c r="B25" s="11" t="s">
        <v>1940</v>
      </c>
      <c r="C25" s="8">
        <v>0</v>
      </c>
      <c r="D25" s="8">
        <v>0</v>
      </c>
      <c r="E25" s="8">
        <v>1</v>
      </c>
      <c r="F25" s="8">
        <v>1</v>
      </c>
      <c r="G25" s="8">
        <v>1</v>
      </c>
      <c r="H25" s="8">
        <v>0</v>
      </c>
      <c r="I25" s="8">
        <v>0</v>
      </c>
      <c r="L25" s="8">
        <f t="shared" si="1"/>
        <v>3</v>
      </c>
    </row>
    <row r="26" spans="1:12">
      <c r="A26" s="1090"/>
      <c r="B26" s="11" t="s">
        <v>1936</v>
      </c>
      <c r="C26" s="8">
        <v>0</v>
      </c>
      <c r="D26" s="8">
        <v>0</v>
      </c>
      <c r="E26" s="8">
        <v>349</v>
      </c>
      <c r="F26" s="8">
        <v>7</v>
      </c>
      <c r="G26" s="8">
        <v>1</v>
      </c>
      <c r="H26" s="8">
        <v>0</v>
      </c>
      <c r="I26" s="8">
        <v>0</v>
      </c>
      <c r="L26" s="8">
        <f t="shared" si="1"/>
        <v>357</v>
      </c>
    </row>
    <row r="27" spans="1:12">
      <c r="A27" s="1090"/>
      <c r="B27" s="11"/>
    </row>
    <row r="28" spans="1:12">
      <c r="A28" s="1090"/>
      <c r="B28" s="11"/>
    </row>
    <row r="29" spans="1:12">
      <c r="A29" s="1090" t="s">
        <v>1938</v>
      </c>
      <c r="B29" s="11" t="s">
        <v>1940</v>
      </c>
      <c r="C29" s="8">
        <v>5</v>
      </c>
      <c r="D29" s="8">
        <v>2</v>
      </c>
      <c r="E29" s="8">
        <v>1</v>
      </c>
      <c r="F29" s="8">
        <v>4</v>
      </c>
      <c r="G29" s="8">
        <v>4</v>
      </c>
      <c r="H29" s="675">
        <v>3</v>
      </c>
      <c r="I29" s="675">
        <v>2</v>
      </c>
      <c r="J29" s="675">
        <v>3</v>
      </c>
      <c r="K29" s="675">
        <v>1</v>
      </c>
      <c r="L29" s="8">
        <f>+C29+D29+E29+F29+G29</f>
        <v>16</v>
      </c>
    </row>
    <row r="30" spans="1:12">
      <c r="A30" s="1090"/>
      <c r="B30" s="11" t="s">
        <v>1936</v>
      </c>
      <c r="C30" s="8">
        <v>38</v>
      </c>
      <c r="D30" s="8">
        <v>47</v>
      </c>
      <c r="E30" s="8">
        <v>7</v>
      </c>
      <c r="F30" s="8">
        <v>292</v>
      </c>
      <c r="G30" s="8">
        <v>199</v>
      </c>
      <c r="H30" s="675">
        <v>163</v>
      </c>
      <c r="I30" s="675">
        <v>99</v>
      </c>
      <c r="J30" s="675">
        <v>92</v>
      </c>
      <c r="K30" s="675">
        <v>3</v>
      </c>
      <c r="L30" s="8">
        <f>+C30+D30+E30+F30+G30</f>
        <v>583</v>
      </c>
    </row>
    <row r="31" spans="1:12">
      <c r="A31" s="1090"/>
      <c r="B31" s="11"/>
    </row>
    <row r="32" spans="1:12">
      <c r="A32" s="1090"/>
      <c r="B32" s="11"/>
    </row>
    <row r="33" spans="1:12">
      <c r="A33" s="1090" t="s">
        <v>2475</v>
      </c>
      <c r="B33" s="11" t="s">
        <v>1940</v>
      </c>
      <c r="C33" s="8">
        <v>4</v>
      </c>
      <c r="D33" s="8">
        <v>2</v>
      </c>
      <c r="E33" s="8">
        <v>2</v>
      </c>
      <c r="F33" s="8">
        <v>0</v>
      </c>
      <c r="G33" s="8">
        <v>4</v>
      </c>
      <c r="H33" s="8">
        <v>3</v>
      </c>
      <c r="I33" s="8">
        <v>6</v>
      </c>
      <c r="J33" s="8">
        <v>7</v>
      </c>
      <c r="K33" s="8">
        <v>2</v>
      </c>
      <c r="L33" s="8">
        <f>SUM(C33:K33)</f>
        <v>30</v>
      </c>
    </row>
    <row r="34" spans="1:12">
      <c r="A34" s="1090"/>
      <c r="B34" s="11" t="s">
        <v>1936</v>
      </c>
      <c r="C34" s="8">
        <v>92</v>
      </c>
      <c r="D34" s="8">
        <v>40</v>
      </c>
      <c r="E34" s="8">
        <v>132</v>
      </c>
      <c r="F34" s="8">
        <v>0</v>
      </c>
      <c r="G34" s="8">
        <v>41</v>
      </c>
      <c r="H34" s="8">
        <v>93</v>
      </c>
      <c r="I34" s="8">
        <v>166</v>
      </c>
      <c r="J34" s="8">
        <v>339</v>
      </c>
      <c r="K34" s="8">
        <v>45</v>
      </c>
      <c r="L34" s="8">
        <f>SUM(C34:K34)</f>
        <v>948</v>
      </c>
    </row>
    <row r="35" spans="1:12">
      <c r="A35" s="1090" t="s">
        <v>2269</v>
      </c>
      <c r="B35" s="11" t="s">
        <v>1940</v>
      </c>
      <c r="C35" s="8">
        <v>2</v>
      </c>
      <c r="D35" s="8">
        <v>1</v>
      </c>
      <c r="E35" s="8">
        <v>3</v>
      </c>
      <c r="F35" s="8">
        <v>1</v>
      </c>
      <c r="G35" s="8">
        <v>0</v>
      </c>
      <c r="H35" s="8">
        <v>4</v>
      </c>
      <c r="I35" s="8">
        <v>0</v>
      </c>
      <c r="L35" s="8">
        <f>SUM(C35:I35)</f>
        <v>11</v>
      </c>
    </row>
    <row r="36" spans="1:12">
      <c r="A36" s="1090"/>
      <c r="B36" s="11" t="s">
        <v>1936</v>
      </c>
      <c r="C36" s="8">
        <v>21</v>
      </c>
      <c r="D36" s="8">
        <v>2</v>
      </c>
      <c r="E36" s="8">
        <v>23</v>
      </c>
      <c r="F36" s="8">
        <v>48</v>
      </c>
      <c r="G36" s="8">
        <v>0</v>
      </c>
      <c r="H36" s="8">
        <v>18</v>
      </c>
      <c r="I36" s="8">
        <v>0</v>
      </c>
      <c r="L36" s="8">
        <f>SUM(C36:I36)</f>
        <v>112</v>
      </c>
    </row>
    <row r="37" spans="1:12">
      <c r="A37" s="1090" t="s">
        <v>1901</v>
      </c>
      <c r="B37" s="11" t="s">
        <v>1940</v>
      </c>
      <c r="C37" s="8">
        <v>1</v>
      </c>
      <c r="D37" s="8">
        <v>4</v>
      </c>
      <c r="E37" s="8">
        <v>0</v>
      </c>
      <c r="F37" s="8">
        <v>2</v>
      </c>
      <c r="G37" s="8">
        <v>4</v>
      </c>
      <c r="H37" s="8">
        <v>1</v>
      </c>
      <c r="I37" s="8">
        <v>0</v>
      </c>
      <c r="J37" s="8">
        <v>6</v>
      </c>
      <c r="K37" s="8">
        <v>6</v>
      </c>
      <c r="L37" s="8">
        <f t="shared" ref="L37:L42" si="2">SUM(C37:K37)</f>
        <v>24</v>
      </c>
    </row>
    <row r="38" spans="1:12">
      <c r="A38" s="242"/>
      <c r="B38" s="11" t="s">
        <v>1936</v>
      </c>
      <c r="C38" s="8">
        <v>15</v>
      </c>
      <c r="D38" s="8">
        <v>18</v>
      </c>
      <c r="E38" s="8">
        <v>0</v>
      </c>
      <c r="F38" s="8">
        <v>3</v>
      </c>
      <c r="G38" s="8">
        <v>26</v>
      </c>
      <c r="H38" s="8">
        <v>4</v>
      </c>
      <c r="I38" s="8">
        <v>0</v>
      </c>
      <c r="J38" s="8">
        <v>44</v>
      </c>
      <c r="K38" s="8">
        <v>19</v>
      </c>
      <c r="L38" s="8">
        <f t="shared" si="2"/>
        <v>129</v>
      </c>
    </row>
    <row r="39" spans="1:12">
      <c r="A39" s="1090" t="s">
        <v>1979</v>
      </c>
      <c r="B39" s="11" t="s">
        <v>1940</v>
      </c>
      <c r="C39" s="8">
        <v>0</v>
      </c>
      <c r="D39" s="8">
        <v>2</v>
      </c>
      <c r="E39" s="8">
        <v>1</v>
      </c>
      <c r="F39" s="8">
        <v>0</v>
      </c>
      <c r="G39" s="8">
        <v>1</v>
      </c>
      <c r="H39" s="8">
        <v>0</v>
      </c>
      <c r="I39" s="8">
        <v>0</v>
      </c>
      <c r="J39" s="8">
        <v>1</v>
      </c>
      <c r="K39" s="8">
        <v>2</v>
      </c>
      <c r="L39" s="8">
        <f t="shared" si="2"/>
        <v>7</v>
      </c>
    </row>
    <row r="40" spans="1:12">
      <c r="A40" s="242"/>
      <c r="B40" s="11" t="s">
        <v>1936</v>
      </c>
      <c r="C40" s="8">
        <v>0</v>
      </c>
      <c r="D40" s="8">
        <v>85</v>
      </c>
      <c r="E40" s="8">
        <v>16</v>
      </c>
      <c r="F40" s="8">
        <v>0</v>
      </c>
      <c r="G40" s="8">
        <v>80</v>
      </c>
      <c r="H40" s="8">
        <v>0</v>
      </c>
      <c r="I40" s="8">
        <v>0</v>
      </c>
      <c r="J40" s="8">
        <v>2</v>
      </c>
      <c r="K40" s="8">
        <v>69</v>
      </c>
      <c r="L40" s="8">
        <f t="shared" si="2"/>
        <v>252</v>
      </c>
    </row>
    <row r="41" spans="1:12">
      <c r="A41" s="242" t="s">
        <v>701</v>
      </c>
      <c r="B41" s="11" t="s">
        <v>1940</v>
      </c>
      <c r="C41" s="8">
        <v>2</v>
      </c>
      <c r="D41" s="8">
        <v>0</v>
      </c>
      <c r="E41" s="8">
        <v>2</v>
      </c>
      <c r="F41" s="8">
        <v>2</v>
      </c>
      <c r="G41" s="8">
        <v>4</v>
      </c>
      <c r="H41" s="8">
        <v>0</v>
      </c>
      <c r="I41" s="8">
        <v>1</v>
      </c>
      <c r="J41" s="8">
        <v>2</v>
      </c>
      <c r="K41" s="8">
        <v>2</v>
      </c>
      <c r="L41" s="8">
        <f t="shared" si="2"/>
        <v>15</v>
      </c>
    </row>
    <row r="42" spans="1:12">
      <c r="B42" s="11" t="s">
        <v>1936</v>
      </c>
      <c r="C42" s="8">
        <v>9</v>
      </c>
      <c r="D42" s="8">
        <v>0</v>
      </c>
      <c r="E42" s="8">
        <v>37</v>
      </c>
      <c r="F42" s="8">
        <v>12</v>
      </c>
      <c r="G42" s="8">
        <v>399</v>
      </c>
      <c r="H42" s="8">
        <v>0</v>
      </c>
      <c r="I42" s="8">
        <v>90</v>
      </c>
      <c r="J42" s="8">
        <v>6014</v>
      </c>
      <c r="K42" s="8">
        <v>45</v>
      </c>
      <c r="L42" s="8">
        <f t="shared" si="2"/>
        <v>6606</v>
      </c>
    </row>
    <row r="51" spans="1:2">
      <c r="A51" s="8" t="s">
        <v>2614</v>
      </c>
      <c r="B51" s="8">
        <v>42</v>
      </c>
    </row>
    <row r="52" spans="1:2">
      <c r="A52" s="8" t="s">
        <v>558</v>
      </c>
      <c r="B52" s="8">
        <v>7</v>
      </c>
    </row>
    <row r="53" spans="1:2">
      <c r="A53" s="8" t="s">
        <v>1960</v>
      </c>
      <c r="B53" s="8">
        <v>6</v>
      </c>
    </row>
    <row r="54" spans="1:2">
      <c r="A54" s="8" t="s">
        <v>2612</v>
      </c>
      <c r="B54" s="8">
        <v>4</v>
      </c>
    </row>
    <row r="55" spans="1:2">
      <c r="A55" s="8" t="s">
        <v>2613</v>
      </c>
      <c r="B55" s="8">
        <v>2</v>
      </c>
    </row>
    <row r="56" spans="1:2">
      <c r="A56" s="8" t="s">
        <v>821</v>
      </c>
      <c r="B56" s="8">
        <v>4</v>
      </c>
    </row>
    <row r="66" spans="1:2">
      <c r="A66" s="8" t="s">
        <v>4484</v>
      </c>
      <c r="B66" s="8">
        <v>16</v>
      </c>
    </row>
    <row r="67" spans="1:2">
      <c r="A67" s="8" t="s">
        <v>4485</v>
      </c>
      <c r="B67" s="8">
        <v>6</v>
      </c>
    </row>
    <row r="68" spans="1:2">
      <c r="A68" s="8" t="s">
        <v>4489</v>
      </c>
      <c r="B68" s="8">
        <v>4</v>
      </c>
    </row>
    <row r="69" spans="1:2">
      <c r="A69" s="8" t="s">
        <v>4486</v>
      </c>
      <c r="B69" s="8">
        <v>3</v>
      </c>
    </row>
    <row r="70" spans="1:2">
      <c r="A70" s="8" t="s">
        <v>4487</v>
      </c>
      <c r="B70" s="8">
        <v>2</v>
      </c>
    </row>
    <row r="71" spans="1:2">
      <c r="A71" s="8" t="s">
        <v>4488</v>
      </c>
      <c r="B71" s="8">
        <v>2</v>
      </c>
    </row>
    <row r="72" spans="1:2">
      <c r="A72" s="8" t="s">
        <v>1200</v>
      </c>
      <c r="B72" s="8">
        <v>1</v>
      </c>
    </row>
    <row r="73" spans="1:2">
      <c r="A73" s="8" t="s">
        <v>821</v>
      </c>
      <c r="B73" s="8">
        <f>65-34</f>
        <v>31</v>
      </c>
    </row>
  </sheetData>
  <sortState xmlns:xlrd2="http://schemas.microsoft.com/office/spreadsheetml/2017/richdata2" ref="A51:B57">
    <sortCondition descending="1" ref="B51:B57"/>
  </sortState>
  <pageMargins left="0.7" right="0.7" top="0.75" bottom="0.75" header="0.3" footer="0.3"/>
  <pageSetup paperSize="9" orientation="portrait" r:id="rId1"/>
  <customProperties>
    <customPr name="_pios_id" r:id="rId2"/>
  </customPropertie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1"/>
  <dimension ref="A1:X272"/>
  <sheetViews>
    <sheetView zoomScaleNormal="100" workbookViewId="0">
      <pane xSplit="4" ySplit="3" topLeftCell="T4" activePane="bottomRight" state="frozen"/>
      <selection pane="topRight" activeCell="E1" sqref="E1"/>
      <selection pane="bottomLeft" activeCell="A4" sqref="A4"/>
      <selection pane="bottomRight" activeCell="T4" sqref="T4"/>
    </sheetView>
  </sheetViews>
  <sheetFormatPr baseColWidth="10" defaultColWidth="11.44140625" defaultRowHeight="13.2"/>
  <cols>
    <col min="1" max="1" width="25.5546875" customWidth="1"/>
    <col min="2" max="3" width="9.44140625" style="556" customWidth="1"/>
    <col min="4" max="4" width="13" customWidth="1"/>
    <col min="5" max="5" width="8.5546875" customWidth="1"/>
    <col min="6" max="6" width="10.5546875" style="569" customWidth="1"/>
    <col min="7" max="7" width="7.44140625" hidden="1" customWidth="1"/>
    <col min="8" max="8" width="14.44140625" hidden="1" customWidth="1"/>
    <col min="9" max="10" width="7.44140625" style="8" hidden="1" customWidth="1"/>
    <col min="11" max="12" width="11.44140625" hidden="1" customWidth="1"/>
    <col min="13" max="13" width="11.5546875" hidden="1" customWidth="1"/>
    <col min="14" max="15" width="11.44140625" hidden="1" customWidth="1"/>
    <col min="16" max="16" width="12" customWidth="1"/>
    <col min="17" max="17" width="12.5546875" customWidth="1"/>
    <col min="19" max="19" width="15.44140625" customWidth="1"/>
  </cols>
  <sheetData>
    <row r="1" spans="1:24" ht="17.399999999999999">
      <c r="A1" s="1054">
        <v>42704</v>
      </c>
      <c r="B1" s="1055"/>
      <c r="C1" s="1056"/>
      <c r="D1" s="1057">
        <v>75</v>
      </c>
      <c r="E1" s="1058"/>
      <c r="F1" s="1059"/>
      <c r="G1" s="859"/>
      <c r="H1" s="859"/>
      <c r="I1" s="983"/>
      <c r="J1" s="983"/>
      <c r="K1" s="859"/>
      <c r="L1" s="859"/>
      <c r="M1" s="859"/>
      <c r="N1" s="859"/>
      <c r="O1" s="1060"/>
      <c r="P1" s="859"/>
      <c r="Q1" s="859"/>
      <c r="R1" s="859"/>
      <c r="S1" s="859"/>
    </row>
    <row r="2" spans="1:24" ht="45.75" customHeight="1">
      <c r="A2" s="1061" t="s">
        <v>366</v>
      </c>
      <c r="B2" s="3283" t="s">
        <v>361</v>
      </c>
      <c r="C2" s="3284"/>
      <c r="D2" s="3285" t="s">
        <v>360</v>
      </c>
      <c r="E2" s="3283" t="s">
        <v>362</v>
      </c>
      <c r="F2" s="3284"/>
      <c r="G2" s="3285" t="s">
        <v>381</v>
      </c>
      <c r="H2" s="3285"/>
      <c r="I2" s="3285" t="s">
        <v>382</v>
      </c>
      <c r="J2" s="3285"/>
      <c r="K2" s="3287" t="s">
        <v>379</v>
      </c>
      <c r="L2" s="3287"/>
      <c r="M2" s="3287"/>
      <c r="N2" s="3287"/>
      <c r="O2" s="3284"/>
      <c r="P2" s="1062" t="s">
        <v>473</v>
      </c>
      <c r="Q2" s="1062" t="s">
        <v>367</v>
      </c>
      <c r="R2" s="859"/>
      <c r="S2" s="859"/>
      <c r="T2" s="859"/>
    </row>
    <row r="3" spans="1:24" ht="28.5" customHeight="1" thickBot="1">
      <c r="A3" s="910"/>
      <c r="B3" s="1063" t="s">
        <v>363</v>
      </c>
      <c r="C3" s="1063" t="s">
        <v>364</v>
      </c>
      <c r="D3" s="3288"/>
      <c r="E3" s="1063" t="s">
        <v>363</v>
      </c>
      <c r="F3" s="1064" t="s">
        <v>364</v>
      </c>
      <c r="G3" s="921" t="s">
        <v>357</v>
      </c>
      <c r="H3" s="921" t="s">
        <v>358</v>
      </c>
      <c r="I3" s="921" t="s">
        <v>357</v>
      </c>
      <c r="J3" s="921" t="s">
        <v>358</v>
      </c>
      <c r="K3" s="1065" t="s">
        <v>374</v>
      </c>
      <c r="L3" s="1066" t="s">
        <v>375</v>
      </c>
      <c r="M3" s="1066" t="s">
        <v>376</v>
      </c>
      <c r="N3" s="1066" t="s">
        <v>377</v>
      </c>
      <c r="O3" s="1066" t="s">
        <v>378</v>
      </c>
      <c r="P3" s="1067"/>
      <c r="Q3" s="1067" t="s">
        <v>365</v>
      </c>
      <c r="R3" s="859"/>
      <c r="S3" s="859"/>
      <c r="T3" s="859"/>
    </row>
    <row r="4" spans="1:24">
      <c r="A4" s="1093" t="s">
        <v>585</v>
      </c>
      <c r="B4" s="744">
        <v>1181</v>
      </c>
      <c r="C4" s="900">
        <f t="shared" ref="C4:C18" si="0">+B4*Q4</f>
        <v>348742.21399999998</v>
      </c>
      <c r="D4" s="1142">
        <v>41954</v>
      </c>
      <c r="E4" s="744">
        <f>+$A$1-D4</f>
        <v>750</v>
      </c>
      <c r="F4" s="873">
        <f>+E4*Q4</f>
        <v>221470.5</v>
      </c>
      <c r="G4" s="465">
        <v>486.66666666666669</v>
      </c>
      <c r="H4" s="465">
        <v>12.666666666666666</v>
      </c>
      <c r="I4" s="490">
        <f>+MTBA!F4</f>
        <v>497</v>
      </c>
      <c r="J4" s="490">
        <f>+MTBA!G4</f>
        <v>12.666666666666666</v>
      </c>
      <c r="K4" s="545" t="s">
        <v>380</v>
      </c>
      <c r="L4" s="467"/>
      <c r="M4" s="467"/>
      <c r="N4" s="467"/>
      <c r="O4" s="468"/>
      <c r="P4" s="475">
        <f>+INDICADORES!C5</f>
        <v>107782.31</v>
      </c>
      <c r="Q4" s="475">
        <f>+P4/365</f>
        <v>295.29399999999998</v>
      </c>
      <c r="R4" s="1035"/>
      <c r="S4" s="859"/>
      <c r="T4" s="859"/>
      <c r="U4" s="1053" t="s">
        <v>924</v>
      </c>
      <c r="V4" s="540"/>
    </row>
    <row r="5" spans="1:24">
      <c r="A5" s="751" t="s">
        <v>586</v>
      </c>
      <c r="B5" s="700">
        <v>913</v>
      </c>
      <c r="C5" s="900">
        <f t="shared" si="0"/>
        <v>2085875.7763689503</v>
      </c>
      <c r="D5" s="1171">
        <v>42603</v>
      </c>
      <c r="E5" s="700">
        <f t="shared" ref="E5:E27" si="1">+$A$1-D5</f>
        <v>101</v>
      </c>
      <c r="F5" s="1202">
        <f t="shared" ref="F5:F21" si="2">+E5*Q5</f>
        <v>230748.57986118726</v>
      </c>
      <c r="G5" s="465">
        <v>85.882352941176464</v>
      </c>
      <c r="H5" s="465">
        <v>14.823529411764707</v>
      </c>
      <c r="I5" s="490">
        <f>+MTBA!F7</f>
        <v>82.833333333333329</v>
      </c>
      <c r="J5" s="490">
        <f>+MTBA!G7</f>
        <v>14.111111111111111</v>
      </c>
      <c r="K5" s="545" t="s">
        <v>380</v>
      </c>
      <c r="L5" s="467"/>
      <c r="M5" s="467"/>
      <c r="N5" s="467"/>
      <c r="O5" s="468"/>
      <c r="P5" s="475">
        <f>+INDICADORES!C6</f>
        <v>833893.38266666676</v>
      </c>
      <c r="Q5" s="475">
        <f t="shared" ref="Q5:Q27" si="3">+P5/365</f>
        <v>2284.6394045662105</v>
      </c>
      <c r="R5" s="1108">
        <v>42152</v>
      </c>
      <c r="S5" s="1109"/>
      <c r="T5" s="859"/>
      <c r="U5" s="1200" t="s">
        <v>1934</v>
      </c>
      <c r="V5" s="541"/>
      <c r="X5" s="711">
        <v>42269</v>
      </c>
    </row>
    <row r="6" spans="1:24" ht="13.8" thickBot="1">
      <c r="A6" s="1094" t="s">
        <v>587</v>
      </c>
      <c r="B6" s="745">
        <v>540</v>
      </c>
      <c r="C6" s="746">
        <f t="shared" si="0"/>
        <v>1546200.0049315067</v>
      </c>
      <c r="D6" s="1170">
        <v>42609</v>
      </c>
      <c r="E6" s="747">
        <f t="shared" si="1"/>
        <v>95</v>
      </c>
      <c r="F6" s="1132">
        <f t="shared" si="2"/>
        <v>272016.66753424652</v>
      </c>
      <c r="G6" s="543">
        <v>66</v>
      </c>
      <c r="H6" s="543">
        <v>11</v>
      </c>
      <c r="I6" s="492">
        <f>+MTBA!F25</f>
        <v>67.772727272727266</v>
      </c>
      <c r="J6" s="490">
        <f>+MTBA!G25</f>
        <v>11.090909090909092</v>
      </c>
      <c r="K6" s="545" t="s">
        <v>380</v>
      </c>
      <c r="L6" s="467"/>
      <c r="M6" s="467"/>
      <c r="N6" s="467"/>
      <c r="O6" s="468"/>
      <c r="P6" s="475">
        <f>+INDICADORES!C7</f>
        <v>1045116.6699999999</v>
      </c>
      <c r="Q6" s="475">
        <f t="shared" si="3"/>
        <v>2863.333342465753</v>
      </c>
      <c r="S6" s="910"/>
      <c r="T6" s="859"/>
      <c r="U6" s="1053" t="s">
        <v>1986</v>
      </c>
      <c r="V6" s="541"/>
      <c r="X6" s="1143">
        <v>41877</v>
      </c>
    </row>
    <row r="7" spans="1:24" hidden="1">
      <c r="A7" s="1095" t="s">
        <v>84</v>
      </c>
      <c r="B7" s="742">
        <v>1167</v>
      </c>
      <c r="C7" s="900">
        <f t="shared" si="0"/>
        <v>0</v>
      </c>
      <c r="D7" s="1144">
        <v>42021</v>
      </c>
      <c r="E7" s="744">
        <f t="shared" si="1"/>
        <v>683</v>
      </c>
      <c r="F7" s="873">
        <f t="shared" si="2"/>
        <v>0</v>
      </c>
      <c r="G7" s="465">
        <v>104.28571428571429</v>
      </c>
      <c r="H7" s="465">
        <v>28.357142857142858</v>
      </c>
      <c r="I7" s="491">
        <f>+MTBA!F47</f>
        <v>106.5</v>
      </c>
      <c r="J7" s="490">
        <f>+MTBA!G47</f>
        <v>28.357142857142858</v>
      </c>
      <c r="K7" s="545" t="s">
        <v>380</v>
      </c>
      <c r="L7" s="467"/>
      <c r="M7" s="467"/>
      <c r="N7" s="467"/>
      <c r="O7" s="468"/>
      <c r="P7" s="475"/>
      <c r="Q7" s="475"/>
      <c r="R7" s="910"/>
      <c r="S7" s="910"/>
      <c r="T7" s="859"/>
      <c r="U7" s="910"/>
      <c r="V7" s="541"/>
      <c r="X7" s="1125">
        <v>42230</v>
      </c>
    </row>
    <row r="8" spans="1:24" ht="13.8" thickBot="1">
      <c r="A8" s="1096" t="s">
        <v>950</v>
      </c>
      <c r="B8" s="748">
        <v>1207</v>
      </c>
      <c r="C8" s="746">
        <f t="shared" si="0"/>
        <v>6314658.1819990883</v>
      </c>
      <c r="D8" s="1219">
        <v>42669</v>
      </c>
      <c r="E8" s="748">
        <f>+$A$1-D8</f>
        <v>35</v>
      </c>
      <c r="F8" s="1132">
        <f>+E8*Q8</f>
        <v>183109.39218721466</v>
      </c>
      <c r="G8" s="465">
        <v>85.882352941176464</v>
      </c>
      <c r="H8" s="465">
        <v>10.941176470588236</v>
      </c>
      <c r="I8" s="490">
        <f>+MTBA!F111</f>
        <v>87.705882352941174</v>
      </c>
      <c r="J8" s="490">
        <f>+MTBA!G111</f>
        <v>10.941176470588236</v>
      </c>
      <c r="K8" s="545" t="s">
        <v>380</v>
      </c>
      <c r="L8" s="467" t="s">
        <v>380</v>
      </c>
      <c r="M8" s="467" t="s">
        <v>380</v>
      </c>
      <c r="N8" s="467"/>
      <c r="O8" s="468"/>
      <c r="P8" s="475">
        <f>+INDICADORES!C9</f>
        <v>1909569.3756666672</v>
      </c>
      <c r="Q8" s="475">
        <f>+P8/365</f>
        <v>5231.6969196347045</v>
      </c>
      <c r="S8" s="910"/>
      <c r="T8" s="859"/>
      <c r="U8" s="1053" t="s">
        <v>1942</v>
      </c>
      <c r="V8" s="540"/>
      <c r="X8" s="1123">
        <v>42240</v>
      </c>
    </row>
    <row r="9" spans="1:24" ht="14.25" customHeight="1">
      <c r="A9" s="1095" t="s">
        <v>588</v>
      </c>
      <c r="B9" s="742">
        <v>1045</v>
      </c>
      <c r="C9" s="900">
        <f t="shared" si="0"/>
        <v>2393856.9960806691</v>
      </c>
      <c r="D9" s="1211">
        <v>42594</v>
      </c>
      <c r="E9" s="821">
        <f t="shared" si="1"/>
        <v>110</v>
      </c>
      <c r="F9" s="1202">
        <f t="shared" si="2"/>
        <v>251984.94695585992</v>
      </c>
      <c r="G9" s="465">
        <v>162.22222222222223</v>
      </c>
      <c r="H9" s="465">
        <v>19.333333333333332</v>
      </c>
      <c r="I9" s="490">
        <f>+MTBA!F61</f>
        <v>165.66666666666666</v>
      </c>
      <c r="J9" s="490">
        <f>+MTBA!G61</f>
        <v>19.333333333333332</v>
      </c>
      <c r="K9" s="545" t="s">
        <v>380</v>
      </c>
      <c r="L9" s="467" t="s">
        <v>380</v>
      </c>
      <c r="M9" s="467"/>
      <c r="N9" s="467"/>
      <c r="O9" s="468"/>
      <c r="P9" s="475">
        <f>+INDICADORES!C10</f>
        <v>836131.86944444431</v>
      </c>
      <c r="Q9" s="475">
        <f t="shared" si="3"/>
        <v>2290.7722450532719</v>
      </c>
      <c r="R9" s="910"/>
      <c r="S9" s="910"/>
      <c r="T9" s="859"/>
      <c r="U9" s="1053" t="s">
        <v>1985</v>
      </c>
      <c r="V9" s="540"/>
      <c r="X9" s="1124">
        <v>42321</v>
      </c>
    </row>
    <row r="10" spans="1:24" ht="13.8" hidden="1" thickBot="1">
      <c r="A10" s="1097" t="s">
        <v>589</v>
      </c>
      <c r="B10" s="748">
        <v>886</v>
      </c>
      <c r="C10" s="746">
        <f t="shared" si="0"/>
        <v>0</v>
      </c>
      <c r="D10" s="1145">
        <v>41149</v>
      </c>
      <c r="E10" s="1091">
        <f t="shared" si="1"/>
        <v>1555</v>
      </c>
      <c r="F10" s="1132">
        <f t="shared" si="2"/>
        <v>0</v>
      </c>
      <c r="G10" s="465">
        <v>85.882352941176464</v>
      </c>
      <c r="H10" s="465">
        <v>14.941176470588236</v>
      </c>
      <c r="I10" s="490">
        <f>+MTBA!F70</f>
        <v>87.705882352941174</v>
      </c>
      <c r="J10" s="490">
        <f>+MTBA!G70</f>
        <v>14.941176470588236</v>
      </c>
      <c r="K10" s="545" t="s">
        <v>380</v>
      </c>
      <c r="L10" s="467"/>
      <c r="M10" s="467"/>
      <c r="N10" s="467"/>
      <c r="O10" s="468"/>
      <c r="P10" s="475"/>
      <c r="Q10" s="475"/>
      <c r="R10" s="910"/>
      <c r="S10" s="910"/>
      <c r="T10" s="859"/>
      <c r="U10" s="1035" t="s">
        <v>855</v>
      </c>
      <c r="V10" s="889"/>
      <c r="X10" s="1124">
        <v>41878</v>
      </c>
    </row>
    <row r="11" spans="1:24">
      <c r="A11" s="1095" t="s">
        <v>590</v>
      </c>
      <c r="B11" s="750">
        <v>386</v>
      </c>
      <c r="C11" s="900">
        <f t="shared" si="0"/>
        <v>4712800.1952091334</v>
      </c>
      <c r="D11" s="1124">
        <v>42708</v>
      </c>
      <c r="E11" s="742">
        <f>+$A$1-D11</f>
        <v>-4</v>
      </c>
      <c r="F11" s="905">
        <f>+E11*Q11</f>
        <v>-48837.30772237444</v>
      </c>
      <c r="G11" s="465">
        <v>38.421052631578945</v>
      </c>
      <c r="H11" s="465">
        <v>12</v>
      </c>
      <c r="I11" s="490">
        <f>+MTBA!F173</f>
        <v>37.274999999999999</v>
      </c>
      <c r="J11" s="490">
        <f>+MTBA!G173</f>
        <v>12.1</v>
      </c>
      <c r="K11" s="545" t="s">
        <v>380</v>
      </c>
      <c r="L11" s="467" t="s">
        <v>380</v>
      </c>
      <c r="M11" s="467"/>
      <c r="N11" s="467"/>
      <c r="O11" s="468"/>
      <c r="P11" s="475">
        <f>+INDICADORES!C12</f>
        <v>4456404.3296666676</v>
      </c>
      <c r="Q11" s="475">
        <f>+P11/365</f>
        <v>12209.32693059361</v>
      </c>
      <c r="R11" s="910"/>
      <c r="S11" s="910"/>
      <c r="T11" s="859"/>
      <c r="U11" s="1035" t="s">
        <v>856</v>
      </c>
      <c r="V11" s="541"/>
    </row>
    <row r="12" spans="1:24">
      <c r="A12" s="1095" t="s">
        <v>687</v>
      </c>
      <c r="B12" s="701">
        <v>492</v>
      </c>
      <c r="C12" s="900">
        <f t="shared" si="0"/>
        <v>1743224.3812602742</v>
      </c>
      <c r="D12" s="1146">
        <v>42153</v>
      </c>
      <c r="E12" s="701">
        <f t="shared" si="1"/>
        <v>551</v>
      </c>
      <c r="F12" s="1092">
        <f t="shared" si="2"/>
        <v>1952269.5814520551</v>
      </c>
      <c r="G12" s="465">
        <v>61.833333333333336</v>
      </c>
      <c r="H12" s="465">
        <v>13.25</v>
      </c>
      <c r="I12" s="490">
        <f>+MTBA!F87</f>
        <v>63.125</v>
      </c>
      <c r="J12" s="490">
        <f>+MTBA!G87</f>
        <v>13.25</v>
      </c>
      <c r="K12" s="545" t="s">
        <v>380</v>
      </c>
      <c r="L12" s="467" t="s">
        <v>380</v>
      </c>
      <c r="M12" s="467"/>
      <c r="N12" s="467"/>
      <c r="O12" s="468"/>
      <c r="P12" s="475">
        <f>+INDICADORES!C13</f>
        <v>1293245.7300000002</v>
      </c>
      <c r="Q12" s="475">
        <f t="shared" si="3"/>
        <v>3543.1389863013706</v>
      </c>
      <c r="R12" s="910"/>
      <c r="S12" s="910"/>
      <c r="T12" s="859"/>
      <c r="U12" s="541"/>
      <c r="V12" s="541"/>
      <c r="X12" s="1122"/>
    </row>
    <row r="13" spans="1:24">
      <c r="A13" s="1095" t="s">
        <v>1073</v>
      </c>
      <c r="B13" s="701">
        <v>551</v>
      </c>
      <c r="C13" s="1113">
        <f t="shared" si="0"/>
        <v>3814425.8150684931</v>
      </c>
      <c r="D13" s="1124">
        <v>42650</v>
      </c>
      <c r="E13" s="701">
        <f t="shared" si="1"/>
        <v>54</v>
      </c>
      <c r="F13" s="719">
        <f t="shared" si="2"/>
        <v>373827.57534246577</v>
      </c>
      <c r="G13" s="465">
        <v>30.464285714285715</v>
      </c>
      <c r="H13" s="465">
        <v>8.7857142857142865</v>
      </c>
      <c r="I13" s="490">
        <f>+MTBA!F144</f>
        <v>30.46551724137931</v>
      </c>
      <c r="J13" s="490">
        <f>+MTBA!G144</f>
        <v>9.5172413793103452</v>
      </c>
      <c r="K13" s="545" t="s">
        <v>380</v>
      </c>
      <c r="L13" s="467"/>
      <c r="M13" s="467"/>
      <c r="N13" s="467"/>
      <c r="O13" s="468"/>
      <c r="P13" s="475">
        <f>+INDICADORES!C14</f>
        <v>2526797.5</v>
      </c>
      <c r="Q13" s="475">
        <f t="shared" si="3"/>
        <v>6922.732876712329</v>
      </c>
      <c r="S13" s="910"/>
      <c r="T13" s="859"/>
      <c r="U13" s="1053" t="s">
        <v>862</v>
      </c>
      <c r="V13" s="541"/>
      <c r="X13" s="1122"/>
    </row>
    <row r="14" spans="1:24">
      <c r="A14" s="1098" t="s">
        <v>77</v>
      </c>
      <c r="B14" s="702">
        <v>533</v>
      </c>
      <c r="C14" s="1140">
        <f t="shared" si="0"/>
        <v>986782.37120547949</v>
      </c>
      <c r="D14" s="1124">
        <v>42662</v>
      </c>
      <c r="E14" s="701">
        <f>+$A$1-D14</f>
        <v>42</v>
      </c>
      <c r="F14" s="719">
        <f>+E14*Q14</f>
        <v>77757.710301369865</v>
      </c>
      <c r="G14" s="465">
        <v>70</v>
      </c>
      <c r="H14" s="465">
        <v>16</v>
      </c>
      <c r="I14" s="490">
        <v>68</v>
      </c>
      <c r="J14" s="490">
        <v>15</v>
      </c>
      <c r="K14" s="545" t="s">
        <v>380</v>
      </c>
      <c r="L14" s="467"/>
      <c r="M14" s="467"/>
      <c r="N14" s="467"/>
      <c r="O14" s="468"/>
      <c r="P14" s="475">
        <f>+INDICADORES!C15</f>
        <v>675751.53</v>
      </c>
      <c r="Q14" s="475">
        <f>+P14/365</f>
        <v>1851.3740547945206</v>
      </c>
      <c r="R14" s="859"/>
      <c r="S14" s="859"/>
      <c r="T14" s="859"/>
      <c r="U14" s="1053" t="s">
        <v>930</v>
      </c>
      <c r="V14" s="541"/>
      <c r="X14" s="1122"/>
    </row>
    <row r="15" spans="1:24" ht="13.8" thickBot="1">
      <c r="A15" s="1141" t="s">
        <v>893</v>
      </c>
      <c r="B15" s="893"/>
      <c r="C15" s="746"/>
      <c r="D15" s="1170">
        <v>42389</v>
      </c>
      <c r="E15" s="701">
        <f>+$A$1-D15</f>
        <v>315</v>
      </c>
      <c r="F15" s="719">
        <f>+E15*Q15</f>
        <v>181108.78397260272</v>
      </c>
      <c r="G15" s="695"/>
      <c r="H15" s="695"/>
      <c r="I15" s="696"/>
      <c r="J15" s="696"/>
      <c r="K15" s="895"/>
      <c r="L15" s="895"/>
      <c r="M15" s="895"/>
      <c r="N15" s="895"/>
      <c r="O15" s="896"/>
      <c r="P15" s="897">
        <f>+INDICADORES!C21</f>
        <v>209856.20999999996</v>
      </c>
      <c r="Q15" s="475">
        <f>+P15/365</f>
        <v>574.94852054794512</v>
      </c>
      <c r="R15" s="859"/>
      <c r="S15" s="859"/>
      <c r="T15" s="859"/>
      <c r="U15" s="1053"/>
      <c r="V15" s="541"/>
      <c r="X15" s="1122"/>
    </row>
    <row r="16" spans="1:24">
      <c r="A16" s="1095" t="s">
        <v>602</v>
      </c>
      <c r="B16" s="742">
        <v>467</v>
      </c>
      <c r="C16" s="900">
        <f t="shared" si="0"/>
        <v>6945414.3291552598</v>
      </c>
      <c r="D16" s="1125">
        <v>42647</v>
      </c>
      <c r="E16" s="742">
        <f t="shared" si="1"/>
        <v>57</v>
      </c>
      <c r="F16" s="905">
        <f t="shared" si="2"/>
        <v>847727.23075342574</v>
      </c>
      <c r="G16" s="693">
        <v>104.28571428571429</v>
      </c>
      <c r="H16" s="693">
        <v>14.714285714285714</v>
      </c>
      <c r="I16" s="694">
        <f>+MTBA!F218</f>
        <v>106.5</v>
      </c>
      <c r="J16" s="694">
        <f>+MTBA!G218</f>
        <v>14.714285714285714</v>
      </c>
      <c r="K16" s="890" t="s">
        <v>380</v>
      </c>
      <c r="L16" s="891" t="s">
        <v>380</v>
      </c>
      <c r="M16" s="891"/>
      <c r="N16" s="891"/>
      <c r="O16" s="892"/>
      <c r="P16" s="863">
        <f>+INDICADORES!C16</f>
        <v>5428428.7583333403</v>
      </c>
      <c r="Q16" s="863">
        <f t="shared" si="3"/>
        <v>14872.407557077644</v>
      </c>
      <c r="R16" s="859"/>
      <c r="S16" s="859"/>
      <c r="T16" s="859"/>
      <c r="U16" s="540"/>
      <c r="X16" s="1122"/>
    </row>
    <row r="17" spans="1:24" ht="13.8" thickBot="1">
      <c r="A17" s="1096" t="s">
        <v>603</v>
      </c>
      <c r="B17" s="748">
        <v>1665</v>
      </c>
      <c r="C17" s="746">
        <f t="shared" si="0"/>
        <v>11595155.292739725</v>
      </c>
      <c r="D17" s="1170">
        <v>42589</v>
      </c>
      <c r="E17" s="748">
        <f t="shared" si="1"/>
        <v>115</v>
      </c>
      <c r="F17" s="894">
        <f>10*8*E17*5</f>
        <v>46000</v>
      </c>
      <c r="G17" s="465">
        <v>1460</v>
      </c>
      <c r="H17" s="465">
        <v>0</v>
      </c>
      <c r="I17" s="491">
        <f>+MTBA!F232</f>
        <v>1491</v>
      </c>
      <c r="J17" s="490">
        <f>+MTBA!G232</f>
        <v>0</v>
      </c>
      <c r="K17" s="545" t="s">
        <v>380</v>
      </c>
      <c r="L17" s="467" t="s">
        <v>380</v>
      </c>
      <c r="M17" s="471" t="s">
        <v>380</v>
      </c>
      <c r="N17" s="467"/>
      <c r="O17" s="468"/>
      <c r="P17" s="475">
        <f>+INDICADORES!C17</f>
        <v>2541880.8899999997</v>
      </c>
      <c r="Q17" s="475">
        <f t="shared" si="3"/>
        <v>6964.0572328767112</v>
      </c>
      <c r="R17" s="859"/>
      <c r="S17" s="859"/>
      <c r="T17" s="859"/>
      <c r="U17" s="1200" t="s">
        <v>1933</v>
      </c>
      <c r="W17" s="1201"/>
      <c r="X17" s="1122"/>
    </row>
    <row r="18" spans="1:24">
      <c r="A18" s="1095" t="s">
        <v>598</v>
      </c>
      <c r="B18" s="742">
        <v>686</v>
      </c>
      <c r="C18" s="900">
        <f t="shared" si="0"/>
        <v>17307182.923663624</v>
      </c>
      <c r="D18" s="1205">
        <v>42609</v>
      </c>
      <c r="E18" s="742">
        <f>+$A$1-D18</f>
        <v>95</v>
      </c>
      <c r="F18" s="872">
        <f>+E18*Q18</f>
        <v>2396767.3145015221</v>
      </c>
      <c r="G18" s="465">
        <v>162.22222222222223</v>
      </c>
      <c r="H18" s="465">
        <v>6.7777777777777777</v>
      </c>
      <c r="I18" s="490">
        <f>+MTBA!F233</f>
        <v>149.1</v>
      </c>
      <c r="J18" s="490">
        <f>+MTBA!G233</f>
        <v>9.6</v>
      </c>
      <c r="K18" s="545" t="s">
        <v>380</v>
      </c>
      <c r="L18" s="467" t="s">
        <v>380</v>
      </c>
      <c r="M18" s="467"/>
      <c r="N18" s="467"/>
      <c r="O18" s="469"/>
      <c r="P18" s="475">
        <f>+INDICADORES!C18</f>
        <v>9208632.3136111107</v>
      </c>
      <c r="Q18" s="475">
        <f t="shared" si="3"/>
        <v>25229.129626331811</v>
      </c>
      <c r="R18" s="859"/>
      <c r="S18" s="859"/>
      <c r="T18" s="859"/>
      <c r="U18" s="1200" t="s">
        <v>1932</v>
      </c>
      <c r="V18" s="540"/>
      <c r="W18" s="1122"/>
      <c r="X18" s="1122"/>
    </row>
    <row r="19" spans="1:24">
      <c r="A19" s="1098" t="s">
        <v>604</v>
      </c>
      <c r="B19" s="701"/>
      <c r="C19" s="712"/>
      <c r="D19" s="1142">
        <v>41892</v>
      </c>
      <c r="E19" s="701">
        <f>+$A$1-D19</f>
        <v>812</v>
      </c>
      <c r="F19" s="1092">
        <f t="shared" si="2"/>
        <v>839637.89939726039</v>
      </c>
      <c r="G19" s="94"/>
      <c r="H19" s="94"/>
      <c r="I19" s="864"/>
      <c r="J19" s="864"/>
      <c r="K19" s="94"/>
      <c r="L19" s="94"/>
      <c r="M19" s="94"/>
      <c r="N19" s="94"/>
      <c r="O19" s="94"/>
      <c r="P19" s="475">
        <f>+INDICADORES!C19</f>
        <v>377423.44</v>
      </c>
      <c r="Q19" s="475">
        <f t="shared" si="3"/>
        <v>1034.0368219178083</v>
      </c>
      <c r="R19" s="859"/>
      <c r="S19" s="859"/>
      <c r="T19" s="859"/>
      <c r="V19" s="540"/>
      <c r="W19" s="1122"/>
      <c r="X19" s="1122"/>
    </row>
    <row r="20" spans="1:24" ht="13.8" thickBot="1">
      <c r="A20" s="1096" t="s">
        <v>577</v>
      </c>
      <c r="B20" s="748"/>
      <c r="C20" s="749"/>
      <c r="D20" s="1170">
        <v>42380</v>
      </c>
      <c r="E20" s="748">
        <f>+$A$1-D20</f>
        <v>324</v>
      </c>
      <c r="F20" s="894">
        <f t="shared" si="2"/>
        <v>834924.95605479425</v>
      </c>
      <c r="G20" s="899"/>
      <c r="H20" s="899"/>
      <c r="I20" s="593"/>
      <c r="J20" s="593"/>
      <c r="K20" s="899"/>
      <c r="L20" s="899"/>
      <c r="M20" s="899"/>
      <c r="N20" s="899"/>
      <c r="O20" s="899"/>
      <c r="P20" s="897">
        <f>+INDICADORES!C20</f>
        <v>940579.03999999969</v>
      </c>
      <c r="Q20" s="897">
        <f t="shared" si="3"/>
        <v>2576.928876712328</v>
      </c>
      <c r="R20" s="859"/>
      <c r="S20" s="859"/>
      <c r="T20" s="859"/>
      <c r="V20" s="540"/>
      <c r="W20" s="1122"/>
      <c r="X20" s="1122"/>
    </row>
    <row r="21" spans="1:24" ht="13.5" hidden="1" customHeight="1" thickBot="1">
      <c r="A21" s="1095" t="s">
        <v>368</v>
      </c>
      <c r="B21" s="742">
        <v>338</v>
      </c>
      <c r="C21" s="743">
        <v>252868.36688148149</v>
      </c>
      <c r="D21" s="1144">
        <v>40750</v>
      </c>
      <c r="E21" s="742">
        <f t="shared" si="1"/>
        <v>1954</v>
      </c>
      <c r="F21" s="877">
        <f t="shared" si="2"/>
        <v>0</v>
      </c>
      <c r="G21" s="693">
        <v>76.84210526315789</v>
      </c>
      <c r="H21" s="693">
        <v>9.526315789473685</v>
      </c>
      <c r="I21" s="694">
        <f>+MTBA!F261</f>
        <v>78.473684210526315</v>
      </c>
      <c r="J21" s="694">
        <f>+MTBA!G261</f>
        <v>9.526315789473685</v>
      </c>
      <c r="K21" s="890" t="s">
        <v>380</v>
      </c>
      <c r="L21" s="898"/>
      <c r="M21" s="898"/>
      <c r="N21" s="898"/>
      <c r="O21" s="146"/>
      <c r="P21" s="863"/>
      <c r="Q21" s="863">
        <f t="shared" si="3"/>
        <v>0</v>
      </c>
      <c r="R21" s="859"/>
      <c r="S21" s="859"/>
      <c r="T21" s="859"/>
      <c r="U21" s="540"/>
      <c r="V21" s="540"/>
      <c r="W21" s="1122"/>
      <c r="X21" s="1122" t="s">
        <v>926</v>
      </c>
    </row>
    <row r="22" spans="1:24" ht="25.5" hidden="1" customHeight="1">
      <c r="A22" s="1098" t="s">
        <v>369</v>
      </c>
      <c r="B22" s="701">
        <v>752</v>
      </c>
      <c r="C22" s="712">
        <v>113315.0684931507</v>
      </c>
      <c r="D22" s="1146">
        <v>39827</v>
      </c>
      <c r="E22" s="701">
        <f t="shared" si="1"/>
        <v>2877</v>
      </c>
      <c r="F22" s="878">
        <v>113315.0684931507</v>
      </c>
      <c r="G22" s="544"/>
      <c r="H22" s="544"/>
      <c r="I22" s="546"/>
      <c r="J22" s="490"/>
      <c r="K22" s="473"/>
      <c r="L22" s="473"/>
      <c r="M22" s="473"/>
      <c r="N22" s="473"/>
      <c r="O22" s="10"/>
      <c r="P22" s="475">
        <f>+INDICADORES!C21</f>
        <v>209856.20999999996</v>
      </c>
      <c r="Q22" s="475">
        <f t="shared" si="3"/>
        <v>574.94852054794512</v>
      </c>
      <c r="R22" s="859"/>
      <c r="S22" s="859"/>
      <c r="T22" s="859"/>
      <c r="U22" s="541"/>
      <c r="V22" s="541"/>
      <c r="W22" s="1122"/>
    </row>
    <row r="23" spans="1:24" ht="25.5" hidden="1" customHeight="1">
      <c r="A23" s="1098" t="s">
        <v>370</v>
      </c>
      <c r="B23" s="701">
        <v>90</v>
      </c>
      <c r="C23" s="712">
        <v>48000</v>
      </c>
      <c r="D23" s="1146">
        <v>40122</v>
      </c>
      <c r="E23" s="701">
        <f t="shared" si="1"/>
        <v>2582</v>
      </c>
      <c r="F23" s="872">
        <v>243733.33333333334</v>
      </c>
      <c r="G23" s="466"/>
      <c r="H23" s="466"/>
      <c r="I23" s="546"/>
      <c r="J23" s="490"/>
      <c r="K23" s="473"/>
      <c r="L23" s="473"/>
      <c r="M23" s="473"/>
      <c r="N23" s="473"/>
      <c r="O23" s="10"/>
      <c r="P23" s="475">
        <f>+INDICADORES!C23</f>
        <v>0</v>
      </c>
      <c r="Q23" s="475">
        <f t="shared" si="3"/>
        <v>0</v>
      </c>
      <c r="R23" s="859"/>
      <c r="S23" s="859"/>
      <c r="T23" s="859"/>
      <c r="U23" s="541"/>
      <c r="V23" s="541"/>
      <c r="W23" s="1122"/>
    </row>
    <row r="24" spans="1:24" ht="25.5" hidden="1" customHeight="1">
      <c r="A24" s="1098" t="s">
        <v>371</v>
      </c>
      <c r="B24" s="701">
        <v>48</v>
      </c>
      <c r="C24" s="712">
        <v>99840</v>
      </c>
      <c r="D24" s="1146">
        <v>40157</v>
      </c>
      <c r="E24" s="701">
        <f t="shared" si="1"/>
        <v>2547</v>
      </c>
      <c r="F24" s="872">
        <v>877760</v>
      </c>
      <c r="G24" s="470"/>
      <c r="H24" s="470"/>
      <c r="I24" s="490"/>
      <c r="J24" s="490"/>
      <c r="K24" s="474"/>
      <c r="L24" s="474"/>
      <c r="M24" s="474"/>
      <c r="N24" s="474"/>
      <c r="O24" s="10"/>
      <c r="P24" s="475">
        <f>+INDICADORES!C24</f>
        <v>298012.02</v>
      </c>
      <c r="Q24" s="475">
        <f t="shared" si="3"/>
        <v>816.47128767123297</v>
      </c>
      <c r="R24" s="859"/>
      <c r="S24" s="859"/>
      <c r="T24" s="859"/>
      <c r="U24" s="541"/>
      <c r="V24" s="541"/>
    </row>
    <row r="25" spans="1:24" ht="25.5" hidden="1" customHeight="1">
      <c r="A25" s="1098" t="s">
        <v>372</v>
      </c>
      <c r="B25" s="701">
        <v>826</v>
      </c>
      <c r="C25" s="712">
        <v>203746.66666666666</v>
      </c>
      <c r="D25" s="1146">
        <v>39753</v>
      </c>
      <c r="E25" s="701">
        <f t="shared" si="1"/>
        <v>2951</v>
      </c>
      <c r="F25" s="872">
        <v>203746.66666666666</v>
      </c>
      <c r="G25" s="466"/>
      <c r="H25" s="466"/>
      <c r="I25" s="546"/>
      <c r="J25" s="490"/>
      <c r="K25" s="473"/>
      <c r="L25" s="473"/>
      <c r="M25" s="473"/>
      <c r="N25" s="473"/>
      <c r="O25" s="10"/>
      <c r="P25" s="475">
        <f>+INDICADORES!C25</f>
        <v>0</v>
      </c>
      <c r="Q25" s="475">
        <f t="shared" si="3"/>
        <v>0</v>
      </c>
      <c r="R25" s="859"/>
      <c r="S25" s="859"/>
      <c r="T25" s="859"/>
      <c r="U25" s="542"/>
      <c r="V25" s="542"/>
    </row>
    <row r="26" spans="1:24" ht="25.5" hidden="1" customHeight="1" thickBot="1">
      <c r="A26" s="1099" t="s">
        <v>373</v>
      </c>
      <c r="B26" s="703">
        <v>192</v>
      </c>
      <c r="C26" s="713">
        <v>157511.46666666667</v>
      </c>
      <c r="D26" s="1147">
        <v>40142</v>
      </c>
      <c r="E26" s="703">
        <f t="shared" si="1"/>
        <v>2562</v>
      </c>
      <c r="F26" s="874">
        <v>358502.66111111111</v>
      </c>
      <c r="G26" s="466"/>
      <c r="H26" s="466"/>
      <c r="I26" s="546"/>
      <c r="J26" s="490"/>
      <c r="K26" s="473"/>
      <c r="L26" s="473"/>
      <c r="M26" s="473"/>
      <c r="N26" s="473"/>
      <c r="O26" s="10"/>
      <c r="P26" s="475" t="e">
        <f>+INDICADORES!#REF!</f>
        <v>#REF!</v>
      </c>
      <c r="Q26" s="475" t="e">
        <f t="shared" si="3"/>
        <v>#REF!</v>
      </c>
      <c r="R26" s="859"/>
      <c r="S26" s="859"/>
      <c r="T26" s="859"/>
      <c r="U26" s="542"/>
      <c r="V26" s="542"/>
    </row>
    <row r="27" spans="1:24" ht="13.8" hidden="1" thickBot="1">
      <c r="A27" s="1100" t="s">
        <v>14</v>
      </c>
      <c r="B27" s="704">
        <v>76</v>
      </c>
      <c r="C27" s="714">
        <v>2607971.1586615397</v>
      </c>
      <c r="D27" s="1148">
        <f>MAX(D4:D21)</f>
        <v>42708</v>
      </c>
      <c r="E27" s="704">
        <f t="shared" si="1"/>
        <v>-4</v>
      </c>
      <c r="F27" s="876" t="e">
        <f>+E27*Q27</f>
        <v>#REF!</v>
      </c>
      <c r="G27" s="697">
        <v>6</v>
      </c>
      <c r="H27" s="698">
        <v>14</v>
      </c>
      <c r="I27" s="699">
        <f>+MTBA!J264</f>
        <v>5.756756756756757</v>
      </c>
      <c r="J27" s="699">
        <f>+MTBA!K264</f>
        <v>14.042471042471043</v>
      </c>
      <c r="K27" s="473"/>
      <c r="L27" s="473"/>
      <c r="M27" s="473"/>
      <c r="N27" s="473"/>
      <c r="O27" s="10"/>
      <c r="P27" s="475" t="e">
        <f>+INDICADORES!#REF!</f>
        <v>#REF!</v>
      </c>
      <c r="Q27" s="475" t="e">
        <f t="shared" si="3"/>
        <v>#REF!</v>
      </c>
      <c r="R27" s="859"/>
      <c r="S27" s="859"/>
      <c r="T27" s="859"/>
      <c r="U27" s="540"/>
      <c r="V27" s="540"/>
    </row>
    <row r="28" spans="1:24" ht="5.25" hidden="1" customHeight="1">
      <c r="A28" s="1101"/>
      <c r="B28" s="706"/>
      <c r="C28" s="707"/>
      <c r="D28" s="1149"/>
      <c r="E28" s="705"/>
      <c r="F28" s="875"/>
      <c r="G28" s="10"/>
      <c r="H28" s="10"/>
      <c r="I28" s="148"/>
      <c r="J28" s="148"/>
      <c r="K28" s="10"/>
      <c r="L28" s="10"/>
      <c r="M28" s="10"/>
      <c r="N28" s="10"/>
      <c r="O28" s="10"/>
      <c r="P28" s="475" t="e">
        <f>+INDICADORES!#REF!</f>
        <v>#REF!</v>
      </c>
      <c r="Q28" s="475"/>
      <c r="R28" s="859"/>
      <c r="S28" s="859"/>
      <c r="T28" s="859"/>
      <c r="U28" s="541"/>
      <c r="V28" s="541"/>
    </row>
    <row r="29" spans="1:24" ht="5.25" hidden="1" customHeight="1">
      <c r="A29" s="1101"/>
      <c r="B29" s="706"/>
      <c r="C29" s="707"/>
      <c r="D29" s="1149"/>
      <c r="E29" s="705"/>
      <c r="F29" s="875"/>
      <c r="G29" s="10"/>
      <c r="H29" s="10"/>
      <c r="I29" s="148"/>
      <c r="J29" s="148"/>
      <c r="K29" s="10"/>
      <c r="L29" s="10"/>
      <c r="M29" s="10"/>
      <c r="N29" s="10"/>
      <c r="O29" s="10"/>
      <c r="P29" s="475"/>
      <c r="Q29" s="475"/>
      <c r="R29" s="859"/>
      <c r="S29" s="859"/>
      <c r="T29" s="859"/>
      <c r="U29" s="541"/>
      <c r="V29" s="541"/>
    </row>
    <row r="30" spans="1:24">
      <c r="A30" s="1098" t="s">
        <v>383</v>
      </c>
      <c r="B30" s="701">
        <v>830</v>
      </c>
      <c r="C30" s="900">
        <f>+B30*Q30</f>
        <v>0</v>
      </c>
      <c r="D30" s="711">
        <v>42088</v>
      </c>
      <c r="E30" s="701">
        <f t="shared" ref="E30:E35" si="4">+$A$1-D30</f>
        <v>616</v>
      </c>
      <c r="F30" s="872">
        <f t="shared" ref="F30:F35" si="5">+E30*Q30</f>
        <v>0</v>
      </c>
      <c r="G30" s="470"/>
      <c r="H30" s="470"/>
      <c r="I30" s="467"/>
      <c r="J30" s="467"/>
      <c r="K30" s="10"/>
      <c r="L30" s="281"/>
      <c r="M30" s="281"/>
      <c r="N30" s="10"/>
      <c r="O30" s="10"/>
      <c r="P30" s="475">
        <f>+INDICADORES!C23</f>
        <v>0</v>
      </c>
      <c r="Q30" s="475">
        <f t="shared" ref="Q30:Q35" si="6">+P30/365</f>
        <v>0</v>
      </c>
      <c r="R30" s="859"/>
      <c r="S30" s="859"/>
      <c r="T30" s="859"/>
      <c r="U30" s="3286" t="s">
        <v>877</v>
      </c>
      <c r="V30" s="3286"/>
      <c r="W30" s="3286"/>
    </row>
    <row r="31" spans="1:24">
      <c r="A31" s="1095" t="s">
        <v>384</v>
      </c>
      <c r="B31" s="702">
        <v>1441</v>
      </c>
      <c r="C31" s="900">
        <f>+B31*Q31</f>
        <v>1176535.1255342467</v>
      </c>
      <c r="D31" s="1146">
        <v>41446</v>
      </c>
      <c r="E31" s="702">
        <f t="shared" si="4"/>
        <v>1258</v>
      </c>
      <c r="F31" s="872">
        <f t="shared" si="5"/>
        <v>1027120.879890411</v>
      </c>
      <c r="G31" s="466"/>
      <c r="H31" s="466"/>
      <c r="I31" s="472"/>
      <c r="J31" s="472"/>
      <c r="L31" s="357"/>
      <c r="M31" s="357"/>
      <c r="P31" s="475">
        <f>+INDICADORES!C24</f>
        <v>298012.02</v>
      </c>
      <c r="Q31" s="475">
        <f t="shared" si="6"/>
        <v>816.47128767123297</v>
      </c>
      <c r="R31" s="859"/>
      <c r="S31" s="859"/>
      <c r="T31" s="859"/>
      <c r="U31" s="541"/>
      <c r="V31" s="541"/>
    </row>
    <row r="32" spans="1:24" ht="11.25" customHeight="1">
      <c r="A32" s="1099" t="s">
        <v>508</v>
      </c>
      <c r="B32" s="703">
        <v>428</v>
      </c>
      <c r="C32" s="1139">
        <f>+B32*Q32</f>
        <v>0</v>
      </c>
      <c r="D32" s="1187">
        <v>42447</v>
      </c>
      <c r="E32" s="703">
        <f t="shared" si="4"/>
        <v>257</v>
      </c>
      <c r="F32" s="1220">
        <f t="shared" si="5"/>
        <v>0</v>
      </c>
      <c r="G32" s="1150"/>
      <c r="H32" s="1150"/>
      <c r="I32" s="1151"/>
      <c r="J32" s="1151"/>
      <c r="L32" s="1152">
        <v>40869</v>
      </c>
      <c r="M32" s="1152">
        <v>41143</v>
      </c>
      <c r="N32" s="151">
        <f>+M32-L32</f>
        <v>274</v>
      </c>
      <c r="P32" s="1153">
        <f>+INDICADORES!C25</f>
        <v>0</v>
      </c>
      <c r="Q32" s="1153">
        <f t="shared" si="6"/>
        <v>0</v>
      </c>
      <c r="R32" s="859"/>
      <c r="S32" s="859"/>
      <c r="T32" s="859"/>
      <c r="U32" s="3286" t="s">
        <v>878</v>
      </c>
      <c r="V32" s="3286"/>
      <c r="W32" s="3286"/>
    </row>
    <row r="33" spans="1:23" ht="14.25" customHeight="1">
      <c r="A33" s="752" t="s">
        <v>591</v>
      </c>
      <c r="B33" s="700"/>
      <c r="C33" s="1140"/>
      <c r="D33" s="1124">
        <v>42658</v>
      </c>
      <c r="E33" s="702">
        <f t="shared" si="4"/>
        <v>46</v>
      </c>
      <c r="F33" s="719">
        <f t="shared" si="5"/>
        <v>361286.51739726024</v>
      </c>
      <c r="G33" s="137"/>
      <c r="H33" s="137"/>
      <c r="I33" s="543"/>
      <c r="J33" s="543"/>
      <c r="K33" s="137"/>
      <c r="L33" s="544"/>
      <c r="M33" s="544"/>
      <c r="N33" s="137"/>
      <c r="O33" s="137"/>
      <c r="P33" s="1047">
        <f>+INDICADORES!C26</f>
        <v>2866729.9749999996</v>
      </c>
      <c r="Q33" s="1047">
        <f t="shared" si="6"/>
        <v>7854.0547260273961</v>
      </c>
      <c r="U33" s="3286" t="s">
        <v>1941</v>
      </c>
      <c r="V33" s="3286"/>
      <c r="W33" s="3286"/>
    </row>
    <row r="34" spans="1:23" hidden="1">
      <c r="A34" s="752" t="s">
        <v>579</v>
      </c>
      <c r="B34" s="700"/>
      <c r="C34" s="1140"/>
      <c r="D34" s="711">
        <v>41446</v>
      </c>
      <c r="E34" s="702">
        <f t="shared" si="4"/>
        <v>1258</v>
      </c>
      <c r="F34" s="719">
        <f t="shared" si="5"/>
        <v>217878.70684931509</v>
      </c>
      <c r="G34" s="137"/>
      <c r="H34" s="137"/>
      <c r="I34" s="543"/>
      <c r="J34" s="543"/>
      <c r="K34" s="137"/>
      <c r="L34" s="580"/>
      <c r="M34" s="544"/>
      <c r="N34" s="137"/>
      <c r="O34" s="137"/>
      <c r="P34" s="1047">
        <f>+INDICADORES!X27</f>
        <v>63216</v>
      </c>
      <c r="Q34" s="1047">
        <f t="shared" si="6"/>
        <v>173.19452054794522</v>
      </c>
      <c r="U34" s="541"/>
      <c r="V34" s="541"/>
    </row>
    <row r="35" spans="1:23" ht="13.8" thickBot="1">
      <c r="A35" s="1141" t="s">
        <v>938</v>
      </c>
      <c r="B35" s="1135"/>
      <c r="C35" s="1135"/>
      <c r="D35" s="1218">
        <v>42670</v>
      </c>
      <c r="E35" s="893">
        <f t="shared" si="4"/>
        <v>34</v>
      </c>
      <c r="F35" s="894">
        <f t="shared" si="5"/>
        <v>104402.26301369863</v>
      </c>
      <c r="G35" s="965"/>
      <c r="H35" s="965"/>
      <c r="I35" s="912"/>
      <c r="J35" s="912"/>
      <c r="K35" s="965"/>
      <c r="L35" s="965"/>
      <c r="M35" s="965"/>
      <c r="N35" s="965"/>
      <c r="O35" s="965"/>
      <c r="P35" s="1165">
        <f>+INDICADORES!C30</f>
        <v>1120789</v>
      </c>
      <c r="Q35" s="1047">
        <f t="shared" si="6"/>
        <v>3070.654794520548</v>
      </c>
      <c r="U35" s="541"/>
      <c r="V35" s="541"/>
    </row>
    <row r="36" spans="1:23" ht="13.8" thickBot="1">
      <c r="A36" s="1157" t="s">
        <v>55</v>
      </c>
      <c r="B36" s="1158">
        <v>72</v>
      </c>
      <c r="C36" s="1159" t="e">
        <f>+B36*Q36</f>
        <v>#REF!</v>
      </c>
      <c r="D36" s="1160">
        <f>MAX(D27,D35)</f>
        <v>42708</v>
      </c>
      <c r="E36" s="1158">
        <f>+$A$1-D36</f>
        <v>-4</v>
      </c>
      <c r="F36" s="1161" t="e">
        <f>+E36*Q36</f>
        <v>#REF!</v>
      </c>
      <c r="G36" s="1154"/>
      <c r="H36" s="1154"/>
      <c r="I36" s="1154"/>
      <c r="J36" s="1155"/>
      <c r="K36" s="1162"/>
      <c r="L36" s="1163"/>
      <c r="M36" s="1163"/>
      <c r="N36" s="1162"/>
      <c r="O36" s="1162"/>
      <c r="P36" s="1156" t="e">
        <f>+INDICADORES!C28</f>
        <v>#REF!</v>
      </c>
      <c r="Q36" s="1164" t="e">
        <f>+P36/365</f>
        <v>#REF!</v>
      </c>
      <c r="U36" s="541"/>
      <c r="V36" s="541"/>
      <c r="W36" s="1121"/>
    </row>
    <row r="37" spans="1:23">
      <c r="L37" s="357"/>
      <c r="M37" s="357"/>
      <c r="U37" s="541"/>
      <c r="V37" s="541"/>
      <c r="W37" s="1121"/>
    </row>
    <row r="38" spans="1:23">
      <c r="H38" s="901"/>
      <c r="L38" s="357"/>
      <c r="M38" s="357"/>
      <c r="U38" s="542"/>
      <c r="V38" s="542"/>
      <c r="W38" s="1121"/>
    </row>
    <row r="39" spans="1:23">
      <c r="L39" s="357"/>
      <c r="M39" s="357"/>
      <c r="U39" s="542"/>
      <c r="V39" s="542"/>
      <c r="W39" s="1121"/>
    </row>
    <row r="40" spans="1:23">
      <c r="L40" s="357"/>
      <c r="M40" s="357"/>
      <c r="U40" s="542"/>
      <c r="V40" s="542"/>
      <c r="W40" s="1121"/>
    </row>
    <row r="41" spans="1:23">
      <c r="L41" s="357"/>
      <c r="M41" s="357"/>
      <c r="U41" s="542"/>
      <c r="V41" s="542"/>
      <c r="W41" s="1121"/>
    </row>
    <row r="42" spans="1:23">
      <c r="L42" s="357"/>
      <c r="M42" s="357"/>
      <c r="U42" s="542"/>
      <c r="V42" s="542"/>
      <c r="W42" s="1121"/>
    </row>
    <row r="43" spans="1:23">
      <c r="L43" s="357"/>
      <c r="M43" s="357"/>
      <c r="U43" s="542"/>
      <c r="V43" s="542"/>
    </row>
    <row r="44" spans="1:23">
      <c r="L44" s="357"/>
      <c r="M44" s="357"/>
      <c r="U44" s="542"/>
      <c r="V44" s="542"/>
    </row>
    <row r="45" spans="1:23">
      <c r="L45" s="357"/>
      <c r="M45" s="357"/>
      <c r="U45" s="542"/>
      <c r="V45" s="542"/>
    </row>
    <row r="46" spans="1:23">
      <c r="L46" s="357"/>
      <c r="M46" s="357"/>
      <c r="U46" s="542"/>
      <c r="V46" s="542"/>
    </row>
    <row r="47" spans="1:23">
      <c r="L47" s="357"/>
      <c r="M47" s="357"/>
      <c r="U47" s="542"/>
      <c r="V47" s="542"/>
    </row>
    <row r="48" spans="1:23">
      <c r="L48" s="357"/>
      <c r="M48" s="357"/>
      <c r="U48" s="542"/>
      <c r="V48" s="542"/>
    </row>
    <row r="49" spans="12:22">
      <c r="L49" s="357"/>
      <c r="M49" s="357"/>
      <c r="U49" s="542"/>
      <c r="V49" s="542"/>
    </row>
    <row r="50" spans="12:22">
      <c r="L50" s="357"/>
      <c r="M50" s="357"/>
      <c r="U50" s="542"/>
      <c r="V50" s="542"/>
    </row>
    <row r="51" spans="12:22">
      <c r="L51" s="357"/>
      <c r="M51" s="357"/>
      <c r="U51" s="542"/>
      <c r="V51" s="542"/>
    </row>
    <row r="52" spans="12:22">
      <c r="L52" s="357"/>
      <c r="M52" s="357"/>
      <c r="U52" s="542"/>
      <c r="V52" s="542"/>
    </row>
    <row r="53" spans="12:22">
      <c r="L53" s="357"/>
      <c r="M53" s="357"/>
      <c r="U53" s="542"/>
      <c r="V53" s="542"/>
    </row>
    <row r="54" spans="12:22">
      <c r="L54" s="357"/>
      <c r="M54" s="357"/>
      <c r="U54" s="542"/>
      <c r="V54" s="542"/>
    </row>
    <row r="55" spans="12:22">
      <c r="L55" s="357"/>
      <c r="M55" s="357"/>
      <c r="U55" s="542"/>
      <c r="V55" s="542"/>
    </row>
    <row r="56" spans="12:22">
      <c r="L56" s="357"/>
      <c r="M56" s="357"/>
      <c r="U56" s="542"/>
      <c r="V56" s="542"/>
    </row>
    <row r="57" spans="12:22">
      <c r="L57" s="357"/>
      <c r="M57" s="357"/>
      <c r="U57" s="542"/>
      <c r="V57" s="542"/>
    </row>
    <row r="58" spans="12:22">
      <c r="L58" s="357"/>
      <c r="M58" s="357"/>
      <c r="U58" s="541"/>
      <c r="V58" s="541"/>
    </row>
    <row r="59" spans="12:22">
      <c r="L59" s="357"/>
      <c r="M59" s="357"/>
      <c r="U59" s="541"/>
      <c r="V59" s="541"/>
    </row>
    <row r="60" spans="12:22">
      <c r="L60" s="357"/>
      <c r="M60" s="357"/>
      <c r="U60" s="541"/>
      <c r="V60" s="541"/>
    </row>
    <row r="61" spans="12:22">
      <c r="L61" s="357"/>
      <c r="M61" s="357"/>
      <c r="U61" s="541"/>
      <c r="V61" s="541"/>
    </row>
    <row r="62" spans="12:22">
      <c r="L62" s="357"/>
      <c r="M62" s="357"/>
      <c r="U62" s="541"/>
      <c r="V62" s="541"/>
    </row>
    <row r="63" spans="12:22">
      <c r="L63" s="357"/>
      <c r="M63" s="357"/>
      <c r="U63" s="541"/>
      <c r="V63" s="541"/>
    </row>
    <row r="64" spans="12:22">
      <c r="L64" s="357"/>
      <c r="M64" s="357"/>
      <c r="U64" s="541"/>
      <c r="V64" s="541"/>
    </row>
    <row r="65" spans="12:22">
      <c r="L65" s="357"/>
      <c r="M65" s="357"/>
      <c r="U65" s="541"/>
      <c r="V65" s="541"/>
    </row>
    <row r="66" spans="12:22">
      <c r="L66" s="357"/>
      <c r="M66" s="357"/>
      <c r="U66" s="541"/>
      <c r="V66" s="541"/>
    </row>
    <row r="67" spans="12:22">
      <c r="L67" s="357"/>
      <c r="M67" s="357"/>
      <c r="U67" s="541"/>
      <c r="V67" s="541"/>
    </row>
    <row r="68" spans="12:22">
      <c r="L68" s="357"/>
      <c r="M68" s="357"/>
      <c r="U68" s="541"/>
      <c r="V68" s="541"/>
    </row>
    <row r="69" spans="12:22">
      <c r="L69" s="357"/>
      <c r="M69" s="357"/>
      <c r="U69" s="541"/>
      <c r="V69" s="541"/>
    </row>
    <row r="70" spans="12:22">
      <c r="L70" s="357"/>
      <c r="M70" s="357"/>
      <c r="U70" s="541"/>
      <c r="V70" s="541"/>
    </row>
    <row r="71" spans="12:22">
      <c r="L71" s="357"/>
      <c r="M71" s="357"/>
      <c r="U71" s="541"/>
      <c r="V71" s="541"/>
    </row>
    <row r="72" spans="12:22">
      <c r="L72" s="357"/>
      <c r="M72" s="357"/>
      <c r="U72" s="541"/>
      <c r="V72" s="541"/>
    </row>
    <row r="73" spans="12:22">
      <c r="L73" s="357"/>
      <c r="M73" s="357"/>
      <c r="U73" s="541"/>
      <c r="V73" s="541"/>
    </row>
    <row r="74" spans="12:22">
      <c r="L74" s="357"/>
      <c r="M74" s="357"/>
      <c r="U74" s="541"/>
      <c r="V74" s="541"/>
    </row>
    <row r="75" spans="12:22">
      <c r="L75" s="357"/>
      <c r="M75" s="357"/>
      <c r="U75" s="541"/>
      <c r="V75" s="541"/>
    </row>
    <row r="76" spans="12:22">
      <c r="L76" s="357"/>
      <c r="M76" s="357"/>
      <c r="U76" s="541"/>
      <c r="V76" s="541"/>
    </row>
    <row r="77" spans="12:22">
      <c r="L77" s="357"/>
      <c r="M77" s="357"/>
      <c r="U77" s="541"/>
      <c r="V77" s="541"/>
    </row>
    <row r="78" spans="12:22">
      <c r="L78" s="357"/>
      <c r="M78" s="357"/>
      <c r="U78" s="541"/>
      <c r="V78" s="541"/>
    </row>
    <row r="79" spans="12:22">
      <c r="L79" s="357"/>
      <c r="M79" s="357"/>
      <c r="U79" s="540"/>
      <c r="V79" s="540"/>
    </row>
    <row r="80" spans="12:22">
      <c r="L80" s="357"/>
      <c r="M80" s="357"/>
      <c r="U80" s="540"/>
      <c r="V80" s="540"/>
    </row>
    <row r="81" spans="12:22">
      <c r="L81" s="357"/>
      <c r="M81" s="357"/>
      <c r="U81" s="540"/>
      <c r="V81" s="540"/>
    </row>
    <row r="82" spans="12:22">
      <c r="L82" s="357"/>
      <c r="M82" s="357"/>
      <c r="U82" s="540"/>
      <c r="V82" s="540"/>
    </row>
    <row r="83" spans="12:22">
      <c r="L83" s="357"/>
      <c r="M83" s="357"/>
      <c r="U83" s="540"/>
      <c r="V83" s="540"/>
    </row>
    <row r="84" spans="12:22">
      <c r="L84" s="357"/>
      <c r="M84" s="357"/>
      <c r="U84" s="540"/>
      <c r="V84" s="540"/>
    </row>
    <row r="85" spans="12:22">
      <c r="L85" s="357"/>
      <c r="M85" s="357"/>
      <c r="U85" s="540"/>
      <c r="V85" s="540"/>
    </row>
    <row r="86" spans="12:22">
      <c r="L86" s="357"/>
      <c r="M86" s="357"/>
      <c r="U86" s="540"/>
      <c r="V86" s="540"/>
    </row>
    <row r="87" spans="12:22">
      <c r="L87" s="357"/>
      <c r="M87" s="357"/>
      <c r="U87" s="540"/>
      <c r="V87" s="540"/>
    </row>
    <row r="88" spans="12:22">
      <c r="L88" s="357"/>
      <c r="M88" s="357"/>
      <c r="U88" s="540"/>
      <c r="V88" s="540"/>
    </row>
    <row r="89" spans="12:22">
      <c r="L89" s="357"/>
      <c r="M89" s="357"/>
      <c r="U89" s="540"/>
      <c r="V89" s="540"/>
    </row>
    <row r="90" spans="12:22">
      <c r="L90" s="357"/>
      <c r="M90" s="357"/>
      <c r="U90" s="540"/>
      <c r="V90" s="540"/>
    </row>
    <row r="91" spans="12:22">
      <c r="L91" s="357"/>
      <c r="M91" s="357"/>
      <c r="U91" s="540"/>
      <c r="V91" s="540"/>
    </row>
    <row r="92" spans="12:22">
      <c r="L92" s="357"/>
      <c r="M92" s="357"/>
      <c r="U92" s="540"/>
      <c r="V92" s="540"/>
    </row>
    <row r="93" spans="12:22">
      <c r="L93" s="357"/>
      <c r="M93" s="357"/>
      <c r="U93" s="540"/>
      <c r="V93" s="540"/>
    </row>
    <row r="94" spans="12:22">
      <c r="L94" s="357"/>
      <c r="M94" s="357"/>
      <c r="U94" s="540"/>
      <c r="V94" s="540"/>
    </row>
    <row r="95" spans="12:22">
      <c r="L95" s="357"/>
      <c r="M95" s="357"/>
      <c r="U95" s="541"/>
      <c r="V95" s="541"/>
    </row>
    <row r="96" spans="12:22">
      <c r="L96" s="357"/>
      <c r="M96" s="357"/>
      <c r="U96" s="541"/>
      <c r="V96" s="541"/>
    </row>
    <row r="97" spans="12:22">
      <c r="L97" s="357"/>
      <c r="M97" s="357"/>
      <c r="U97" s="541"/>
      <c r="V97" s="541"/>
    </row>
    <row r="98" spans="12:22">
      <c r="L98" s="357"/>
      <c r="M98" s="357"/>
      <c r="U98" s="541"/>
      <c r="V98" s="541"/>
    </row>
    <row r="99" spans="12:22">
      <c r="L99" s="357"/>
      <c r="M99" s="357"/>
      <c r="U99" s="541"/>
      <c r="V99" s="541"/>
    </row>
    <row r="100" spans="12:22">
      <c r="L100" s="357"/>
      <c r="M100" s="357"/>
      <c r="U100" s="541"/>
      <c r="V100" s="541"/>
    </row>
    <row r="101" spans="12:22">
      <c r="L101" s="357"/>
      <c r="M101" s="357"/>
      <c r="U101" s="541"/>
      <c r="V101" s="541"/>
    </row>
    <row r="102" spans="12:22">
      <c r="L102" s="357"/>
      <c r="M102" s="357"/>
      <c r="U102" s="541"/>
      <c r="V102" s="541"/>
    </row>
    <row r="103" spans="12:22">
      <c r="L103" s="357"/>
      <c r="M103" s="357"/>
      <c r="U103" s="541"/>
      <c r="V103" s="541"/>
    </row>
    <row r="104" spans="12:22">
      <c r="L104" s="357"/>
      <c r="M104" s="357"/>
      <c r="U104" s="541"/>
      <c r="V104" s="541"/>
    </row>
    <row r="105" spans="12:22">
      <c r="L105" s="357"/>
      <c r="M105" s="357"/>
      <c r="U105" s="541"/>
      <c r="V105" s="541"/>
    </row>
    <row r="106" spans="12:22">
      <c r="L106" s="357"/>
      <c r="M106" s="357"/>
      <c r="U106" s="541"/>
      <c r="V106" s="541"/>
    </row>
    <row r="107" spans="12:22">
      <c r="L107" s="357"/>
      <c r="M107" s="357"/>
      <c r="U107" s="541"/>
      <c r="V107" s="541"/>
    </row>
    <row r="108" spans="12:22">
      <c r="L108" s="357"/>
      <c r="M108" s="357"/>
      <c r="U108" s="541"/>
      <c r="V108" s="541"/>
    </row>
    <row r="109" spans="12:22">
      <c r="L109" s="357"/>
      <c r="M109" s="357"/>
      <c r="U109" s="541"/>
      <c r="V109" s="541"/>
    </row>
    <row r="110" spans="12:22">
      <c r="L110" s="357"/>
      <c r="M110" s="357"/>
      <c r="U110" s="541"/>
      <c r="V110" s="541"/>
    </row>
    <row r="111" spans="12:22">
      <c r="L111" s="357"/>
      <c r="M111" s="357"/>
      <c r="U111" s="541"/>
      <c r="V111" s="541"/>
    </row>
    <row r="112" spans="12:22">
      <c r="L112" s="357"/>
      <c r="M112" s="357"/>
      <c r="U112" s="541"/>
      <c r="V112" s="541"/>
    </row>
    <row r="113" spans="12:22">
      <c r="L113" s="357"/>
      <c r="M113" s="357"/>
      <c r="U113" s="541"/>
      <c r="V113" s="541"/>
    </row>
    <row r="114" spans="12:22">
      <c r="L114" s="357"/>
      <c r="M114" s="357"/>
      <c r="U114" s="541"/>
      <c r="V114" s="541"/>
    </row>
    <row r="115" spans="12:22">
      <c r="L115" s="357"/>
      <c r="M115" s="357"/>
      <c r="U115" s="541"/>
      <c r="V115" s="541"/>
    </row>
    <row r="116" spans="12:22">
      <c r="L116" s="357"/>
      <c r="M116" s="357"/>
      <c r="U116" s="541"/>
      <c r="V116" s="541"/>
    </row>
    <row r="117" spans="12:22">
      <c r="L117" s="357"/>
      <c r="M117" s="357"/>
      <c r="U117" s="541"/>
      <c r="V117" s="541"/>
    </row>
    <row r="118" spans="12:22">
      <c r="L118" s="357"/>
      <c r="M118" s="357"/>
      <c r="U118" s="541"/>
      <c r="V118" s="541"/>
    </row>
    <row r="119" spans="12:22">
      <c r="L119" s="357"/>
      <c r="M119" s="357"/>
      <c r="U119" s="541"/>
      <c r="V119" s="541"/>
    </row>
    <row r="120" spans="12:22">
      <c r="L120" s="357"/>
      <c r="M120" s="357"/>
      <c r="U120" s="541"/>
      <c r="V120" s="541"/>
    </row>
    <row r="121" spans="12:22">
      <c r="L121" s="357"/>
      <c r="M121" s="357"/>
      <c r="U121" s="541"/>
      <c r="V121" s="541"/>
    </row>
    <row r="122" spans="12:22">
      <c r="L122" s="357"/>
      <c r="M122" s="357"/>
      <c r="U122" s="541"/>
      <c r="V122" s="541"/>
    </row>
    <row r="123" spans="12:22">
      <c r="L123" s="357"/>
      <c r="M123" s="357"/>
      <c r="U123" s="541"/>
      <c r="V123" s="541"/>
    </row>
    <row r="124" spans="12:22">
      <c r="L124" s="357"/>
      <c r="M124" s="357"/>
      <c r="U124" s="541"/>
      <c r="V124" s="541"/>
    </row>
    <row r="125" spans="12:22">
      <c r="L125" s="357"/>
      <c r="M125" s="357"/>
      <c r="U125" s="541"/>
      <c r="V125" s="541"/>
    </row>
    <row r="126" spans="12:22">
      <c r="L126" s="357"/>
      <c r="M126" s="357"/>
      <c r="U126" s="541"/>
      <c r="V126" s="541"/>
    </row>
    <row r="127" spans="12:22">
      <c r="L127" s="357"/>
      <c r="M127" s="357"/>
      <c r="U127" s="541"/>
      <c r="V127" s="541"/>
    </row>
    <row r="128" spans="12:22">
      <c r="L128" s="357"/>
      <c r="M128" s="357"/>
      <c r="U128" s="541"/>
      <c r="V128" s="541"/>
    </row>
    <row r="129" spans="12:22">
      <c r="L129" s="357"/>
      <c r="M129" s="357"/>
      <c r="U129" s="541"/>
      <c r="V129" s="541"/>
    </row>
    <row r="130" spans="12:22">
      <c r="L130" s="357"/>
      <c r="M130" s="357"/>
      <c r="U130" s="541"/>
      <c r="V130" s="541"/>
    </row>
    <row r="131" spans="12:22">
      <c r="L131" s="357"/>
      <c r="M131" s="357"/>
      <c r="U131" s="541"/>
      <c r="V131" s="541"/>
    </row>
    <row r="132" spans="12:22">
      <c r="L132" s="357"/>
      <c r="M132" s="357"/>
      <c r="U132" s="541"/>
      <c r="V132" s="541"/>
    </row>
    <row r="133" spans="12:22">
      <c r="L133" s="357"/>
      <c r="M133" s="357"/>
      <c r="U133" s="541"/>
      <c r="V133" s="541"/>
    </row>
    <row r="134" spans="12:22">
      <c r="U134" s="540"/>
      <c r="V134" s="540"/>
    </row>
    <row r="135" spans="12:22">
      <c r="U135" s="540"/>
      <c r="V135" s="540"/>
    </row>
    <row r="136" spans="12:22">
      <c r="U136" s="540"/>
      <c r="V136" s="540"/>
    </row>
    <row r="137" spans="12:22">
      <c r="U137" s="540"/>
      <c r="V137" s="540"/>
    </row>
    <row r="138" spans="12:22">
      <c r="U138" s="540"/>
      <c r="V138" s="540"/>
    </row>
    <row r="139" spans="12:22">
      <c r="U139" s="540"/>
      <c r="V139" s="540"/>
    </row>
    <row r="140" spans="12:22">
      <c r="U140" s="540"/>
      <c r="V140" s="540"/>
    </row>
    <row r="141" spans="12:22">
      <c r="U141" s="540"/>
      <c r="V141" s="540"/>
    </row>
    <row r="142" spans="12:22">
      <c r="U142" s="540"/>
      <c r="V142" s="540"/>
    </row>
    <row r="143" spans="12:22">
      <c r="U143" s="540"/>
      <c r="V143" s="540"/>
    </row>
    <row r="144" spans="12:22">
      <c r="U144" s="540"/>
      <c r="V144" s="540"/>
    </row>
    <row r="145" spans="21:22">
      <c r="U145" s="540"/>
      <c r="V145" s="540"/>
    </row>
    <row r="146" spans="21:22">
      <c r="U146" s="540"/>
      <c r="V146" s="540"/>
    </row>
    <row r="147" spans="21:22">
      <c r="U147" s="540"/>
      <c r="V147" s="540"/>
    </row>
    <row r="148" spans="21:22">
      <c r="U148" s="540"/>
      <c r="V148" s="540"/>
    </row>
    <row r="149" spans="21:22">
      <c r="U149" s="541"/>
      <c r="V149" s="541"/>
    </row>
    <row r="150" spans="21:22">
      <c r="U150" s="541"/>
      <c r="V150" s="541"/>
    </row>
    <row r="151" spans="21:22">
      <c r="U151" s="541"/>
      <c r="V151" s="541"/>
    </row>
    <row r="152" spans="21:22">
      <c r="U152" s="541"/>
      <c r="V152" s="541"/>
    </row>
    <row r="153" spans="21:22">
      <c r="U153" s="541"/>
      <c r="V153" s="541"/>
    </row>
    <row r="154" spans="21:22">
      <c r="U154" s="541"/>
      <c r="V154" s="541"/>
    </row>
    <row r="155" spans="21:22">
      <c r="U155" s="541"/>
      <c r="V155" s="541"/>
    </row>
    <row r="156" spans="21:22">
      <c r="U156" s="541"/>
      <c r="V156" s="541"/>
    </row>
    <row r="157" spans="21:22">
      <c r="U157" s="541"/>
      <c r="V157" s="541"/>
    </row>
    <row r="158" spans="21:22">
      <c r="U158" s="541"/>
      <c r="V158" s="541"/>
    </row>
    <row r="159" spans="21:22">
      <c r="U159" s="541"/>
      <c r="V159" s="541"/>
    </row>
    <row r="160" spans="21:22">
      <c r="U160" s="541"/>
      <c r="V160" s="541"/>
    </row>
    <row r="161" spans="21:22">
      <c r="U161" s="541"/>
      <c r="V161" s="541"/>
    </row>
    <row r="162" spans="21:22">
      <c r="U162" s="541"/>
      <c r="V162" s="541"/>
    </row>
    <row r="163" spans="21:22">
      <c r="U163" s="541"/>
      <c r="V163" s="541"/>
    </row>
    <row r="164" spans="21:22">
      <c r="U164" s="541"/>
      <c r="V164" s="541"/>
    </row>
    <row r="165" spans="21:22">
      <c r="U165" s="541"/>
      <c r="V165" s="541"/>
    </row>
    <row r="166" spans="21:22">
      <c r="U166" s="541"/>
      <c r="V166" s="541"/>
    </row>
    <row r="167" spans="21:22">
      <c r="U167" s="541"/>
      <c r="V167" s="541"/>
    </row>
    <row r="168" spans="21:22">
      <c r="U168" s="541"/>
      <c r="V168" s="541"/>
    </row>
    <row r="169" spans="21:22">
      <c r="U169" s="541"/>
      <c r="V169" s="541"/>
    </row>
    <row r="170" spans="21:22">
      <c r="U170" s="541"/>
      <c r="V170" s="541"/>
    </row>
    <row r="171" spans="21:22">
      <c r="U171" s="541"/>
      <c r="V171" s="541"/>
    </row>
    <row r="172" spans="21:22">
      <c r="U172" s="541"/>
      <c r="V172" s="541"/>
    </row>
    <row r="173" spans="21:22">
      <c r="U173" s="541"/>
      <c r="V173" s="541"/>
    </row>
    <row r="174" spans="21:22">
      <c r="U174" s="541"/>
      <c r="V174" s="541"/>
    </row>
    <row r="175" spans="21:22">
      <c r="U175" s="541"/>
      <c r="V175" s="541"/>
    </row>
    <row r="176" spans="21:22">
      <c r="U176" s="541"/>
      <c r="V176" s="541"/>
    </row>
    <row r="177" spans="21:22">
      <c r="U177" s="541"/>
      <c r="V177" s="541"/>
    </row>
    <row r="178" spans="21:22">
      <c r="U178" s="541"/>
      <c r="V178" s="541"/>
    </row>
    <row r="179" spans="21:22">
      <c r="U179" s="541"/>
      <c r="V179" s="541"/>
    </row>
    <row r="180" spans="21:22">
      <c r="U180" s="541"/>
      <c r="V180" s="541"/>
    </row>
    <row r="181" spans="21:22">
      <c r="U181" s="541"/>
      <c r="V181" s="541"/>
    </row>
    <row r="182" spans="21:22">
      <c r="U182" s="541"/>
      <c r="V182" s="541"/>
    </row>
    <row r="183" spans="21:22">
      <c r="U183" s="541"/>
      <c r="V183" s="541"/>
    </row>
    <row r="184" spans="21:22">
      <c r="U184" s="541"/>
      <c r="V184" s="541"/>
    </row>
    <row r="185" spans="21:22">
      <c r="U185" s="541"/>
      <c r="V185" s="541"/>
    </row>
    <row r="186" spans="21:22">
      <c r="U186" s="541"/>
      <c r="V186" s="541"/>
    </row>
    <row r="187" spans="21:22">
      <c r="U187" s="541"/>
      <c r="V187" s="541"/>
    </row>
    <row r="188" spans="21:22">
      <c r="U188" s="541"/>
      <c r="V188" s="541"/>
    </row>
    <row r="189" spans="21:22">
      <c r="U189" s="541"/>
      <c r="V189" s="541"/>
    </row>
    <row r="190" spans="21:22">
      <c r="U190" s="541"/>
      <c r="V190" s="541"/>
    </row>
    <row r="191" spans="21:22">
      <c r="U191" s="541"/>
      <c r="V191" s="541"/>
    </row>
    <row r="192" spans="21:22">
      <c r="U192" s="541"/>
      <c r="V192" s="541"/>
    </row>
    <row r="193" spans="21:22">
      <c r="U193" s="541"/>
      <c r="V193" s="541"/>
    </row>
    <row r="194" spans="21:22">
      <c r="U194" s="541"/>
      <c r="V194" s="541"/>
    </row>
    <row r="195" spans="21:22">
      <c r="U195" s="541"/>
      <c r="V195" s="541"/>
    </row>
    <row r="196" spans="21:22">
      <c r="U196" s="541"/>
      <c r="V196" s="541"/>
    </row>
    <row r="197" spans="21:22">
      <c r="U197" s="541"/>
      <c r="V197" s="541"/>
    </row>
    <row r="198" spans="21:22">
      <c r="U198" s="541"/>
      <c r="V198" s="541"/>
    </row>
    <row r="199" spans="21:22">
      <c r="U199" s="541"/>
      <c r="V199" s="541"/>
    </row>
    <row r="200" spans="21:22">
      <c r="U200" s="541"/>
      <c r="V200" s="541"/>
    </row>
    <row r="201" spans="21:22">
      <c r="U201" s="541"/>
      <c r="V201" s="541"/>
    </row>
    <row r="202" spans="21:22">
      <c r="U202" s="541"/>
      <c r="V202" s="541"/>
    </row>
    <row r="203" spans="21:22">
      <c r="U203" s="541"/>
      <c r="V203" s="541"/>
    </row>
    <row r="204" spans="21:22">
      <c r="U204" s="541"/>
      <c r="V204" s="541"/>
    </row>
    <row r="205" spans="21:22">
      <c r="U205" s="541"/>
      <c r="V205" s="541"/>
    </row>
    <row r="206" spans="21:22">
      <c r="U206" s="541"/>
      <c r="V206" s="541"/>
    </row>
    <row r="207" spans="21:22">
      <c r="U207" s="541"/>
      <c r="V207" s="541"/>
    </row>
    <row r="208" spans="21:22">
      <c r="U208" s="541"/>
      <c r="V208" s="541"/>
    </row>
    <row r="209" spans="21:22">
      <c r="U209" s="541"/>
      <c r="V209" s="541"/>
    </row>
    <row r="210" spans="21:22">
      <c r="U210" s="541"/>
      <c r="V210" s="541"/>
    </row>
    <row r="211" spans="21:22">
      <c r="U211" s="541"/>
      <c r="V211" s="541"/>
    </row>
    <row r="212" spans="21:22">
      <c r="U212" s="541"/>
      <c r="V212" s="541"/>
    </row>
    <row r="213" spans="21:22">
      <c r="U213" s="541"/>
      <c r="V213" s="541"/>
    </row>
    <row r="214" spans="21:22">
      <c r="U214" s="541"/>
      <c r="V214" s="541"/>
    </row>
    <row r="215" spans="21:22">
      <c r="U215" s="541"/>
      <c r="V215" s="541"/>
    </row>
    <row r="216" spans="21:22">
      <c r="U216" s="541"/>
      <c r="V216" s="541"/>
    </row>
    <row r="217" spans="21:22">
      <c r="U217" s="540"/>
      <c r="V217" s="540"/>
    </row>
    <row r="218" spans="21:22">
      <c r="U218" s="540"/>
      <c r="V218" s="540"/>
    </row>
    <row r="219" spans="21:22">
      <c r="U219" s="540"/>
      <c r="V219" s="540"/>
    </row>
    <row r="220" spans="21:22">
      <c r="U220" s="540"/>
      <c r="V220" s="540"/>
    </row>
    <row r="221" spans="21:22">
      <c r="U221" s="540"/>
      <c r="V221" s="540"/>
    </row>
    <row r="222" spans="21:22">
      <c r="U222" s="540"/>
      <c r="V222" s="540"/>
    </row>
    <row r="223" spans="21:22">
      <c r="U223" s="540"/>
      <c r="V223" s="540"/>
    </row>
    <row r="224" spans="21:22">
      <c r="U224" s="540"/>
      <c r="V224" s="540"/>
    </row>
    <row r="225" spans="21:22">
      <c r="U225" s="540"/>
      <c r="V225" s="540"/>
    </row>
    <row r="226" spans="21:22">
      <c r="U226" s="540"/>
      <c r="V226" s="540"/>
    </row>
    <row r="227" spans="21:22">
      <c r="U227" s="540"/>
      <c r="V227" s="540"/>
    </row>
    <row r="228" spans="21:22">
      <c r="U228" s="540"/>
      <c r="V228" s="540"/>
    </row>
    <row r="229" spans="21:22">
      <c r="U229" s="540"/>
      <c r="V229" s="540"/>
    </row>
    <row r="230" spans="21:22">
      <c r="U230" s="540"/>
      <c r="V230" s="540"/>
    </row>
    <row r="231" spans="21:22">
      <c r="U231" s="540"/>
      <c r="V231" s="540"/>
    </row>
    <row r="232" spans="21:22">
      <c r="U232" s="540"/>
      <c r="V232" s="540"/>
    </row>
    <row r="233" spans="21:22">
      <c r="U233" s="540"/>
      <c r="V233" s="540"/>
    </row>
    <row r="234" spans="21:22">
      <c r="U234" s="540"/>
      <c r="V234" s="540"/>
    </row>
    <row r="235" spans="21:22">
      <c r="U235" s="540"/>
      <c r="V235" s="540"/>
    </row>
    <row r="236" spans="21:22">
      <c r="U236" s="540"/>
      <c r="V236" s="540"/>
    </row>
    <row r="237" spans="21:22">
      <c r="U237" s="540"/>
      <c r="V237" s="540"/>
    </row>
    <row r="238" spans="21:22">
      <c r="U238" s="541"/>
      <c r="V238" s="541"/>
    </row>
    <row r="239" spans="21:22">
      <c r="U239" s="541"/>
      <c r="V239" s="541"/>
    </row>
    <row r="240" spans="21:22">
      <c r="U240" s="541"/>
      <c r="V240" s="541"/>
    </row>
    <row r="241" spans="21:22">
      <c r="U241" s="541"/>
      <c r="V241" s="541"/>
    </row>
    <row r="242" spans="21:22">
      <c r="U242" s="541"/>
      <c r="V242" s="541"/>
    </row>
    <row r="243" spans="21:22">
      <c r="U243" s="541"/>
      <c r="V243" s="541"/>
    </row>
    <row r="244" spans="21:22">
      <c r="U244" s="541"/>
      <c r="V244" s="541"/>
    </row>
    <row r="245" spans="21:22">
      <c r="U245" s="541"/>
      <c r="V245" s="541"/>
    </row>
    <row r="246" spans="21:22">
      <c r="U246" s="541"/>
      <c r="V246" s="541"/>
    </row>
    <row r="247" spans="21:22">
      <c r="U247" s="541"/>
      <c r="V247" s="541"/>
    </row>
    <row r="248" spans="21:22">
      <c r="U248" s="541"/>
      <c r="V248" s="541"/>
    </row>
    <row r="249" spans="21:22">
      <c r="U249" s="541"/>
      <c r="V249" s="541"/>
    </row>
    <row r="250" spans="21:22">
      <c r="U250" s="541"/>
      <c r="V250" s="541"/>
    </row>
    <row r="251" spans="21:22">
      <c r="U251" s="541"/>
      <c r="V251" s="541"/>
    </row>
    <row r="252" spans="21:22">
      <c r="U252" s="541"/>
      <c r="V252" s="541"/>
    </row>
    <row r="253" spans="21:22">
      <c r="U253" s="541"/>
      <c r="V253" s="541"/>
    </row>
    <row r="254" spans="21:22">
      <c r="U254" s="541"/>
      <c r="V254" s="541"/>
    </row>
    <row r="255" spans="21:22">
      <c r="U255" s="541"/>
      <c r="V255" s="541"/>
    </row>
    <row r="256" spans="21:22">
      <c r="U256" s="541"/>
      <c r="V256" s="541"/>
    </row>
    <row r="257" spans="21:22">
      <c r="U257" s="541"/>
      <c r="V257" s="541"/>
    </row>
    <row r="258" spans="21:22">
      <c r="U258" s="541"/>
      <c r="V258" s="541"/>
    </row>
    <row r="259" spans="21:22">
      <c r="U259" s="541"/>
      <c r="V259" s="541"/>
    </row>
    <row r="260" spans="21:22">
      <c r="U260" s="541"/>
      <c r="V260" s="541"/>
    </row>
    <row r="261" spans="21:22">
      <c r="U261" s="541"/>
      <c r="V261" s="541"/>
    </row>
    <row r="262" spans="21:22">
      <c r="U262" s="541"/>
      <c r="V262" s="541"/>
    </row>
    <row r="263" spans="21:22">
      <c r="U263" s="541"/>
      <c r="V263" s="541"/>
    </row>
    <row r="264" spans="21:22">
      <c r="U264" s="541"/>
      <c r="V264" s="541"/>
    </row>
    <row r="265" spans="21:22">
      <c r="U265" s="541"/>
      <c r="V265" s="541"/>
    </row>
    <row r="266" spans="21:22">
      <c r="U266" s="541"/>
      <c r="V266" s="541"/>
    </row>
    <row r="267" spans="21:22">
      <c r="U267" s="541"/>
      <c r="V267" s="541"/>
    </row>
    <row r="268" spans="21:22">
      <c r="U268" s="541"/>
      <c r="V268" s="541"/>
    </row>
    <row r="269" spans="21:22">
      <c r="U269" s="541"/>
      <c r="V269" s="541"/>
    </row>
    <row r="270" spans="21:22">
      <c r="U270" s="541"/>
      <c r="V270" s="541"/>
    </row>
    <row r="271" spans="21:22">
      <c r="U271" s="541"/>
      <c r="V271" s="541"/>
    </row>
    <row r="272" spans="21:22">
      <c r="U272" s="541"/>
      <c r="V272" s="541"/>
    </row>
  </sheetData>
  <mergeCells count="9">
    <mergeCell ref="B2:C2"/>
    <mergeCell ref="G2:H2"/>
    <mergeCell ref="I2:J2"/>
    <mergeCell ref="U30:W30"/>
    <mergeCell ref="U33:W33"/>
    <mergeCell ref="U32:W32"/>
    <mergeCell ref="K2:O2"/>
    <mergeCell ref="D2:D3"/>
    <mergeCell ref="E2:F2"/>
  </mergeCells>
  <phoneticPr fontId="44" type="noConversion"/>
  <pageMargins left="0.75" right="0.75" top="1" bottom="1" header="0" footer="0"/>
  <pageSetup paperSize="9" orientation="portrait" r:id="rId1"/>
  <headerFooter alignWithMargins="0"/>
  <customProperties>
    <customPr name="_pios_id" r:id="rId2"/>
  </customProperties>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6"/>
  <dimension ref="B1:CS937"/>
  <sheetViews>
    <sheetView topLeftCell="A31" workbookViewId="0">
      <selection activeCell="N20" sqref="N20"/>
    </sheetView>
  </sheetViews>
  <sheetFormatPr baseColWidth="10" defaultColWidth="11.44140625" defaultRowHeight="13.2"/>
  <cols>
    <col min="2" max="2" width="23.44140625" customWidth="1"/>
    <col min="3" max="3" width="15.5546875" style="400" customWidth="1"/>
    <col min="4" max="4" width="18.5546875" style="357" customWidth="1"/>
    <col min="5" max="5" width="18.5546875" customWidth="1"/>
    <col min="6" max="6" width="21.44140625" style="822" customWidth="1"/>
    <col min="7" max="7" width="19.5546875" style="822" customWidth="1"/>
    <col min="8" max="8" width="15.5546875" bestFit="1" customWidth="1"/>
    <col min="9" max="9" width="11.44140625" style="400"/>
    <col min="10" max="10" width="10.5546875" style="357" customWidth="1"/>
    <col min="11" max="14" width="11.44140625" style="836"/>
    <col min="15" max="15" width="12.5546875" style="836" customWidth="1"/>
    <col min="16" max="16" width="13" style="836" customWidth="1"/>
    <col min="17" max="17" width="11.44140625" style="836"/>
    <col min="22" max="22" width="15.44140625" bestFit="1" customWidth="1"/>
    <col min="23" max="23" width="15.44140625" style="63" bestFit="1" customWidth="1"/>
    <col min="58" max="58" width="13" customWidth="1"/>
    <col min="59" max="59" width="12.44140625" customWidth="1"/>
    <col min="60" max="60" width="14.44140625" customWidth="1"/>
    <col min="63" max="63" width="0" hidden="1" customWidth="1"/>
    <col min="64" max="64" width="13.5546875" hidden="1" customWidth="1"/>
    <col min="65" max="65" width="0" hidden="1" customWidth="1"/>
    <col min="66" max="66" width="13.44140625" hidden="1" customWidth="1"/>
    <col min="67" max="69" width="0" hidden="1" customWidth="1"/>
    <col min="70" max="70" width="13.44140625" hidden="1" customWidth="1"/>
    <col min="71" max="71" width="0" hidden="1" customWidth="1"/>
    <col min="72" max="72" width="13.5546875" hidden="1" customWidth="1"/>
    <col min="73" max="75" width="0" hidden="1" customWidth="1"/>
    <col min="76" max="76" width="13.44140625" hidden="1" customWidth="1"/>
    <col min="77" max="77" width="0" hidden="1" customWidth="1"/>
    <col min="78" max="78" width="13.44140625" hidden="1" customWidth="1"/>
    <col min="79" max="79" width="0" hidden="1" customWidth="1"/>
    <col min="82" max="82" width="13" customWidth="1"/>
    <col min="83" max="83" width="12.44140625" customWidth="1"/>
    <col min="84" max="84" width="14.44140625" customWidth="1"/>
    <col min="85" max="85" width="12" customWidth="1"/>
    <col min="88" max="88" width="12.5546875" customWidth="1"/>
    <col min="90" max="90" width="12.5546875" customWidth="1"/>
    <col min="94" max="94" width="12.5546875" customWidth="1"/>
    <col min="96" max="96" width="12.5546875" customWidth="1"/>
  </cols>
  <sheetData>
    <row r="1" spans="2:97" ht="13.8" thickBot="1">
      <c r="AJ1" s="410"/>
      <c r="AK1" s="410"/>
      <c r="AL1" s="410"/>
      <c r="AM1" s="410"/>
      <c r="AN1" s="410"/>
      <c r="AO1" s="410"/>
      <c r="AP1" s="410"/>
      <c r="AQ1" s="410"/>
      <c r="AR1" s="410"/>
      <c r="AS1" s="410"/>
      <c r="AT1" s="410"/>
      <c r="AU1" s="410"/>
      <c r="AV1" s="410"/>
      <c r="AW1" s="410"/>
      <c r="AX1" s="410"/>
      <c r="AY1" s="410"/>
      <c r="AZ1" s="410"/>
      <c r="BA1" s="410"/>
      <c r="BB1" s="410"/>
    </row>
    <row r="2" spans="2:97" ht="13.8" thickBot="1">
      <c r="B2" s="3258" t="s">
        <v>352</v>
      </c>
      <c r="C2" s="3259"/>
      <c r="D2" s="401">
        <v>39083</v>
      </c>
      <c r="E2" s="151"/>
      <c r="S2" s="3251" t="s">
        <v>2</v>
      </c>
      <c r="T2" s="3251"/>
      <c r="U2" s="3251"/>
      <c r="W2" s="3251" t="s">
        <v>2</v>
      </c>
      <c r="X2" s="3251"/>
      <c r="Y2" s="3251"/>
      <c r="AA2" s="3251" t="s">
        <v>2</v>
      </c>
      <c r="AB2" s="3251"/>
      <c r="AC2" s="3251"/>
      <c r="AE2" s="3251" t="s">
        <v>2</v>
      </c>
      <c r="AF2" s="3251"/>
      <c r="AG2" s="3251"/>
      <c r="AH2" s="8"/>
      <c r="AI2" s="3251" t="s">
        <v>2</v>
      </c>
      <c r="AJ2" s="3251"/>
      <c r="AK2" s="3251"/>
      <c r="AL2" s="8"/>
      <c r="AM2" s="3251" t="s">
        <v>2</v>
      </c>
      <c r="AN2" s="3251"/>
      <c r="AO2" s="3251"/>
      <c r="AP2" s="8"/>
      <c r="AQ2" s="3251" t="s">
        <v>2</v>
      </c>
      <c r="AR2" s="3251"/>
      <c r="AS2" s="3251"/>
      <c r="AT2" s="8"/>
      <c r="AU2" s="3251" t="s">
        <v>2</v>
      </c>
      <c r="AV2" s="3251"/>
      <c r="AW2" s="3251"/>
      <c r="AX2" s="8"/>
      <c r="AY2" s="8"/>
      <c r="AZ2" s="8"/>
      <c r="BA2" s="8"/>
      <c r="BB2" s="8"/>
      <c r="BE2" s="3252" t="s">
        <v>74</v>
      </c>
      <c r="BF2" s="3252"/>
      <c r="BG2" s="3252"/>
      <c r="BH2" s="3252"/>
      <c r="BI2" s="3252"/>
      <c r="BK2" s="3252" t="s">
        <v>77</v>
      </c>
      <c r="BL2" s="3252"/>
      <c r="BM2" s="3252"/>
      <c r="BN2" s="3252"/>
      <c r="BO2" s="3252"/>
      <c r="BQ2" s="3252" t="s">
        <v>416</v>
      </c>
      <c r="BR2" s="3252"/>
      <c r="BS2" s="3252"/>
      <c r="BT2" s="3252"/>
      <c r="BU2" s="3252"/>
      <c r="BW2" s="3252" t="s">
        <v>75</v>
      </c>
      <c r="BX2" s="3252"/>
      <c r="BY2" s="3252"/>
      <c r="BZ2" s="3252"/>
      <c r="CA2" s="3252"/>
      <c r="CC2" s="3252" t="s">
        <v>91</v>
      </c>
      <c r="CD2" s="3252"/>
      <c r="CE2" s="3252"/>
      <c r="CF2" s="3252"/>
      <c r="CG2" s="3252"/>
      <c r="CI2" s="3252" t="s">
        <v>429</v>
      </c>
      <c r="CJ2" s="3252"/>
      <c r="CK2" s="3252"/>
      <c r="CL2" s="3252"/>
      <c r="CM2" s="3252"/>
      <c r="CO2" s="3252" t="s">
        <v>430</v>
      </c>
      <c r="CP2" s="3252"/>
      <c r="CQ2" s="3252"/>
      <c r="CR2" s="3252"/>
      <c r="CS2" s="3252"/>
    </row>
    <row r="3" spans="2:97" s="402" customFormat="1" ht="51.75" customHeight="1" thickBot="1">
      <c r="B3" s="403" t="s">
        <v>353</v>
      </c>
      <c r="C3" s="404" t="s">
        <v>354</v>
      </c>
      <c r="D3" s="405" t="s">
        <v>355</v>
      </c>
      <c r="E3" s="403" t="s">
        <v>356</v>
      </c>
      <c r="F3" s="406" t="s">
        <v>357</v>
      </c>
      <c r="G3" s="407" t="s">
        <v>358</v>
      </c>
      <c r="H3" s="408" t="s">
        <v>359</v>
      </c>
      <c r="I3" s="409" t="s">
        <v>355</v>
      </c>
      <c r="K3" s="410" t="s">
        <v>356</v>
      </c>
      <c r="L3" s="410"/>
      <c r="M3" s="839" t="s">
        <v>637</v>
      </c>
      <c r="N3" s="839" t="s">
        <v>636</v>
      </c>
      <c r="O3" s="839" t="s">
        <v>302</v>
      </c>
      <c r="P3" s="839" t="s">
        <v>638</v>
      </c>
      <c r="Q3" s="410"/>
      <c r="S3" s="408" t="s">
        <v>74</v>
      </c>
      <c r="T3" s="409" t="s">
        <v>355</v>
      </c>
      <c r="U3" s="410" t="s">
        <v>356</v>
      </c>
      <c r="W3" s="408" t="s">
        <v>77</v>
      </c>
      <c r="X3" s="409" t="s">
        <v>355</v>
      </c>
      <c r="Y3" s="410" t="s">
        <v>356</v>
      </c>
      <c r="AA3" s="408" t="s">
        <v>416</v>
      </c>
      <c r="AB3" s="409" t="s">
        <v>355</v>
      </c>
      <c r="AC3" s="410" t="s">
        <v>356</v>
      </c>
      <c r="AE3" s="408" t="s">
        <v>75</v>
      </c>
      <c r="AF3" s="409" t="s">
        <v>355</v>
      </c>
      <c r="AG3" s="410" t="s">
        <v>356</v>
      </c>
      <c r="AH3" s="410"/>
      <c r="AI3" s="408" t="s">
        <v>91</v>
      </c>
      <c r="AJ3" s="409" t="s">
        <v>355</v>
      </c>
      <c r="AK3" s="410" t="s">
        <v>356</v>
      </c>
      <c r="AL3" s="410"/>
      <c r="AM3" s="408" t="s">
        <v>428</v>
      </c>
      <c r="AN3" s="409" t="s">
        <v>355</v>
      </c>
      <c r="AO3" s="410" t="s">
        <v>356</v>
      </c>
      <c r="AP3" s="410"/>
      <c r="AQ3" s="408" t="s">
        <v>93</v>
      </c>
      <c r="AR3" s="409" t="s">
        <v>355</v>
      </c>
      <c r="AS3" s="410" t="s">
        <v>356</v>
      </c>
      <c r="AT3" s="410"/>
      <c r="AU3" s="408" t="s">
        <v>429</v>
      </c>
      <c r="AV3" s="409" t="s">
        <v>355</v>
      </c>
      <c r="AW3" s="410" t="s">
        <v>356</v>
      </c>
      <c r="AX3" s="410"/>
      <c r="AY3" s="408" t="s">
        <v>433</v>
      </c>
      <c r="AZ3" s="409" t="s">
        <v>355</v>
      </c>
      <c r="BA3" s="410" t="s">
        <v>356</v>
      </c>
      <c r="BB3" s="410"/>
      <c r="BE3" s="531" t="s">
        <v>3</v>
      </c>
      <c r="BF3" s="532" t="s">
        <v>4</v>
      </c>
      <c r="BG3" s="532" t="s">
        <v>5</v>
      </c>
      <c r="BH3" s="532" t="s">
        <v>0</v>
      </c>
      <c r="BI3" s="532" t="s">
        <v>1</v>
      </c>
      <c r="BK3" s="531" t="s">
        <v>3</v>
      </c>
      <c r="BL3" s="532" t="s">
        <v>4</v>
      </c>
      <c r="BM3" s="532" t="s">
        <v>5</v>
      </c>
      <c r="BN3" s="532" t="s">
        <v>0</v>
      </c>
      <c r="BO3" s="532" t="s">
        <v>1</v>
      </c>
      <c r="BQ3" s="531" t="s">
        <v>3</v>
      </c>
      <c r="BR3" s="532" t="s">
        <v>4</v>
      </c>
      <c r="BS3" s="532" t="s">
        <v>5</v>
      </c>
      <c r="BT3" s="532" t="s">
        <v>0</v>
      </c>
      <c r="BU3" s="532" t="s">
        <v>1</v>
      </c>
      <c r="BW3" s="531" t="s">
        <v>3</v>
      </c>
      <c r="BX3" s="532" t="s">
        <v>4</v>
      </c>
      <c r="BY3" s="532" t="s">
        <v>5</v>
      </c>
      <c r="BZ3" s="532" t="s">
        <v>0</v>
      </c>
      <c r="CA3" s="532" t="s">
        <v>1</v>
      </c>
      <c r="CC3" s="531" t="s">
        <v>3</v>
      </c>
      <c r="CD3" s="532" t="s">
        <v>4</v>
      </c>
      <c r="CE3" s="532" t="s">
        <v>5</v>
      </c>
      <c r="CF3" s="532" t="s">
        <v>0</v>
      </c>
      <c r="CG3" s="532" t="s">
        <v>1</v>
      </c>
      <c r="CI3" s="531" t="s">
        <v>3</v>
      </c>
      <c r="CJ3" s="532" t="s">
        <v>4</v>
      </c>
      <c r="CK3" s="532" t="s">
        <v>5</v>
      </c>
      <c r="CL3" s="532" t="s">
        <v>0</v>
      </c>
      <c r="CM3" s="532" t="s">
        <v>1</v>
      </c>
      <c r="CO3" s="531" t="s">
        <v>3</v>
      </c>
      <c r="CP3" s="532" t="s">
        <v>4</v>
      </c>
      <c r="CQ3" s="532" t="s">
        <v>5</v>
      </c>
      <c r="CR3" s="532" t="s">
        <v>0</v>
      </c>
      <c r="CS3" s="532" t="s">
        <v>1</v>
      </c>
    </row>
    <row r="4" spans="2:97" ht="12.6" customHeight="1">
      <c r="B4" s="3260" t="s">
        <v>81</v>
      </c>
      <c r="C4" s="411">
        <v>39761</v>
      </c>
      <c r="D4" s="823">
        <f>+C4-$D$2</f>
        <v>678</v>
      </c>
      <c r="E4" s="413">
        <v>8</v>
      </c>
      <c r="F4" s="824">
        <f>SUM(D4:D6)/COUNT(E4:E6)</f>
        <v>497</v>
      </c>
      <c r="G4" s="824">
        <f>SUM(E4:E6)/COUNT(E4:E6)</f>
        <v>12.666666666666666</v>
      </c>
      <c r="H4" s="463">
        <v>39091</v>
      </c>
      <c r="I4" s="823">
        <f>+H4-D2</f>
        <v>8</v>
      </c>
      <c r="K4" s="413">
        <v>2</v>
      </c>
      <c r="L4" s="535"/>
      <c r="M4" s="820">
        <v>2003</v>
      </c>
      <c r="N4" s="840">
        <v>72</v>
      </c>
      <c r="O4" s="841">
        <v>8045968</v>
      </c>
      <c r="P4" s="820">
        <v>26</v>
      </c>
      <c r="Q4" s="535"/>
      <c r="S4" s="534">
        <v>39127</v>
      </c>
      <c r="T4" s="825">
        <f>+S4-$D$2</f>
        <v>44</v>
      </c>
      <c r="U4" s="535">
        <v>2</v>
      </c>
      <c r="W4" s="534">
        <v>39209</v>
      </c>
      <c r="X4" s="825">
        <f>+W4-$D$2</f>
        <v>126</v>
      </c>
      <c r="Y4" s="535">
        <v>3</v>
      </c>
      <c r="AA4" s="534">
        <v>39125</v>
      </c>
      <c r="AB4" s="825">
        <f>+AA4-$D$2</f>
        <v>42</v>
      </c>
      <c r="AC4" s="535">
        <v>4</v>
      </c>
      <c r="AE4" s="534">
        <v>39100</v>
      </c>
      <c r="AF4" s="825">
        <f>+AE4-$D$2</f>
        <v>17</v>
      </c>
      <c r="AG4" s="535">
        <v>41</v>
      </c>
      <c r="AH4" s="535"/>
      <c r="AI4" s="534">
        <v>39122</v>
      </c>
      <c r="AJ4" s="825">
        <f>+AI4-$D$2</f>
        <v>39</v>
      </c>
      <c r="AK4" s="535">
        <v>2</v>
      </c>
      <c r="AL4" s="535"/>
      <c r="AM4" s="534">
        <v>39125</v>
      </c>
      <c r="AN4" s="825">
        <f>+AM4-$D$2</f>
        <v>42</v>
      </c>
      <c r="AO4" s="535">
        <v>2</v>
      </c>
      <c r="AP4" s="535"/>
      <c r="AQ4" s="534">
        <v>39227</v>
      </c>
      <c r="AR4" s="825">
        <v>144</v>
      </c>
      <c r="AS4" s="535">
        <v>2</v>
      </c>
      <c r="AT4" s="535"/>
      <c r="AU4" s="534">
        <v>39140</v>
      </c>
      <c r="AV4" s="825">
        <f>+AU4-$D$2</f>
        <v>57</v>
      </c>
      <c r="AW4" s="535">
        <v>7</v>
      </c>
      <c r="AX4" s="535"/>
      <c r="AY4" s="534">
        <v>39140</v>
      </c>
      <c r="AZ4" s="825">
        <f>+AY4-$D$2</f>
        <v>57</v>
      </c>
      <c r="BA4" s="535">
        <v>7</v>
      </c>
      <c r="BB4" s="535"/>
      <c r="BE4" s="531">
        <v>2007</v>
      </c>
      <c r="BF4" s="533" t="e">
        <f>SUM([11]Sheet1!N4:N12)/COUNT([11]Sheet1!O4:O12)</f>
        <v>#DIV/0!</v>
      </c>
      <c r="BG4" s="533" t="e">
        <f>SUM([11]Sheet1!N4:N12)/COUNT([11]Sheet1!O4:O12)</f>
        <v>#DIV/0!</v>
      </c>
      <c r="BH4" s="533" t="e">
        <f>SUM([11]Sheet1!O4:O12)/COUNT([11]Sheet1!O4:O12)</f>
        <v>#DIV/0!</v>
      </c>
      <c r="BI4" s="533" t="e">
        <f>SUM([11]Sheet1!O4:O12)/COUNT([11]Sheet1!O4:O12)</f>
        <v>#DIV/0!</v>
      </c>
      <c r="BK4" s="531">
        <v>2007</v>
      </c>
      <c r="BL4" s="533" t="e">
        <f>SUM([11]Sheet1!R4:R14)/COUNT([11]Sheet1!R4:R14)</f>
        <v>#DIV/0!</v>
      </c>
      <c r="BM4" s="533" t="e">
        <f>SUM([11]Sheet1!R4:R14)/COUNT([11]Sheet1!R4:R14)</f>
        <v>#DIV/0!</v>
      </c>
      <c r="BN4" s="533" t="e">
        <f>SUM([11]Sheet1!S4:S14)/COUNT([11]Sheet1!S4:S14)</f>
        <v>#DIV/0!</v>
      </c>
      <c r="BO4" s="533" t="e">
        <f>SUM([11]Sheet1!S4:S14)/COUNT([11]Sheet1!S4:S14)</f>
        <v>#DIV/0!</v>
      </c>
      <c r="BQ4" s="531">
        <v>2007</v>
      </c>
      <c r="BR4" s="533" t="e">
        <f>SUM([11]Sheet1!$V$4:$V$10)/COUNT([11]Sheet1!$V$4:$V$10)</f>
        <v>#DIV/0!</v>
      </c>
      <c r="BS4" s="533" t="e">
        <f>SUM([11]Sheet1!$V$4:$V$10)/COUNT([11]Sheet1!$V$4:$V$10)</f>
        <v>#DIV/0!</v>
      </c>
      <c r="BT4" s="533" t="e">
        <f>SUM([11]Sheet1!$W$4:$W$10)/COUNT([11]Sheet1!$W$4:$W$10)</f>
        <v>#DIV/0!</v>
      </c>
      <c r="BU4" s="533" t="e">
        <f>SUM([11]Sheet1!$W$4:$W$10)/COUNT([11]Sheet1!$W$4:$W$10)</f>
        <v>#DIV/0!</v>
      </c>
      <c r="BW4" s="531">
        <v>2007</v>
      </c>
      <c r="BX4" s="533" t="e">
        <f>SUM([11]Sheet1!$Z$4:$Z$12)/COUNT([11]Sheet1!$Z$4:$Z$12)</f>
        <v>#DIV/0!</v>
      </c>
      <c r="BY4" s="533" t="e">
        <f>SUM([11]Sheet1!$Z$4:$Z$12)/COUNT([11]Sheet1!$Z$4:$Z$12)</f>
        <v>#DIV/0!</v>
      </c>
      <c r="BZ4" s="533" t="e">
        <f>SUM([11]Sheet1!$AA$4:$AA$12)/COUNT([11]Sheet1!$AA$4:$AA$12)</f>
        <v>#DIV/0!</v>
      </c>
      <c r="CA4" s="533" t="e">
        <f>SUM([11]Sheet1!$AA$4:$AA$12)/COUNT([11]Sheet1!$AA$4:$AA$12)</f>
        <v>#DIV/0!</v>
      </c>
      <c r="CC4" s="531">
        <v>2007</v>
      </c>
      <c r="CD4" s="533" t="e">
        <f>SUM([11]Sheet1!AD4:AD13)/COUNT([11]Sheet1!AE4:AE13)</f>
        <v>#DIV/0!</v>
      </c>
      <c r="CE4" s="533" t="e">
        <f>SUM([11]Sheet1!AD4:AD13)/COUNT([11]Sheet1!AE4:AE13)</f>
        <v>#DIV/0!</v>
      </c>
      <c r="CF4" s="533" t="e">
        <f>SUM([11]Sheet1!AE4:AE13)/COUNT([11]Sheet1!AE4:AE13)</f>
        <v>#DIV/0!</v>
      </c>
      <c r="CG4" s="533" t="e">
        <f>SUM([11]Sheet1!AE4:AE13)/COUNT([11]Sheet1!AE4:AE13)</f>
        <v>#DIV/0!</v>
      </c>
      <c r="CI4" s="531">
        <v>2007</v>
      </c>
      <c r="CJ4" s="533" t="e">
        <f>SUM([11]Sheet1!AP4:AP10)/COUNT([11]Sheet1!AQ4:AQ10)</f>
        <v>#DIV/0!</v>
      </c>
      <c r="CK4" s="533" t="e">
        <f>SUM([11]Sheet1!AJ4:AJ13)/COUNT([11]Sheet1!AK4:AK13)</f>
        <v>#DIV/0!</v>
      </c>
      <c r="CL4" s="533" t="e">
        <f>SUM([11]Sheet1!AK4:AK13)/COUNT([11]Sheet1!AK4:AK13)</f>
        <v>#DIV/0!</v>
      </c>
      <c r="CM4" s="533" t="e">
        <f>SUM([11]Sheet1!AK4:AK13)/COUNT([11]Sheet1!AK4:AK13)</f>
        <v>#DIV/0!</v>
      </c>
      <c r="CO4" s="531">
        <v>2007</v>
      </c>
      <c r="CP4" s="533" t="e">
        <f>SUM([11]Sheet1!AP4:AP13)/COUNT([11]Sheet1!AQ4:AQ13)</f>
        <v>#DIV/0!</v>
      </c>
      <c r="CQ4" s="533" t="e">
        <f>SUM([11]Sheet1!AP4:AP13)/COUNT([11]Sheet1!AQ4:AQ13)</f>
        <v>#DIV/0!</v>
      </c>
      <c r="CR4" s="533" t="e">
        <f>SUM([11]Sheet1!AQ4:AQ13)/COUNT([11]Sheet1!AQ4:AQ13)</f>
        <v>#DIV/0!</v>
      </c>
      <c r="CS4" s="533" t="e">
        <f>SUM([11]Sheet1!AQ4:AQ13)/COUNT([11]Sheet1!AQ4:AQ13)</f>
        <v>#DIV/0!</v>
      </c>
    </row>
    <row r="5" spans="2:97" ht="12.6" customHeight="1">
      <c r="B5" s="3261"/>
      <c r="C5" s="414">
        <v>40287</v>
      </c>
      <c r="D5" s="415">
        <f>+C5-C4</f>
        <v>526</v>
      </c>
      <c r="E5" s="416">
        <v>30</v>
      </c>
      <c r="F5" s="826"/>
      <c r="G5" s="826"/>
      <c r="H5" s="414">
        <v>39100</v>
      </c>
      <c r="I5" s="825">
        <f>+H5-H4</f>
        <v>9</v>
      </c>
      <c r="K5" s="416">
        <v>41</v>
      </c>
      <c r="L5" s="535"/>
      <c r="M5" s="820">
        <v>2007</v>
      </c>
      <c r="N5" s="840">
        <f>MAX(I4:I90)</f>
        <v>21</v>
      </c>
      <c r="O5" s="841">
        <v>11785020</v>
      </c>
      <c r="P5" s="820">
        <v>100</v>
      </c>
      <c r="Q5" s="535"/>
      <c r="S5" s="534">
        <v>39190</v>
      </c>
      <c r="T5" s="825">
        <f>+S5-S4</f>
        <v>63</v>
      </c>
      <c r="U5" s="535">
        <v>3</v>
      </c>
      <c r="W5" s="534">
        <v>39259</v>
      </c>
      <c r="X5" s="415">
        <f t="shared" ref="X5:X25" si="0">+W5-W4</f>
        <v>50</v>
      </c>
      <c r="Y5" s="535">
        <v>3</v>
      </c>
      <c r="AA5" s="534">
        <v>39125</v>
      </c>
      <c r="AB5" s="415">
        <f t="shared" ref="AB5:AB26" si="1">+AA5-AA4</f>
        <v>0</v>
      </c>
      <c r="AC5" s="535">
        <v>21</v>
      </c>
      <c r="AE5" s="534">
        <v>39129</v>
      </c>
      <c r="AF5" s="825">
        <f>+AE5-AE4</f>
        <v>29</v>
      </c>
      <c r="AG5" s="535">
        <v>72</v>
      </c>
      <c r="AH5" s="535"/>
      <c r="AI5" s="534">
        <v>39155</v>
      </c>
      <c r="AJ5" s="415">
        <f t="shared" ref="AJ5:AJ46" si="2">+AI5-AI4</f>
        <v>33</v>
      </c>
      <c r="AK5" s="535">
        <v>1</v>
      </c>
      <c r="AL5" s="535"/>
      <c r="AM5" s="534">
        <v>39189</v>
      </c>
      <c r="AN5" s="825">
        <f t="shared" ref="AN5:AN18" si="3">+AM5-AM4</f>
        <v>64</v>
      </c>
      <c r="AO5" s="535">
        <v>30</v>
      </c>
      <c r="AP5" s="535"/>
      <c r="AQ5" s="534">
        <v>39231</v>
      </c>
      <c r="AR5" s="825">
        <v>4</v>
      </c>
      <c r="AS5" s="535">
        <v>92</v>
      </c>
      <c r="AT5" s="535"/>
      <c r="AU5" s="534">
        <v>39164</v>
      </c>
      <c r="AV5" s="415">
        <f t="shared" ref="AV5:AV10" si="4">+AU5-AU4</f>
        <v>24</v>
      </c>
      <c r="AW5" s="535">
        <v>7</v>
      </c>
      <c r="AX5" s="535"/>
      <c r="AY5" s="534">
        <v>39164</v>
      </c>
      <c r="AZ5" s="415">
        <f>+AY5-AY4</f>
        <v>24</v>
      </c>
      <c r="BA5" s="535">
        <v>7</v>
      </c>
      <c r="BB5" s="535"/>
      <c r="BE5" s="531">
        <v>2008</v>
      </c>
      <c r="BF5" s="533" t="e">
        <f>SUM([11]Sheet1!N4:N28)/COUNT([11]Sheet1!O4:O28)</f>
        <v>#DIV/0!</v>
      </c>
      <c r="BG5" s="533" t="e">
        <f>SUM([11]Sheet1!N13:N28)/COUNT([11]Sheet1!O13:O28)</f>
        <v>#DIV/0!</v>
      </c>
      <c r="BH5" s="533" t="e">
        <f>SUM([11]Sheet1!O4:O28)/COUNT([11]Sheet1!O4:O28)</f>
        <v>#DIV/0!</v>
      </c>
      <c r="BI5" s="533" t="e">
        <f>SUM([11]Sheet1!O13:O28)/COUNT([11]Sheet1!O13:O28)</f>
        <v>#DIV/0!</v>
      </c>
      <c r="BK5" s="531">
        <v>2008</v>
      </c>
      <c r="BL5" s="533" t="e">
        <f>SUM([11]Sheet1!R4:R17)/COUNT([11]Sheet1!R4:R17)</f>
        <v>#DIV/0!</v>
      </c>
      <c r="BM5" s="533" t="e">
        <f>SUM([11]Sheet1!R15:R17)/COUNT([11]Sheet1!R15:R17)</f>
        <v>#DIV/0!</v>
      </c>
      <c r="BN5" s="533" t="e">
        <f>SUM([11]Sheet1!S4:S17)/COUNT([11]Sheet1!S4:S17)</f>
        <v>#DIV/0!</v>
      </c>
      <c r="BO5" s="533" t="e">
        <f>SUM([11]Sheet1!S15:S17)/COUNT([11]Sheet1!S15:S17)</f>
        <v>#DIV/0!</v>
      </c>
      <c r="BQ5" s="531">
        <v>2008</v>
      </c>
      <c r="BR5" s="533" t="e">
        <f>SUM([11]Sheet1!$V$4:$V$16)/COUNT([11]Sheet1!$V$4:$V$16)</f>
        <v>#DIV/0!</v>
      </c>
      <c r="BS5" s="533" t="e">
        <f>SUM([11]Sheet1!$V$11:$V$16)/COUNT([11]Sheet1!$V$11:$V$16)</f>
        <v>#DIV/0!</v>
      </c>
      <c r="BT5" s="533" t="e">
        <f>SUM([11]Sheet1!$W$4:$W$16)/COUNT([11]Sheet1!$W$4:$W$16)</f>
        <v>#DIV/0!</v>
      </c>
      <c r="BU5" s="533" t="e">
        <f>SUM([11]Sheet1!$W$11:$W$16)/COUNT([11]Sheet1!$W$11:$W$16)</f>
        <v>#DIV/0!</v>
      </c>
      <c r="BW5" s="531">
        <v>2008</v>
      </c>
      <c r="BX5" s="533" t="e">
        <f>SUM([11]Sheet1!$Z$4:$Z$18)/COUNT([11]Sheet1!$Z$4:$Z$18)</f>
        <v>#DIV/0!</v>
      </c>
      <c r="BY5" s="533" t="e">
        <f>SUM([11]Sheet1!$Z$13:$Z$18)/COUNT([11]Sheet1!$Z$13:$Z$18)</f>
        <v>#DIV/0!</v>
      </c>
      <c r="BZ5" s="533" t="e">
        <f>SUM([11]Sheet1!$AA$4:$AA$18)/COUNT([11]Sheet1!$AA$4:$AA$18)</f>
        <v>#DIV/0!</v>
      </c>
      <c r="CA5" s="533" t="e">
        <f>SUM([11]Sheet1!$AA$13:$AA$18)/COUNT([11]Sheet1!$AA$13:$AA$18)</f>
        <v>#DIV/0!</v>
      </c>
      <c r="CC5" s="531">
        <v>2008</v>
      </c>
      <c r="CD5" s="533" t="e">
        <f>SUM([11]Sheet1!AD4:AD23)/COUNT([11]Sheet1!AE4:AE23)</f>
        <v>#DIV/0!</v>
      </c>
      <c r="CE5" s="533" t="e">
        <f>SUM([11]Sheet1!AD14:AD23)/COUNT([11]Sheet1!AE14:AE23)</f>
        <v>#DIV/0!</v>
      </c>
      <c r="CF5" s="533" t="e">
        <f>SUM([11]Sheet1!AE4:AE23)/COUNT([11]Sheet1!AE4:AE23)</f>
        <v>#DIV/0!</v>
      </c>
      <c r="CG5" s="533" t="e">
        <f>SUM([11]Sheet1!AE14:AE23)/COUNT([11]Sheet1!AE14:AE23)</f>
        <v>#DIV/0!</v>
      </c>
      <c r="CI5" s="531">
        <v>2008</v>
      </c>
      <c r="CJ5" s="533" t="e">
        <f>SUM([11]Sheet1!AP4:AP14)/COUNT([11]Sheet1!AQ4:AQ14)</f>
        <v>#DIV/0!</v>
      </c>
      <c r="CK5" s="533" t="e">
        <f>SUM([11]Sheet1!AJ14:AJ23)/COUNT([11]Sheet1!AK14:AK23)</f>
        <v>#DIV/0!</v>
      </c>
      <c r="CL5" s="533" t="e">
        <f>SUM([11]Sheet1!AK4:AK23)/COUNT([11]Sheet1!AK4:AK23)</f>
        <v>#DIV/0!</v>
      </c>
      <c r="CM5" s="533" t="e">
        <f>SUM([11]Sheet1!AK14:AK23)/COUNT([11]Sheet1!AK14:AK23)</f>
        <v>#DIV/0!</v>
      </c>
      <c r="CO5" s="531">
        <v>2008</v>
      </c>
      <c r="CP5" s="533" t="e">
        <f>SUM([11]Sheet1!AP4:AP23)/COUNT([11]Sheet1!AQ4:AQ23)</f>
        <v>#DIV/0!</v>
      </c>
      <c r="CQ5" s="533" t="e">
        <f>SUM([11]Sheet1!AP14:AP23)/COUNT([11]Sheet1!AQ14:AQ23)</f>
        <v>#DIV/0!</v>
      </c>
      <c r="CR5" s="533" t="e">
        <f>SUM([11]Sheet1!AQ4:AQ23)/COUNT([11]Sheet1!AQ4:AQ23)</f>
        <v>#DIV/0!</v>
      </c>
      <c r="CS5" s="533" t="e">
        <f>SUM([11]Sheet1!AQ14:AQ23)/COUNT([11]Sheet1!AQ14:AQ23)</f>
        <v>#DIV/0!</v>
      </c>
    </row>
    <row r="6" spans="2:97" ht="13.5" customHeight="1" thickBot="1">
      <c r="B6" s="3262"/>
      <c r="C6" s="417">
        <v>40574</v>
      </c>
      <c r="D6" s="418">
        <f>+C6-C5</f>
        <v>287</v>
      </c>
      <c r="E6" s="419">
        <v>0</v>
      </c>
      <c r="F6" s="827"/>
      <c r="G6" s="827"/>
      <c r="H6" s="456">
        <v>39116</v>
      </c>
      <c r="I6" s="825">
        <f t="shared" ref="I6:I69" si="5">+H6-H5</f>
        <v>16</v>
      </c>
      <c r="K6" s="419">
        <v>3</v>
      </c>
      <c r="L6" s="535"/>
      <c r="M6" s="820">
        <v>2008</v>
      </c>
      <c r="N6" s="840">
        <f>MAX(I91:I155)</f>
        <v>37</v>
      </c>
      <c r="O6" s="841">
        <v>13580881.5</v>
      </c>
      <c r="P6" s="820">
        <v>70</v>
      </c>
      <c r="Q6" s="535"/>
      <c r="S6" s="534">
        <v>39246</v>
      </c>
      <c r="T6" s="825">
        <f t="shared" ref="T6:T48" si="6">+S6-S5</f>
        <v>56</v>
      </c>
      <c r="U6" s="535">
        <v>3</v>
      </c>
      <c r="W6" s="534">
        <v>39271</v>
      </c>
      <c r="X6" s="415">
        <f t="shared" si="0"/>
        <v>12</v>
      </c>
      <c r="Y6" s="535">
        <v>71</v>
      </c>
      <c r="AA6" s="534">
        <v>39185</v>
      </c>
      <c r="AB6" s="415">
        <f t="shared" si="1"/>
        <v>60</v>
      </c>
      <c r="AC6" s="535">
        <v>4</v>
      </c>
      <c r="AE6" s="534">
        <v>39304</v>
      </c>
      <c r="AF6" s="825">
        <f t="shared" ref="AF6:AF32" si="7">+AE6-AE5</f>
        <v>175</v>
      </c>
      <c r="AG6" s="535">
        <v>2</v>
      </c>
      <c r="AH6" s="535"/>
      <c r="AI6" s="534">
        <v>39161</v>
      </c>
      <c r="AJ6" s="415">
        <f t="shared" si="2"/>
        <v>6</v>
      </c>
      <c r="AK6" s="535">
        <v>11</v>
      </c>
      <c r="AL6" s="535"/>
      <c r="AM6" s="534">
        <v>39196</v>
      </c>
      <c r="AN6" s="825">
        <f t="shared" si="3"/>
        <v>7</v>
      </c>
      <c r="AO6" s="535">
        <v>3</v>
      </c>
      <c r="AP6" s="535"/>
      <c r="AQ6" s="534">
        <v>39331</v>
      </c>
      <c r="AR6" s="825">
        <v>100</v>
      </c>
      <c r="AS6" s="535">
        <v>2</v>
      </c>
      <c r="AT6" s="535"/>
      <c r="AU6" s="534">
        <v>39253</v>
      </c>
      <c r="AV6" s="415">
        <f t="shared" si="4"/>
        <v>89</v>
      </c>
      <c r="AW6" s="535">
        <v>2</v>
      </c>
      <c r="AX6" s="535"/>
      <c r="AY6" s="534">
        <v>39253</v>
      </c>
      <c r="AZ6" s="415">
        <f>+AY6-AY5</f>
        <v>89</v>
      </c>
      <c r="BA6" s="535">
        <v>2</v>
      </c>
      <c r="BB6" s="535"/>
      <c r="BE6" s="531">
        <v>2009</v>
      </c>
      <c r="BF6" s="533" t="e">
        <f>SUM([11]Sheet1!N4:N36)/COUNT([11]Sheet1!O4:O36)</f>
        <v>#DIV/0!</v>
      </c>
      <c r="BG6" s="533" t="e">
        <f>SUM([11]Sheet1!N29:N36)/COUNT([11]Sheet1!O29:O36)</f>
        <v>#DIV/0!</v>
      </c>
      <c r="BH6" s="533" t="e">
        <f>SUM([11]Sheet1!O4:O36)/COUNT([11]Sheet1!O4:O36)</f>
        <v>#DIV/0!</v>
      </c>
      <c r="BI6" s="533" t="e">
        <f>SUM([11]Sheet1!O29:O36)/COUNT([11]Sheet1!O29:O36)</f>
        <v>#DIV/0!</v>
      </c>
      <c r="BK6" s="531">
        <v>2009</v>
      </c>
      <c r="BL6" s="533" t="e">
        <f>SUM([11]Sheet1!R4:R18)/COUNT([11]Sheet1!R4:R18)</f>
        <v>#DIV/0!</v>
      </c>
      <c r="BM6" s="533" t="e">
        <f>SUM([11]Sheet1!R18:R18)/COUNT([11]Sheet1!R18:R18)</f>
        <v>#DIV/0!</v>
      </c>
      <c r="BN6" s="533" t="e">
        <f>SUM([11]Sheet1!S4:S18)/COUNT([11]Sheet1!S4:S18)</f>
        <v>#DIV/0!</v>
      </c>
      <c r="BO6" s="533" t="e">
        <f>SUM([11]Sheet1!S18:S18)/COUNT([11]Sheet1!S18:S18)</f>
        <v>#DIV/0!</v>
      </c>
      <c r="BQ6" s="531">
        <v>2009</v>
      </c>
      <c r="BR6" s="533" t="e">
        <f>SUM([11]Sheet1!$V$4:$V$21)/COUNT([11]Sheet1!$V$4:$V$21)</f>
        <v>#DIV/0!</v>
      </c>
      <c r="BS6" s="533" t="e">
        <f>SUM([11]Sheet1!$V$17:$V$21)/COUNT([11]Sheet1!$V$17:$V$21)</f>
        <v>#DIV/0!</v>
      </c>
      <c r="BT6" s="533" t="e">
        <f>SUM([11]Sheet1!$W$4:$W$21)/COUNT([11]Sheet1!$W$4:$W$21)</f>
        <v>#DIV/0!</v>
      </c>
      <c r="BU6" s="533" t="e">
        <f>SUM([11]Sheet1!$W$17:$W$21)/COUNT([11]Sheet1!$W$17:$W$21)</f>
        <v>#DIV/0!</v>
      </c>
      <c r="BW6" s="531">
        <v>2009</v>
      </c>
      <c r="BX6" s="533" t="e">
        <f>SUM([11]Sheet1!$Z$4:$Z$22)/COUNT([11]Sheet1!$Z$4:$Z$22)</f>
        <v>#DIV/0!</v>
      </c>
      <c r="BY6" s="533" t="e">
        <f>SUM([11]Sheet1!$Z$19:$Z$22)/COUNT([11]Sheet1!$Z$19:$Z$22)</f>
        <v>#DIV/0!</v>
      </c>
      <c r="BZ6" s="533" t="e">
        <f>SUM([11]Sheet1!$AA$4:$AA$22)/COUNT([11]Sheet1!$AA$4:$AA$22)</f>
        <v>#DIV/0!</v>
      </c>
      <c r="CA6" s="533" t="e">
        <f>SUM([11]Sheet1!$AA$19:$AA$22)/COUNT([11]Sheet1!$AA$19:$AA$22)</f>
        <v>#DIV/0!</v>
      </c>
      <c r="CC6" s="531">
        <v>2009</v>
      </c>
      <c r="CD6" s="533" t="e">
        <f>SUM([11]Sheet1!AD4:AD29)/COUNT([11]Sheet1!AE4:AE29)</f>
        <v>#DIV/0!</v>
      </c>
      <c r="CE6" s="533" t="e">
        <f>SUM([11]Sheet1!AD24:AD29)/COUNT([11]Sheet1!AE24:AE29)</f>
        <v>#DIV/0!</v>
      </c>
      <c r="CF6" s="533" t="e">
        <f>SUM([11]Sheet1!AE4:AE29)/COUNT([11]Sheet1!AE4:AE29)</f>
        <v>#DIV/0!</v>
      </c>
      <c r="CG6" s="533" t="e">
        <f>SUM([11]Sheet1!AE24:AE29)/COUNT([11]Sheet1!AE24:AE29)</f>
        <v>#DIV/0!</v>
      </c>
      <c r="CI6" s="531">
        <v>2009</v>
      </c>
      <c r="CJ6" s="533" t="e">
        <f>SUM([11]Sheet1!AP4:AP17)/COUNT([11]Sheet1!AQ4:AQ17)</f>
        <v>#DIV/0!</v>
      </c>
      <c r="CK6" s="533" t="e">
        <f>SUM([11]Sheet1!AJ24:AJ29)/COUNT([11]Sheet1!AK24:AK29)</f>
        <v>#DIV/0!</v>
      </c>
      <c r="CL6" s="533" t="e">
        <f>SUM([11]Sheet1!AK4:AK29)/COUNT([11]Sheet1!AK4:AK29)</f>
        <v>#DIV/0!</v>
      </c>
      <c r="CM6" s="533" t="e">
        <f>SUM([11]Sheet1!AK24:AK29)/COUNT([11]Sheet1!AK24:AK29)</f>
        <v>#DIV/0!</v>
      </c>
      <c r="CO6" s="531">
        <v>2009</v>
      </c>
      <c r="CP6" s="533" t="e">
        <f>SUM([11]Sheet1!AP4:AP29)/COUNT([11]Sheet1!AQ4:AQ29)</f>
        <v>#DIV/0!</v>
      </c>
      <c r="CQ6" s="533" t="e">
        <f>SUM([11]Sheet1!AP24:AP29)/COUNT([11]Sheet1!AQ24:AQ29)</f>
        <v>#DIV/0!</v>
      </c>
      <c r="CR6" s="533" t="e">
        <f>SUM([11]Sheet1!AQ4:AQ29)/COUNT([11]Sheet1!AQ4:AQ29)</f>
        <v>#DIV/0!</v>
      </c>
      <c r="CS6" s="533" t="e">
        <f>SUM([11]Sheet1!AQ24:AQ29)/COUNT([11]Sheet1!AQ24:AQ29)</f>
        <v>#DIV/0!</v>
      </c>
    </row>
    <row r="7" spans="2:97" ht="12.6" customHeight="1">
      <c r="B7" s="3253" t="s">
        <v>82</v>
      </c>
      <c r="C7" s="448">
        <v>39323</v>
      </c>
      <c r="D7" s="828">
        <f>+C7-$D$2</f>
        <v>240</v>
      </c>
      <c r="E7" s="421">
        <v>8</v>
      </c>
      <c r="F7" s="829">
        <f>SUM(D7:D24)/COUNT(E7:E24)</f>
        <v>82.833333333333329</v>
      </c>
      <c r="G7" s="829">
        <f>SUM(E7:E24)/COUNT(E7:E24)</f>
        <v>14.111111111111111</v>
      </c>
      <c r="H7" s="448">
        <v>39122</v>
      </c>
      <c r="I7" s="825">
        <f t="shared" si="5"/>
        <v>6</v>
      </c>
      <c r="K7" s="421">
        <v>2</v>
      </c>
      <c r="L7" s="535"/>
      <c r="M7" s="820">
        <v>2009</v>
      </c>
      <c r="N7" s="840">
        <f>MAX(I156:I201)</f>
        <v>28</v>
      </c>
      <c r="O7" s="841">
        <v>12835402.5</v>
      </c>
      <c r="P7" s="820">
        <v>52</v>
      </c>
      <c r="Q7" s="535"/>
      <c r="S7" s="534">
        <v>39268</v>
      </c>
      <c r="T7" s="825">
        <f t="shared" si="6"/>
        <v>22</v>
      </c>
      <c r="U7" s="535">
        <v>2</v>
      </c>
      <c r="W7" s="534">
        <v>39291</v>
      </c>
      <c r="X7" s="415">
        <f t="shared" si="0"/>
        <v>20</v>
      </c>
      <c r="Y7" s="535">
        <v>15</v>
      </c>
      <c r="AA7" s="534">
        <v>39185</v>
      </c>
      <c r="AB7" s="415">
        <f t="shared" si="1"/>
        <v>0</v>
      </c>
      <c r="AC7" s="535">
        <v>4</v>
      </c>
      <c r="AE7" s="534">
        <v>39312</v>
      </c>
      <c r="AF7" s="825">
        <f t="shared" si="7"/>
        <v>8</v>
      </c>
      <c r="AG7" s="535">
        <v>2</v>
      </c>
      <c r="AH7" s="535"/>
      <c r="AI7" s="534">
        <v>39187</v>
      </c>
      <c r="AJ7" s="415">
        <f t="shared" si="2"/>
        <v>26</v>
      </c>
      <c r="AK7" s="535">
        <v>1</v>
      </c>
      <c r="AL7" s="535"/>
      <c r="AM7" s="534">
        <v>39214</v>
      </c>
      <c r="AN7" s="825">
        <f t="shared" si="3"/>
        <v>18</v>
      </c>
      <c r="AO7" s="535">
        <v>3</v>
      </c>
      <c r="AP7" s="535"/>
      <c r="AQ7" s="534">
        <v>39420</v>
      </c>
      <c r="AR7" s="825">
        <v>89</v>
      </c>
      <c r="AS7" s="535">
        <v>4</v>
      </c>
      <c r="AT7" s="535"/>
      <c r="AU7" s="534">
        <v>39273</v>
      </c>
      <c r="AV7" s="415">
        <f t="shared" si="4"/>
        <v>20</v>
      </c>
      <c r="AW7" s="535">
        <v>2</v>
      </c>
      <c r="AX7" s="535"/>
      <c r="AY7" s="534">
        <v>39273</v>
      </c>
      <c r="AZ7" s="415">
        <f>+AY7-AY6</f>
        <v>20</v>
      </c>
      <c r="BA7" s="535">
        <v>2</v>
      </c>
      <c r="BB7" s="535"/>
      <c r="BE7" s="531">
        <v>2010</v>
      </c>
      <c r="BF7" s="533" t="e">
        <f>SUM([11]Sheet1!N4:N46)/COUNT([11]Sheet1!O4:O46)</f>
        <v>#DIV/0!</v>
      </c>
      <c r="BG7" s="533" t="e">
        <f>SUM([11]Sheet1!N37:N46)/COUNT([11]Sheet1!O37:O46)</f>
        <v>#DIV/0!</v>
      </c>
      <c r="BH7" s="533" t="e">
        <f>SUM([11]Sheet1!O4:O46)/COUNT([11]Sheet1!O4:O46)</f>
        <v>#DIV/0!</v>
      </c>
      <c r="BI7" s="533" t="e">
        <f>SUM([11]Sheet1!O37:O46)/COUNT([11]Sheet1!O37:O46)</f>
        <v>#DIV/0!</v>
      </c>
      <c r="BK7" s="531">
        <v>2010</v>
      </c>
      <c r="BL7" s="533" t="e">
        <f>SUM([11]Sheet1!R4:R24)/COUNT([11]Sheet1!R4:R24)</f>
        <v>#DIV/0!</v>
      </c>
      <c r="BM7" s="533" t="e">
        <f>SUM([11]Sheet1!R19:R24)/COUNT([11]Sheet1!R19:R24)</f>
        <v>#DIV/0!</v>
      </c>
      <c r="BN7" s="533" t="e">
        <f>SUM([11]Sheet1!S4:S24)/COUNT([11]Sheet1!S4:S24)</f>
        <v>#DIV/0!</v>
      </c>
      <c r="BO7" s="533" t="e">
        <f>SUM([11]Sheet1!S19:S24)/COUNT([11]Sheet1!S19:S24)</f>
        <v>#DIV/0!</v>
      </c>
      <c r="BQ7" s="531">
        <v>2010</v>
      </c>
      <c r="BR7" s="533" t="e">
        <f>SUM([11]Sheet1!$V$4:$V$25)/COUNT([11]Sheet1!$V$4:$V$25)</f>
        <v>#DIV/0!</v>
      </c>
      <c r="BS7" s="533" t="e">
        <f>SUM([11]Sheet1!$V$22:$V$25)/COUNT([11]Sheet1!$V$22:$V$25)</f>
        <v>#DIV/0!</v>
      </c>
      <c r="BT7" s="533" t="e">
        <f>SUM([11]Sheet1!$W$4:$W$25)/COUNT([11]Sheet1!$W$4:$W$25)</f>
        <v>#DIV/0!</v>
      </c>
      <c r="BU7" s="533" t="e">
        <f>SUM([11]Sheet1!$W$22:$W$25)/COUNT([11]Sheet1!$W$22:$W$25)</f>
        <v>#DIV/0!</v>
      </c>
      <c r="BW7" s="531">
        <v>2010</v>
      </c>
      <c r="BX7" s="533" t="e">
        <f>SUM([11]Sheet1!$Z$4:$Z$31)/COUNT([11]Sheet1!$Z$4:$Z$31)</f>
        <v>#DIV/0!</v>
      </c>
      <c r="BY7" s="533" t="e">
        <f>SUM([11]Sheet1!$Z$23:$Z$31)/COUNT([11]Sheet1!$Z$23:$Z$31)</f>
        <v>#DIV/0!</v>
      </c>
      <c r="BZ7" s="533" t="e">
        <f>SUM([11]Sheet1!$AA$4:$AA$31)/COUNT([11]Sheet1!$AA$4:$AA$31)</f>
        <v>#DIV/0!</v>
      </c>
      <c r="CA7" s="533" t="e">
        <f>SUM([11]Sheet1!$AA$23:$AA$31)/COUNT([11]Sheet1!$AA$23:$AA$31)</f>
        <v>#DIV/0!</v>
      </c>
      <c r="CC7" s="531">
        <v>2010</v>
      </c>
      <c r="CD7" s="533" t="e">
        <f>SUM([11]Sheet1!AD4:AD44)/COUNT([11]Sheet1!AE4:AE44)</f>
        <v>#DIV/0!</v>
      </c>
      <c r="CE7" s="533" t="e">
        <f>SUM([11]Sheet1!AD30:AD44)/COUNT([11]Sheet1!AE30:AE44)</f>
        <v>#DIV/0!</v>
      </c>
      <c r="CF7" s="533" t="e">
        <f>SUM([11]Sheet1!AE4:AE44)/COUNT([11]Sheet1!AE4:AE44)</f>
        <v>#DIV/0!</v>
      </c>
      <c r="CG7" s="533" t="e">
        <f>SUM([11]Sheet1!AE30:AE44)/COUNT([11]Sheet1!AE30:AE44)</f>
        <v>#DIV/0!</v>
      </c>
      <c r="CI7" s="531">
        <v>2010</v>
      </c>
      <c r="CJ7" s="533" t="e">
        <f>SUM([11]Sheet1!AP4:AP23)/COUNT([11]Sheet1!AQ4:AQ23)</f>
        <v>#DIV/0!</v>
      </c>
      <c r="CK7" s="533" t="e">
        <f>SUM([11]Sheet1!AJ30:AJ44)/COUNT([11]Sheet1!AK30:AK44)</f>
        <v>#DIV/0!</v>
      </c>
      <c r="CL7" s="533" t="e">
        <f>SUM([11]Sheet1!AK4:AK44)/COUNT([11]Sheet1!AK4:AK44)</f>
        <v>#DIV/0!</v>
      </c>
      <c r="CM7" s="533" t="e">
        <f>SUM([11]Sheet1!AK30:AK44)/COUNT([11]Sheet1!AK30:AK44)</f>
        <v>#DIV/0!</v>
      </c>
      <c r="CO7" s="531">
        <v>2010</v>
      </c>
      <c r="CP7" s="533" t="e">
        <f>SUM([11]Sheet1!AP4:AP44)/COUNT([11]Sheet1!AQ4:AQ44)</f>
        <v>#DIV/0!</v>
      </c>
      <c r="CQ7" s="533" t="e">
        <f>SUM([11]Sheet1!AP30:AP44)/COUNT([11]Sheet1!AQ30:AQ44)</f>
        <v>#DIV/0!</v>
      </c>
      <c r="CR7" s="533" t="e">
        <f>SUM([11]Sheet1!AQ4:AQ44)/COUNT([11]Sheet1!AQ4:AQ44)</f>
        <v>#DIV/0!</v>
      </c>
      <c r="CS7" s="533" t="e">
        <f>SUM([11]Sheet1!AQ30:AQ44)/COUNT([11]Sheet1!AQ30:AQ44)</f>
        <v>#DIV/0!</v>
      </c>
    </row>
    <row r="8" spans="2:97" ht="12.6" customHeight="1">
      <c r="B8" s="3254"/>
      <c r="C8" s="424">
        <v>39406</v>
      </c>
      <c r="D8" s="422">
        <f t="shared" ref="D8:D23" si="8">+C8-C7</f>
        <v>83</v>
      </c>
      <c r="E8" s="423">
        <v>3</v>
      </c>
      <c r="F8" s="830"/>
      <c r="G8" s="830"/>
      <c r="H8" s="424">
        <v>39125</v>
      </c>
      <c r="I8" s="825">
        <f t="shared" si="5"/>
        <v>3</v>
      </c>
      <c r="K8" s="423">
        <v>2</v>
      </c>
      <c r="L8" s="535"/>
      <c r="M8" s="820">
        <v>2010</v>
      </c>
      <c r="N8" s="840">
        <f>MAX(I202:I257)</f>
        <v>33</v>
      </c>
      <c r="O8" s="841">
        <v>14026666</v>
      </c>
      <c r="P8" s="820">
        <v>59</v>
      </c>
      <c r="S8" s="534">
        <v>39302</v>
      </c>
      <c r="T8" s="825">
        <f t="shared" si="6"/>
        <v>34</v>
      </c>
      <c r="U8" s="535">
        <v>6</v>
      </c>
      <c r="W8" s="534">
        <v>39292</v>
      </c>
      <c r="X8" s="415">
        <f t="shared" si="0"/>
        <v>1</v>
      </c>
      <c r="Y8" s="535">
        <v>2</v>
      </c>
      <c r="AA8" s="534">
        <v>39224</v>
      </c>
      <c r="AB8" s="415">
        <f t="shared" si="1"/>
        <v>39</v>
      </c>
      <c r="AC8" s="535">
        <v>3</v>
      </c>
      <c r="AE8" s="534">
        <v>39321</v>
      </c>
      <c r="AF8" s="825">
        <f t="shared" si="7"/>
        <v>9</v>
      </c>
      <c r="AG8" s="535">
        <v>1</v>
      </c>
      <c r="AH8" s="535"/>
      <c r="AI8" s="534">
        <v>39256</v>
      </c>
      <c r="AJ8" s="415">
        <f t="shared" si="2"/>
        <v>69</v>
      </c>
      <c r="AK8" s="535">
        <v>3</v>
      </c>
      <c r="AL8" s="535"/>
      <c r="AM8" s="534">
        <v>39229</v>
      </c>
      <c r="AN8" s="825">
        <f t="shared" si="3"/>
        <v>15</v>
      </c>
      <c r="AO8" s="535">
        <v>1</v>
      </c>
      <c r="AP8" s="535"/>
      <c r="AQ8" s="534">
        <v>39430</v>
      </c>
      <c r="AR8" s="825">
        <v>10</v>
      </c>
      <c r="AS8" s="535">
        <v>17</v>
      </c>
      <c r="AT8" s="535"/>
      <c r="AU8" s="534">
        <v>39279</v>
      </c>
      <c r="AV8" s="415">
        <f t="shared" si="4"/>
        <v>6</v>
      </c>
      <c r="AW8" s="535">
        <v>1</v>
      </c>
      <c r="AX8" s="535"/>
      <c r="AY8" s="534">
        <v>39279</v>
      </c>
      <c r="AZ8" s="415">
        <f>+AY8-AY7</f>
        <v>6</v>
      </c>
      <c r="BA8" s="535">
        <v>1</v>
      </c>
      <c r="BB8" s="535"/>
      <c r="BE8" s="538">
        <v>40574</v>
      </c>
      <c r="BF8" s="533" t="e">
        <f>SUM([11]Sheet1!N4:N48)/COUNT([11]Sheet1!O4:O48)</f>
        <v>#DIV/0!</v>
      </c>
      <c r="BG8" s="533" t="e">
        <f>SUM([11]Sheet1!N47:N48)/COUNT([11]Sheet1!O47:O48)</f>
        <v>#DIV/0!</v>
      </c>
      <c r="BH8" s="533" t="e">
        <f>SUM([11]Sheet1!O4:O48)/COUNT([11]Sheet1!O4:O48)</f>
        <v>#DIV/0!</v>
      </c>
      <c r="BI8" s="533" t="e">
        <f>SUM([11]Sheet1!O47:O48)/COUNT([11]Sheet1!O47:O48)</f>
        <v>#DIV/0!</v>
      </c>
      <c r="BK8" s="538">
        <f>+BE8</f>
        <v>40574</v>
      </c>
      <c r="BL8" s="533" t="e">
        <f>SUM([11]Sheet1!R4:R25)/COUNT([11]Sheet1!R4:R25)</f>
        <v>#DIV/0!</v>
      </c>
      <c r="BM8" s="533" t="e">
        <f>SUM([11]Sheet1!R25:R25)/COUNT([11]Sheet1!R25:R25)</f>
        <v>#DIV/0!</v>
      </c>
      <c r="BN8" s="533" t="e">
        <f>SUM([11]Sheet1!S4:S25)/COUNT([11]Sheet1!S4:S25)</f>
        <v>#DIV/0!</v>
      </c>
      <c r="BO8" s="533" t="e">
        <f>SUM([11]Sheet1!S25:S25)/COUNT([11]Sheet1!S25:S25)</f>
        <v>#DIV/0!</v>
      </c>
      <c r="BQ8" s="538">
        <f>+BE8</f>
        <v>40574</v>
      </c>
      <c r="BR8" s="533" t="e">
        <f>SUM([11]Sheet1!$V$4:$V$26)/COUNT([11]Sheet1!$V$4:$V$26)</f>
        <v>#DIV/0!</v>
      </c>
      <c r="BS8" s="533" t="e">
        <f>SUM([11]Sheet1!$V$26:$V$26)/COUNT([11]Sheet1!$V$26:$V$26)</f>
        <v>#DIV/0!</v>
      </c>
      <c r="BT8" s="533" t="e">
        <f>SUM([11]Sheet1!$W$4:$W$26)/COUNT([11]Sheet1!$W$4:$W$26)</f>
        <v>#DIV/0!</v>
      </c>
      <c r="BU8" s="533" t="e">
        <f>SUM([11]Sheet1!$W$26:$W$26)/COUNT([11]Sheet1!$W$26:$W$26)</f>
        <v>#DIV/0!</v>
      </c>
      <c r="BW8" s="538">
        <f>+BE8</f>
        <v>40574</v>
      </c>
      <c r="BX8" s="533" t="e">
        <f>SUM([11]Sheet1!$Z$4:$Z$32)/COUNT([11]Sheet1!$Z$4:$Z$32)</f>
        <v>#DIV/0!</v>
      </c>
      <c r="BY8" s="533" t="e">
        <f>SUM([11]Sheet1!$Z$32:$Z$32)/COUNT([11]Sheet1!$Z$32:$Z$32)</f>
        <v>#DIV/0!</v>
      </c>
      <c r="BZ8" s="533" t="e">
        <f>SUM([11]Sheet1!$AA$4:$AA$32)/COUNT([11]Sheet1!$AA$4:$AA$32)</f>
        <v>#DIV/0!</v>
      </c>
      <c r="CA8" s="533" t="e">
        <f>SUM([11]Sheet1!$AA$32:$AA$32)/COUNT([11]Sheet1!$AA$32:$AA$32)</f>
        <v>#DIV/0!</v>
      </c>
      <c r="CC8" s="538">
        <v>40574</v>
      </c>
      <c r="CD8" s="533" t="e">
        <f>SUM([11]Sheet1!AD4:AD46)/COUNT([11]Sheet1!AE4:AE46)</f>
        <v>#DIV/0!</v>
      </c>
      <c r="CE8" s="533" t="e">
        <f>SUM([11]Sheet1!AD45:AD46)/COUNT([11]Sheet1!AE45:AE46)</f>
        <v>#DIV/0!</v>
      </c>
      <c r="CF8" s="533" t="e">
        <f>SUM([11]Sheet1!AE4:AE46)/COUNT([11]Sheet1!AE4:AE46)</f>
        <v>#DIV/0!</v>
      </c>
      <c r="CG8" s="533" t="e">
        <f>SUM([11]Sheet1!AE45:AE46)/COUNT([11]Sheet1!AE45:AE46)</f>
        <v>#DIV/0!</v>
      </c>
      <c r="CI8" s="538">
        <v>40574</v>
      </c>
      <c r="CJ8" s="533" t="e">
        <f>SUM([11]Sheet1!AP4:AP14)/COUNT([11]Sheet1!AQ4:AQ14)</f>
        <v>#DIV/0!</v>
      </c>
      <c r="CK8" s="533" t="e">
        <f>SUM([11]Sheet1!AJ45:AJ46)/COUNT([11]Sheet1!AK45:AK46)</f>
        <v>#DIV/0!</v>
      </c>
      <c r="CL8" s="533" t="e">
        <f>SUM([11]Sheet1!AK4:AK46)/COUNT([11]Sheet1!AK4:AK46)</f>
        <v>#DIV/0!</v>
      </c>
      <c r="CM8" s="533" t="e">
        <f>SUM([11]Sheet1!AK45:AK46)/COUNT([11]Sheet1!AK45:AK46)</f>
        <v>#DIV/0!</v>
      </c>
      <c r="CO8" s="538">
        <v>40574</v>
      </c>
      <c r="CP8" s="533" t="e">
        <f>SUM([11]Sheet1!AP4:AP46)/COUNT([11]Sheet1!AQ4:AQ46)</f>
        <v>#DIV/0!</v>
      </c>
      <c r="CQ8" s="533" t="e">
        <f>SUM([11]Sheet1!AP45:AP46)/COUNT([11]Sheet1!AQ45:AQ46)</f>
        <v>#DIV/0!</v>
      </c>
      <c r="CR8" s="533" t="e">
        <f>SUM([11]Sheet1!AQ4:AQ46)/COUNT([11]Sheet1!AQ4:AQ46)</f>
        <v>#DIV/0!</v>
      </c>
      <c r="CS8" s="533" t="e">
        <f>SUM([11]Sheet1!AQ45:AQ46)/COUNT([11]Sheet1!AQ45:AQ46)</f>
        <v>#DIV/0!</v>
      </c>
    </row>
    <row r="9" spans="2:97" ht="12.6" customHeight="1">
      <c r="B9" s="3254"/>
      <c r="C9" s="424">
        <v>39534</v>
      </c>
      <c r="D9" s="422">
        <f t="shared" si="8"/>
        <v>128</v>
      </c>
      <c r="E9" s="423">
        <v>2</v>
      </c>
      <c r="F9" s="830"/>
      <c r="G9" s="830"/>
      <c r="H9" s="424">
        <v>39125</v>
      </c>
      <c r="I9" s="825">
        <f t="shared" si="5"/>
        <v>0</v>
      </c>
      <c r="K9" s="423">
        <v>4</v>
      </c>
      <c r="L9" s="535"/>
      <c r="M9" s="820">
        <v>2011</v>
      </c>
      <c r="N9" s="840">
        <f>MAX(I258:I313)</f>
        <v>26</v>
      </c>
      <c r="O9" s="841">
        <v>12017547.719999999</v>
      </c>
      <c r="P9" s="820">
        <v>56</v>
      </c>
      <c r="S9" s="534">
        <v>39319</v>
      </c>
      <c r="T9" s="825">
        <f t="shared" si="6"/>
        <v>17</v>
      </c>
      <c r="U9" s="535">
        <v>11</v>
      </c>
      <c r="W9" s="534">
        <v>39332</v>
      </c>
      <c r="X9" s="415">
        <f t="shared" si="0"/>
        <v>40</v>
      </c>
      <c r="Y9" s="535">
        <v>21</v>
      </c>
      <c r="AA9" s="534">
        <v>39431</v>
      </c>
      <c r="AB9" s="415">
        <f t="shared" si="1"/>
        <v>207</v>
      </c>
      <c r="AC9" s="535">
        <v>11</v>
      </c>
      <c r="AE9" s="534">
        <v>39322</v>
      </c>
      <c r="AF9" s="825">
        <f t="shared" si="7"/>
        <v>1</v>
      </c>
      <c r="AG9" s="535">
        <v>3</v>
      </c>
      <c r="AH9" s="535"/>
      <c r="AI9" s="534">
        <v>39256</v>
      </c>
      <c r="AJ9" s="415">
        <f t="shared" si="2"/>
        <v>0</v>
      </c>
      <c r="AK9" s="535">
        <v>5</v>
      </c>
      <c r="AL9" s="535"/>
      <c r="AM9" s="534">
        <v>39287</v>
      </c>
      <c r="AN9" s="825">
        <f t="shared" si="3"/>
        <v>58</v>
      </c>
      <c r="AO9" s="535">
        <v>28</v>
      </c>
      <c r="AP9" s="535"/>
      <c r="AQ9" s="534">
        <v>39433</v>
      </c>
      <c r="AR9" s="825">
        <v>3</v>
      </c>
      <c r="AS9" s="535">
        <v>3</v>
      </c>
      <c r="AT9" s="535"/>
      <c r="AU9" s="534">
        <v>39303</v>
      </c>
      <c r="AV9" s="415">
        <f t="shared" si="4"/>
        <v>24</v>
      </c>
      <c r="AW9" s="535">
        <v>1</v>
      </c>
      <c r="AX9" s="535"/>
      <c r="AY9" s="534">
        <v>39303</v>
      </c>
      <c r="AZ9" s="415">
        <f>+AY9-AY8</f>
        <v>24</v>
      </c>
      <c r="BA9" s="535">
        <v>1</v>
      </c>
      <c r="BB9" s="535"/>
    </row>
    <row r="10" spans="2:97" ht="12.6" customHeight="1">
      <c r="B10" s="3254"/>
      <c r="C10" s="424">
        <v>39646</v>
      </c>
      <c r="D10" s="422">
        <f t="shared" si="8"/>
        <v>112</v>
      </c>
      <c r="E10" s="423">
        <v>2</v>
      </c>
      <c r="F10" s="830"/>
      <c r="G10" s="830"/>
      <c r="H10" s="424">
        <v>39125</v>
      </c>
      <c r="I10" s="825">
        <f t="shared" si="5"/>
        <v>0</v>
      </c>
      <c r="K10" s="423">
        <v>21</v>
      </c>
      <c r="L10" s="535"/>
      <c r="M10" s="820">
        <v>2012</v>
      </c>
      <c r="N10" s="840">
        <f>MAX(I314:I364)</f>
        <v>27</v>
      </c>
      <c r="O10" s="841">
        <v>12838534</v>
      </c>
      <c r="P10" s="820">
        <v>51</v>
      </c>
      <c r="S10" s="534">
        <v>39323</v>
      </c>
      <c r="T10" s="825">
        <f t="shared" si="6"/>
        <v>4</v>
      </c>
      <c r="U10" s="535">
        <v>8</v>
      </c>
      <c r="W10" s="534">
        <v>39338</v>
      </c>
      <c r="X10" s="415">
        <f t="shared" si="0"/>
        <v>6</v>
      </c>
      <c r="Y10" s="535">
        <v>1</v>
      </c>
      <c r="AA10" s="547">
        <v>39447</v>
      </c>
      <c r="AB10" s="415">
        <f t="shared" si="1"/>
        <v>16</v>
      </c>
      <c r="AC10" s="535">
        <v>0</v>
      </c>
      <c r="AE10" s="534">
        <v>39423</v>
      </c>
      <c r="AF10" s="825">
        <f t="shared" si="7"/>
        <v>101</v>
      </c>
      <c r="AG10" s="535">
        <v>12</v>
      </c>
      <c r="AH10" s="535"/>
      <c r="AI10" s="534">
        <v>39328</v>
      </c>
      <c r="AJ10" s="415">
        <f t="shared" si="2"/>
        <v>72</v>
      </c>
      <c r="AK10" s="535">
        <v>3</v>
      </c>
      <c r="AL10" s="535"/>
      <c r="AM10" s="534">
        <v>39329</v>
      </c>
      <c r="AN10" s="825">
        <f t="shared" si="3"/>
        <v>42</v>
      </c>
      <c r="AO10" s="535">
        <v>2</v>
      </c>
      <c r="AP10" s="535"/>
      <c r="AQ10" s="534">
        <v>39475</v>
      </c>
      <c r="AR10" s="825">
        <v>42</v>
      </c>
      <c r="AS10" s="535">
        <v>3</v>
      </c>
      <c r="AT10" s="535"/>
      <c r="AU10" s="554">
        <v>39447</v>
      </c>
      <c r="AV10" s="415">
        <f t="shared" si="4"/>
        <v>144</v>
      </c>
      <c r="AW10" s="535">
        <v>0</v>
      </c>
      <c r="AX10" s="535"/>
      <c r="AY10" s="554">
        <v>39447</v>
      </c>
      <c r="BB10" s="535"/>
    </row>
    <row r="11" spans="2:97" ht="12.6" customHeight="1">
      <c r="B11" s="3254"/>
      <c r="C11" s="424">
        <v>39648</v>
      </c>
      <c r="D11" s="422">
        <f t="shared" si="8"/>
        <v>2</v>
      </c>
      <c r="E11" s="423">
        <v>2</v>
      </c>
      <c r="F11" s="830"/>
      <c r="G11" s="830"/>
      <c r="H11" s="424">
        <v>39127</v>
      </c>
      <c r="I11" s="825">
        <f t="shared" si="5"/>
        <v>2</v>
      </c>
      <c r="K11" s="423">
        <v>2</v>
      </c>
      <c r="L11" s="535"/>
      <c r="M11" s="820">
        <v>2013</v>
      </c>
      <c r="N11" s="840">
        <f>MAX(I365:I435)</f>
        <v>22</v>
      </c>
      <c r="O11" s="841"/>
      <c r="P11" s="862"/>
      <c r="S11" s="534">
        <v>39406</v>
      </c>
      <c r="T11" s="825">
        <f t="shared" si="6"/>
        <v>83</v>
      </c>
      <c r="U11" s="535">
        <v>3</v>
      </c>
      <c r="W11" s="534">
        <v>39353</v>
      </c>
      <c r="X11" s="415">
        <f t="shared" si="0"/>
        <v>15</v>
      </c>
      <c r="Y11" s="535">
        <v>1</v>
      </c>
      <c r="AA11" s="534">
        <v>39524</v>
      </c>
      <c r="AB11" s="415">
        <f t="shared" si="1"/>
        <v>77</v>
      </c>
      <c r="AC11" s="535">
        <v>2</v>
      </c>
      <c r="AE11" s="534">
        <v>39435</v>
      </c>
      <c r="AF11" s="825">
        <f t="shared" si="7"/>
        <v>12</v>
      </c>
      <c r="AG11" s="535">
        <v>46</v>
      </c>
      <c r="AH11" s="535"/>
      <c r="AI11" s="534">
        <v>39415</v>
      </c>
      <c r="AJ11" s="415">
        <f t="shared" si="2"/>
        <v>87</v>
      </c>
      <c r="AK11" s="535">
        <v>21</v>
      </c>
      <c r="AL11" s="535"/>
      <c r="AM11" s="534">
        <v>39368</v>
      </c>
      <c r="AN11" s="825">
        <f t="shared" si="3"/>
        <v>39</v>
      </c>
      <c r="AO11" s="535">
        <v>1</v>
      </c>
      <c r="AP11" s="535"/>
      <c r="AQ11" s="534">
        <v>39541</v>
      </c>
      <c r="AR11" s="825">
        <v>66</v>
      </c>
      <c r="AS11" s="535">
        <v>20</v>
      </c>
      <c r="AT11" s="535"/>
      <c r="AU11" s="534">
        <v>39560</v>
      </c>
      <c r="AV11" s="415">
        <f>+AU11-AU9</f>
        <v>257</v>
      </c>
      <c r="AW11" s="535">
        <v>2</v>
      </c>
      <c r="AX11" s="535"/>
      <c r="AY11" s="534">
        <v>39560</v>
      </c>
      <c r="AZ11" s="415">
        <f>+AY11-AY9</f>
        <v>257</v>
      </c>
      <c r="BA11" s="535">
        <v>2</v>
      </c>
      <c r="BB11" s="535"/>
    </row>
    <row r="12" spans="2:97" ht="12.6" customHeight="1">
      <c r="B12" s="3254"/>
      <c r="C12" s="424">
        <v>39672</v>
      </c>
      <c r="D12" s="422">
        <f t="shared" si="8"/>
        <v>24</v>
      </c>
      <c r="E12" s="423">
        <v>17</v>
      </c>
      <c r="F12" s="830"/>
      <c r="G12" s="830"/>
      <c r="H12" s="424">
        <v>39129</v>
      </c>
      <c r="I12" s="825">
        <f t="shared" si="5"/>
        <v>2</v>
      </c>
      <c r="K12" s="423">
        <v>72</v>
      </c>
      <c r="L12" s="535"/>
      <c r="M12" s="820">
        <v>2014</v>
      </c>
      <c r="N12" s="840">
        <f>MAX(I436:I500)</f>
        <v>27</v>
      </c>
      <c r="S12" s="539">
        <v>39447</v>
      </c>
      <c r="T12" s="825">
        <f t="shared" si="6"/>
        <v>41</v>
      </c>
      <c r="U12" s="535">
        <v>0</v>
      </c>
      <c r="W12" s="534">
        <v>39387</v>
      </c>
      <c r="X12" s="415">
        <f t="shared" si="0"/>
        <v>34</v>
      </c>
      <c r="Y12" s="535">
        <v>9</v>
      </c>
      <c r="AA12" s="534">
        <v>39532</v>
      </c>
      <c r="AB12" s="415">
        <f t="shared" si="1"/>
        <v>8</v>
      </c>
      <c r="AC12" s="535">
        <v>8</v>
      </c>
      <c r="AE12" s="547">
        <v>39447</v>
      </c>
      <c r="AF12" s="825">
        <f t="shared" si="7"/>
        <v>12</v>
      </c>
      <c r="AG12" s="535">
        <v>0</v>
      </c>
      <c r="AH12" s="535"/>
      <c r="AI12" s="555">
        <v>39434</v>
      </c>
      <c r="AJ12" s="415">
        <f t="shared" si="2"/>
        <v>19</v>
      </c>
      <c r="AK12" s="535">
        <v>2</v>
      </c>
      <c r="AL12" s="535"/>
      <c r="AM12" s="534">
        <v>39458</v>
      </c>
      <c r="AN12" s="825">
        <f t="shared" si="3"/>
        <v>90</v>
      </c>
      <c r="AO12" s="535">
        <v>10</v>
      </c>
      <c r="AP12" s="535"/>
      <c r="AQ12" s="534">
        <v>39778</v>
      </c>
      <c r="AR12" s="825">
        <v>237</v>
      </c>
      <c r="AS12" s="535">
        <v>20</v>
      </c>
      <c r="AT12" s="535"/>
      <c r="AU12" s="534">
        <v>39626</v>
      </c>
      <c r="AV12" s="415">
        <f>+AU12-AU11</f>
        <v>66</v>
      </c>
      <c r="AW12" s="535">
        <v>3</v>
      </c>
      <c r="AX12" s="535"/>
      <c r="AY12" s="534">
        <v>39626</v>
      </c>
      <c r="AZ12" s="415">
        <f>+AY12-AY11</f>
        <v>66</v>
      </c>
      <c r="BA12" s="535">
        <v>3</v>
      </c>
      <c r="BB12" s="535"/>
    </row>
    <row r="13" spans="2:97" ht="12.6" customHeight="1">
      <c r="B13" s="3254"/>
      <c r="C13" s="424">
        <v>39692</v>
      </c>
      <c r="D13" s="422">
        <f t="shared" si="8"/>
        <v>20</v>
      </c>
      <c r="E13" s="423">
        <v>100</v>
      </c>
      <c r="F13" s="830"/>
      <c r="G13" s="830"/>
      <c r="H13" s="424">
        <v>39140</v>
      </c>
      <c r="I13" s="825">
        <f t="shared" si="5"/>
        <v>11</v>
      </c>
      <c r="K13" s="423">
        <v>7</v>
      </c>
      <c r="L13" s="535"/>
      <c r="M13" s="820">
        <v>2015</v>
      </c>
      <c r="N13" s="840">
        <f>MAX(I501:I544)</f>
        <v>31</v>
      </c>
      <c r="O13" s="841"/>
      <c r="P13" s="862"/>
      <c r="S13" s="534">
        <v>39534</v>
      </c>
      <c r="T13" s="825">
        <f t="shared" si="6"/>
        <v>87</v>
      </c>
      <c r="U13" s="535">
        <v>2</v>
      </c>
      <c r="W13" s="534">
        <v>39387</v>
      </c>
      <c r="X13" s="415">
        <f t="shared" si="0"/>
        <v>0</v>
      </c>
      <c r="Y13" s="535">
        <v>11</v>
      </c>
      <c r="AA13" s="534">
        <v>39532</v>
      </c>
      <c r="AB13" s="415">
        <f t="shared" si="1"/>
        <v>0</v>
      </c>
      <c r="AC13" s="535">
        <v>1</v>
      </c>
      <c r="AE13" s="534">
        <v>39453</v>
      </c>
      <c r="AF13" s="825">
        <f t="shared" si="7"/>
        <v>6</v>
      </c>
      <c r="AG13" s="535">
        <v>7</v>
      </c>
      <c r="AH13" s="535"/>
      <c r="AI13" s="547">
        <v>39447</v>
      </c>
      <c r="AJ13" s="415">
        <f t="shared" si="2"/>
        <v>13</v>
      </c>
      <c r="AK13" s="535">
        <v>0</v>
      </c>
      <c r="AL13" s="535"/>
      <c r="AM13" s="534">
        <v>39709</v>
      </c>
      <c r="AN13" s="825">
        <f t="shared" si="3"/>
        <v>251</v>
      </c>
      <c r="AO13" s="535">
        <v>4</v>
      </c>
      <c r="AP13" s="535"/>
      <c r="AQ13" s="534">
        <v>39791</v>
      </c>
      <c r="AR13" s="825">
        <v>13</v>
      </c>
      <c r="AS13" s="535">
        <v>21</v>
      </c>
      <c r="AT13" s="535"/>
      <c r="AU13" s="534">
        <v>39641</v>
      </c>
      <c r="AV13" s="415">
        <f>+AU13-AU12</f>
        <v>15</v>
      </c>
      <c r="AW13" s="535">
        <v>56</v>
      </c>
      <c r="AX13" s="535"/>
      <c r="AY13" s="534">
        <v>39641</v>
      </c>
      <c r="AZ13" s="415">
        <f>+AY13-AY12</f>
        <v>15</v>
      </c>
      <c r="BA13" s="535">
        <v>56</v>
      </c>
      <c r="BB13" s="535"/>
    </row>
    <row r="14" spans="2:97" ht="12.6" customHeight="1">
      <c r="B14" s="3254"/>
      <c r="C14" s="449">
        <v>39799</v>
      </c>
      <c r="D14" s="422">
        <f t="shared" si="8"/>
        <v>107</v>
      </c>
      <c r="E14" s="423">
        <v>5</v>
      </c>
      <c r="F14" s="830"/>
      <c r="G14" s="830"/>
      <c r="H14" s="424">
        <v>39143</v>
      </c>
      <c r="I14" s="825">
        <f t="shared" si="5"/>
        <v>3</v>
      </c>
      <c r="K14" s="423">
        <v>17</v>
      </c>
      <c r="L14" s="535"/>
      <c r="M14" s="820">
        <v>2016</v>
      </c>
      <c r="N14" s="840">
        <f>MAX(I545:I618)</f>
        <v>25</v>
      </c>
      <c r="O14" s="841"/>
      <c r="P14" s="862"/>
      <c r="S14" s="534">
        <v>39632</v>
      </c>
      <c r="T14" s="825">
        <f t="shared" si="6"/>
        <v>98</v>
      </c>
      <c r="U14" s="535">
        <v>10</v>
      </c>
      <c r="W14" s="547">
        <v>39447</v>
      </c>
      <c r="X14" s="415">
        <f t="shared" si="0"/>
        <v>60</v>
      </c>
      <c r="Y14" s="535">
        <v>0</v>
      </c>
      <c r="AA14" s="536">
        <v>39771</v>
      </c>
      <c r="AB14" s="415">
        <f t="shared" si="1"/>
        <v>239</v>
      </c>
      <c r="AC14" s="535">
        <v>1</v>
      </c>
      <c r="AE14" s="534">
        <v>39487</v>
      </c>
      <c r="AF14" s="825">
        <f t="shared" si="7"/>
        <v>34</v>
      </c>
      <c r="AG14" s="535">
        <v>30</v>
      </c>
      <c r="AH14" s="535"/>
      <c r="AI14" s="534">
        <v>39472</v>
      </c>
      <c r="AJ14" s="415">
        <f t="shared" si="2"/>
        <v>25</v>
      </c>
      <c r="AK14" s="535">
        <v>4</v>
      </c>
      <c r="AL14" s="535"/>
      <c r="AM14" s="536">
        <v>39834</v>
      </c>
      <c r="AN14" s="825">
        <f t="shared" si="3"/>
        <v>125</v>
      </c>
      <c r="AO14" s="535">
        <v>2</v>
      </c>
      <c r="AP14" s="535"/>
      <c r="AQ14" s="536">
        <v>40057</v>
      </c>
      <c r="AR14" s="825">
        <v>266</v>
      </c>
      <c r="AS14" s="535">
        <v>3</v>
      </c>
      <c r="AT14" s="535"/>
      <c r="AU14" s="554">
        <v>39813</v>
      </c>
      <c r="AV14" s="415">
        <f>+AU14-AU13</f>
        <v>172</v>
      </c>
      <c r="AW14" s="535">
        <v>0</v>
      </c>
      <c r="AX14" s="535"/>
      <c r="AY14" s="554">
        <v>39813</v>
      </c>
      <c r="BB14" s="535"/>
    </row>
    <row r="15" spans="2:97" ht="12.6" customHeight="1">
      <c r="B15" s="3254"/>
      <c r="C15" s="449">
        <v>39860</v>
      </c>
      <c r="D15" s="422">
        <f t="shared" si="8"/>
        <v>61</v>
      </c>
      <c r="E15" s="423">
        <v>15</v>
      </c>
      <c r="F15" s="830"/>
      <c r="G15" s="830"/>
      <c r="H15" s="424">
        <v>39151</v>
      </c>
      <c r="I15" s="825">
        <f t="shared" si="5"/>
        <v>8</v>
      </c>
      <c r="K15" s="423">
        <v>3</v>
      </c>
      <c r="L15" s="535"/>
      <c r="M15" s="820">
        <v>2017</v>
      </c>
      <c r="N15" s="840">
        <f>MAX(I619:I689)</f>
        <v>27</v>
      </c>
      <c r="O15" s="841"/>
      <c r="P15" s="862"/>
      <c r="Q15" s="535"/>
      <c r="S15" s="534">
        <v>39646</v>
      </c>
      <c r="T15" s="825">
        <f t="shared" si="6"/>
        <v>14</v>
      </c>
      <c r="U15" s="535">
        <v>2</v>
      </c>
      <c r="V15" s="151"/>
      <c r="W15" s="534">
        <v>39595</v>
      </c>
      <c r="X15" s="415">
        <f t="shared" si="0"/>
        <v>148</v>
      </c>
      <c r="Y15" s="535">
        <v>27</v>
      </c>
      <c r="AA15" s="536">
        <v>39811</v>
      </c>
      <c r="AB15" s="415">
        <f t="shared" si="1"/>
        <v>40</v>
      </c>
      <c r="AC15" s="535">
        <v>12</v>
      </c>
      <c r="AE15" s="534">
        <v>39513</v>
      </c>
      <c r="AF15" s="825">
        <f t="shared" si="7"/>
        <v>26</v>
      </c>
      <c r="AG15" s="535">
        <v>60</v>
      </c>
      <c r="AH15" s="535"/>
      <c r="AI15" s="534">
        <v>39485</v>
      </c>
      <c r="AJ15" s="415">
        <f t="shared" si="2"/>
        <v>13</v>
      </c>
      <c r="AK15" s="535">
        <v>7</v>
      </c>
      <c r="AL15" s="535"/>
      <c r="AM15" s="536">
        <v>39862</v>
      </c>
      <c r="AN15" s="825">
        <f t="shared" si="3"/>
        <v>28</v>
      </c>
      <c r="AO15" s="535">
        <v>17</v>
      </c>
      <c r="AP15" s="535"/>
      <c r="AQ15" s="536">
        <v>40200</v>
      </c>
      <c r="AR15" s="825">
        <v>143</v>
      </c>
      <c r="AS15" s="535">
        <v>7</v>
      </c>
      <c r="AT15" s="535"/>
      <c r="AU15" s="536">
        <v>39928</v>
      </c>
      <c r="AV15" s="415">
        <f>+AU15-AU13</f>
        <v>287</v>
      </c>
      <c r="AW15" s="535">
        <v>20</v>
      </c>
      <c r="AX15" s="535"/>
      <c r="AY15" s="536">
        <v>39928</v>
      </c>
      <c r="AZ15" s="415">
        <f>+AY15-AY13</f>
        <v>287</v>
      </c>
      <c r="BA15" s="535">
        <v>20</v>
      </c>
      <c r="BB15" s="535"/>
    </row>
    <row r="16" spans="2:97" ht="12.6" customHeight="1">
      <c r="B16" s="3254"/>
      <c r="C16" s="449">
        <v>39981</v>
      </c>
      <c r="D16" s="422">
        <f t="shared" si="8"/>
        <v>121</v>
      </c>
      <c r="E16" s="423">
        <v>7</v>
      </c>
      <c r="F16" s="830"/>
      <c r="G16" s="830"/>
      <c r="H16" s="424">
        <v>39155</v>
      </c>
      <c r="I16" s="825">
        <f t="shared" si="5"/>
        <v>4</v>
      </c>
      <c r="K16" s="423">
        <v>1</v>
      </c>
      <c r="L16" s="535"/>
      <c r="M16" s="820">
        <v>2018</v>
      </c>
      <c r="N16" s="840">
        <f>MAX(I691:I760)</f>
        <v>31</v>
      </c>
      <c r="O16" s="841"/>
      <c r="P16" s="862"/>
      <c r="Q16" s="535"/>
      <c r="S16" s="534">
        <v>39648</v>
      </c>
      <c r="T16" s="825">
        <f t="shared" si="6"/>
        <v>2</v>
      </c>
      <c r="U16" s="535">
        <v>2</v>
      </c>
      <c r="W16" s="534">
        <v>39667</v>
      </c>
      <c r="X16" s="415">
        <f t="shared" si="0"/>
        <v>72</v>
      </c>
      <c r="Y16" s="535">
        <v>17</v>
      </c>
      <c r="AA16" s="547">
        <v>39813</v>
      </c>
      <c r="AB16" s="415">
        <f t="shared" si="1"/>
        <v>2</v>
      </c>
      <c r="AC16" s="535">
        <v>0</v>
      </c>
      <c r="AE16" s="534">
        <v>39524</v>
      </c>
      <c r="AF16" s="825">
        <f t="shared" si="7"/>
        <v>11</v>
      </c>
      <c r="AG16" s="535">
        <v>22</v>
      </c>
      <c r="AH16" s="535"/>
      <c r="AI16" s="534">
        <v>39532</v>
      </c>
      <c r="AJ16" s="415">
        <f t="shared" si="2"/>
        <v>47</v>
      </c>
      <c r="AK16" s="535">
        <v>14</v>
      </c>
      <c r="AL16" s="535"/>
      <c r="AM16" s="534">
        <v>40074</v>
      </c>
      <c r="AN16" s="825">
        <f t="shared" si="3"/>
        <v>212</v>
      </c>
      <c r="AO16" s="535">
        <v>7</v>
      </c>
      <c r="AP16" s="535"/>
      <c r="AQ16" s="534">
        <v>40514</v>
      </c>
      <c r="AR16" s="825">
        <v>314</v>
      </c>
      <c r="AS16" s="535">
        <v>12</v>
      </c>
      <c r="AT16" s="535"/>
      <c r="AU16" s="534">
        <v>40156</v>
      </c>
      <c r="AV16" s="415">
        <f>+AU16-AU15</f>
        <v>228</v>
      </c>
      <c r="AW16" s="535">
        <v>2</v>
      </c>
      <c r="AX16" s="535"/>
      <c r="AY16" s="534">
        <v>40156</v>
      </c>
      <c r="AZ16" s="415">
        <f>+AY16-AY15</f>
        <v>228</v>
      </c>
      <c r="BA16" s="535">
        <v>2</v>
      </c>
      <c r="BB16" s="535"/>
    </row>
    <row r="17" spans="2:80">
      <c r="B17" s="3254"/>
      <c r="C17" s="449">
        <v>40039</v>
      </c>
      <c r="D17" s="422">
        <f t="shared" si="8"/>
        <v>58</v>
      </c>
      <c r="E17" s="423">
        <v>27</v>
      </c>
      <c r="F17" s="830"/>
      <c r="G17" s="830"/>
      <c r="H17" s="424">
        <v>39161</v>
      </c>
      <c r="I17" s="825">
        <f t="shared" si="5"/>
        <v>6</v>
      </c>
      <c r="K17" s="423">
        <v>11</v>
      </c>
      <c r="L17" s="535"/>
      <c r="M17" s="820">
        <v>2019</v>
      </c>
      <c r="N17" s="840">
        <f>MAX(I761:I845)</f>
        <v>23</v>
      </c>
      <c r="Q17" s="535"/>
      <c r="S17" s="534">
        <v>39672</v>
      </c>
      <c r="T17" s="825">
        <f t="shared" si="6"/>
        <v>24</v>
      </c>
      <c r="U17" s="535">
        <v>17</v>
      </c>
      <c r="W17" s="547">
        <v>39813</v>
      </c>
      <c r="X17" s="415">
        <f t="shared" si="0"/>
        <v>146</v>
      </c>
      <c r="Y17" s="535">
        <v>0</v>
      </c>
      <c r="AA17" s="536">
        <v>39823</v>
      </c>
      <c r="AB17" s="415">
        <f t="shared" si="1"/>
        <v>10</v>
      </c>
      <c r="AC17" s="535">
        <v>7</v>
      </c>
      <c r="AE17" s="536">
        <v>39750</v>
      </c>
      <c r="AF17" s="825">
        <f t="shared" si="7"/>
        <v>226</v>
      </c>
      <c r="AG17" s="535">
        <v>4</v>
      </c>
      <c r="AH17" s="535"/>
      <c r="AI17" s="534">
        <v>39580</v>
      </c>
      <c r="AJ17" s="415">
        <f t="shared" si="2"/>
        <v>48</v>
      </c>
      <c r="AK17" s="535">
        <v>90</v>
      </c>
      <c r="AL17" s="535"/>
      <c r="AM17" s="534">
        <v>40156</v>
      </c>
      <c r="AN17" s="825">
        <f t="shared" si="3"/>
        <v>82</v>
      </c>
      <c r="AO17" s="535">
        <v>3</v>
      </c>
      <c r="AP17" s="535"/>
      <c r="AQ17" s="554">
        <v>40574</v>
      </c>
      <c r="AR17" s="825">
        <v>60</v>
      </c>
      <c r="AS17" s="535">
        <v>0</v>
      </c>
      <c r="AT17" s="535"/>
      <c r="AU17" s="554">
        <v>40178</v>
      </c>
      <c r="AV17" s="415">
        <f>+AU17-AU16</f>
        <v>22</v>
      </c>
      <c r="AW17" s="535">
        <v>0</v>
      </c>
      <c r="AX17" s="535"/>
      <c r="AY17" s="554">
        <v>40178</v>
      </c>
      <c r="BB17" s="535"/>
    </row>
    <row r="18" spans="2:80">
      <c r="B18" s="3254"/>
      <c r="C18" s="424">
        <v>40101</v>
      </c>
      <c r="D18" s="422">
        <f t="shared" si="8"/>
        <v>62</v>
      </c>
      <c r="E18" s="423">
        <v>4</v>
      </c>
      <c r="F18" s="830"/>
      <c r="G18" s="830"/>
      <c r="H18" s="424">
        <v>39162</v>
      </c>
      <c r="I18" s="825">
        <f t="shared" si="5"/>
        <v>1</v>
      </c>
      <c r="K18" s="423">
        <v>19</v>
      </c>
      <c r="L18" s="535"/>
      <c r="M18" s="820">
        <v>2020</v>
      </c>
      <c r="N18" s="840">
        <f>MAX(I846:I910)</f>
        <v>35</v>
      </c>
      <c r="O18" s="841"/>
      <c r="P18" s="840"/>
      <c r="Q18" s="535"/>
      <c r="S18" s="534">
        <v>39678</v>
      </c>
      <c r="T18" s="825">
        <f t="shared" si="6"/>
        <v>6</v>
      </c>
      <c r="U18" s="535">
        <v>4</v>
      </c>
      <c r="W18" s="547">
        <v>40178</v>
      </c>
      <c r="X18" s="415">
        <f t="shared" si="0"/>
        <v>365</v>
      </c>
      <c r="Y18" s="535">
        <v>0</v>
      </c>
      <c r="AA18" s="536">
        <v>39909</v>
      </c>
      <c r="AB18" s="415">
        <f t="shared" si="1"/>
        <v>86</v>
      </c>
      <c r="AC18" s="535">
        <v>19</v>
      </c>
      <c r="AE18" s="547">
        <v>39813</v>
      </c>
      <c r="AF18" s="825">
        <f t="shared" si="7"/>
        <v>63</v>
      </c>
      <c r="AG18" s="535">
        <v>0</v>
      </c>
      <c r="AH18" s="535"/>
      <c r="AI18" s="534">
        <v>39583</v>
      </c>
      <c r="AJ18" s="415">
        <f t="shared" si="2"/>
        <v>3</v>
      </c>
      <c r="AK18" s="535">
        <v>12</v>
      </c>
      <c r="AL18" s="535"/>
      <c r="AM18" s="534">
        <v>40481</v>
      </c>
      <c r="AN18" s="825">
        <f t="shared" si="3"/>
        <v>325</v>
      </c>
      <c r="AO18" s="535">
        <v>5</v>
      </c>
      <c r="AP18" s="535"/>
      <c r="AQ18" s="534"/>
      <c r="AR18" s="825"/>
      <c r="AS18" s="535"/>
      <c r="AT18" s="535"/>
      <c r="AU18" s="534">
        <v>40226</v>
      </c>
      <c r="AV18" s="415">
        <f>+AU18-AU16</f>
        <v>70</v>
      </c>
      <c r="AW18" s="535">
        <v>45</v>
      </c>
      <c r="AX18" s="535"/>
      <c r="AY18" s="534">
        <v>40226</v>
      </c>
      <c r="AZ18" s="415">
        <f>+AY18-AY16</f>
        <v>70</v>
      </c>
      <c r="BA18" s="535">
        <v>45</v>
      </c>
      <c r="BB18" s="535"/>
    </row>
    <row r="19" spans="2:80">
      <c r="B19" s="3254"/>
      <c r="C19" s="424">
        <v>40204</v>
      </c>
      <c r="D19" s="422">
        <f t="shared" si="8"/>
        <v>103</v>
      </c>
      <c r="E19" s="423">
        <v>54</v>
      </c>
      <c r="F19" s="830"/>
      <c r="G19" s="830"/>
      <c r="H19" s="424">
        <v>39162</v>
      </c>
      <c r="I19" s="825">
        <f t="shared" si="5"/>
        <v>0</v>
      </c>
      <c r="K19" s="423">
        <v>2</v>
      </c>
      <c r="L19" s="535"/>
      <c r="M19" s="820">
        <v>2021</v>
      </c>
      <c r="N19" s="840">
        <f>MAX(I911:I937)</f>
        <v>19</v>
      </c>
      <c r="O19" s="841"/>
      <c r="P19" s="840"/>
      <c r="Q19" s="535"/>
      <c r="S19" s="534">
        <v>39680</v>
      </c>
      <c r="T19" s="825">
        <f t="shared" si="6"/>
        <v>2</v>
      </c>
      <c r="U19" s="535">
        <v>10</v>
      </c>
      <c r="W19" s="534">
        <v>40200</v>
      </c>
      <c r="X19" s="415">
        <f t="shared" si="0"/>
        <v>22</v>
      </c>
      <c r="Y19" s="535">
        <v>4</v>
      </c>
      <c r="AA19" s="536">
        <v>39961</v>
      </c>
      <c r="AB19" s="415">
        <f t="shared" si="1"/>
        <v>52</v>
      </c>
      <c r="AC19" s="535">
        <v>7</v>
      </c>
      <c r="AE19" s="536">
        <v>39892</v>
      </c>
      <c r="AF19" s="825">
        <f t="shared" si="7"/>
        <v>79</v>
      </c>
      <c r="AG19" s="535">
        <v>18</v>
      </c>
      <c r="AH19" s="535"/>
      <c r="AI19" s="534">
        <v>39610</v>
      </c>
      <c r="AJ19" s="415">
        <f t="shared" si="2"/>
        <v>27</v>
      </c>
      <c r="AK19" s="535">
        <v>4</v>
      </c>
      <c r="AL19" s="535"/>
      <c r="AM19" s="554">
        <v>40574</v>
      </c>
      <c r="AN19" s="825">
        <f>+AM19-AM18</f>
        <v>93</v>
      </c>
      <c r="AO19" s="535">
        <v>0</v>
      </c>
      <c r="AP19" s="535"/>
      <c r="AQ19" s="554"/>
      <c r="AR19" s="825"/>
      <c r="AS19" s="535"/>
      <c r="AT19" s="535"/>
      <c r="AU19" s="534">
        <v>40243</v>
      </c>
      <c r="AV19" s="415">
        <f t="shared" ref="AV19:AV24" si="9">+AU19-AU18</f>
        <v>17</v>
      </c>
      <c r="AW19" s="535">
        <v>21</v>
      </c>
      <c r="AX19" s="535"/>
      <c r="AY19" s="534">
        <v>40243</v>
      </c>
      <c r="AZ19" s="415">
        <f>+AY19-AY18</f>
        <v>17</v>
      </c>
      <c r="BA19" s="535">
        <v>21</v>
      </c>
      <c r="BB19" s="535"/>
    </row>
    <row r="20" spans="2:80">
      <c r="B20" s="3254"/>
      <c r="C20" s="424">
        <v>40357</v>
      </c>
      <c r="D20" s="422">
        <f t="shared" si="8"/>
        <v>153</v>
      </c>
      <c r="E20" s="423">
        <v>2</v>
      </c>
      <c r="F20" s="830"/>
      <c r="G20" s="830"/>
      <c r="H20" s="424">
        <v>39163</v>
      </c>
      <c r="I20" s="825">
        <f t="shared" si="5"/>
        <v>1</v>
      </c>
      <c r="K20" s="423">
        <v>7</v>
      </c>
      <c r="L20" s="535"/>
      <c r="M20" s="820"/>
      <c r="N20" s="840" t="s">
        <v>1576</v>
      </c>
      <c r="O20" s="841"/>
      <c r="P20" s="840"/>
      <c r="Q20" s="535"/>
      <c r="S20" s="534">
        <v>39692</v>
      </c>
      <c r="T20" s="825">
        <f t="shared" si="6"/>
        <v>12</v>
      </c>
      <c r="U20" s="535">
        <v>100</v>
      </c>
      <c r="W20" s="534">
        <v>40254</v>
      </c>
      <c r="X20" s="415">
        <f t="shared" si="0"/>
        <v>54</v>
      </c>
      <c r="Y20" s="535">
        <v>8</v>
      </c>
      <c r="AA20" s="534">
        <v>40122</v>
      </c>
      <c r="AB20" s="415">
        <f t="shared" si="1"/>
        <v>161</v>
      </c>
      <c r="AC20" s="535">
        <v>39</v>
      </c>
      <c r="AE20" s="536">
        <v>39957</v>
      </c>
      <c r="AF20" s="825">
        <f t="shared" si="7"/>
        <v>65</v>
      </c>
      <c r="AG20" s="535">
        <v>2</v>
      </c>
      <c r="AH20" s="535"/>
      <c r="AI20" s="534">
        <v>39627</v>
      </c>
      <c r="AJ20" s="415">
        <f t="shared" si="2"/>
        <v>17</v>
      </c>
      <c r="AK20" s="535">
        <v>30</v>
      </c>
      <c r="AL20" s="535"/>
      <c r="AM20" s="535"/>
      <c r="AN20" s="535"/>
      <c r="AO20" s="535"/>
      <c r="AP20" s="535"/>
      <c r="AQ20" s="535"/>
      <c r="AR20" s="535"/>
      <c r="AS20" s="535"/>
      <c r="AT20" s="535"/>
      <c r="AU20" s="534">
        <v>40295</v>
      </c>
      <c r="AV20" s="415">
        <f t="shared" si="9"/>
        <v>52</v>
      </c>
      <c r="AW20" s="535">
        <v>7</v>
      </c>
      <c r="AX20" s="535"/>
      <c r="AY20" s="534">
        <v>40295</v>
      </c>
      <c r="AZ20" s="415">
        <f>+AY20-AY19</f>
        <v>52</v>
      </c>
      <c r="BA20" s="535">
        <v>7</v>
      </c>
      <c r="BB20" s="535"/>
    </row>
    <row r="21" spans="2:80">
      <c r="B21" s="3254"/>
      <c r="C21" s="424">
        <v>40472</v>
      </c>
      <c r="D21" s="422">
        <f t="shared" si="8"/>
        <v>115</v>
      </c>
      <c r="E21" s="423">
        <v>2</v>
      </c>
      <c r="F21" s="830"/>
      <c r="G21" s="830"/>
      <c r="H21" s="424">
        <v>39164</v>
      </c>
      <c r="I21" s="825">
        <f t="shared" si="5"/>
        <v>1</v>
      </c>
      <c r="K21" s="423">
        <v>7</v>
      </c>
      <c r="L21" s="535"/>
      <c r="M21" s="820"/>
      <c r="N21" s="840"/>
      <c r="Q21" s="535"/>
      <c r="S21" s="536">
        <v>39761</v>
      </c>
      <c r="T21" s="825">
        <f t="shared" si="6"/>
        <v>69</v>
      </c>
      <c r="U21" s="535">
        <v>8</v>
      </c>
      <c r="W21" s="534">
        <v>40352</v>
      </c>
      <c r="X21" s="415">
        <f t="shared" si="0"/>
        <v>98</v>
      </c>
      <c r="Y21" s="535">
        <v>30</v>
      </c>
      <c r="AA21" s="547">
        <v>40178</v>
      </c>
      <c r="AB21" s="415">
        <f t="shared" si="1"/>
        <v>56</v>
      </c>
      <c r="AC21" s="535">
        <v>0</v>
      </c>
      <c r="AE21" s="536">
        <v>39961</v>
      </c>
      <c r="AF21" s="825">
        <f t="shared" si="7"/>
        <v>4</v>
      </c>
      <c r="AG21" s="535">
        <v>11</v>
      </c>
      <c r="AH21" s="535"/>
      <c r="AI21" s="534">
        <v>39693</v>
      </c>
      <c r="AJ21" s="415">
        <f t="shared" si="2"/>
        <v>66</v>
      </c>
      <c r="AK21" s="535">
        <v>5</v>
      </c>
      <c r="AL21" s="535"/>
      <c r="AM21" s="535"/>
      <c r="AN21" s="535"/>
      <c r="AO21" s="535"/>
      <c r="AP21" s="535"/>
      <c r="AQ21" s="535"/>
      <c r="AR21" s="535"/>
      <c r="AS21" s="535"/>
      <c r="AT21" s="535"/>
      <c r="AU21" s="534">
        <v>40395</v>
      </c>
      <c r="AV21" s="415">
        <f t="shared" si="9"/>
        <v>100</v>
      </c>
      <c r="AW21" s="535">
        <v>7</v>
      </c>
      <c r="AX21" s="535"/>
      <c r="AY21" s="534">
        <v>40395</v>
      </c>
      <c r="AZ21" s="415">
        <f>+AY21-AY20</f>
        <v>100</v>
      </c>
      <c r="BA21" s="535">
        <v>7</v>
      </c>
      <c r="BB21" s="535"/>
    </row>
    <row r="22" spans="2:80">
      <c r="B22" s="3255"/>
      <c r="C22" s="424">
        <v>40522</v>
      </c>
      <c r="D22" s="422">
        <f t="shared" si="8"/>
        <v>50</v>
      </c>
      <c r="E22" s="423">
        <v>2</v>
      </c>
      <c r="F22" s="830"/>
      <c r="G22" s="830"/>
      <c r="H22" s="424">
        <v>39185</v>
      </c>
      <c r="I22" s="825">
        <f t="shared" si="5"/>
        <v>21</v>
      </c>
      <c r="K22" s="423">
        <v>4</v>
      </c>
      <c r="L22" s="535"/>
      <c r="M22" s="820"/>
      <c r="N22" s="840"/>
      <c r="O22" s="841"/>
      <c r="P22" s="840"/>
      <c r="Q22" s="535"/>
      <c r="S22" s="536">
        <v>39762</v>
      </c>
      <c r="T22" s="825">
        <f t="shared" si="6"/>
        <v>1</v>
      </c>
      <c r="U22" s="535">
        <v>20</v>
      </c>
      <c r="W22" s="534">
        <v>40390</v>
      </c>
      <c r="X22" s="415">
        <f t="shared" si="0"/>
        <v>38</v>
      </c>
      <c r="Y22" s="535">
        <v>15</v>
      </c>
      <c r="AA22" s="534">
        <v>40372</v>
      </c>
      <c r="AB22" s="415">
        <f t="shared" si="1"/>
        <v>194</v>
      </c>
      <c r="AC22" s="535">
        <v>30</v>
      </c>
      <c r="AE22" s="547">
        <v>40178</v>
      </c>
      <c r="AF22" s="825">
        <f t="shared" si="7"/>
        <v>217</v>
      </c>
      <c r="AG22" s="535">
        <v>0</v>
      </c>
      <c r="AH22" s="535"/>
      <c r="AI22" s="555">
        <v>39746</v>
      </c>
      <c r="AJ22" s="415">
        <f t="shared" si="2"/>
        <v>53</v>
      </c>
      <c r="AK22" s="535">
        <v>14</v>
      </c>
      <c r="AL22" s="535"/>
      <c r="AM22" s="535"/>
      <c r="AN22" s="535"/>
      <c r="AO22" s="535"/>
      <c r="AP22" s="535"/>
      <c r="AQ22" s="535"/>
      <c r="AR22" s="535"/>
      <c r="AS22" s="535"/>
      <c r="AT22" s="535"/>
      <c r="AU22" s="534">
        <v>40526</v>
      </c>
      <c r="AV22" s="415">
        <f t="shared" si="9"/>
        <v>131</v>
      </c>
      <c r="AW22" s="535">
        <v>3</v>
      </c>
      <c r="AX22" s="535"/>
      <c r="AY22" s="534">
        <v>40526</v>
      </c>
      <c r="AZ22" s="415">
        <f>+AY22-AY21</f>
        <v>131</v>
      </c>
      <c r="BA22" s="535">
        <v>3</v>
      </c>
      <c r="BB22" s="535"/>
    </row>
    <row r="23" spans="2:80">
      <c r="B23" s="3255"/>
      <c r="C23" s="424">
        <v>40568</v>
      </c>
      <c r="D23" s="422">
        <f t="shared" si="8"/>
        <v>46</v>
      </c>
      <c r="E23" s="428">
        <v>2</v>
      </c>
      <c r="F23" s="830"/>
      <c r="G23" s="830"/>
      <c r="H23" s="424">
        <v>39185</v>
      </c>
      <c r="I23" s="825">
        <f t="shared" si="5"/>
        <v>0</v>
      </c>
      <c r="K23" s="428">
        <v>4</v>
      </c>
      <c r="L23" s="535"/>
      <c r="M23" s="820"/>
      <c r="N23" s="840"/>
      <c r="O23" s="841"/>
      <c r="P23" s="840"/>
      <c r="Q23" s="535"/>
      <c r="S23" s="536">
        <v>39769</v>
      </c>
      <c r="T23" s="825">
        <f t="shared" si="6"/>
        <v>7</v>
      </c>
      <c r="U23" s="535">
        <v>10</v>
      </c>
      <c r="W23" s="534">
        <v>40408</v>
      </c>
      <c r="X23" s="415">
        <f t="shared" si="0"/>
        <v>18</v>
      </c>
      <c r="Y23" s="535">
        <v>92</v>
      </c>
      <c r="AA23" s="534">
        <v>40409</v>
      </c>
      <c r="AB23" s="415">
        <f t="shared" si="1"/>
        <v>37</v>
      </c>
      <c r="AC23" s="535">
        <v>6</v>
      </c>
      <c r="AE23" s="534">
        <v>40249</v>
      </c>
      <c r="AF23" s="825">
        <f t="shared" si="7"/>
        <v>71</v>
      </c>
      <c r="AG23" s="535">
        <v>20</v>
      </c>
      <c r="AH23" s="535"/>
      <c r="AI23" s="547">
        <v>39813</v>
      </c>
      <c r="AJ23" s="415">
        <f t="shared" si="2"/>
        <v>67</v>
      </c>
      <c r="AK23" s="535">
        <v>0</v>
      </c>
      <c r="AL23" s="535"/>
      <c r="AM23" s="535"/>
      <c r="AN23" s="535"/>
      <c r="AO23" s="535"/>
      <c r="AP23" s="535"/>
      <c r="AQ23" s="535"/>
      <c r="AR23" s="535"/>
      <c r="AS23" s="535"/>
      <c r="AT23" s="535"/>
      <c r="AU23" s="554">
        <v>40543</v>
      </c>
      <c r="AV23" s="415">
        <f t="shared" si="9"/>
        <v>17</v>
      </c>
      <c r="AW23" s="535">
        <v>0</v>
      </c>
      <c r="AX23" s="535"/>
      <c r="AY23" s="554">
        <v>40543</v>
      </c>
      <c r="AZ23" s="415">
        <f>+AY23-AY22</f>
        <v>17</v>
      </c>
      <c r="BA23" s="535">
        <v>0</v>
      </c>
      <c r="BB23" s="535"/>
    </row>
    <row r="24" spans="2:80" ht="13.8" thickBot="1">
      <c r="B24" s="3256"/>
      <c r="C24" s="417">
        <v>40574</v>
      </c>
      <c r="D24" s="425">
        <f>+C24-C23</f>
        <v>6</v>
      </c>
      <c r="E24" s="426">
        <v>0</v>
      </c>
      <c r="F24" s="831"/>
      <c r="G24" s="831"/>
      <c r="H24" s="456">
        <v>39187</v>
      </c>
      <c r="I24" s="825">
        <f t="shared" si="5"/>
        <v>2</v>
      </c>
      <c r="K24" s="426">
        <v>1</v>
      </c>
      <c r="L24" s="535"/>
      <c r="M24" s="820"/>
      <c r="N24" s="840"/>
      <c r="O24" s="535"/>
      <c r="P24" s="535"/>
      <c r="Q24" s="535"/>
      <c r="S24" s="536">
        <v>39784</v>
      </c>
      <c r="T24" s="825">
        <f t="shared" si="6"/>
        <v>15</v>
      </c>
      <c r="U24" s="535">
        <v>7</v>
      </c>
      <c r="W24" s="547">
        <v>40543</v>
      </c>
      <c r="X24" s="415">
        <f t="shared" si="0"/>
        <v>135</v>
      </c>
      <c r="Y24" s="535">
        <v>0</v>
      </c>
      <c r="AA24" s="534">
        <v>40455</v>
      </c>
      <c r="AB24" s="415">
        <f t="shared" si="1"/>
        <v>46</v>
      </c>
      <c r="AC24" s="535">
        <v>2</v>
      </c>
      <c r="AE24" s="534">
        <v>40266</v>
      </c>
      <c r="AF24" s="825">
        <f t="shared" si="7"/>
        <v>17</v>
      </c>
      <c r="AG24" s="535">
        <v>6</v>
      </c>
      <c r="AH24" s="535"/>
      <c r="AI24" s="536">
        <v>39835</v>
      </c>
      <c r="AJ24" s="415">
        <f t="shared" si="2"/>
        <v>22</v>
      </c>
      <c r="AK24" s="535">
        <v>30</v>
      </c>
      <c r="AL24" s="535"/>
      <c r="AM24" s="535"/>
      <c r="AN24" s="535"/>
      <c r="AO24" s="535"/>
      <c r="AP24" s="535"/>
      <c r="AQ24" s="535"/>
      <c r="AR24" s="535"/>
      <c r="AS24" s="535"/>
      <c r="AT24" s="535"/>
      <c r="AU24" s="554">
        <v>40574</v>
      </c>
      <c r="AV24" s="415">
        <f t="shared" si="9"/>
        <v>31</v>
      </c>
      <c r="AW24" s="535">
        <v>0</v>
      </c>
      <c r="AX24" s="535"/>
      <c r="AY24" s="554">
        <v>40574</v>
      </c>
      <c r="AZ24" s="415">
        <f>+AY24-AY22</f>
        <v>48</v>
      </c>
      <c r="BA24" s="535">
        <v>0</v>
      </c>
      <c r="BB24" s="535"/>
    </row>
    <row r="25" spans="2:80">
      <c r="B25" s="3253" t="s">
        <v>83</v>
      </c>
      <c r="C25" s="448">
        <v>39127</v>
      </c>
      <c r="D25" s="828">
        <f>+C25-$D$2</f>
        <v>44</v>
      </c>
      <c r="E25" s="421">
        <v>2</v>
      </c>
      <c r="F25" s="824">
        <f>SUM(D25:D46)/COUNT(E25:E46)</f>
        <v>67.772727272727266</v>
      </c>
      <c r="G25" s="824">
        <f>(SUM(E25:E46)-6000+30)/COUNT(E25:E46)</f>
        <v>11.090909090909092</v>
      </c>
      <c r="H25" s="448">
        <v>39189</v>
      </c>
      <c r="I25" s="825">
        <f t="shared" si="5"/>
        <v>2</v>
      </c>
      <c r="K25" s="421">
        <v>30</v>
      </c>
      <c r="L25" s="535"/>
      <c r="M25" s="535"/>
      <c r="N25" s="535"/>
      <c r="O25" s="535"/>
      <c r="P25" s="535"/>
      <c r="Q25" s="535"/>
      <c r="S25" s="536">
        <v>39797</v>
      </c>
      <c r="T25" s="825">
        <f t="shared" si="6"/>
        <v>13</v>
      </c>
      <c r="U25" s="535">
        <v>15</v>
      </c>
      <c r="W25" s="547">
        <v>40574</v>
      </c>
      <c r="X25" s="415">
        <f t="shared" si="0"/>
        <v>31</v>
      </c>
      <c r="Y25" s="535">
        <v>0</v>
      </c>
      <c r="AA25" s="547">
        <v>40543</v>
      </c>
      <c r="AB25" s="415">
        <f t="shared" si="1"/>
        <v>88</v>
      </c>
      <c r="AC25" s="535">
        <v>0</v>
      </c>
      <c r="AE25" s="534">
        <v>40379</v>
      </c>
      <c r="AF25" s="825">
        <f t="shared" si="7"/>
        <v>113</v>
      </c>
      <c r="AG25" s="548">
        <v>3</v>
      </c>
      <c r="AH25" s="548"/>
      <c r="AI25" s="536">
        <v>39932</v>
      </c>
      <c r="AJ25" s="415">
        <f t="shared" si="2"/>
        <v>97</v>
      </c>
      <c r="AK25" s="535">
        <v>6</v>
      </c>
      <c r="AL25" s="535"/>
      <c r="AM25" s="535"/>
      <c r="AN25" s="535"/>
      <c r="AO25" s="535"/>
      <c r="AP25" s="535"/>
      <c r="AQ25" s="535"/>
      <c r="AR25" s="535"/>
      <c r="AS25" s="535"/>
      <c r="AT25" s="535"/>
      <c r="AU25" s="535"/>
      <c r="AV25" s="535"/>
      <c r="AW25" s="535"/>
      <c r="AX25" s="535"/>
      <c r="AY25" s="535"/>
      <c r="AZ25" s="535"/>
      <c r="BA25" s="535"/>
      <c r="BB25" s="535"/>
    </row>
    <row r="26" spans="2:80">
      <c r="B26" s="3254"/>
      <c r="C26" s="424">
        <v>39190</v>
      </c>
      <c r="D26" s="433">
        <f t="shared" ref="D26:D45" si="10">+C26-C25</f>
        <v>63</v>
      </c>
      <c r="E26" s="423">
        <v>3</v>
      </c>
      <c r="F26" s="826"/>
      <c r="G26" s="826"/>
      <c r="H26" s="424">
        <v>39190</v>
      </c>
      <c r="I26" s="825">
        <f t="shared" si="5"/>
        <v>1</v>
      </c>
      <c r="K26" s="423">
        <v>3</v>
      </c>
      <c r="L26" s="535"/>
      <c r="M26" s="535"/>
      <c r="N26" s="535"/>
      <c r="O26" s="535"/>
      <c r="P26" s="535"/>
      <c r="Q26" s="535"/>
      <c r="S26" s="536">
        <v>39799</v>
      </c>
      <c r="T26" s="825">
        <f t="shared" si="6"/>
        <v>2</v>
      </c>
      <c r="U26" s="535">
        <v>5</v>
      </c>
      <c r="AA26" s="547">
        <v>40574</v>
      </c>
      <c r="AB26" s="415">
        <f t="shared" si="1"/>
        <v>31</v>
      </c>
      <c r="AC26" s="535">
        <v>0</v>
      </c>
      <c r="AE26" s="534">
        <v>40404</v>
      </c>
      <c r="AF26" s="825">
        <f t="shared" si="7"/>
        <v>25</v>
      </c>
      <c r="AG26" s="535">
        <v>3</v>
      </c>
      <c r="AH26" s="535"/>
      <c r="AI26" s="536">
        <v>40046</v>
      </c>
      <c r="AJ26" s="415">
        <f t="shared" si="2"/>
        <v>114</v>
      </c>
      <c r="AK26" s="535">
        <v>30</v>
      </c>
      <c r="AL26" s="535"/>
      <c r="AM26" s="535"/>
      <c r="AN26" s="535"/>
      <c r="AO26" s="535"/>
      <c r="AP26" s="535"/>
      <c r="AQ26" s="535"/>
      <c r="AR26" s="535"/>
      <c r="AS26" s="535"/>
      <c r="AT26" s="535"/>
      <c r="AU26" s="535"/>
      <c r="AV26" s="535"/>
      <c r="AW26" s="535"/>
      <c r="AX26" s="535"/>
      <c r="AY26" s="535"/>
      <c r="AZ26" s="535"/>
      <c r="BA26" s="535"/>
      <c r="BB26" s="535"/>
      <c r="CB26" s="556">
        <v>1800</v>
      </c>
    </row>
    <row r="27" spans="2:80">
      <c r="B27" s="3254"/>
      <c r="C27" s="424">
        <v>39246</v>
      </c>
      <c r="D27" s="433">
        <f t="shared" si="10"/>
        <v>56</v>
      </c>
      <c r="E27" s="423">
        <v>3</v>
      </c>
      <c r="F27" s="826"/>
      <c r="G27" s="826"/>
      <c r="H27" s="424">
        <v>39196</v>
      </c>
      <c r="I27" s="825">
        <f t="shared" si="5"/>
        <v>6</v>
      </c>
      <c r="K27" s="423">
        <v>1</v>
      </c>
      <c r="L27" s="535"/>
      <c r="M27" s="535"/>
      <c r="N27" s="535"/>
      <c r="O27" s="535"/>
      <c r="P27" s="535"/>
      <c r="Q27" s="535"/>
      <c r="S27" s="536">
        <v>39801</v>
      </c>
      <c r="T27" s="825">
        <f t="shared" si="6"/>
        <v>2</v>
      </c>
      <c r="U27" s="535">
        <v>2</v>
      </c>
      <c r="AE27" s="534">
        <v>40429</v>
      </c>
      <c r="AF27" s="825">
        <f t="shared" si="7"/>
        <v>25</v>
      </c>
      <c r="AG27" s="535">
        <v>28</v>
      </c>
      <c r="AH27" s="535"/>
      <c r="AI27" s="534">
        <v>40115</v>
      </c>
      <c r="AJ27" s="415">
        <f t="shared" si="2"/>
        <v>69</v>
      </c>
      <c r="AK27" s="535">
        <v>2</v>
      </c>
      <c r="AL27" s="535"/>
      <c r="AM27" s="535"/>
      <c r="AN27" s="535"/>
      <c r="AO27" s="535"/>
      <c r="AP27" s="535"/>
      <c r="AQ27" s="535"/>
      <c r="AR27" s="535"/>
      <c r="AS27" s="535"/>
      <c r="AT27" s="535"/>
      <c r="AU27" s="535"/>
      <c r="AV27" s="535"/>
      <c r="AW27" s="535"/>
      <c r="AX27" s="535"/>
      <c r="AY27" s="535"/>
      <c r="AZ27" s="535"/>
      <c r="BA27" s="535"/>
      <c r="BB27" s="535"/>
    </row>
    <row r="28" spans="2:80">
      <c r="B28" s="3254"/>
      <c r="C28" s="424">
        <v>39268</v>
      </c>
      <c r="D28" s="433">
        <f t="shared" si="10"/>
        <v>22</v>
      </c>
      <c r="E28" s="423">
        <v>2</v>
      </c>
      <c r="F28" s="826"/>
      <c r="G28" s="826"/>
      <c r="H28" s="424">
        <v>39196</v>
      </c>
      <c r="I28" s="825">
        <f t="shared" si="5"/>
        <v>0</v>
      </c>
      <c r="K28" s="423">
        <v>3</v>
      </c>
      <c r="L28" s="535"/>
      <c r="M28" s="535"/>
      <c r="N28" s="535"/>
      <c r="O28" s="535"/>
      <c r="P28" s="535"/>
      <c r="Q28" s="535"/>
      <c r="S28" s="539">
        <v>39813</v>
      </c>
      <c r="T28" s="825">
        <f t="shared" si="6"/>
        <v>12</v>
      </c>
      <c r="U28" s="535">
        <v>0</v>
      </c>
      <c r="AE28" s="534">
        <v>40460</v>
      </c>
      <c r="AF28" s="825">
        <f t="shared" si="7"/>
        <v>31</v>
      </c>
      <c r="AG28" s="535">
        <v>3</v>
      </c>
      <c r="AH28" s="535"/>
      <c r="AI28" s="555">
        <v>40147</v>
      </c>
      <c r="AJ28" s="415">
        <f t="shared" si="2"/>
        <v>32</v>
      </c>
      <c r="AK28" s="535">
        <v>5</v>
      </c>
      <c r="AL28" s="535"/>
      <c r="AM28" s="535"/>
      <c r="AN28" s="535"/>
      <c r="AO28" s="535"/>
      <c r="AP28" s="535"/>
      <c r="AQ28" s="535"/>
      <c r="AR28" s="535"/>
      <c r="AS28" s="535"/>
      <c r="AT28" s="535"/>
      <c r="AU28" s="535"/>
      <c r="AV28" s="535"/>
      <c r="AW28" s="535"/>
      <c r="AX28" s="535"/>
      <c r="AY28" s="535"/>
      <c r="AZ28" s="535"/>
      <c r="BA28" s="535"/>
      <c r="BB28" s="535"/>
    </row>
    <row r="29" spans="2:80">
      <c r="B29" s="3254"/>
      <c r="C29" s="424">
        <v>39302</v>
      </c>
      <c r="D29" s="433">
        <f t="shared" si="10"/>
        <v>34</v>
      </c>
      <c r="E29" s="423">
        <v>6</v>
      </c>
      <c r="F29" s="826"/>
      <c r="G29" s="826"/>
      <c r="H29" s="424">
        <v>39198</v>
      </c>
      <c r="I29" s="825">
        <f t="shared" si="5"/>
        <v>2</v>
      </c>
      <c r="K29" s="423">
        <v>9</v>
      </c>
      <c r="L29" s="535"/>
      <c r="M29" s="535"/>
      <c r="N29" s="535"/>
      <c r="O29" s="535"/>
      <c r="P29" s="535"/>
      <c r="Q29" s="535"/>
      <c r="S29" s="536">
        <v>39860</v>
      </c>
      <c r="T29" s="825">
        <f t="shared" si="6"/>
        <v>47</v>
      </c>
      <c r="U29" s="535">
        <v>15</v>
      </c>
      <c r="AE29" s="534">
        <v>40516</v>
      </c>
      <c r="AF29" s="825">
        <f t="shared" si="7"/>
        <v>56</v>
      </c>
      <c r="AG29" s="535">
        <v>13</v>
      </c>
      <c r="AH29" s="535"/>
      <c r="AI29" s="547">
        <v>40178</v>
      </c>
      <c r="AJ29" s="415">
        <f t="shared" si="2"/>
        <v>31</v>
      </c>
      <c r="AK29" s="535">
        <v>0</v>
      </c>
      <c r="AL29" s="535"/>
      <c r="AM29" s="535"/>
      <c r="AN29" s="535"/>
      <c r="AO29" s="535"/>
      <c r="AP29" s="535"/>
      <c r="AQ29" s="535"/>
      <c r="AR29" s="535"/>
      <c r="AS29" s="535"/>
      <c r="AT29" s="535"/>
      <c r="AU29" s="535"/>
      <c r="AV29" s="535"/>
      <c r="AW29" s="535"/>
      <c r="AX29" s="535"/>
      <c r="AY29" s="535"/>
      <c r="AZ29" s="535"/>
      <c r="BA29" s="535"/>
      <c r="BB29" s="535"/>
    </row>
    <row r="30" spans="2:80">
      <c r="B30" s="3254"/>
      <c r="C30" s="424">
        <v>39319</v>
      </c>
      <c r="D30" s="433">
        <f t="shared" si="10"/>
        <v>17</v>
      </c>
      <c r="E30" s="423">
        <v>11</v>
      </c>
      <c r="F30" s="826"/>
      <c r="G30" s="826"/>
      <c r="H30" s="424">
        <v>39209</v>
      </c>
      <c r="I30" s="825">
        <f t="shared" si="5"/>
        <v>11</v>
      </c>
      <c r="K30" s="423">
        <v>3</v>
      </c>
      <c r="L30" s="535"/>
      <c r="M30" s="883"/>
      <c r="N30" s="883"/>
      <c r="O30" s="883"/>
      <c r="P30" s="883"/>
      <c r="Q30" s="883"/>
      <c r="R30" s="859"/>
      <c r="S30" s="536">
        <v>39941</v>
      </c>
      <c r="T30" s="825">
        <f t="shared" si="6"/>
        <v>81</v>
      </c>
      <c r="U30" s="535">
        <v>8</v>
      </c>
      <c r="AE30" s="534">
        <v>40516</v>
      </c>
      <c r="AF30" s="825">
        <f t="shared" si="7"/>
        <v>0</v>
      </c>
      <c r="AG30" s="535">
        <v>19</v>
      </c>
      <c r="AH30" s="535"/>
      <c r="AI30" s="534">
        <v>40201</v>
      </c>
      <c r="AJ30" s="415">
        <f t="shared" si="2"/>
        <v>23</v>
      </c>
      <c r="AK30" s="535">
        <v>15</v>
      </c>
      <c r="AL30" s="535"/>
      <c r="AM30" s="535"/>
      <c r="AN30" s="535"/>
      <c r="AO30" s="535"/>
      <c r="AP30" s="535"/>
      <c r="AQ30" s="535"/>
      <c r="AR30" s="535"/>
      <c r="AS30" s="535"/>
      <c r="AT30" s="535"/>
      <c r="AU30" s="535"/>
      <c r="AV30" s="535"/>
      <c r="AW30" s="535"/>
      <c r="AX30" s="535"/>
      <c r="AY30" s="535"/>
      <c r="AZ30" s="535"/>
      <c r="BA30" s="535"/>
      <c r="BB30" s="535"/>
    </row>
    <row r="31" spans="2:80">
      <c r="B31" s="3254"/>
      <c r="C31" s="424">
        <v>39632</v>
      </c>
      <c r="D31" s="433">
        <f t="shared" si="10"/>
        <v>313</v>
      </c>
      <c r="E31" s="423">
        <v>10</v>
      </c>
      <c r="F31" s="826"/>
      <c r="G31" s="826"/>
      <c r="H31" s="424">
        <v>39212</v>
      </c>
      <c r="I31" s="825">
        <f t="shared" si="5"/>
        <v>3</v>
      </c>
      <c r="K31" s="423">
        <v>7</v>
      </c>
      <c r="L31" s="535"/>
      <c r="S31" s="536">
        <v>39945</v>
      </c>
      <c r="T31" s="825">
        <f t="shared" si="6"/>
        <v>4</v>
      </c>
      <c r="U31" s="535">
        <v>7</v>
      </c>
      <c r="AE31" s="547">
        <v>40543</v>
      </c>
      <c r="AF31" s="825">
        <f t="shared" si="7"/>
        <v>27</v>
      </c>
      <c r="AG31" s="548">
        <v>0</v>
      </c>
      <c r="AH31" s="548"/>
      <c r="AI31" s="534">
        <v>40203</v>
      </c>
      <c r="AJ31" s="415">
        <f t="shared" si="2"/>
        <v>2</v>
      </c>
      <c r="AK31" s="535">
        <v>7</v>
      </c>
      <c r="AL31" s="535"/>
      <c r="AM31" s="535"/>
      <c r="AN31" s="535"/>
      <c r="AO31" s="535"/>
      <c r="AP31" s="535"/>
      <c r="AQ31" s="535"/>
      <c r="AR31" s="535"/>
      <c r="AS31" s="535"/>
      <c r="AT31" s="535"/>
      <c r="AU31" s="535"/>
      <c r="AV31" s="535"/>
      <c r="AW31" s="535"/>
      <c r="AX31" s="535"/>
      <c r="AY31" s="535"/>
      <c r="AZ31" s="535"/>
      <c r="BA31" s="535"/>
      <c r="BB31" s="535"/>
    </row>
    <row r="32" spans="2:80">
      <c r="B32" s="3254"/>
      <c r="C32" s="424">
        <v>39678</v>
      </c>
      <c r="D32" s="433">
        <f t="shared" si="10"/>
        <v>46</v>
      </c>
      <c r="E32" s="423">
        <v>4</v>
      </c>
      <c r="F32" s="826"/>
      <c r="G32" s="826"/>
      <c r="H32" s="424">
        <v>39214</v>
      </c>
      <c r="I32" s="825">
        <f t="shared" si="5"/>
        <v>2</v>
      </c>
      <c r="K32" s="423">
        <v>3</v>
      </c>
      <c r="L32" s="535"/>
      <c r="S32" s="536">
        <v>39981</v>
      </c>
      <c r="T32" s="825">
        <f t="shared" si="6"/>
        <v>36</v>
      </c>
      <c r="U32" s="535">
        <v>7</v>
      </c>
      <c r="AE32" s="547">
        <v>40574</v>
      </c>
      <c r="AF32" s="825">
        <f t="shared" si="7"/>
        <v>31</v>
      </c>
      <c r="AG32" s="535">
        <v>0</v>
      </c>
      <c r="AH32" s="535"/>
      <c r="AI32" s="534">
        <v>40213</v>
      </c>
      <c r="AJ32" s="415">
        <f t="shared" si="2"/>
        <v>10</v>
      </c>
      <c r="AK32" s="535">
        <v>15</v>
      </c>
      <c r="AL32" s="535"/>
      <c r="AM32" s="535"/>
      <c r="AN32" s="535"/>
      <c r="AO32" s="535"/>
      <c r="AP32" s="535"/>
      <c r="AQ32" s="535"/>
      <c r="AR32" s="535"/>
      <c r="AS32" s="535"/>
      <c r="AT32" s="535"/>
      <c r="AU32" s="535"/>
      <c r="AV32" s="535"/>
      <c r="AW32" s="535"/>
      <c r="AX32" s="535"/>
      <c r="AY32" s="535"/>
      <c r="AZ32" s="535"/>
      <c r="BA32" s="535"/>
      <c r="BB32" s="535"/>
    </row>
    <row r="33" spans="2:54">
      <c r="B33" s="3254"/>
      <c r="C33" s="424">
        <v>39680</v>
      </c>
      <c r="D33" s="433">
        <f t="shared" si="10"/>
        <v>2</v>
      </c>
      <c r="E33" s="423">
        <v>10</v>
      </c>
      <c r="F33" s="826"/>
      <c r="G33" s="826"/>
      <c r="H33" s="424">
        <v>39221</v>
      </c>
      <c r="I33" s="825">
        <f t="shared" si="5"/>
        <v>7</v>
      </c>
      <c r="K33" s="423">
        <v>2</v>
      </c>
      <c r="L33" s="535"/>
      <c r="S33" s="537">
        <v>39991</v>
      </c>
      <c r="T33" s="825">
        <f t="shared" si="6"/>
        <v>10</v>
      </c>
      <c r="U33" s="535">
        <v>30</v>
      </c>
      <c r="AF33" s="825"/>
      <c r="AI33" s="534">
        <v>40217</v>
      </c>
      <c r="AJ33" s="415">
        <f t="shared" si="2"/>
        <v>4</v>
      </c>
      <c r="AK33" s="535">
        <v>30</v>
      </c>
      <c r="AL33" s="535"/>
      <c r="AM33" s="535"/>
      <c r="AN33" s="535"/>
      <c r="AO33" s="535"/>
      <c r="AP33" s="535"/>
      <c r="AQ33" s="535"/>
      <c r="AR33" s="535"/>
      <c r="AS33" s="535"/>
      <c r="AT33" s="535"/>
      <c r="AU33" s="535"/>
      <c r="AV33" s="535"/>
      <c r="AW33" s="535"/>
      <c r="AX33" s="535"/>
      <c r="AY33" s="535"/>
      <c r="AZ33" s="535"/>
      <c r="BA33" s="535"/>
      <c r="BB33" s="535"/>
    </row>
    <row r="34" spans="2:54">
      <c r="B34" s="3254"/>
      <c r="C34" s="449">
        <v>39762</v>
      </c>
      <c r="D34" s="433">
        <f t="shared" si="10"/>
        <v>82</v>
      </c>
      <c r="E34" s="423">
        <v>20</v>
      </c>
      <c r="F34" s="826"/>
      <c r="G34" s="826"/>
      <c r="H34" s="424">
        <v>39224</v>
      </c>
      <c r="I34" s="825">
        <f t="shared" si="5"/>
        <v>3</v>
      </c>
      <c r="K34" s="423">
        <v>3</v>
      </c>
      <c r="L34" s="535"/>
      <c r="S34" s="536">
        <v>40039</v>
      </c>
      <c r="T34" s="825">
        <f t="shared" si="6"/>
        <v>48</v>
      </c>
      <c r="U34" s="535">
        <v>27</v>
      </c>
      <c r="AI34" s="534">
        <v>40252</v>
      </c>
      <c r="AJ34" s="415">
        <f t="shared" si="2"/>
        <v>35</v>
      </c>
      <c r="AK34" s="535">
        <v>48</v>
      </c>
      <c r="AL34" s="535"/>
      <c r="AM34" s="535"/>
      <c r="AN34" s="535"/>
      <c r="AO34" s="535"/>
      <c r="AP34" s="535"/>
      <c r="AQ34" s="535"/>
      <c r="AR34" s="535"/>
      <c r="AS34" s="535"/>
      <c r="AT34" s="535"/>
      <c r="AU34" s="535"/>
      <c r="AV34" s="535"/>
      <c r="AW34" s="535"/>
      <c r="AX34" s="535"/>
      <c r="AY34" s="535"/>
      <c r="AZ34" s="535"/>
      <c r="BA34" s="535"/>
      <c r="BB34" s="535"/>
    </row>
    <row r="35" spans="2:54">
      <c r="B35" s="3254"/>
      <c r="C35" s="449">
        <v>39769</v>
      </c>
      <c r="D35" s="433">
        <f t="shared" si="10"/>
        <v>7</v>
      </c>
      <c r="E35" s="423">
        <v>10</v>
      </c>
      <c r="F35" s="826"/>
      <c r="G35" s="826"/>
      <c r="H35" s="452">
        <v>39227</v>
      </c>
      <c r="I35" s="825">
        <f t="shared" si="5"/>
        <v>3</v>
      </c>
      <c r="K35" s="436">
        <v>2</v>
      </c>
      <c r="L35" s="218"/>
      <c r="S35" s="534">
        <v>40101</v>
      </c>
      <c r="T35" s="825">
        <f t="shared" si="6"/>
        <v>62</v>
      </c>
      <c r="U35" s="535">
        <v>4</v>
      </c>
      <c r="AI35" s="534">
        <v>40303</v>
      </c>
      <c r="AJ35" s="415">
        <f t="shared" si="2"/>
        <v>51</v>
      </c>
      <c r="AK35" s="535">
        <v>10</v>
      </c>
      <c r="AL35" s="535"/>
      <c r="AM35" s="535"/>
      <c r="AN35" s="535"/>
      <c r="AO35" s="535"/>
      <c r="AP35" s="535"/>
      <c r="AQ35" s="535"/>
      <c r="AR35" s="535"/>
      <c r="AS35" s="535"/>
      <c r="AT35" s="535"/>
      <c r="AU35" s="535"/>
      <c r="AV35" s="535"/>
      <c r="AW35" s="535"/>
      <c r="AX35" s="535"/>
      <c r="AY35" s="535"/>
      <c r="AZ35" s="535"/>
      <c r="BA35" s="535"/>
      <c r="BB35" s="535"/>
    </row>
    <row r="36" spans="2:54">
      <c r="B36" s="3254"/>
      <c r="C36" s="449">
        <v>39784</v>
      </c>
      <c r="D36" s="433">
        <f t="shared" si="10"/>
        <v>15</v>
      </c>
      <c r="E36" s="423">
        <v>7</v>
      </c>
      <c r="F36" s="826"/>
      <c r="G36" s="826"/>
      <c r="H36" s="424">
        <v>39229</v>
      </c>
      <c r="I36" s="825">
        <f t="shared" si="5"/>
        <v>2</v>
      </c>
      <c r="K36" s="423">
        <v>1</v>
      </c>
      <c r="L36" s="535"/>
      <c r="S36" s="539">
        <v>40178</v>
      </c>
      <c r="T36" s="825">
        <f t="shared" si="6"/>
        <v>77</v>
      </c>
      <c r="U36" s="535">
        <v>0</v>
      </c>
      <c r="AI36" s="534">
        <v>40356</v>
      </c>
      <c r="AJ36" s="415">
        <f t="shared" si="2"/>
        <v>53</v>
      </c>
      <c r="AK36" s="535">
        <v>3</v>
      </c>
      <c r="AL36" s="535"/>
      <c r="AM36" s="535"/>
      <c r="AN36" s="535"/>
      <c r="AO36" s="535"/>
      <c r="AP36" s="535"/>
      <c r="AQ36" s="535"/>
      <c r="AR36" s="535"/>
      <c r="AS36" s="535"/>
      <c r="AT36" s="535"/>
      <c r="AU36" s="535"/>
      <c r="AV36" s="535"/>
      <c r="AW36" s="535"/>
      <c r="AX36" s="535"/>
      <c r="AY36" s="535"/>
      <c r="AZ36" s="535"/>
      <c r="BA36" s="535"/>
      <c r="BB36" s="535"/>
    </row>
    <row r="37" spans="2:54" ht="15.75" customHeight="1">
      <c r="B37" s="3254"/>
      <c r="C37" s="449">
        <v>39797</v>
      </c>
      <c r="D37" s="433">
        <f t="shared" si="10"/>
        <v>13</v>
      </c>
      <c r="E37" s="423">
        <v>15</v>
      </c>
      <c r="F37" s="826"/>
      <c r="G37" s="826"/>
      <c r="H37" s="452">
        <v>39231</v>
      </c>
      <c r="I37" s="825">
        <f t="shared" si="5"/>
        <v>2</v>
      </c>
      <c r="K37" s="436">
        <v>92</v>
      </c>
      <c r="L37" s="218"/>
      <c r="S37" s="534">
        <v>40204</v>
      </c>
      <c r="T37" s="825">
        <f t="shared" si="6"/>
        <v>26</v>
      </c>
      <c r="U37" s="535">
        <v>54</v>
      </c>
      <c r="AI37" s="534">
        <v>40392</v>
      </c>
      <c r="AJ37" s="415">
        <f t="shared" si="2"/>
        <v>36</v>
      </c>
      <c r="AK37" s="535">
        <v>3</v>
      </c>
      <c r="AL37" s="535"/>
      <c r="AM37" s="535"/>
      <c r="AN37" s="535"/>
      <c r="AO37" s="535"/>
      <c r="AP37" s="535"/>
      <c r="AQ37" s="535"/>
      <c r="AR37" s="535"/>
      <c r="AS37" s="535"/>
      <c r="AT37" s="535"/>
      <c r="AU37" s="535"/>
      <c r="AV37" s="535"/>
      <c r="AW37" s="535"/>
      <c r="AX37" s="535"/>
      <c r="AY37" s="535"/>
      <c r="AZ37" s="535"/>
      <c r="BA37" s="535"/>
      <c r="BB37" s="535"/>
    </row>
    <row r="38" spans="2:54">
      <c r="B38" s="3254"/>
      <c r="C38" s="449">
        <v>39801</v>
      </c>
      <c r="D38" s="433">
        <f t="shared" si="10"/>
        <v>4</v>
      </c>
      <c r="E38" s="423">
        <v>2</v>
      </c>
      <c r="F38" s="826"/>
      <c r="G38" s="826"/>
      <c r="H38" s="424">
        <v>39241</v>
      </c>
      <c r="I38" s="825">
        <f t="shared" si="5"/>
        <v>10</v>
      </c>
      <c r="K38" s="423">
        <v>5</v>
      </c>
      <c r="L38" s="535"/>
      <c r="M38" s="883"/>
      <c r="N38" s="883" t="s">
        <v>643</v>
      </c>
      <c r="O38" s="883" t="s">
        <v>644</v>
      </c>
      <c r="P38" s="883" t="s">
        <v>645</v>
      </c>
      <c r="Q38" s="883"/>
      <c r="R38" s="859"/>
      <c r="S38" s="534">
        <v>40260</v>
      </c>
      <c r="T38" s="825">
        <f t="shared" si="6"/>
        <v>56</v>
      </c>
      <c r="U38" s="535">
        <v>30</v>
      </c>
      <c r="AI38" s="534">
        <v>40421</v>
      </c>
      <c r="AJ38" s="415">
        <f t="shared" si="2"/>
        <v>29</v>
      </c>
      <c r="AK38" s="535">
        <v>3</v>
      </c>
      <c r="AL38" s="535"/>
      <c r="AM38" s="535"/>
      <c r="AN38" s="535"/>
      <c r="AO38" s="535"/>
      <c r="AP38" s="535"/>
      <c r="AQ38" s="535"/>
      <c r="AR38" s="535"/>
      <c r="AS38" s="535"/>
      <c r="AT38" s="535"/>
      <c r="AU38" s="535"/>
      <c r="AV38" s="535"/>
      <c r="AW38" s="535"/>
      <c r="AX38" s="535"/>
      <c r="AY38" s="535"/>
      <c r="AZ38" s="535"/>
      <c r="BA38" s="535"/>
      <c r="BB38" s="535"/>
    </row>
    <row r="39" spans="2:54">
      <c r="B39" s="3254"/>
      <c r="C39" s="449">
        <v>39941</v>
      </c>
      <c r="D39" s="433">
        <f t="shared" si="10"/>
        <v>140</v>
      </c>
      <c r="E39" s="423">
        <v>8</v>
      </c>
      <c r="F39" s="826"/>
      <c r="G39" s="826"/>
      <c r="H39" s="424">
        <v>39246</v>
      </c>
      <c r="I39" s="825">
        <f t="shared" si="5"/>
        <v>5</v>
      </c>
      <c r="K39" s="423">
        <v>3</v>
      </c>
      <c r="L39" s="920">
        <v>1395.87</v>
      </c>
      <c r="M39" s="883"/>
      <c r="N39" s="884" t="s">
        <v>639</v>
      </c>
      <c r="O39" s="884" t="s">
        <v>640</v>
      </c>
      <c r="P39" s="884" t="s">
        <v>641</v>
      </c>
      <c r="Q39" s="884" t="s">
        <v>98</v>
      </c>
      <c r="R39" s="884" t="s">
        <v>642</v>
      </c>
      <c r="S39" s="534">
        <v>40287</v>
      </c>
      <c r="T39" s="825">
        <f t="shared" si="6"/>
        <v>27</v>
      </c>
      <c r="U39" s="535">
        <v>30</v>
      </c>
      <c r="AI39" s="534">
        <v>40429</v>
      </c>
      <c r="AJ39" s="415">
        <f t="shared" si="2"/>
        <v>8</v>
      </c>
      <c r="AK39" s="535">
        <v>13</v>
      </c>
      <c r="AL39" s="535"/>
      <c r="AM39" s="535"/>
      <c r="AN39" s="535"/>
      <c r="AO39" s="535"/>
      <c r="AP39" s="535"/>
      <c r="AQ39" s="535"/>
      <c r="AR39" s="535"/>
      <c r="AS39" s="535"/>
      <c r="AT39" s="535"/>
      <c r="AU39" s="535"/>
      <c r="AV39" s="535"/>
      <c r="AW39" s="535"/>
      <c r="AX39" s="535"/>
      <c r="AY39" s="535"/>
      <c r="AZ39" s="535"/>
      <c r="BA39" s="535"/>
      <c r="BB39" s="535"/>
    </row>
    <row r="40" spans="2:54">
      <c r="B40" s="3254"/>
      <c r="C40" s="449">
        <v>39945</v>
      </c>
      <c r="D40" s="433">
        <f t="shared" si="10"/>
        <v>4</v>
      </c>
      <c r="E40" s="423">
        <v>7</v>
      </c>
      <c r="F40" s="826"/>
      <c r="G40" s="826"/>
      <c r="H40" s="424">
        <v>39248</v>
      </c>
      <c r="I40" s="825">
        <f t="shared" si="5"/>
        <v>2</v>
      </c>
      <c r="K40" s="423">
        <v>120</v>
      </c>
      <c r="L40" s="920">
        <v>2938.08</v>
      </c>
      <c r="M40" s="884">
        <v>2010</v>
      </c>
      <c r="N40" s="885">
        <v>39229</v>
      </c>
      <c r="O40" s="885">
        <v>7307</v>
      </c>
      <c r="P40" s="885">
        <v>3854</v>
      </c>
      <c r="Q40" s="885">
        <f>SUM(N40:P40)</f>
        <v>50390</v>
      </c>
      <c r="R40" s="886">
        <f>+Q40/P8</f>
        <v>854.06779661016947</v>
      </c>
      <c r="S40" s="534">
        <v>40310</v>
      </c>
      <c r="T40" s="825">
        <f t="shared" si="6"/>
        <v>23</v>
      </c>
      <c r="U40" s="535">
        <v>20</v>
      </c>
      <c r="AI40" s="534">
        <v>40438</v>
      </c>
      <c r="AJ40" s="415">
        <f t="shared" si="2"/>
        <v>9</v>
      </c>
      <c r="AK40" s="535">
        <v>2</v>
      </c>
      <c r="AL40" s="535"/>
      <c r="AM40" s="535"/>
      <c r="AN40" s="535"/>
      <c r="AO40" s="535"/>
      <c r="AP40" s="535"/>
      <c r="AQ40" s="535"/>
      <c r="AR40" s="535"/>
      <c r="AS40" s="535"/>
      <c r="AT40" s="535"/>
      <c r="AU40" s="535"/>
      <c r="AV40" s="535"/>
      <c r="AW40" s="535"/>
      <c r="AX40" s="535"/>
      <c r="AY40" s="535"/>
      <c r="AZ40" s="535"/>
      <c r="BA40" s="535"/>
      <c r="BB40" s="535"/>
    </row>
    <row r="41" spans="2:54">
      <c r="B41" s="3254"/>
      <c r="C41" s="450">
        <v>39991</v>
      </c>
      <c r="D41" s="433">
        <f t="shared" si="10"/>
        <v>46</v>
      </c>
      <c r="E41" s="423">
        <v>6000</v>
      </c>
      <c r="F41" s="826"/>
      <c r="G41" s="826"/>
      <c r="H41" s="424">
        <v>39253</v>
      </c>
      <c r="I41" s="825">
        <f t="shared" si="5"/>
        <v>5</v>
      </c>
      <c r="K41" s="423">
        <v>2</v>
      </c>
      <c r="L41" s="535">
        <v>29.42</v>
      </c>
      <c r="M41" s="884">
        <v>2011</v>
      </c>
      <c r="N41" s="885">
        <v>76316</v>
      </c>
      <c r="O41" s="885">
        <v>2773</v>
      </c>
      <c r="P41" s="885">
        <v>13504</v>
      </c>
      <c r="Q41" s="885">
        <f>SUM(N41:P41)</f>
        <v>92593</v>
      </c>
      <c r="R41" s="886">
        <f>+Q41/P9</f>
        <v>1653.4464285714287</v>
      </c>
      <c r="S41" s="534">
        <v>40357</v>
      </c>
      <c r="T41" s="825">
        <f t="shared" si="6"/>
        <v>47</v>
      </c>
      <c r="U41" s="535">
        <v>2</v>
      </c>
      <c r="AI41" s="534">
        <v>40474</v>
      </c>
      <c r="AJ41" s="415">
        <f t="shared" si="2"/>
        <v>36</v>
      </c>
      <c r="AK41" s="535">
        <v>5</v>
      </c>
      <c r="AL41" s="535"/>
      <c r="AM41" s="535"/>
      <c r="AN41" s="535"/>
      <c r="AO41" s="535"/>
      <c r="AP41" s="535"/>
      <c r="AQ41" s="535"/>
      <c r="AR41" s="535"/>
      <c r="AS41" s="535"/>
      <c r="AT41" s="535"/>
      <c r="AU41" s="535"/>
      <c r="AV41" s="535"/>
      <c r="AW41" s="535"/>
      <c r="AX41" s="535"/>
      <c r="AY41" s="535"/>
      <c r="AZ41" s="535"/>
      <c r="BA41" s="535"/>
      <c r="BB41" s="535"/>
    </row>
    <row r="42" spans="2:54">
      <c r="B42" s="3254"/>
      <c r="C42" s="424">
        <v>40260</v>
      </c>
      <c r="D42" s="433">
        <f t="shared" si="10"/>
        <v>269</v>
      </c>
      <c r="E42" s="423">
        <v>30</v>
      </c>
      <c r="F42" s="826"/>
      <c r="G42" s="826"/>
      <c r="H42" s="424">
        <v>39256</v>
      </c>
      <c r="I42" s="825">
        <f t="shared" si="5"/>
        <v>3</v>
      </c>
      <c r="K42" s="423">
        <v>3</v>
      </c>
      <c r="L42" s="535">
        <v>682.87</v>
      </c>
      <c r="M42" s="884">
        <v>2012</v>
      </c>
      <c r="N42" s="885">
        <v>25942</v>
      </c>
      <c r="O42" s="885">
        <v>6078</v>
      </c>
      <c r="P42" s="885">
        <v>5407</v>
      </c>
      <c r="Q42" s="885">
        <f>SUM(N42:P42)</f>
        <v>37427</v>
      </c>
      <c r="R42" s="886">
        <f>+Q42/P10</f>
        <v>733.86274509803923</v>
      </c>
      <c r="S42" s="534">
        <v>40391</v>
      </c>
      <c r="T42" s="825">
        <f t="shared" si="6"/>
        <v>34</v>
      </c>
      <c r="U42" s="535">
        <v>30</v>
      </c>
      <c r="AI42" s="534">
        <v>40526</v>
      </c>
      <c r="AJ42" s="415">
        <f t="shared" si="2"/>
        <v>52</v>
      </c>
      <c r="AK42" s="535">
        <v>3</v>
      </c>
      <c r="AL42" s="535"/>
      <c r="AM42" s="535"/>
      <c r="AN42" s="535"/>
      <c r="AO42" s="535"/>
      <c r="AP42" s="535"/>
      <c r="AQ42" s="535"/>
      <c r="AR42" s="535"/>
      <c r="AS42" s="535"/>
      <c r="AT42" s="535"/>
      <c r="AU42" s="535"/>
      <c r="AV42" s="535"/>
      <c r="AW42" s="535"/>
      <c r="AX42" s="535"/>
      <c r="AY42" s="535"/>
      <c r="AZ42" s="535"/>
      <c r="BA42" s="535"/>
      <c r="BB42" s="535"/>
    </row>
    <row r="43" spans="2:54">
      <c r="B43" s="3254"/>
      <c r="C43" s="424">
        <v>40310</v>
      </c>
      <c r="D43" s="433">
        <f t="shared" si="10"/>
        <v>50</v>
      </c>
      <c r="E43" s="423">
        <v>20</v>
      </c>
      <c r="F43" s="826"/>
      <c r="G43" s="826"/>
      <c r="H43" s="424">
        <v>39256</v>
      </c>
      <c r="I43" s="825">
        <f t="shared" si="5"/>
        <v>0</v>
      </c>
      <c r="K43" s="423">
        <v>5</v>
      </c>
      <c r="L43" s="920">
        <v>1096.54</v>
      </c>
      <c r="M43" s="946" t="s">
        <v>601</v>
      </c>
      <c r="N43" s="885">
        <f>94330-23664</f>
        <v>70666</v>
      </c>
      <c r="O43" s="885">
        <f>3333.621+343.12+261.13+147.08+169+40+124+11783+124+47</f>
        <v>16371.951000000001</v>
      </c>
      <c r="P43" s="887">
        <f>6432.43+830.31+11266+630+104+188+143+30+42+461+2394+244+42+1166+145+231</f>
        <v>24348.739999999998</v>
      </c>
      <c r="Q43" s="885">
        <f>SUM(N43:P43)</f>
        <v>111386.69099999999</v>
      </c>
      <c r="R43" s="886">
        <f>+Q43/IOM!D13</f>
        <v>1796.5595322580643</v>
      </c>
      <c r="S43" s="534">
        <v>40453</v>
      </c>
      <c r="T43" s="825">
        <f t="shared" si="6"/>
        <v>62</v>
      </c>
      <c r="U43" s="535">
        <v>14</v>
      </c>
      <c r="AI43" s="555">
        <v>40529</v>
      </c>
      <c r="AJ43" s="415">
        <f t="shared" si="2"/>
        <v>3</v>
      </c>
      <c r="AK43" s="535">
        <v>3</v>
      </c>
      <c r="AL43" s="535"/>
      <c r="AM43" s="535"/>
      <c r="AN43" s="535"/>
      <c r="AO43" s="535"/>
      <c r="AP43" s="535"/>
      <c r="AQ43" s="535"/>
      <c r="AR43" s="535"/>
      <c r="AS43" s="535"/>
      <c r="AT43" s="535"/>
      <c r="AU43" s="535"/>
      <c r="AV43" s="535"/>
      <c r="AW43" s="535"/>
      <c r="AX43" s="535"/>
      <c r="AY43" s="535"/>
      <c r="AZ43" s="535"/>
      <c r="BA43" s="535"/>
      <c r="BB43" s="535"/>
    </row>
    <row r="44" spans="2:54" ht="12.75" customHeight="1">
      <c r="B44" s="3254"/>
      <c r="C44" s="424">
        <v>40391</v>
      </c>
      <c r="D44" s="433">
        <f t="shared" si="10"/>
        <v>81</v>
      </c>
      <c r="E44" s="423">
        <v>30</v>
      </c>
      <c r="F44" s="826"/>
      <c r="G44" s="826"/>
      <c r="H44" s="424">
        <v>39259</v>
      </c>
      <c r="I44" s="825">
        <f t="shared" si="5"/>
        <v>3</v>
      </c>
      <c r="K44" s="423">
        <v>3</v>
      </c>
      <c r="L44" s="535">
        <v>389.53</v>
      </c>
      <c r="M44" s="3289" t="s">
        <v>657</v>
      </c>
      <c r="N44" s="3289"/>
      <c r="O44" s="3289"/>
      <c r="P44" s="3289"/>
      <c r="Q44" s="3289"/>
      <c r="R44" s="3289"/>
      <c r="S44" s="534">
        <v>40472</v>
      </c>
      <c r="T44" s="825">
        <f t="shared" si="6"/>
        <v>19</v>
      </c>
      <c r="U44" s="535">
        <v>2</v>
      </c>
      <c r="AI44" s="547">
        <v>40543</v>
      </c>
      <c r="AJ44" s="415">
        <f t="shared" si="2"/>
        <v>14</v>
      </c>
      <c r="AK44" s="535">
        <v>0</v>
      </c>
      <c r="AL44" s="535"/>
      <c r="AM44" s="535"/>
      <c r="AN44" s="535"/>
      <c r="AO44" s="535"/>
      <c r="AP44" s="535"/>
      <c r="AQ44" s="535"/>
      <c r="AR44" s="535"/>
      <c r="AS44" s="535"/>
      <c r="AT44" s="535"/>
      <c r="AU44" s="535"/>
      <c r="AV44" s="535"/>
      <c r="AW44" s="535"/>
      <c r="AX44" s="535"/>
      <c r="AY44" s="535"/>
      <c r="AZ44" s="535"/>
      <c r="BA44" s="535"/>
      <c r="BB44" s="535"/>
    </row>
    <row r="45" spans="2:54">
      <c r="B45" s="3255"/>
      <c r="C45" s="424">
        <v>40453</v>
      </c>
      <c r="D45" s="433">
        <f t="shared" si="10"/>
        <v>62</v>
      </c>
      <c r="E45" s="428">
        <v>14</v>
      </c>
      <c r="F45" s="826"/>
      <c r="G45" s="826"/>
      <c r="H45" s="424">
        <v>39268</v>
      </c>
      <c r="I45" s="825">
        <f t="shared" si="5"/>
        <v>9</v>
      </c>
      <c r="K45" s="428">
        <v>2</v>
      </c>
      <c r="L45" s="535">
        <v>647.87</v>
      </c>
      <c r="M45" s="535"/>
      <c r="N45" s="535"/>
      <c r="O45" s="535"/>
      <c r="P45" s="535"/>
      <c r="Q45" s="535"/>
      <c r="S45" s="534">
        <v>40522</v>
      </c>
      <c r="T45" s="825">
        <f t="shared" si="6"/>
        <v>50</v>
      </c>
      <c r="U45" s="535">
        <v>2</v>
      </c>
      <c r="AI45" s="534">
        <v>40551</v>
      </c>
      <c r="AJ45" s="415">
        <f t="shared" si="2"/>
        <v>8</v>
      </c>
      <c r="AK45" s="535">
        <v>20</v>
      </c>
      <c r="AL45" s="535"/>
      <c r="AM45" s="535"/>
      <c r="AN45" s="535"/>
      <c r="AO45" s="535"/>
      <c r="AP45" s="535"/>
      <c r="AQ45" s="535"/>
      <c r="AR45" s="535"/>
      <c r="AS45" s="535"/>
      <c r="AT45" s="535"/>
      <c r="AU45" s="535"/>
      <c r="AV45" s="535"/>
      <c r="AW45" s="535"/>
      <c r="AX45" s="535"/>
      <c r="AY45" s="535"/>
      <c r="AZ45" s="535"/>
      <c r="BA45" s="535"/>
      <c r="BB45" s="535"/>
    </row>
    <row r="46" spans="2:54" ht="13.8" thickBot="1">
      <c r="B46" s="3256"/>
      <c r="C46" s="417">
        <v>40574</v>
      </c>
      <c r="D46" s="832">
        <f>+C46-C45</f>
        <v>121</v>
      </c>
      <c r="E46" s="426">
        <v>0</v>
      </c>
      <c r="F46" s="827"/>
      <c r="G46" s="827"/>
      <c r="H46" s="456">
        <v>39271</v>
      </c>
      <c r="I46" s="825">
        <f t="shared" si="5"/>
        <v>3</v>
      </c>
      <c r="K46" s="426">
        <v>71</v>
      </c>
      <c r="L46" s="920">
        <v>3761.08</v>
      </c>
      <c r="M46" s="535"/>
      <c r="N46" s="535"/>
      <c r="O46" s="535"/>
      <c r="P46" s="535"/>
      <c r="Q46" s="535"/>
      <c r="S46" s="539">
        <v>40543</v>
      </c>
      <c r="T46" s="825">
        <f t="shared" si="6"/>
        <v>21</v>
      </c>
      <c r="U46" s="535">
        <v>0</v>
      </c>
      <c r="AI46" s="534">
        <v>40574</v>
      </c>
      <c r="AJ46" s="415">
        <f t="shared" si="2"/>
        <v>23</v>
      </c>
      <c r="AK46" s="535">
        <v>2</v>
      </c>
      <c r="AL46" s="535"/>
      <c r="AM46" s="535"/>
      <c r="AN46" s="535"/>
      <c r="AO46" s="535"/>
      <c r="AP46" s="535"/>
      <c r="AQ46" s="535"/>
      <c r="AR46" s="535"/>
      <c r="AS46" s="535"/>
      <c r="AT46" s="535"/>
      <c r="AU46" s="535"/>
      <c r="AV46" s="535"/>
      <c r="AW46" s="535"/>
      <c r="AX46" s="535"/>
      <c r="AY46" s="535"/>
      <c r="AZ46" s="535"/>
      <c r="BA46" s="535"/>
      <c r="BB46" s="535"/>
    </row>
    <row r="47" spans="2:54">
      <c r="B47" s="3253" t="s">
        <v>84</v>
      </c>
      <c r="C47" s="424">
        <v>39163</v>
      </c>
      <c r="D47" s="828">
        <f>+C47-$D$2</f>
        <v>80</v>
      </c>
      <c r="E47" s="421">
        <v>7</v>
      </c>
      <c r="F47" s="829">
        <f>SUM(D47:D60)/COUNT(E47:E60)</f>
        <v>106.5</v>
      </c>
      <c r="G47" s="829">
        <f>SUM(E47:E60)/COUNT(E47:E60)</f>
        <v>28.357142857142858</v>
      </c>
      <c r="H47" s="424">
        <v>39273</v>
      </c>
      <c r="I47" s="825">
        <f t="shared" si="5"/>
        <v>2</v>
      </c>
      <c r="K47" s="421">
        <v>2</v>
      </c>
      <c r="L47" s="920">
        <v>3296.25</v>
      </c>
      <c r="M47" s="535"/>
      <c r="N47" s="535"/>
      <c r="O47" s="535"/>
      <c r="P47" s="535"/>
      <c r="Q47" s="535"/>
      <c r="S47" s="534">
        <v>40568</v>
      </c>
      <c r="T47" s="825">
        <f t="shared" si="6"/>
        <v>25</v>
      </c>
      <c r="U47" s="535">
        <v>2</v>
      </c>
      <c r="AI47" s="554"/>
      <c r="AJ47" s="415"/>
      <c r="AK47" s="535"/>
      <c r="AL47" s="535"/>
      <c r="AM47" s="535"/>
      <c r="AN47" s="535"/>
      <c r="AO47" s="535"/>
      <c r="AP47" s="535"/>
      <c r="AQ47" s="535"/>
      <c r="AR47" s="535"/>
      <c r="AS47" s="535"/>
      <c r="AT47" s="535"/>
      <c r="AU47" s="535"/>
      <c r="AV47" s="535"/>
      <c r="AW47" s="535"/>
      <c r="AX47" s="535"/>
      <c r="AY47" s="535"/>
      <c r="AZ47" s="535"/>
      <c r="BA47" s="535"/>
      <c r="BB47" s="535"/>
    </row>
    <row r="48" spans="2:54">
      <c r="B48" s="3254"/>
      <c r="C48" s="424">
        <v>39198</v>
      </c>
      <c r="D48" s="422">
        <f t="shared" ref="D48:D59" si="11">+C48-C47</f>
        <v>35</v>
      </c>
      <c r="E48" s="423">
        <v>9</v>
      </c>
      <c r="F48" s="830"/>
      <c r="G48" s="830"/>
      <c r="H48" s="424">
        <v>39274</v>
      </c>
      <c r="I48" s="825">
        <f t="shared" si="5"/>
        <v>1</v>
      </c>
      <c r="K48" s="423">
        <v>4</v>
      </c>
      <c r="L48" s="920">
        <v>8459.11</v>
      </c>
      <c r="M48" s="535"/>
      <c r="N48" s="535"/>
      <c r="O48" s="535"/>
      <c r="P48" s="535"/>
      <c r="Q48" s="535"/>
      <c r="S48" s="539">
        <v>40574</v>
      </c>
      <c r="T48" s="825">
        <f t="shared" si="6"/>
        <v>6</v>
      </c>
      <c r="U48" s="535">
        <v>0</v>
      </c>
    </row>
    <row r="49" spans="2:23">
      <c r="B49" s="3254"/>
      <c r="C49" s="424">
        <v>39274</v>
      </c>
      <c r="D49" s="422">
        <f t="shared" si="11"/>
        <v>76</v>
      </c>
      <c r="E49" s="423">
        <v>4</v>
      </c>
      <c r="F49" s="830"/>
      <c r="G49" s="830"/>
      <c r="H49" s="424">
        <v>39279</v>
      </c>
      <c r="I49" s="825">
        <f t="shared" si="5"/>
        <v>5</v>
      </c>
      <c r="K49" s="423">
        <v>1</v>
      </c>
      <c r="L49" s="535">
        <v>588.46</v>
      </c>
      <c r="M49" s="535"/>
      <c r="N49" s="535"/>
      <c r="O49" s="535"/>
      <c r="P49" s="535"/>
      <c r="Q49" s="535"/>
      <c r="W49"/>
    </row>
    <row r="50" spans="2:23">
      <c r="B50" s="3254"/>
      <c r="C50" s="424">
        <v>39314</v>
      </c>
      <c r="D50" s="422">
        <f t="shared" si="11"/>
        <v>40</v>
      </c>
      <c r="E50" s="423">
        <v>300</v>
      </c>
      <c r="F50" s="830"/>
      <c r="G50" s="830"/>
      <c r="H50" s="424">
        <v>39287</v>
      </c>
      <c r="I50" s="825">
        <f t="shared" si="5"/>
        <v>8</v>
      </c>
      <c r="K50" s="423">
        <v>28</v>
      </c>
      <c r="L50" s="535">
        <v>152.32</v>
      </c>
      <c r="M50" s="535"/>
      <c r="N50" s="535"/>
      <c r="O50" s="535"/>
      <c r="P50" s="535"/>
      <c r="Q50" s="535"/>
      <c r="W50"/>
    </row>
    <row r="51" spans="2:23">
      <c r="B51" s="3254"/>
      <c r="C51" s="424">
        <v>39316</v>
      </c>
      <c r="D51" s="422">
        <f t="shared" si="11"/>
        <v>2</v>
      </c>
      <c r="E51" s="423">
        <v>2</v>
      </c>
      <c r="F51" s="830"/>
      <c r="G51" s="830"/>
      <c r="H51" s="424">
        <v>39291</v>
      </c>
      <c r="I51" s="825">
        <f t="shared" si="5"/>
        <v>4</v>
      </c>
      <c r="K51" s="423">
        <v>15</v>
      </c>
      <c r="L51" s="535">
        <v>53.49</v>
      </c>
      <c r="T51" s="280"/>
      <c r="W51"/>
    </row>
    <row r="52" spans="2:23">
      <c r="B52" s="3254"/>
      <c r="C52" s="424">
        <v>39322</v>
      </c>
      <c r="D52" s="422">
        <f t="shared" si="11"/>
        <v>6</v>
      </c>
      <c r="E52" s="423">
        <v>6</v>
      </c>
      <c r="F52" s="830"/>
      <c r="G52" s="830"/>
      <c r="H52" s="424">
        <v>39292</v>
      </c>
      <c r="I52" s="825">
        <f t="shared" si="5"/>
        <v>1</v>
      </c>
      <c r="K52" s="423">
        <v>2</v>
      </c>
      <c r="L52" s="535">
        <v>29.42</v>
      </c>
      <c r="T52" s="280"/>
      <c r="W52"/>
    </row>
    <row r="53" spans="2:23">
      <c r="B53" s="3254"/>
      <c r="C53" s="424">
        <v>39359</v>
      </c>
      <c r="D53" s="422">
        <f t="shared" si="11"/>
        <v>37</v>
      </c>
      <c r="E53" s="423">
        <v>2</v>
      </c>
      <c r="F53" s="830"/>
      <c r="G53" s="830"/>
      <c r="H53" s="424">
        <v>39294</v>
      </c>
      <c r="I53" s="825">
        <f t="shared" si="5"/>
        <v>2</v>
      </c>
      <c r="K53" s="423">
        <v>3</v>
      </c>
      <c r="L53" s="535">
        <v>152.32</v>
      </c>
      <c r="T53" s="280"/>
      <c r="W53"/>
    </row>
    <row r="54" spans="2:23">
      <c r="B54" s="3254"/>
      <c r="C54" s="424">
        <v>39407</v>
      </c>
      <c r="D54" s="422">
        <f t="shared" si="11"/>
        <v>48</v>
      </c>
      <c r="E54" s="423">
        <v>11</v>
      </c>
      <c r="F54" s="830"/>
      <c r="G54" s="830"/>
      <c r="H54" s="424">
        <v>39302</v>
      </c>
      <c r="I54" s="825">
        <f t="shared" si="5"/>
        <v>8</v>
      </c>
      <c r="K54" s="423">
        <v>6</v>
      </c>
      <c r="L54" s="535">
        <v>152.32</v>
      </c>
      <c r="S54" s="280"/>
      <c r="W54"/>
    </row>
    <row r="55" spans="2:23">
      <c r="B55" s="3254"/>
      <c r="C55" s="424">
        <v>39412</v>
      </c>
      <c r="D55" s="422">
        <f t="shared" si="11"/>
        <v>5</v>
      </c>
      <c r="E55" s="423">
        <v>5</v>
      </c>
      <c r="F55" s="830"/>
      <c r="G55" s="830"/>
      <c r="H55" s="424">
        <v>39303</v>
      </c>
      <c r="I55" s="825">
        <f t="shared" si="5"/>
        <v>1</v>
      </c>
      <c r="K55" s="423">
        <v>1</v>
      </c>
      <c r="L55" s="535">
        <v>532.08000000000004</v>
      </c>
      <c r="W55"/>
    </row>
    <row r="56" spans="2:23">
      <c r="B56" s="3254"/>
      <c r="C56" s="424">
        <v>39599</v>
      </c>
      <c r="D56" s="422">
        <f t="shared" si="11"/>
        <v>187</v>
      </c>
      <c r="E56" s="423">
        <v>7</v>
      </c>
      <c r="F56" s="830"/>
      <c r="G56" s="830"/>
      <c r="H56" s="424">
        <v>39304</v>
      </c>
      <c r="I56" s="825">
        <f t="shared" si="5"/>
        <v>1</v>
      </c>
      <c r="K56" s="423">
        <v>2</v>
      </c>
      <c r="L56" s="535">
        <v>75.44</v>
      </c>
      <c r="T56" s="280"/>
      <c r="W56"/>
    </row>
    <row r="57" spans="2:23">
      <c r="B57" s="3254"/>
      <c r="C57" s="424">
        <v>39608</v>
      </c>
      <c r="D57" s="422">
        <f t="shared" si="11"/>
        <v>9</v>
      </c>
      <c r="E57" s="423">
        <v>1</v>
      </c>
      <c r="F57" s="830"/>
      <c r="G57" s="830"/>
      <c r="H57" s="424">
        <v>39312</v>
      </c>
      <c r="I57" s="825">
        <f t="shared" si="5"/>
        <v>8</v>
      </c>
      <c r="K57" s="423">
        <v>2</v>
      </c>
      <c r="L57" s="920">
        <v>23663.53</v>
      </c>
      <c r="S57" s="280"/>
      <c r="W57"/>
    </row>
    <row r="58" spans="2:23">
      <c r="B58" s="3254"/>
      <c r="C58" s="424">
        <v>39624</v>
      </c>
      <c r="D58" s="422">
        <f t="shared" si="11"/>
        <v>16</v>
      </c>
      <c r="E58" s="423">
        <v>1</v>
      </c>
      <c r="F58" s="830"/>
      <c r="G58" s="830"/>
      <c r="H58" s="424">
        <v>39314</v>
      </c>
      <c r="I58" s="825">
        <f t="shared" si="5"/>
        <v>2</v>
      </c>
      <c r="K58" s="423">
        <v>300</v>
      </c>
      <c r="L58" s="535">
        <v>326.2</v>
      </c>
      <c r="M58" s="218"/>
      <c r="N58" s="218"/>
      <c r="O58" s="218"/>
      <c r="P58" s="218"/>
      <c r="Q58" s="218"/>
      <c r="S58" s="280"/>
      <c r="W58"/>
    </row>
    <row r="59" spans="2:23">
      <c r="B59" s="3255"/>
      <c r="C59" s="424">
        <v>40228</v>
      </c>
      <c r="D59" s="422">
        <f t="shared" si="11"/>
        <v>604</v>
      </c>
      <c r="E59" s="428">
        <v>42</v>
      </c>
      <c r="F59" s="830"/>
      <c r="G59" s="830"/>
      <c r="H59" s="424">
        <v>39316</v>
      </c>
      <c r="I59" s="825">
        <f t="shared" si="5"/>
        <v>2</v>
      </c>
      <c r="K59" s="428">
        <v>2</v>
      </c>
      <c r="L59" s="535">
        <v>412.9</v>
      </c>
      <c r="S59" s="280"/>
      <c r="T59" s="280"/>
      <c r="W59"/>
    </row>
    <row r="60" spans="2:23" ht="13.8" thickBot="1">
      <c r="B60" s="3256"/>
      <c r="C60" s="417">
        <v>40574</v>
      </c>
      <c r="D60" s="430">
        <f>+C60-C59</f>
        <v>346</v>
      </c>
      <c r="E60" s="431">
        <v>0</v>
      </c>
      <c r="F60" s="831"/>
      <c r="G60" s="831"/>
      <c r="H60" s="456">
        <v>39319</v>
      </c>
      <c r="I60" s="825">
        <f t="shared" si="5"/>
        <v>3</v>
      </c>
      <c r="K60" s="426">
        <v>11</v>
      </c>
      <c r="L60" s="920">
        <v>2271.15</v>
      </c>
      <c r="T60" s="280"/>
      <c r="W60"/>
    </row>
    <row r="61" spans="2:23">
      <c r="B61" s="3253" t="s">
        <v>85</v>
      </c>
      <c r="C61" s="448">
        <v>39129</v>
      </c>
      <c r="D61" s="828">
        <f>+C61-$D$2</f>
        <v>46</v>
      </c>
      <c r="E61" s="421">
        <v>72</v>
      </c>
      <c r="F61" s="829">
        <f>SUM(D61:D69)/COUNT(E61:E69)</f>
        <v>165.66666666666666</v>
      </c>
      <c r="G61" s="829">
        <f>SUM(E61:E69)/COUNT(E61:E69)</f>
        <v>19.333333333333332</v>
      </c>
      <c r="H61" s="448">
        <v>39321</v>
      </c>
      <c r="I61" s="825">
        <f t="shared" si="5"/>
        <v>2</v>
      </c>
      <c r="K61" s="421">
        <v>1</v>
      </c>
      <c r="L61" s="920">
        <v>1033.93</v>
      </c>
      <c r="T61" s="280"/>
      <c r="W61"/>
    </row>
    <row r="62" spans="2:23">
      <c r="B62" s="3254"/>
      <c r="C62" s="424">
        <v>39312</v>
      </c>
      <c r="D62" s="422">
        <f t="shared" ref="D62:D68" si="12">+C62-C61</f>
        <v>183</v>
      </c>
      <c r="E62" s="423">
        <v>2</v>
      </c>
      <c r="F62" s="830"/>
      <c r="G62" s="830"/>
      <c r="H62" s="424">
        <v>39322</v>
      </c>
      <c r="I62" s="825">
        <f t="shared" si="5"/>
        <v>1</v>
      </c>
      <c r="K62" s="423">
        <v>6</v>
      </c>
      <c r="L62" s="535">
        <v>570.6</v>
      </c>
      <c r="W62"/>
    </row>
    <row r="63" spans="2:23">
      <c r="B63" s="3254"/>
      <c r="C63" s="424">
        <v>39423</v>
      </c>
      <c r="D63" s="422">
        <f t="shared" si="12"/>
        <v>111</v>
      </c>
      <c r="E63" s="423">
        <v>12</v>
      </c>
      <c r="F63" s="830"/>
      <c r="G63" s="830"/>
      <c r="H63" s="424">
        <v>39322</v>
      </c>
      <c r="I63" s="825">
        <f t="shared" si="5"/>
        <v>0</v>
      </c>
      <c r="K63" s="423">
        <v>3</v>
      </c>
      <c r="L63" s="920">
        <v>1559.36</v>
      </c>
      <c r="W63"/>
    </row>
    <row r="64" spans="2:23">
      <c r="B64" s="3254"/>
      <c r="C64" s="424">
        <v>39487</v>
      </c>
      <c r="D64" s="422">
        <f t="shared" si="12"/>
        <v>64</v>
      </c>
      <c r="E64" s="423">
        <v>30</v>
      </c>
      <c r="F64" s="830"/>
      <c r="G64" s="830"/>
      <c r="H64" s="424">
        <v>39323</v>
      </c>
      <c r="I64" s="825">
        <f t="shared" si="5"/>
        <v>1</v>
      </c>
      <c r="K64" s="423">
        <v>8</v>
      </c>
      <c r="L64" s="535">
        <v>367.9</v>
      </c>
      <c r="T64" s="280"/>
      <c r="W64"/>
    </row>
    <row r="65" spans="2:23">
      <c r="B65" s="3254"/>
      <c r="C65" s="424">
        <v>39524</v>
      </c>
      <c r="D65" s="422">
        <f t="shared" si="12"/>
        <v>37</v>
      </c>
      <c r="E65" s="423">
        <v>22</v>
      </c>
      <c r="F65" s="830"/>
      <c r="G65" s="830"/>
      <c r="H65" s="424">
        <v>39328</v>
      </c>
      <c r="I65" s="825">
        <f t="shared" si="5"/>
        <v>5</v>
      </c>
      <c r="K65" s="423">
        <v>3</v>
      </c>
      <c r="L65" s="535">
        <v>128.21</v>
      </c>
      <c r="T65" s="280"/>
      <c r="W65"/>
    </row>
    <row r="66" spans="2:23">
      <c r="B66" s="3254"/>
      <c r="C66" s="449">
        <v>39750</v>
      </c>
      <c r="D66" s="422">
        <f t="shared" si="12"/>
        <v>226</v>
      </c>
      <c r="E66" s="423">
        <v>4</v>
      </c>
      <c r="F66" s="830"/>
      <c r="G66" s="830"/>
      <c r="H66" s="424">
        <v>39329</v>
      </c>
      <c r="I66" s="825">
        <f t="shared" si="5"/>
        <v>1</v>
      </c>
      <c r="K66" s="423">
        <v>2</v>
      </c>
      <c r="L66" s="535">
        <v>152.32</v>
      </c>
      <c r="W66"/>
    </row>
    <row r="67" spans="2:23">
      <c r="B67" s="3254"/>
      <c r="C67" s="424">
        <v>40516</v>
      </c>
      <c r="D67" s="422">
        <f t="shared" si="12"/>
        <v>766</v>
      </c>
      <c r="E67" s="423">
        <v>13</v>
      </c>
      <c r="F67" s="830"/>
      <c r="G67" s="830"/>
      <c r="H67" s="452">
        <v>39331</v>
      </c>
      <c r="I67" s="825">
        <f t="shared" si="5"/>
        <v>2</v>
      </c>
      <c r="K67" s="436">
        <v>2</v>
      </c>
      <c r="L67" s="218">
        <v>226.3</v>
      </c>
      <c r="T67" s="280"/>
      <c r="W67"/>
    </row>
    <row r="68" spans="2:23">
      <c r="B68" s="3255"/>
      <c r="C68" s="424">
        <v>40516</v>
      </c>
      <c r="D68" s="422">
        <f t="shared" si="12"/>
        <v>0</v>
      </c>
      <c r="E68" s="428">
        <v>19</v>
      </c>
      <c r="F68" s="830"/>
      <c r="G68" s="830"/>
      <c r="H68" s="424">
        <v>39332</v>
      </c>
      <c r="I68" s="825">
        <f t="shared" si="5"/>
        <v>1</v>
      </c>
      <c r="K68" s="428">
        <v>21</v>
      </c>
      <c r="L68" s="535">
        <v>528.1</v>
      </c>
      <c r="M68" s="535"/>
      <c r="N68" s="535"/>
      <c r="O68" s="535"/>
      <c r="P68" s="535"/>
      <c r="Q68" s="535"/>
      <c r="S68" s="280"/>
      <c r="W68"/>
    </row>
    <row r="69" spans="2:23" ht="13.8" thickBot="1">
      <c r="B69" s="3256"/>
      <c r="C69" s="417">
        <v>40574</v>
      </c>
      <c r="D69" s="430">
        <f>+C69-C68</f>
        <v>58</v>
      </c>
      <c r="E69" s="431">
        <v>0</v>
      </c>
      <c r="F69" s="831"/>
      <c r="G69" s="831"/>
      <c r="H69" s="456">
        <v>39338</v>
      </c>
      <c r="I69" s="825">
        <f t="shared" si="5"/>
        <v>6</v>
      </c>
      <c r="K69" s="426">
        <v>1</v>
      </c>
      <c r="L69" s="535">
        <v>152.32</v>
      </c>
      <c r="M69" s="535"/>
      <c r="N69" s="535"/>
      <c r="O69" s="535"/>
      <c r="P69" s="535"/>
      <c r="Q69" s="535"/>
      <c r="W69"/>
    </row>
    <row r="70" spans="2:23">
      <c r="B70" s="3253" t="s">
        <v>86</v>
      </c>
      <c r="C70" s="448">
        <v>39100</v>
      </c>
      <c r="D70" s="828">
        <f>+C70-$D$2</f>
        <v>17</v>
      </c>
      <c r="E70" s="421">
        <v>41</v>
      </c>
      <c r="F70" s="824">
        <f>SUM(D70:D86)/COUNT(E70:E86)</f>
        <v>87.705882352941174</v>
      </c>
      <c r="G70" s="824">
        <f>SUM(E70:E86)/COUNT(E70:E86)</f>
        <v>14.941176470588236</v>
      </c>
      <c r="H70" s="448">
        <v>39353</v>
      </c>
      <c r="I70" s="825">
        <f t="shared" ref="I70:I90" si="13">+H70-H69</f>
        <v>15</v>
      </c>
      <c r="K70" s="421">
        <v>1</v>
      </c>
      <c r="L70" s="535">
        <v>135.74</v>
      </c>
      <c r="M70" s="535"/>
      <c r="N70" s="535"/>
      <c r="O70" s="535"/>
      <c r="P70" s="535"/>
      <c r="Q70" s="535"/>
      <c r="T70" s="280"/>
      <c r="W70"/>
    </row>
    <row r="71" spans="2:23">
      <c r="B71" s="3254"/>
      <c r="C71" s="424">
        <v>39304</v>
      </c>
      <c r="D71" s="422">
        <f t="shared" ref="D71:D85" si="14">+C71-C70</f>
        <v>204</v>
      </c>
      <c r="E71" s="423">
        <v>2</v>
      </c>
      <c r="F71" s="826"/>
      <c r="G71" s="826"/>
      <c r="H71" s="424">
        <v>39359</v>
      </c>
      <c r="I71" s="825">
        <f t="shared" si="13"/>
        <v>6</v>
      </c>
      <c r="K71" s="423">
        <v>2</v>
      </c>
      <c r="L71" s="535">
        <v>378.96</v>
      </c>
      <c r="M71" s="535"/>
      <c r="N71" s="535"/>
      <c r="O71" s="535"/>
      <c r="P71" s="535"/>
      <c r="Q71" s="535"/>
      <c r="S71" s="280"/>
      <c r="W71"/>
    </row>
    <row r="72" spans="2:23">
      <c r="B72" s="3254"/>
      <c r="C72" s="424">
        <v>39321</v>
      </c>
      <c r="D72" s="422">
        <f t="shared" si="14"/>
        <v>17</v>
      </c>
      <c r="E72" s="423">
        <v>1</v>
      </c>
      <c r="F72" s="826"/>
      <c r="G72" s="826"/>
      <c r="H72" s="424">
        <v>39368</v>
      </c>
      <c r="I72" s="825">
        <f t="shared" si="13"/>
        <v>9</v>
      </c>
      <c r="K72" s="423">
        <v>1</v>
      </c>
      <c r="L72" s="535">
        <v>159.22999999999999</v>
      </c>
      <c r="M72" s="535"/>
      <c r="N72" s="535"/>
      <c r="O72" s="535"/>
      <c r="P72" s="535"/>
      <c r="Q72" s="535"/>
      <c r="S72" s="280"/>
      <c r="W72"/>
    </row>
    <row r="73" spans="2:23">
      <c r="B73" s="3254"/>
      <c r="C73" s="424">
        <v>39322</v>
      </c>
      <c r="D73" s="422">
        <f t="shared" si="14"/>
        <v>1</v>
      </c>
      <c r="E73" s="423">
        <v>3</v>
      </c>
      <c r="F73" s="826"/>
      <c r="G73" s="826"/>
      <c r="H73" s="424">
        <v>39368</v>
      </c>
      <c r="I73" s="825">
        <f t="shared" si="13"/>
        <v>0</v>
      </c>
      <c r="K73" s="423">
        <v>4</v>
      </c>
      <c r="L73" s="535">
        <v>110.52</v>
      </c>
      <c r="M73" s="535"/>
      <c r="N73" s="535"/>
      <c r="O73" s="535"/>
      <c r="P73" s="535"/>
      <c r="Q73" s="535"/>
      <c r="T73" s="280"/>
      <c r="W73"/>
    </row>
    <row r="74" spans="2:23">
      <c r="B74" s="3254"/>
      <c r="C74" s="424">
        <v>39435</v>
      </c>
      <c r="D74" s="422">
        <f t="shared" si="14"/>
        <v>113</v>
      </c>
      <c r="E74" s="423">
        <v>46</v>
      </c>
      <c r="F74" s="826"/>
      <c r="G74" s="826"/>
      <c r="H74" s="424">
        <v>39387</v>
      </c>
      <c r="I74" s="825">
        <f t="shared" si="13"/>
        <v>19</v>
      </c>
      <c r="K74" s="423">
        <v>9</v>
      </c>
      <c r="L74" s="920">
        <v>4169.63</v>
      </c>
      <c r="M74" s="535"/>
      <c r="N74" s="535"/>
      <c r="O74" s="535"/>
      <c r="P74" s="535"/>
      <c r="Q74" s="535"/>
      <c r="S74" s="280"/>
      <c r="T74" s="280"/>
      <c r="W74"/>
    </row>
    <row r="75" spans="2:23">
      <c r="B75" s="3254"/>
      <c r="C75" s="424">
        <v>39453</v>
      </c>
      <c r="D75" s="422">
        <f t="shared" si="14"/>
        <v>18</v>
      </c>
      <c r="E75" s="423">
        <v>7</v>
      </c>
      <c r="F75" s="826"/>
      <c r="G75" s="826"/>
      <c r="H75" s="424">
        <v>39387</v>
      </c>
      <c r="I75" s="825">
        <f t="shared" si="13"/>
        <v>0</v>
      </c>
      <c r="K75" s="423">
        <v>11</v>
      </c>
      <c r="L75" s="535">
        <v>113.88</v>
      </c>
      <c r="M75" s="535"/>
      <c r="N75" s="535"/>
      <c r="O75" s="535"/>
      <c r="P75" s="535"/>
      <c r="Q75" s="535"/>
      <c r="W75"/>
    </row>
    <row r="76" spans="2:23">
      <c r="B76" s="3254"/>
      <c r="C76" s="424">
        <v>39513</v>
      </c>
      <c r="D76" s="422">
        <f t="shared" si="14"/>
        <v>60</v>
      </c>
      <c r="E76" s="423">
        <v>60</v>
      </c>
      <c r="F76" s="826"/>
      <c r="G76" s="826"/>
      <c r="H76" s="424">
        <v>39404</v>
      </c>
      <c r="I76" s="825">
        <f t="shared" si="13"/>
        <v>17</v>
      </c>
      <c r="K76" s="423">
        <v>3</v>
      </c>
      <c r="L76" s="535"/>
      <c r="M76" s="535"/>
      <c r="N76" s="535"/>
      <c r="O76" s="535"/>
      <c r="P76" s="535"/>
      <c r="Q76" s="535"/>
      <c r="T76" s="280"/>
      <c r="W76"/>
    </row>
    <row r="77" spans="2:23">
      <c r="B77" s="3254"/>
      <c r="C77" s="449">
        <v>39892</v>
      </c>
      <c r="D77" s="422">
        <f t="shared" si="14"/>
        <v>379</v>
      </c>
      <c r="E77" s="423">
        <v>18</v>
      </c>
      <c r="F77" s="826"/>
      <c r="G77" s="826"/>
      <c r="H77" s="424">
        <v>39406</v>
      </c>
      <c r="I77" s="825">
        <f t="shared" si="13"/>
        <v>2</v>
      </c>
      <c r="K77" s="423">
        <v>3</v>
      </c>
      <c r="L77" s="535"/>
      <c r="M77" s="535"/>
      <c r="N77" s="535"/>
      <c r="O77" s="535"/>
      <c r="P77" s="535"/>
      <c r="Q77" s="535"/>
      <c r="W77"/>
    </row>
    <row r="78" spans="2:23">
      <c r="B78" s="3254"/>
      <c r="C78" s="449">
        <v>39957</v>
      </c>
      <c r="D78" s="422">
        <f t="shared" si="14"/>
        <v>65</v>
      </c>
      <c r="E78" s="423">
        <v>2</v>
      </c>
      <c r="F78" s="826"/>
      <c r="G78" s="826"/>
      <c r="H78" s="424">
        <v>39407</v>
      </c>
      <c r="I78" s="825">
        <f t="shared" si="13"/>
        <v>1</v>
      </c>
      <c r="K78" s="423">
        <v>11</v>
      </c>
      <c r="L78" s="535"/>
      <c r="M78" s="535"/>
      <c r="N78" s="535"/>
      <c r="O78" s="535"/>
      <c r="P78" s="535"/>
      <c r="Q78" s="535"/>
      <c r="T78" s="280"/>
      <c r="W78"/>
    </row>
    <row r="79" spans="2:23">
      <c r="B79" s="3254"/>
      <c r="C79" s="449">
        <v>39961</v>
      </c>
      <c r="D79" s="422">
        <f t="shared" si="14"/>
        <v>4</v>
      </c>
      <c r="E79" s="423">
        <v>11</v>
      </c>
      <c r="F79" s="826"/>
      <c r="G79" s="826"/>
      <c r="H79" s="424">
        <v>39412</v>
      </c>
      <c r="I79" s="825">
        <f t="shared" si="13"/>
        <v>5</v>
      </c>
      <c r="K79" s="423">
        <v>5</v>
      </c>
      <c r="L79" s="535"/>
      <c r="M79" s="535"/>
      <c r="N79" s="535"/>
      <c r="O79" s="535"/>
      <c r="P79" s="535"/>
      <c r="Q79" s="535"/>
      <c r="W79"/>
    </row>
    <row r="80" spans="2:23">
      <c r="B80" s="3254"/>
      <c r="C80" s="424">
        <v>40249</v>
      </c>
      <c r="D80" s="422">
        <f t="shared" si="14"/>
        <v>288</v>
      </c>
      <c r="E80" s="423">
        <v>20</v>
      </c>
      <c r="F80" s="826"/>
      <c r="G80" s="826"/>
      <c r="H80" s="424">
        <v>39415</v>
      </c>
      <c r="I80" s="825">
        <f t="shared" si="13"/>
        <v>3</v>
      </c>
      <c r="K80" s="423">
        <v>21</v>
      </c>
      <c r="L80" s="535"/>
      <c r="M80" s="535"/>
      <c r="N80" s="535"/>
      <c r="O80" s="535"/>
      <c r="P80" s="535"/>
      <c r="Q80" s="535"/>
      <c r="W80"/>
    </row>
    <row r="81" spans="2:23">
      <c r="B81" s="3254"/>
      <c r="C81" s="424">
        <v>40266</v>
      </c>
      <c r="D81" s="422">
        <f t="shared" si="14"/>
        <v>17</v>
      </c>
      <c r="E81" s="423">
        <v>6</v>
      </c>
      <c r="F81" s="826"/>
      <c r="G81" s="826"/>
      <c r="H81" s="424">
        <v>39418</v>
      </c>
      <c r="I81" s="825">
        <f t="shared" si="13"/>
        <v>3</v>
      </c>
      <c r="K81" s="423">
        <v>6</v>
      </c>
      <c r="L81" s="535"/>
      <c r="M81" s="535"/>
      <c r="N81" s="535"/>
      <c r="O81" s="535"/>
      <c r="P81" s="535"/>
      <c r="Q81" s="535"/>
      <c r="W81"/>
    </row>
    <row r="82" spans="2:23">
      <c r="B82" s="3254"/>
      <c r="C82" s="424">
        <v>40379</v>
      </c>
      <c r="D82" s="422">
        <f t="shared" si="14"/>
        <v>113</v>
      </c>
      <c r="E82" s="432">
        <v>3</v>
      </c>
      <c r="F82" s="826"/>
      <c r="G82" s="826"/>
      <c r="H82" s="452">
        <v>39420</v>
      </c>
      <c r="I82" s="825">
        <f t="shared" si="13"/>
        <v>2</v>
      </c>
      <c r="K82" s="436">
        <v>4</v>
      </c>
      <c r="L82" s="218"/>
      <c r="M82" s="218"/>
      <c r="N82" s="218"/>
      <c r="O82" s="218"/>
      <c r="P82" s="218"/>
      <c r="Q82" s="218"/>
      <c r="W82"/>
    </row>
    <row r="83" spans="2:23">
      <c r="B83" s="3254"/>
      <c r="C83" s="424">
        <v>40404</v>
      </c>
      <c r="D83" s="422">
        <f t="shared" si="14"/>
        <v>25</v>
      </c>
      <c r="E83" s="423">
        <v>3</v>
      </c>
      <c r="F83" s="826"/>
      <c r="G83" s="826"/>
      <c r="H83" s="424">
        <v>39423</v>
      </c>
      <c r="I83" s="825">
        <f t="shared" si="13"/>
        <v>3</v>
      </c>
      <c r="K83" s="423">
        <v>12</v>
      </c>
      <c r="L83" s="535"/>
      <c r="M83" s="535"/>
      <c r="N83" s="535"/>
      <c r="O83" s="535"/>
      <c r="P83" s="535"/>
      <c r="Q83" s="535"/>
      <c r="W83"/>
    </row>
    <row r="84" spans="2:23">
      <c r="B84" s="3254"/>
      <c r="C84" s="424">
        <v>40429</v>
      </c>
      <c r="D84" s="422">
        <f t="shared" si="14"/>
        <v>25</v>
      </c>
      <c r="E84" s="423">
        <v>28</v>
      </c>
      <c r="F84" s="826"/>
      <c r="G84" s="826"/>
      <c r="H84" s="424">
        <v>39430</v>
      </c>
      <c r="I84" s="825">
        <f t="shared" si="13"/>
        <v>7</v>
      </c>
      <c r="K84" s="423">
        <v>2</v>
      </c>
      <c r="L84" s="535"/>
      <c r="M84" s="535"/>
      <c r="N84" s="535"/>
      <c r="O84" s="535"/>
      <c r="P84" s="535"/>
      <c r="Q84" s="535"/>
      <c r="W84"/>
    </row>
    <row r="85" spans="2:23">
      <c r="B85" s="3255"/>
      <c r="C85" s="424">
        <v>40460</v>
      </c>
      <c r="D85" s="422">
        <f t="shared" si="14"/>
        <v>31</v>
      </c>
      <c r="E85" s="428">
        <v>3</v>
      </c>
      <c r="F85" s="826"/>
      <c r="G85" s="826"/>
      <c r="H85" s="452">
        <v>39430</v>
      </c>
      <c r="I85" s="825">
        <f t="shared" si="13"/>
        <v>0</v>
      </c>
      <c r="K85" s="462">
        <v>17</v>
      </c>
      <c r="L85" s="218"/>
      <c r="M85" s="218"/>
      <c r="N85" s="218"/>
      <c r="O85" s="218"/>
      <c r="P85" s="218"/>
      <c r="Q85" s="218"/>
      <c r="S85" s="280"/>
      <c r="W85"/>
    </row>
    <row r="86" spans="2:23" ht="13.8" thickBot="1">
      <c r="B86" s="3256"/>
      <c r="C86" s="417">
        <v>40574</v>
      </c>
      <c r="D86" s="425">
        <f>+C86-C85</f>
        <v>114</v>
      </c>
      <c r="E86" s="426">
        <v>0</v>
      </c>
      <c r="F86" s="827"/>
      <c r="G86" s="827"/>
      <c r="H86" s="456">
        <v>39431</v>
      </c>
      <c r="I86" s="825">
        <f t="shared" si="13"/>
        <v>1</v>
      </c>
      <c r="K86" s="426">
        <v>11</v>
      </c>
      <c r="L86" s="535"/>
      <c r="M86" s="535"/>
      <c r="N86" s="535"/>
      <c r="O86" s="535"/>
      <c r="P86" s="535"/>
      <c r="Q86" s="535"/>
      <c r="W86"/>
    </row>
    <row r="87" spans="2:23">
      <c r="B87" s="3253" t="s">
        <v>87</v>
      </c>
      <c r="C87" s="448">
        <v>39091</v>
      </c>
      <c r="D87" s="828">
        <f>+C87-$D$2</f>
        <v>8</v>
      </c>
      <c r="E87" s="421">
        <v>2</v>
      </c>
      <c r="F87" s="829">
        <f>SUM(D87:D110)/COUNT(E87:E110)</f>
        <v>63.125</v>
      </c>
      <c r="G87" s="829">
        <f>SUM(E87:E110)/COUNT(E87:E110)</f>
        <v>13.25</v>
      </c>
      <c r="H87" s="451">
        <v>39433</v>
      </c>
      <c r="I87" s="825">
        <f t="shared" si="13"/>
        <v>2</v>
      </c>
      <c r="K87" s="435">
        <v>3</v>
      </c>
      <c r="L87" s="218"/>
      <c r="M87" s="218"/>
      <c r="N87" s="218"/>
      <c r="O87" s="218"/>
      <c r="P87" s="218"/>
      <c r="Q87" s="218"/>
      <c r="W87"/>
    </row>
    <row r="88" spans="2:23">
      <c r="B88" s="3254"/>
      <c r="C88" s="424">
        <v>39143</v>
      </c>
      <c r="D88" s="422">
        <f t="shared" ref="D88:D109" si="15">+C88-C87</f>
        <v>52</v>
      </c>
      <c r="E88" s="423">
        <v>17</v>
      </c>
      <c r="F88" s="830"/>
      <c r="G88" s="830"/>
      <c r="H88" s="424">
        <v>39434</v>
      </c>
      <c r="I88" s="825">
        <f t="shared" si="13"/>
        <v>1</v>
      </c>
      <c r="K88" s="423">
        <v>2</v>
      </c>
      <c r="L88" s="535"/>
      <c r="M88" s="535"/>
      <c r="N88" s="535"/>
      <c r="O88" s="535"/>
      <c r="P88" s="535"/>
      <c r="Q88" s="535"/>
      <c r="W88"/>
    </row>
    <row r="89" spans="2:23">
      <c r="B89" s="3254"/>
      <c r="C89" s="424">
        <v>39151</v>
      </c>
      <c r="D89" s="422">
        <f t="shared" si="15"/>
        <v>8</v>
      </c>
      <c r="E89" s="423">
        <v>3</v>
      </c>
      <c r="F89" s="830"/>
      <c r="G89" s="830"/>
      <c r="H89" s="424">
        <v>39435</v>
      </c>
      <c r="I89" s="825">
        <f t="shared" si="13"/>
        <v>1</v>
      </c>
      <c r="K89" s="423">
        <v>46</v>
      </c>
      <c r="L89" s="535"/>
      <c r="M89" s="535"/>
      <c r="N89" s="535"/>
      <c r="O89" s="535"/>
      <c r="P89" s="535"/>
      <c r="Q89" s="535"/>
      <c r="W89"/>
    </row>
    <row r="90" spans="2:23">
      <c r="B90" s="3254"/>
      <c r="C90" s="424">
        <v>39196</v>
      </c>
      <c r="D90" s="422">
        <f t="shared" si="15"/>
        <v>45</v>
      </c>
      <c r="E90" s="423">
        <v>1</v>
      </c>
      <c r="F90" s="830"/>
      <c r="G90" s="830"/>
      <c r="H90" s="1257">
        <v>39443</v>
      </c>
      <c r="I90" s="825">
        <f t="shared" si="13"/>
        <v>8</v>
      </c>
      <c r="K90" s="423">
        <v>7</v>
      </c>
      <c r="L90" s="535"/>
      <c r="M90" s="535"/>
      <c r="N90" s="535"/>
      <c r="O90" s="535"/>
      <c r="P90" s="535"/>
      <c r="Q90" s="535"/>
      <c r="W90"/>
    </row>
    <row r="91" spans="2:23">
      <c r="B91" s="3254"/>
      <c r="C91" s="424">
        <v>39221</v>
      </c>
      <c r="D91" s="422">
        <f t="shared" si="15"/>
        <v>25</v>
      </c>
      <c r="E91" s="423">
        <v>2</v>
      </c>
      <c r="F91" s="830"/>
      <c r="G91" s="830"/>
      <c r="H91" s="424">
        <v>39453</v>
      </c>
      <c r="I91" s="825">
        <f t="shared" ref="I91:I154" si="16">+H91-H90</f>
        <v>10</v>
      </c>
      <c r="K91" s="423">
        <v>7</v>
      </c>
      <c r="L91" s="535"/>
      <c r="M91" s="535"/>
      <c r="N91" s="535"/>
      <c r="O91" s="535"/>
      <c r="P91" s="535"/>
      <c r="Q91" s="535"/>
      <c r="W91"/>
    </row>
    <row r="92" spans="2:23">
      <c r="B92" s="3254"/>
      <c r="C92" s="424">
        <v>39241</v>
      </c>
      <c r="D92" s="422">
        <f t="shared" si="15"/>
        <v>20</v>
      </c>
      <c r="E92" s="423">
        <v>5</v>
      </c>
      <c r="F92" s="830"/>
      <c r="G92" s="830"/>
      <c r="H92" s="424">
        <v>39458</v>
      </c>
      <c r="I92" s="825">
        <f t="shared" si="16"/>
        <v>5</v>
      </c>
      <c r="K92" s="423">
        <v>10</v>
      </c>
      <c r="L92" s="535"/>
      <c r="M92" s="535"/>
      <c r="N92" s="535"/>
      <c r="O92" s="535"/>
      <c r="P92" s="535"/>
      <c r="Q92" s="535"/>
      <c r="W92"/>
    </row>
    <row r="93" spans="2:23">
      <c r="B93" s="3254"/>
      <c r="C93" s="424">
        <v>39404</v>
      </c>
      <c r="D93" s="422">
        <f t="shared" si="15"/>
        <v>163</v>
      </c>
      <c r="E93" s="423">
        <v>3</v>
      </c>
      <c r="F93" s="830"/>
      <c r="G93" s="830"/>
      <c r="H93" s="424">
        <v>39472</v>
      </c>
      <c r="I93" s="825">
        <f t="shared" si="16"/>
        <v>14</v>
      </c>
      <c r="K93" s="423">
        <v>4</v>
      </c>
      <c r="L93" s="535"/>
      <c r="M93" s="535"/>
      <c r="N93" s="535"/>
      <c r="O93" s="535"/>
      <c r="P93" s="535"/>
      <c r="Q93" s="535"/>
      <c r="W93"/>
    </row>
    <row r="94" spans="2:23">
      <c r="B94" s="3254"/>
      <c r="C94" s="424">
        <v>39643</v>
      </c>
      <c r="D94" s="422">
        <f t="shared" si="15"/>
        <v>239</v>
      </c>
      <c r="E94" s="423">
        <v>15</v>
      </c>
      <c r="F94" s="830"/>
      <c r="G94" s="830"/>
      <c r="H94" s="452">
        <v>39475</v>
      </c>
      <c r="I94" s="825">
        <f t="shared" si="16"/>
        <v>3</v>
      </c>
      <c r="K94" s="436">
        <v>3</v>
      </c>
      <c r="L94" s="218"/>
      <c r="M94" s="218"/>
      <c r="N94" s="218"/>
      <c r="O94" s="218"/>
      <c r="P94" s="218"/>
      <c r="Q94" s="218"/>
      <c r="W94"/>
    </row>
    <row r="95" spans="2:23">
      <c r="B95" s="3254"/>
      <c r="C95" s="424">
        <v>39655</v>
      </c>
      <c r="D95" s="422">
        <f t="shared" si="15"/>
        <v>12</v>
      </c>
      <c r="E95" s="423">
        <v>15</v>
      </c>
      <c r="F95" s="830"/>
      <c r="G95" s="830"/>
      <c r="H95" s="424">
        <v>39476</v>
      </c>
      <c r="I95" s="825">
        <f t="shared" si="16"/>
        <v>1</v>
      </c>
      <c r="K95" s="423">
        <v>3</v>
      </c>
      <c r="L95" s="535"/>
      <c r="M95" s="535"/>
      <c r="N95" s="535"/>
      <c r="O95" s="535"/>
      <c r="P95" s="535"/>
      <c r="Q95" s="535"/>
      <c r="W95"/>
    </row>
    <row r="96" spans="2:23">
      <c r="B96" s="3254"/>
      <c r="C96" s="424">
        <v>39665</v>
      </c>
      <c r="D96" s="422">
        <f t="shared" si="15"/>
        <v>10</v>
      </c>
      <c r="E96" s="423">
        <v>8</v>
      </c>
      <c r="F96" s="830"/>
      <c r="G96" s="830"/>
      <c r="H96" s="424">
        <v>39485</v>
      </c>
      <c r="I96" s="825">
        <f t="shared" si="16"/>
        <v>9</v>
      </c>
      <c r="K96" s="423">
        <v>7</v>
      </c>
      <c r="L96" s="535"/>
      <c r="M96" s="535"/>
      <c r="N96" s="535"/>
      <c r="O96" s="535"/>
      <c r="P96" s="535"/>
      <c r="Q96" s="535"/>
      <c r="W96"/>
    </row>
    <row r="97" spans="2:23">
      <c r="B97" s="3254"/>
      <c r="C97" s="424">
        <v>39688</v>
      </c>
      <c r="D97" s="422">
        <f t="shared" si="15"/>
        <v>23</v>
      </c>
      <c r="E97" s="423">
        <v>30</v>
      </c>
      <c r="F97" s="830"/>
      <c r="G97" s="830"/>
      <c r="H97" s="424">
        <v>39487</v>
      </c>
      <c r="I97" s="825">
        <f t="shared" si="16"/>
        <v>2</v>
      </c>
      <c r="K97" s="423">
        <v>30</v>
      </c>
      <c r="L97" s="535"/>
      <c r="M97" s="535"/>
      <c r="N97" s="535"/>
      <c r="O97" s="535"/>
      <c r="P97" s="535"/>
      <c r="Q97" s="535"/>
      <c r="W97"/>
    </row>
    <row r="98" spans="2:23">
      <c r="B98" s="3254"/>
      <c r="C98" s="449">
        <v>39818</v>
      </c>
      <c r="D98" s="422">
        <f t="shared" si="15"/>
        <v>130</v>
      </c>
      <c r="E98" s="423">
        <v>16</v>
      </c>
      <c r="F98" s="830"/>
      <c r="G98" s="830"/>
      <c r="H98" s="424">
        <v>39510</v>
      </c>
      <c r="I98" s="825">
        <f t="shared" si="16"/>
        <v>23</v>
      </c>
      <c r="K98" s="423">
        <v>4</v>
      </c>
      <c r="L98" s="535"/>
      <c r="M98" s="535"/>
      <c r="N98" s="535"/>
      <c r="O98" s="535"/>
      <c r="P98" s="535"/>
      <c r="Q98" s="535"/>
      <c r="W98"/>
    </row>
    <row r="99" spans="2:23">
      <c r="B99" s="3254"/>
      <c r="C99" s="449">
        <v>39842</v>
      </c>
      <c r="D99" s="422">
        <f t="shared" si="15"/>
        <v>24</v>
      </c>
      <c r="E99" s="423">
        <v>10</v>
      </c>
      <c r="F99" s="830"/>
      <c r="G99" s="830"/>
      <c r="H99" s="424">
        <v>39513</v>
      </c>
      <c r="I99" s="825">
        <f t="shared" si="16"/>
        <v>3</v>
      </c>
      <c r="K99" s="423">
        <v>60</v>
      </c>
      <c r="L99" s="535"/>
      <c r="M99" s="535"/>
      <c r="N99" s="535"/>
      <c r="O99" s="535"/>
      <c r="P99" s="535"/>
      <c r="Q99" s="535"/>
      <c r="W99"/>
    </row>
    <row r="100" spans="2:23">
      <c r="B100" s="3254"/>
      <c r="C100" s="449">
        <v>39842</v>
      </c>
      <c r="D100" s="422">
        <f>+C100-C98</f>
        <v>24</v>
      </c>
      <c r="E100" s="423">
        <v>1</v>
      </c>
      <c r="F100" s="830"/>
      <c r="G100" s="830"/>
      <c r="H100" s="424">
        <v>39524</v>
      </c>
      <c r="I100" s="825">
        <f t="shared" si="16"/>
        <v>11</v>
      </c>
      <c r="K100" s="423">
        <v>22</v>
      </c>
      <c r="L100" s="535"/>
      <c r="M100" s="535"/>
      <c r="N100" s="535"/>
      <c r="O100" s="535"/>
      <c r="P100" s="535"/>
      <c r="Q100" s="535"/>
      <c r="W100"/>
    </row>
    <row r="101" spans="2:23">
      <c r="B101" s="3254"/>
      <c r="C101" s="449">
        <v>39856</v>
      </c>
      <c r="D101" s="422">
        <f>+C101-C99</f>
        <v>14</v>
      </c>
      <c r="E101" s="423">
        <v>5</v>
      </c>
      <c r="F101" s="830"/>
      <c r="G101" s="830"/>
      <c r="H101" s="424">
        <v>39524</v>
      </c>
      <c r="I101" s="825">
        <f t="shared" si="16"/>
        <v>0</v>
      </c>
      <c r="K101" s="423">
        <v>2</v>
      </c>
      <c r="L101" s="535"/>
      <c r="M101" s="535"/>
      <c r="N101" s="535"/>
      <c r="O101" s="535"/>
      <c r="P101" s="535"/>
      <c r="Q101" s="535"/>
      <c r="W101"/>
    </row>
    <row r="102" spans="2:23">
      <c r="B102" s="3254"/>
      <c r="C102" s="449">
        <v>39890</v>
      </c>
      <c r="D102" s="422">
        <f t="shared" si="15"/>
        <v>34</v>
      </c>
      <c r="E102" s="423">
        <v>6</v>
      </c>
      <c r="F102" s="830"/>
      <c r="G102" s="830"/>
      <c r="H102" s="424">
        <v>39532</v>
      </c>
      <c r="I102" s="825">
        <f t="shared" si="16"/>
        <v>8</v>
      </c>
      <c r="K102" s="423">
        <v>14</v>
      </c>
      <c r="L102" s="535"/>
      <c r="M102" s="535"/>
      <c r="N102" s="535"/>
      <c r="O102" s="535"/>
      <c r="P102" s="535"/>
      <c r="Q102" s="535"/>
      <c r="W102"/>
    </row>
    <row r="103" spans="2:23">
      <c r="B103" s="3254"/>
      <c r="C103" s="449">
        <v>39957</v>
      </c>
      <c r="D103" s="422">
        <f t="shared" si="15"/>
        <v>67</v>
      </c>
      <c r="E103" s="423">
        <v>11</v>
      </c>
      <c r="F103" s="830"/>
      <c r="G103" s="830"/>
      <c r="H103" s="424">
        <v>39532</v>
      </c>
      <c r="I103" s="825">
        <f t="shared" si="16"/>
        <v>0</v>
      </c>
      <c r="K103" s="423">
        <v>8</v>
      </c>
      <c r="L103" s="535"/>
      <c r="M103" s="535"/>
      <c r="N103" s="535"/>
      <c r="O103" s="535"/>
      <c r="P103" s="535"/>
      <c r="Q103" s="535"/>
      <c r="W103"/>
    </row>
    <row r="104" spans="2:23">
      <c r="B104" s="3254"/>
      <c r="C104" s="449">
        <v>40018</v>
      </c>
      <c r="D104" s="422">
        <f t="shared" si="15"/>
        <v>61</v>
      </c>
      <c r="E104" s="423">
        <v>51</v>
      </c>
      <c r="F104" s="830"/>
      <c r="G104" s="830"/>
      <c r="H104" s="424">
        <v>39532</v>
      </c>
      <c r="I104" s="825">
        <f t="shared" si="16"/>
        <v>0</v>
      </c>
      <c r="K104" s="423">
        <v>1</v>
      </c>
      <c r="L104" s="535"/>
      <c r="M104" s="535"/>
      <c r="N104" s="535"/>
      <c r="O104" s="535"/>
      <c r="P104" s="535"/>
      <c r="Q104" s="535"/>
      <c r="W104"/>
    </row>
    <row r="105" spans="2:23">
      <c r="B105" s="3254"/>
      <c r="C105" s="424">
        <v>40109</v>
      </c>
      <c r="D105" s="422">
        <f t="shared" si="15"/>
        <v>91</v>
      </c>
      <c r="E105" s="423">
        <v>30</v>
      </c>
      <c r="F105" s="830"/>
      <c r="G105" s="830"/>
      <c r="H105" s="424">
        <v>39534</v>
      </c>
      <c r="I105" s="825">
        <f t="shared" si="16"/>
        <v>2</v>
      </c>
      <c r="K105" s="423">
        <v>2</v>
      </c>
      <c r="L105" s="535"/>
      <c r="M105" s="535"/>
      <c r="N105" s="535"/>
      <c r="O105" s="535"/>
      <c r="P105" s="535"/>
      <c r="Q105" s="535"/>
      <c r="W105"/>
    </row>
    <row r="106" spans="2:23">
      <c r="B106" s="3254"/>
      <c r="C106" s="424">
        <v>40112</v>
      </c>
      <c r="D106" s="422">
        <f t="shared" si="15"/>
        <v>3</v>
      </c>
      <c r="E106" s="423">
        <v>16</v>
      </c>
      <c r="F106" s="830"/>
      <c r="G106" s="830"/>
      <c r="H106" s="424">
        <v>39539</v>
      </c>
      <c r="I106" s="825">
        <f t="shared" si="16"/>
        <v>5</v>
      </c>
      <c r="K106" s="423">
        <v>2</v>
      </c>
      <c r="L106" s="535"/>
      <c r="M106" s="535"/>
      <c r="N106" s="535"/>
      <c r="O106" s="535"/>
      <c r="P106" s="535"/>
      <c r="Q106" s="535"/>
      <c r="W106"/>
    </row>
    <row r="107" spans="2:23">
      <c r="B107" s="3254"/>
      <c r="C107" s="424">
        <v>40136</v>
      </c>
      <c r="D107" s="422">
        <f t="shared" si="15"/>
        <v>24</v>
      </c>
      <c r="E107" s="423">
        <v>9</v>
      </c>
      <c r="F107" s="830"/>
      <c r="G107" s="830"/>
      <c r="H107" s="452">
        <v>39541</v>
      </c>
      <c r="I107" s="825">
        <f t="shared" si="16"/>
        <v>2</v>
      </c>
      <c r="K107" s="436">
        <v>20</v>
      </c>
      <c r="L107" s="218"/>
      <c r="M107" s="218"/>
      <c r="N107" s="218"/>
      <c r="O107" s="218"/>
      <c r="P107" s="218"/>
      <c r="Q107" s="218"/>
      <c r="W107"/>
    </row>
    <row r="108" spans="2:23">
      <c r="B108" s="3254"/>
      <c r="C108" s="424">
        <v>40355</v>
      </c>
      <c r="D108" s="422">
        <f t="shared" si="15"/>
        <v>219</v>
      </c>
      <c r="E108" s="423">
        <v>60</v>
      </c>
      <c r="F108" s="830"/>
      <c r="G108" s="830"/>
      <c r="H108" s="424">
        <v>39560</v>
      </c>
      <c r="I108" s="825">
        <f t="shared" si="16"/>
        <v>19</v>
      </c>
      <c r="K108" s="423">
        <v>2</v>
      </c>
      <c r="L108" s="535"/>
      <c r="M108" s="535"/>
      <c r="N108" s="535"/>
      <c r="O108" s="535"/>
      <c r="P108" s="535"/>
      <c r="Q108" s="535"/>
      <c r="W108"/>
    </row>
    <row r="109" spans="2:23">
      <c r="B109" s="3255"/>
      <c r="C109" s="424">
        <v>40385</v>
      </c>
      <c r="D109" s="422">
        <f t="shared" si="15"/>
        <v>30</v>
      </c>
      <c r="E109" s="428">
        <v>2</v>
      </c>
      <c r="F109" s="830"/>
      <c r="G109" s="830"/>
      <c r="H109" s="424">
        <v>39570</v>
      </c>
      <c r="I109" s="825">
        <f t="shared" si="16"/>
        <v>10</v>
      </c>
      <c r="K109" s="428">
        <v>3</v>
      </c>
      <c r="L109" s="535"/>
      <c r="M109" s="535"/>
      <c r="N109" s="535"/>
      <c r="O109" s="535"/>
      <c r="P109" s="535"/>
      <c r="Q109" s="535"/>
      <c r="W109"/>
    </row>
    <row r="110" spans="2:23" ht="13.8" thickBot="1">
      <c r="B110" s="3256"/>
      <c r="C110" s="417">
        <v>40574</v>
      </c>
      <c r="D110" s="425">
        <f>+C110-C109</f>
        <v>189</v>
      </c>
      <c r="E110" s="426">
        <v>0</v>
      </c>
      <c r="F110" s="831"/>
      <c r="G110" s="831"/>
      <c r="H110" s="456">
        <v>39574</v>
      </c>
      <c r="I110" s="825">
        <f t="shared" si="16"/>
        <v>4</v>
      </c>
      <c r="K110" s="426">
        <v>4</v>
      </c>
      <c r="L110" s="535"/>
      <c r="M110" s="535"/>
      <c r="N110" s="535"/>
      <c r="O110" s="535"/>
      <c r="P110" s="535"/>
      <c r="Q110" s="535"/>
      <c r="W110"/>
    </row>
    <row r="111" spans="2:23">
      <c r="B111" s="3253" t="s">
        <v>88</v>
      </c>
      <c r="C111" s="448">
        <v>39140</v>
      </c>
      <c r="D111" s="828">
        <f>+C111-$D$2</f>
        <v>57</v>
      </c>
      <c r="E111" s="421">
        <v>7</v>
      </c>
      <c r="F111" s="829">
        <f>SUM(D111:D127)/COUNT(E111:E127)</f>
        <v>87.705882352941174</v>
      </c>
      <c r="G111" s="829">
        <f>SUM(E111:E127)/COUNT(E111:E127)</f>
        <v>10.941176470588236</v>
      </c>
      <c r="H111" s="448">
        <v>39580</v>
      </c>
      <c r="I111" s="825">
        <f t="shared" si="16"/>
        <v>6</v>
      </c>
      <c r="K111" s="421">
        <v>90</v>
      </c>
      <c r="L111" s="535"/>
      <c r="M111" s="535"/>
      <c r="N111" s="535"/>
      <c r="O111" s="535"/>
      <c r="P111" s="535"/>
      <c r="Q111" s="535"/>
      <c r="W111"/>
    </row>
    <row r="112" spans="2:23">
      <c r="B112" s="3254"/>
      <c r="C112" s="424">
        <v>39164</v>
      </c>
      <c r="D112" s="422">
        <f t="shared" ref="D112:D126" si="17">+C112-C111</f>
        <v>24</v>
      </c>
      <c r="E112" s="423">
        <v>7</v>
      </c>
      <c r="F112" s="830"/>
      <c r="G112" s="830"/>
      <c r="H112" s="424">
        <v>39583</v>
      </c>
      <c r="I112" s="825">
        <f t="shared" si="16"/>
        <v>3</v>
      </c>
      <c r="K112" s="423">
        <v>12</v>
      </c>
      <c r="L112" s="535"/>
      <c r="M112" s="535"/>
      <c r="N112" s="535"/>
      <c r="O112" s="535"/>
      <c r="P112" s="535"/>
      <c r="Q112" s="535"/>
      <c r="W112"/>
    </row>
    <row r="113" spans="2:23">
      <c r="B113" s="3254"/>
      <c r="C113" s="424">
        <v>39253</v>
      </c>
      <c r="D113" s="422">
        <f t="shared" si="17"/>
        <v>89</v>
      </c>
      <c r="E113" s="423">
        <v>2</v>
      </c>
      <c r="F113" s="830"/>
      <c r="G113" s="830"/>
      <c r="H113" s="424">
        <v>39595</v>
      </c>
      <c r="I113" s="825">
        <f t="shared" si="16"/>
        <v>12</v>
      </c>
      <c r="K113" s="423">
        <v>27</v>
      </c>
      <c r="L113" s="535"/>
      <c r="M113" s="535"/>
      <c r="N113" s="535"/>
      <c r="O113" s="535"/>
      <c r="P113" s="535"/>
      <c r="Q113" s="535"/>
      <c r="W113"/>
    </row>
    <row r="114" spans="2:23">
      <c r="B114" s="3254"/>
      <c r="C114" s="424">
        <v>39273</v>
      </c>
      <c r="D114" s="422">
        <f t="shared" si="17"/>
        <v>20</v>
      </c>
      <c r="E114" s="423">
        <v>2</v>
      </c>
      <c r="F114" s="830"/>
      <c r="G114" s="830"/>
      <c r="H114" s="424">
        <v>39599</v>
      </c>
      <c r="I114" s="825">
        <f t="shared" si="16"/>
        <v>4</v>
      </c>
      <c r="K114" s="423">
        <v>7</v>
      </c>
      <c r="L114" s="535"/>
      <c r="M114" s="535"/>
      <c r="N114" s="535"/>
      <c r="O114" s="535"/>
      <c r="P114" s="535"/>
      <c r="Q114" s="535"/>
      <c r="W114"/>
    </row>
    <row r="115" spans="2:23">
      <c r="B115" s="3254"/>
      <c r="C115" s="424">
        <v>39279</v>
      </c>
      <c r="D115" s="422">
        <f t="shared" si="17"/>
        <v>6</v>
      </c>
      <c r="E115" s="423">
        <v>1</v>
      </c>
      <c r="F115" s="830"/>
      <c r="G115" s="830"/>
      <c r="H115" s="424">
        <v>39608</v>
      </c>
      <c r="I115" s="825">
        <f t="shared" si="16"/>
        <v>9</v>
      </c>
      <c r="K115" s="423">
        <v>1</v>
      </c>
      <c r="L115" s="535"/>
      <c r="M115" s="535"/>
      <c r="N115" s="535"/>
      <c r="O115" s="535"/>
      <c r="P115" s="535"/>
      <c r="Q115" s="535"/>
      <c r="W115"/>
    </row>
    <row r="116" spans="2:23">
      <c r="B116" s="3254"/>
      <c r="C116" s="424">
        <v>39303</v>
      </c>
      <c r="D116" s="422">
        <f t="shared" si="17"/>
        <v>24</v>
      </c>
      <c r="E116" s="423">
        <v>1</v>
      </c>
      <c r="F116" s="830"/>
      <c r="G116" s="830"/>
      <c r="H116" s="424">
        <v>39610</v>
      </c>
      <c r="I116" s="825">
        <f t="shared" si="16"/>
        <v>2</v>
      </c>
      <c r="K116" s="423">
        <v>4</v>
      </c>
      <c r="L116" s="535"/>
      <c r="M116" s="535"/>
      <c r="N116" s="535"/>
      <c r="O116" s="535"/>
      <c r="P116" s="535"/>
      <c r="Q116" s="535"/>
      <c r="W116"/>
    </row>
    <row r="117" spans="2:23">
      <c r="B117" s="3254"/>
      <c r="C117" s="424">
        <v>39560</v>
      </c>
      <c r="D117" s="422">
        <f t="shared" si="17"/>
        <v>257</v>
      </c>
      <c r="E117" s="423">
        <v>2</v>
      </c>
      <c r="F117" s="830"/>
      <c r="G117" s="830"/>
      <c r="H117" s="424">
        <v>39624</v>
      </c>
      <c r="I117" s="825">
        <f t="shared" si="16"/>
        <v>14</v>
      </c>
      <c r="K117" s="423">
        <v>1</v>
      </c>
      <c r="L117" s="535"/>
      <c r="M117" s="535"/>
      <c r="N117" s="535"/>
      <c r="O117" s="535"/>
      <c r="P117" s="535"/>
      <c r="Q117" s="535"/>
      <c r="W117"/>
    </row>
    <row r="118" spans="2:23">
      <c r="B118" s="3254"/>
      <c r="C118" s="424">
        <v>39626</v>
      </c>
      <c r="D118" s="422">
        <f t="shared" si="17"/>
        <v>66</v>
      </c>
      <c r="E118" s="423">
        <v>3</v>
      </c>
      <c r="F118" s="830"/>
      <c r="G118" s="830"/>
      <c r="H118" s="424">
        <v>39626</v>
      </c>
      <c r="I118" s="825">
        <f t="shared" si="16"/>
        <v>2</v>
      </c>
      <c r="K118" s="423">
        <v>3</v>
      </c>
      <c r="L118" s="535"/>
      <c r="M118" s="535"/>
      <c r="N118" s="535"/>
      <c r="O118" s="535"/>
      <c r="P118" s="535"/>
      <c r="Q118" s="535"/>
      <c r="W118"/>
    </row>
    <row r="119" spans="2:23">
      <c r="B119" s="3254"/>
      <c r="C119" s="424">
        <v>39641</v>
      </c>
      <c r="D119" s="422">
        <f t="shared" si="17"/>
        <v>15</v>
      </c>
      <c r="E119" s="423">
        <v>56</v>
      </c>
      <c r="F119" s="830"/>
      <c r="G119" s="830"/>
      <c r="H119" s="424">
        <v>39627</v>
      </c>
      <c r="I119" s="825">
        <f t="shared" si="16"/>
        <v>1</v>
      </c>
      <c r="K119" s="423">
        <v>30</v>
      </c>
      <c r="L119" s="535"/>
      <c r="M119" s="535"/>
      <c r="N119" s="535"/>
      <c r="O119" s="535"/>
      <c r="P119" s="535"/>
      <c r="Q119" s="535"/>
      <c r="W119"/>
    </row>
    <row r="120" spans="2:23">
      <c r="B120" s="3254"/>
      <c r="C120" s="449">
        <v>39928</v>
      </c>
      <c r="D120" s="422">
        <f t="shared" si="17"/>
        <v>287</v>
      </c>
      <c r="E120" s="423">
        <v>20</v>
      </c>
      <c r="F120" s="830"/>
      <c r="G120" s="830"/>
      <c r="H120" s="424">
        <v>39632</v>
      </c>
      <c r="I120" s="825">
        <f t="shared" si="16"/>
        <v>5</v>
      </c>
      <c r="K120" s="423">
        <v>10</v>
      </c>
      <c r="L120" s="535"/>
      <c r="M120" s="535"/>
      <c r="N120" s="535"/>
      <c r="O120" s="535"/>
      <c r="P120" s="535"/>
      <c r="Q120" s="535"/>
      <c r="W120"/>
    </row>
    <row r="121" spans="2:23">
      <c r="B121" s="3254"/>
      <c r="C121" s="424">
        <v>40156</v>
      </c>
      <c r="D121" s="422">
        <f t="shared" si="17"/>
        <v>228</v>
      </c>
      <c r="E121" s="423">
        <v>2</v>
      </c>
      <c r="F121" s="830"/>
      <c r="G121" s="830"/>
      <c r="H121" s="424">
        <v>39635</v>
      </c>
      <c r="I121" s="825">
        <f t="shared" si="16"/>
        <v>3</v>
      </c>
      <c r="K121" s="423">
        <v>15</v>
      </c>
      <c r="L121" s="535"/>
      <c r="M121" s="535"/>
      <c r="N121" s="535"/>
      <c r="O121" s="535"/>
      <c r="P121" s="535"/>
      <c r="Q121" s="535"/>
      <c r="W121"/>
    </row>
    <row r="122" spans="2:23">
      <c r="B122" s="3254"/>
      <c r="C122" s="424">
        <v>40226</v>
      </c>
      <c r="D122" s="422">
        <f t="shared" si="17"/>
        <v>70</v>
      </c>
      <c r="E122" s="423">
        <v>45</v>
      </c>
      <c r="F122" s="830"/>
      <c r="G122" s="830"/>
      <c r="H122" s="424">
        <v>39641</v>
      </c>
      <c r="I122" s="825">
        <f t="shared" si="16"/>
        <v>6</v>
      </c>
      <c r="K122" s="423">
        <v>56</v>
      </c>
      <c r="L122" s="535"/>
      <c r="M122" s="535"/>
      <c r="N122" s="535"/>
      <c r="O122" s="535"/>
      <c r="P122" s="535"/>
      <c r="Q122" s="535"/>
      <c r="W122"/>
    </row>
    <row r="123" spans="2:23">
      <c r="B123" s="3254"/>
      <c r="C123" s="424">
        <v>40243</v>
      </c>
      <c r="D123" s="422">
        <f t="shared" si="17"/>
        <v>17</v>
      </c>
      <c r="E123" s="423">
        <v>21</v>
      </c>
      <c r="F123" s="830"/>
      <c r="G123" s="830"/>
      <c r="H123" s="424">
        <v>39643</v>
      </c>
      <c r="I123" s="825">
        <f t="shared" si="16"/>
        <v>2</v>
      </c>
      <c r="K123" s="423">
        <v>15</v>
      </c>
      <c r="L123" s="535"/>
      <c r="M123" s="535"/>
      <c r="N123" s="535"/>
      <c r="O123" s="535"/>
      <c r="P123" s="535"/>
      <c r="Q123" s="535"/>
      <c r="W123"/>
    </row>
    <row r="124" spans="2:23">
      <c r="B124" s="3254"/>
      <c r="C124" s="424">
        <v>40295</v>
      </c>
      <c r="D124" s="422">
        <f t="shared" si="17"/>
        <v>52</v>
      </c>
      <c r="E124" s="423">
        <v>7</v>
      </c>
      <c r="F124" s="830"/>
      <c r="G124" s="830"/>
      <c r="H124" s="424">
        <v>39646</v>
      </c>
      <c r="I124" s="825">
        <f t="shared" si="16"/>
        <v>3</v>
      </c>
      <c r="K124" s="423">
        <v>2</v>
      </c>
      <c r="L124" s="535"/>
      <c r="M124" s="535"/>
      <c r="N124" s="535"/>
      <c r="O124" s="535"/>
      <c r="P124" s="535"/>
      <c r="Q124" s="535"/>
      <c r="W124"/>
    </row>
    <row r="125" spans="2:23">
      <c r="B125" s="3254"/>
      <c r="C125" s="424">
        <v>40395</v>
      </c>
      <c r="D125" s="422">
        <f t="shared" si="17"/>
        <v>100</v>
      </c>
      <c r="E125" s="423">
        <v>7</v>
      </c>
      <c r="F125" s="830"/>
      <c r="G125" s="830"/>
      <c r="H125" s="424">
        <v>39648</v>
      </c>
      <c r="I125" s="825">
        <f t="shared" si="16"/>
        <v>2</v>
      </c>
      <c r="K125" s="423">
        <v>2</v>
      </c>
      <c r="L125" s="535"/>
      <c r="M125" s="535"/>
      <c r="N125" s="535"/>
      <c r="O125" s="535"/>
      <c r="P125" s="535"/>
      <c r="Q125" s="535"/>
      <c r="W125"/>
    </row>
    <row r="126" spans="2:23">
      <c r="B126" s="3255"/>
      <c r="C126" s="424">
        <v>40526</v>
      </c>
      <c r="D126" s="422">
        <f t="shared" si="17"/>
        <v>131</v>
      </c>
      <c r="E126" s="428">
        <v>3</v>
      </c>
      <c r="F126" s="830"/>
      <c r="G126" s="830"/>
      <c r="H126" s="424">
        <v>39655</v>
      </c>
      <c r="I126" s="825">
        <f t="shared" si="16"/>
        <v>7</v>
      </c>
      <c r="K126" s="428">
        <v>15</v>
      </c>
      <c r="L126" s="535"/>
      <c r="M126" s="535"/>
      <c r="N126" s="535"/>
      <c r="O126" s="535"/>
      <c r="P126" s="535"/>
      <c r="Q126" s="535"/>
      <c r="W126"/>
    </row>
    <row r="127" spans="2:23" ht="13.8" thickBot="1">
      <c r="B127" s="3256"/>
      <c r="C127" s="417">
        <v>40574</v>
      </c>
      <c r="D127" s="425">
        <f>+C127-C126</f>
        <v>48</v>
      </c>
      <c r="E127" s="426">
        <v>0</v>
      </c>
      <c r="F127" s="831"/>
      <c r="G127" s="831"/>
      <c r="H127" s="456">
        <v>39665</v>
      </c>
      <c r="I127" s="825">
        <f t="shared" si="16"/>
        <v>10</v>
      </c>
      <c r="K127" s="426">
        <v>8</v>
      </c>
      <c r="L127" s="535"/>
      <c r="M127" s="535"/>
      <c r="N127" s="535"/>
      <c r="O127" s="535"/>
      <c r="P127" s="535"/>
      <c r="Q127" s="535"/>
      <c r="W127"/>
    </row>
    <row r="128" spans="2:23">
      <c r="B128" s="3253" t="s">
        <v>89</v>
      </c>
      <c r="C128" s="448">
        <v>39125</v>
      </c>
      <c r="D128" s="828">
        <f>+C128-$D$2</f>
        <v>42</v>
      </c>
      <c r="E128" s="421">
        <v>2</v>
      </c>
      <c r="F128" s="824">
        <f>SUM(D128:D143)/COUNT(E128:E143)</f>
        <v>93.1875</v>
      </c>
      <c r="G128" s="824">
        <f>SUM(E128:E143)/COUNT(E128:E143)</f>
        <v>7.375</v>
      </c>
      <c r="H128" s="448">
        <v>39667</v>
      </c>
      <c r="I128" s="825">
        <f t="shared" si="16"/>
        <v>2</v>
      </c>
      <c r="K128" s="421">
        <v>17</v>
      </c>
      <c r="L128" s="535"/>
      <c r="M128" s="535"/>
      <c r="N128" s="535"/>
      <c r="O128" s="535"/>
      <c r="P128" s="535"/>
      <c r="Q128" s="535"/>
      <c r="W128"/>
    </row>
    <row r="129" spans="2:23">
      <c r="B129" s="3254"/>
      <c r="C129" s="424">
        <v>39189</v>
      </c>
      <c r="D129" s="433">
        <f t="shared" ref="D129:D142" si="18">+C129-C128</f>
        <v>64</v>
      </c>
      <c r="E129" s="423">
        <v>30</v>
      </c>
      <c r="F129" s="826"/>
      <c r="G129" s="826"/>
      <c r="H129" s="424">
        <v>39671</v>
      </c>
      <c r="I129" s="825">
        <f t="shared" si="16"/>
        <v>4</v>
      </c>
      <c r="K129" s="423">
        <v>2</v>
      </c>
      <c r="L129" s="535"/>
      <c r="M129" s="535"/>
      <c r="N129" s="535"/>
      <c r="O129" s="535"/>
      <c r="P129" s="535"/>
      <c r="Q129" s="535"/>
      <c r="W129"/>
    </row>
    <row r="130" spans="2:23">
      <c r="B130" s="3254"/>
      <c r="C130" s="424">
        <v>39196</v>
      </c>
      <c r="D130" s="433">
        <f t="shared" si="18"/>
        <v>7</v>
      </c>
      <c r="E130" s="423">
        <v>3</v>
      </c>
      <c r="F130" s="826"/>
      <c r="G130" s="826"/>
      <c r="H130" s="424">
        <v>39672</v>
      </c>
      <c r="I130" s="825">
        <f t="shared" si="16"/>
        <v>1</v>
      </c>
      <c r="K130" s="423">
        <v>17</v>
      </c>
      <c r="L130" s="535"/>
      <c r="M130" s="535"/>
      <c r="N130" s="535"/>
      <c r="O130" s="535"/>
      <c r="P130" s="535"/>
      <c r="Q130" s="535"/>
      <c r="W130"/>
    </row>
    <row r="131" spans="2:23">
      <c r="B131" s="3254"/>
      <c r="C131" s="424">
        <v>39214</v>
      </c>
      <c r="D131" s="433">
        <f t="shared" si="18"/>
        <v>18</v>
      </c>
      <c r="E131" s="423">
        <v>3</v>
      </c>
      <c r="F131" s="826"/>
      <c r="G131" s="826"/>
      <c r="H131" s="424">
        <v>39678</v>
      </c>
      <c r="I131" s="825">
        <f t="shared" si="16"/>
        <v>6</v>
      </c>
      <c r="K131" s="423">
        <v>4</v>
      </c>
      <c r="L131" s="535"/>
      <c r="M131" s="535"/>
      <c r="N131" s="535"/>
      <c r="O131" s="535"/>
      <c r="P131" s="535"/>
      <c r="Q131" s="535"/>
      <c r="W131"/>
    </row>
    <row r="132" spans="2:23">
      <c r="B132" s="3254"/>
      <c r="C132" s="424">
        <v>39229</v>
      </c>
      <c r="D132" s="433">
        <f t="shared" si="18"/>
        <v>15</v>
      </c>
      <c r="E132" s="423">
        <v>1</v>
      </c>
      <c r="F132" s="826"/>
      <c r="G132" s="826"/>
      <c r="H132" s="424">
        <v>39680</v>
      </c>
      <c r="I132" s="825">
        <f t="shared" si="16"/>
        <v>2</v>
      </c>
      <c r="K132" s="423">
        <v>10</v>
      </c>
      <c r="L132" s="535"/>
      <c r="M132" s="535"/>
      <c r="N132" s="535"/>
      <c r="O132" s="535"/>
      <c r="P132" s="535"/>
      <c r="Q132" s="535"/>
      <c r="W132"/>
    </row>
    <row r="133" spans="2:23">
      <c r="B133" s="3254"/>
      <c r="C133" s="424">
        <v>39287</v>
      </c>
      <c r="D133" s="433">
        <f t="shared" si="18"/>
        <v>58</v>
      </c>
      <c r="E133" s="423">
        <v>28</v>
      </c>
      <c r="F133" s="826"/>
      <c r="G133" s="826"/>
      <c r="H133" s="424">
        <v>39688</v>
      </c>
      <c r="I133" s="825">
        <f t="shared" si="16"/>
        <v>8</v>
      </c>
      <c r="K133" s="423">
        <v>30</v>
      </c>
      <c r="L133" s="535"/>
      <c r="M133" s="535"/>
      <c r="N133" s="535"/>
      <c r="O133" s="535"/>
      <c r="P133" s="535"/>
      <c r="Q133" s="535"/>
      <c r="W133"/>
    </row>
    <row r="134" spans="2:23">
      <c r="B134" s="3254"/>
      <c r="C134" s="424">
        <v>39329</v>
      </c>
      <c r="D134" s="433">
        <f t="shared" si="18"/>
        <v>42</v>
      </c>
      <c r="E134" s="423">
        <v>2</v>
      </c>
      <c r="F134" s="826"/>
      <c r="G134" s="826"/>
      <c r="H134" s="424">
        <v>39692</v>
      </c>
      <c r="I134" s="825">
        <f t="shared" si="16"/>
        <v>4</v>
      </c>
      <c r="K134" s="423">
        <v>100</v>
      </c>
      <c r="L134" s="535"/>
      <c r="M134" s="535"/>
      <c r="N134" s="535"/>
      <c r="O134" s="535"/>
      <c r="P134" s="535"/>
      <c r="Q134" s="535"/>
      <c r="W134"/>
    </row>
    <row r="135" spans="2:23">
      <c r="B135" s="3254"/>
      <c r="C135" s="424">
        <v>39368</v>
      </c>
      <c r="D135" s="433">
        <f t="shared" si="18"/>
        <v>39</v>
      </c>
      <c r="E135" s="423">
        <v>1</v>
      </c>
      <c r="F135" s="826"/>
      <c r="G135" s="826"/>
      <c r="H135" s="424">
        <v>39693</v>
      </c>
      <c r="I135" s="825">
        <f t="shared" si="16"/>
        <v>1</v>
      </c>
      <c r="K135" s="423">
        <v>5</v>
      </c>
      <c r="L135" s="535"/>
      <c r="M135" s="535"/>
      <c r="N135" s="535"/>
      <c r="O135" s="535"/>
      <c r="P135" s="535"/>
      <c r="Q135" s="535"/>
      <c r="W135"/>
    </row>
    <row r="136" spans="2:23">
      <c r="B136" s="3254"/>
      <c r="C136" s="424">
        <v>39458</v>
      </c>
      <c r="D136" s="433">
        <f t="shared" si="18"/>
        <v>90</v>
      </c>
      <c r="E136" s="423">
        <v>10</v>
      </c>
      <c r="F136" s="826"/>
      <c r="G136" s="826"/>
      <c r="H136" s="424">
        <v>39700</v>
      </c>
      <c r="I136" s="825">
        <f t="shared" si="16"/>
        <v>7</v>
      </c>
      <c r="K136" s="423">
        <v>2</v>
      </c>
      <c r="L136" s="535"/>
      <c r="M136" s="535"/>
      <c r="N136" s="535"/>
      <c r="O136" s="535"/>
      <c r="P136" s="535"/>
      <c r="Q136" s="535"/>
      <c r="W136"/>
    </row>
    <row r="137" spans="2:23">
      <c r="B137" s="3254"/>
      <c r="C137" s="424">
        <v>39709</v>
      </c>
      <c r="D137" s="433">
        <f t="shared" si="18"/>
        <v>251</v>
      </c>
      <c r="E137" s="423">
        <v>4</v>
      </c>
      <c r="F137" s="826"/>
      <c r="G137" s="826"/>
      <c r="H137" s="424">
        <v>39700</v>
      </c>
      <c r="I137" s="825">
        <f t="shared" si="16"/>
        <v>0</v>
      </c>
      <c r="K137" s="423">
        <v>1</v>
      </c>
      <c r="L137" s="535"/>
      <c r="M137" s="535"/>
      <c r="N137" s="535"/>
      <c r="O137" s="535"/>
      <c r="P137" s="535"/>
      <c r="Q137" s="535"/>
      <c r="W137"/>
    </row>
    <row r="138" spans="2:23">
      <c r="B138" s="3254"/>
      <c r="C138" s="449">
        <v>39834</v>
      </c>
      <c r="D138" s="433">
        <f t="shared" si="18"/>
        <v>125</v>
      </c>
      <c r="E138" s="423">
        <v>2</v>
      </c>
      <c r="F138" s="826"/>
      <c r="G138" s="826"/>
      <c r="H138" s="424">
        <v>39701</v>
      </c>
      <c r="I138" s="825">
        <f t="shared" si="16"/>
        <v>1</v>
      </c>
      <c r="K138" s="423">
        <v>3</v>
      </c>
      <c r="L138" s="535"/>
      <c r="M138" s="535"/>
      <c r="N138" s="535"/>
      <c r="O138" s="535"/>
      <c r="P138" s="535"/>
      <c r="Q138" s="535"/>
      <c r="W138"/>
    </row>
    <row r="139" spans="2:23">
      <c r="B139" s="3254"/>
      <c r="C139" s="449">
        <v>39862</v>
      </c>
      <c r="D139" s="433">
        <f t="shared" si="18"/>
        <v>28</v>
      </c>
      <c r="E139" s="423">
        <v>17</v>
      </c>
      <c r="F139" s="826"/>
      <c r="G139" s="826"/>
      <c r="H139" s="424">
        <v>39709</v>
      </c>
      <c r="I139" s="825">
        <f t="shared" si="16"/>
        <v>8</v>
      </c>
      <c r="K139" s="423">
        <v>4</v>
      </c>
      <c r="L139" s="535"/>
      <c r="M139" s="535"/>
      <c r="N139" s="535"/>
      <c r="O139" s="535"/>
      <c r="P139" s="535"/>
      <c r="Q139" s="535"/>
      <c r="W139"/>
    </row>
    <row r="140" spans="2:23">
      <c r="B140" s="3254"/>
      <c r="C140" s="424">
        <v>40074</v>
      </c>
      <c r="D140" s="433">
        <f t="shared" si="18"/>
        <v>212</v>
      </c>
      <c r="E140" s="423">
        <v>7</v>
      </c>
      <c r="F140" s="826"/>
      <c r="G140" s="826"/>
      <c r="H140" s="424">
        <v>39746</v>
      </c>
      <c r="I140" s="838">
        <f t="shared" si="16"/>
        <v>37</v>
      </c>
      <c r="K140" s="423">
        <v>14</v>
      </c>
      <c r="L140" s="535"/>
      <c r="M140" s="535"/>
      <c r="N140" s="535"/>
      <c r="O140" s="535"/>
      <c r="P140" s="535"/>
      <c r="Q140" s="535"/>
      <c r="W140"/>
    </row>
    <row r="141" spans="2:23">
      <c r="B141" s="3254"/>
      <c r="C141" s="424">
        <v>40156</v>
      </c>
      <c r="D141" s="433">
        <f t="shared" si="18"/>
        <v>82</v>
      </c>
      <c r="E141" s="423">
        <v>3</v>
      </c>
      <c r="F141" s="826"/>
      <c r="G141" s="826"/>
      <c r="H141" s="449">
        <v>39750</v>
      </c>
      <c r="I141" s="825">
        <f t="shared" si="16"/>
        <v>4</v>
      </c>
      <c r="K141" s="423">
        <v>4</v>
      </c>
      <c r="L141" s="535"/>
      <c r="M141" s="535"/>
      <c r="N141" s="535"/>
      <c r="O141" s="535"/>
      <c r="P141" s="535"/>
      <c r="Q141" s="535"/>
      <c r="W141"/>
    </row>
    <row r="142" spans="2:23">
      <c r="B142" s="3255"/>
      <c r="C142" s="424">
        <v>40481</v>
      </c>
      <c r="D142" s="433">
        <f t="shared" si="18"/>
        <v>325</v>
      </c>
      <c r="E142" s="428">
        <v>5</v>
      </c>
      <c r="F142" s="826"/>
      <c r="G142" s="826"/>
      <c r="H142" s="449">
        <v>39761</v>
      </c>
      <c r="I142" s="825">
        <f t="shared" si="16"/>
        <v>11</v>
      </c>
      <c r="K142" s="428">
        <v>8</v>
      </c>
      <c r="L142" s="535"/>
      <c r="M142" s="535"/>
      <c r="N142" s="535"/>
      <c r="O142" s="535"/>
      <c r="P142" s="535"/>
      <c r="Q142" s="535"/>
      <c r="W142"/>
    </row>
    <row r="143" spans="2:23" ht="13.8" thickBot="1">
      <c r="B143" s="3256"/>
      <c r="C143" s="417">
        <v>40574</v>
      </c>
      <c r="D143" s="832">
        <f>+C143-C142</f>
        <v>93</v>
      </c>
      <c r="E143" s="426">
        <v>0</v>
      </c>
      <c r="F143" s="827"/>
      <c r="G143" s="827"/>
      <c r="H143" s="459">
        <v>39762</v>
      </c>
      <c r="I143" s="825">
        <f t="shared" si="16"/>
        <v>1</v>
      </c>
      <c r="K143" s="426">
        <v>20</v>
      </c>
      <c r="L143" s="535"/>
      <c r="M143" s="535"/>
      <c r="N143" s="535"/>
      <c r="O143" s="535"/>
      <c r="P143" s="535"/>
      <c r="Q143" s="535"/>
      <c r="W143"/>
    </row>
    <row r="144" spans="2:23">
      <c r="B144" s="3253" t="s">
        <v>90</v>
      </c>
      <c r="C144" s="448">
        <v>39116</v>
      </c>
      <c r="D144" s="828">
        <f>+C144-$D$2</f>
        <v>33</v>
      </c>
      <c r="E144" s="421">
        <v>3</v>
      </c>
      <c r="F144" s="829">
        <f>SUM(D144:E172)/COUNT(D144:E172)</f>
        <v>30.46551724137931</v>
      </c>
      <c r="G144" s="829">
        <f>SUM(E144:E172)/COUNT(E144:E172)</f>
        <v>9.5172413793103452</v>
      </c>
      <c r="H144" s="458">
        <v>39769</v>
      </c>
      <c r="I144" s="825">
        <f t="shared" si="16"/>
        <v>7</v>
      </c>
      <c r="K144" s="421">
        <v>10</v>
      </c>
      <c r="L144" s="535"/>
      <c r="M144" s="535"/>
      <c r="N144" s="535"/>
      <c r="O144" s="535"/>
      <c r="P144" s="535"/>
      <c r="Q144" s="535"/>
      <c r="W144"/>
    </row>
    <row r="145" spans="2:23">
      <c r="B145" s="3254"/>
      <c r="C145" s="424">
        <v>39162</v>
      </c>
      <c r="D145" s="433">
        <f t="shared" ref="D145:D171" si="19">+C145-C144</f>
        <v>46</v>
      </c>
      <c r="E145" s="423">
        <v>19</v>
      </c>
      <c r="F145" s="830"/>
      <c r="G145" s="830"/>
      <c r="H145" s="449">
        <v>39771</v>
      </c>
      <c r="I145" s="825">
        <f t="shared" si="16"/>
        <v>2</v>
      </c>
      <c r="K145" s="423">
        <v>1</v>
      </c>
      <c r="L145" s="535"/>
      <c r="M145" s="535"/>
      <c r="N145" s="535"/>
      <c r="O145" s="535"/>
      <c r="P145" s="535"/>
      <c r="Q145" s="535"/>
      <c r="W145"/>
    </row>
    <row r="146" spans="2:23">
      <c r="B146" s="3254"/>
      <c r="C146" s="424">
        <v>39162</v>
      </c>
      <c r="D146" s="433">
        <f t="shared" si="19"/>
        <v>0</v>
      </c>
      <c r="E146" s="423">
        <v>2</v>
      </c>
      <c r="F146" s="830"/>
      <c r="G146" s="830"/>
      <c r="H146" s="449">
        <v>39778</v>
      </c>
      <c r="I146" s="825">
        <f t="shared" si="16"/>
        <v>7</v>
      </c>
      <c r="K146" s="423">
        <v>20</v>
      </c>
      <c r="L146" s="535"/>
      <c r="M146" s="535"/>
      <c r="N146" s="535"/>
      <c r="O146" s="535"/>
      <c r="P146" s="535"/>
      <c r="Q146" s="535"/>
      <c r="W146"/>
    </row>
    <row r="147" spans="2:23">
      <c r="B147" s="3254"/>
      <c r="C147" s="424">
        <v>39212</v>
      </c>
      <c r="D147" s="433">
        <f t="shared" si="19"/>
        <v>50</v>
      </c>
      <c r="E147" s="423">
        <v>7</v>
      </c>
      <c r="F147" s="830"/>
      <c r="G147" s="830"/>
      <c r="H147" s="449">
        <v>39783</v>
      </c>
      <c r="I147" s="825">
        <f t="shared" si="16"/>
        <v>5</v>
      </c>
      <c r="K147" s="423">
        <v>5</v>
      </c>
      <c r="L147" s="535"/>
      <c r="M147" s="535"/>
      <c r="N147" s="535"/>
      <c r="O147" s="535"/>
      <c r="P147" s="535"/>
      <c r="Q147" s="535"/>
      <c r="W147"/>
    </row>
    <row r="148" spans="2:23">
      <c r="B148" s="3254"/>
      <c r="C148" s="424">
        <v>39248</v>
      </c>
      <c r="D148" s="433">
        <f t="shared" si="19"/>
        <v>36</v>
      </c>
      <c r="E148" s="423">
        <v>120</v>
      </c>
      <c r="F148" s="830"/>
      <c r="G148" s="830"/>
      <c r="H148" s="449">
        <v>39784</v>
      </c>
      <c r="I148" s="825">
        <f t="shared" si="16"/>
        <v>1</v>
      </c>
      <c r="K148" s="423">
        <v>7</v>
      </c>
      <c r="L148" s="535"/>
      <c r="M148" s="535"/>
      <c r="N148" s="535"/>
      <c r="O148" s="535"/>
      <c r="P148" s="535"/>
      <c r="Q148" s="535"/>
      <c r="W148"/>
    </row>
    <row r="149" spans="2:23">
      <c r="B149" s="3254"/>
      <c r="C149" s="424">
        <v>39294</v>
      </c>
      <c r="D149" s="433">
        <f t="shared" si="19"/>
        <v>46</v>
      </c>
      <c r="E149" s="423">
        <v>3</v>
      </c>
      <c r="F149" s="830"/>
      <c r="G149" s="830"/>
      <c r="H149" s="449">
        <v>39791</v>
      </c>
      <c r="I149" s="825">
        <f t="shared" si="16"/>
        <v>7</v>
      </c>
      <c r="K149" s="423">
        <v>21</v>
      </c>
      <c r="L149" s="535"/>
      <c r="M149" s="535"/>
      <c r="N149" s="535"/>
      <c r="O149" s="535"/>
      <c r="P149" s="535"/>
      <c r="Q149" s="535"/>
      <c r="W149"/>
    </row>
    <row r="150" spans="2:23">
      <c r="B150" s="3254"/>
      <c r="C150" s="424">
        <v>39418</v>
      </c>
      <c r="D150" s="433">
        <f t="shared" si="19"/>
        <v>124</v>
      </c>
      <c r="E150" s="423">
        <v>6</v>
      </c>
      <c r="F150" s="830"/>
      <c r="G150" s="830"/>
      <c r="H150" s="449">
        <v>39796</v>
      </c>
      <c r="I150" s="825">
        <f t="shared" si="16"/>
        <v>5</v>
      </c>
      <c r="K150" s="423">
        <v>5</v>
      </c>
      <c r="L150" s="535"/>
      <c r="M150" s="535"/>
      <c r="N150" s="535"/>
      <c r="O150" s="535"/>
      <c r="P150" s="535"/>
      <c r="Q150" s="535"/>
      <c r="W150"/>
    </row>
    <row r="151" spans="2:23">
      <c r="B151" s="3254"/>
      <c r="C151" s="424">
        <v>39430</v>
      </c>
      <c r="D151" s="433">
        <f t="shared" si="19"/>
        <v>12</v>
      </c>
      <c r="E151" s="423">
        <v>2</v>
      </c>
      <c r="F151" s="830"/>
      <c r="G151" s="830"/>
      <c r="H151" s="449">
        <v>39797</v>
      </c>
      <c r="I151" s="825">
        <f t="shared" si="16"/>
        <v>1</v>
      </c>
      <c r="K151" s="423">
        <v>15</v>
      </c>
      <c r="L151" s="535"/>
      <c r="M151" s="535"/>
      <c r="N151" s="535"/>
      <c r="O151" s="535"/>
      <c r="P151" s="535"/>
      <c r="Q151" s="535"/>
      <c r="W151"/>
    </row>
    <row r="152" spans="2:23">
      <c r="B152" s="3254"/>
      <c r="C152" s="424">
        <v>39443</v>
      </c>
      <c r="D152" s="433">
        <f t="shared" si="19"/>
        <v>13</v>
      </c>
      <c r="E152" s="423">
        <v>7</v>
      </c>
      <c r="F152" s="830"/>
      <c r="G152" s="830"/>
      <c r="H152" s="449">
        <v>39799</v>
      </c>
      <c r="I152" s="825">
        <f t="shared" si="16"/>
        <v>2</v>
      </c>
      <c r="K152" s="423">
        <v>5</v>
      </c>
      <c r="L152" s="535"/>
      <c r="M152" s="535"/>
      <c r="N152" s="535"/>
      <c r="O152" s="535"/>
      <c r="P152" s="535"/>
      <c r="Q152" s="535"/>
      <c r="W152"/>
    </row>
    <row r="153" spans="2:23">
      <c r="B153" s="3254"/>
      <c r="C153" s="424">
        <v>39476</v>
      </c>
      <c r="D153" s="433">
        <f t="shared" si="19"/>
        <v>33</v>
      </c>
      <c r="E153" s="423">
        <v>3</v>
      </c>
      <c r="F153" s="830"/>
      <c r="G153" s="830"/>
      <c r="H153" s="449">
        <v>39799</v>
      </c>
      <c r="I153" s="825">
        <f t="shared" si="16"/>
        <v>0</v>
      </c>
      <c r="K153" s="423">
        <v>30</v>
      </c>
      <c r="L153" s="535"/>
      <c r="M153" s="535"/>
      <c r="N153" s="535"/>
      <c r="O153" s="535"/>
      <c r="P153" s="535"/>
      <c r="Q153" s="535"/>
      <c r="W153"/>
    </row>
    <row r="154" spans="2:23">
      <c r="B154" s="3254"/>
      <c r="C154" s="424">
        <v>39539</v>
      </c>
      <c r="D154" s="433">
        <f t="shared" si="19"/>
        <v>63</v>
      </c>
      <c r="E154" s="423">
        <v>2</v>
      </c>
      <c r="F154" s="830"/>
      <c r="G154" s="830"/>
      <c r="H154" s="449">
        <v>39801</v>
      </c>
      <c r="I154" s="825">
        <f t="shared" si="16"/>
        <v>2</v>
      </c>
      <c r="K154" s="423">
        <v>2</v>
      </c>
      <c r="L154" s="535"/>
      <c r="M154" s="535"/>
      <c r="N154" s="535"/>
      <c r="O154" s="535"/>
      <c r="P154" s="535"/>
      <c r="Q154" s="535"/>
      <c r="W154"/>
    </row>
    <row r="155" spans="2:23">
      <c r="B155" s="3254"/>
      <c r="C155" s="424">
        <v>39570</v>
      </c>
      <c r="D155" s="433">
        <f t="shared" si="19"/>
        <v>31</v>
      </c>
      <c r="E155" s="423">
        <v>3</v>
      </c>
      <c r="F155" s="830"/>
      <c r="G155" s="830"/>
      <c r="H155" s="1258">
        <v>39811</v>
      </c>
      <c r="I155" s="825">
        <f t="shared" ref="I155:I218" si="20">+H155-H154</f>
        <v>10</v>
      </c>
      <c r="K155" s="423">
        <v>12</v>
      </c>
      <c r="L155" s="535"/>
      <c r="M155" s="535"/>
      <c r="N155" s="535"/>
      <c r="O155" s="535"/>
      <c r="P155" s="535"/>
      <c r="Q155" s="535"/>
      <c r="W155"/>
    </row>
    <row r="156" spans="2:23">
      <c r="B156" s="3254"/>
      <c r="C156" s="424">
        <v>39574</v>
      </c>
      <c r="D156" s="433">
        <f t="shared" si="19"/>
        <v>4</v>
      </c>
      <c r="E156" s="423">
        <v>4</v>
      </c>
      <c r="F156" s="830"/>
      <c r="G156" s="830"/>
      <c r="H156" s="449">
        <v>39818</v>
      </c>
      <c r="I156" s="825">
        <f t="shared" si="20"/>
        <v>7</v>
      </c>
      <c r="K156" s="423">
        <v>16</v>
      </c>
      <c r="L156" s="535"/>
      <c r="M156" s="535"/>
      <c r="N156" s="535"/>
      <c r="O156" s="535"/>
      <c r="P156" s="535"/>
      <c r="Q156" s="535"/>
      <c r="W156"/>
    </row>
    <row r="157" spans="2:23">
      <c r="B157" s="3254"/>
      <c r="C157" s="424">
        <v>39635</v>
      </c>
      <c r="D157" s="433">
        <f t="shared" si="19"/>
        <v>61</v>
      </c>
      <c r="E157" s="423">
        <v>15</v>
      </c>
      <c r="F157" s="830"/>
      <c r="G157" s="830"/>
      <c r="H157" s="449">
        <v>39819</v>
      </c>
      <c r="I157" s="825">
        <f t="shared" si="20"/>
        <v>1</v>
      </c>
      <c r="K157" s="423">
        <v>4</v>
      </c>
      <c r="L157" s="535"/>
      <c r="M157" s="535"/>
      <c r="N157" s="535"/>
      <c r="O157" s="535"/>
      <c r="P157" s="535"/>
      <c r="Q157" s="535"/>
      <c r="W157"/>
    </row>
    <row r="158" spans="2:23">
      <c r="B158" s="3254"/>
      <c r="C158" s="424">
        <v>39671</v>
      </c>
      <c r="D158" s="433">
        <f t="shared" si="19"/>
        <v>36</v>
      </c>
      <c r="E158" s="423">
        <v>2</v>
      </c>
      <c r="F158" s="830"/>
      <c r="G158" s="830"/>
      <c r="H158" s="449">
        <v>39823</v>
      </c>
      <c r="I158" s="825">
        <f t="shared" si="20"/>
        <v>4</v>
      </c>
      <c r="K158" s="423">
        <v>7</v>
      </c>
      <c r="L158" s="535"/>
      <c r="M158" s="535"/>
      <c r="N158" s="535"/>
      <c r="O158" s="535"/>
      <c r="P158" s="535"/>
      <c r="Q158" s="535"/>
      <c r="W158"/>
    </row>
    <row r="159" spans="2:23">
      <c r="B159" s="3254"/>
      <c r="C159" s="424">
        <v>39701</v>
      </c>
      <c r="D159" s="433">
        <f t="shared" si="19"/>
        <v>30</v>
      </c>
      <c r="E159" s="423">
        <v>3</v>
      </c>
      <c r="F159" s="830"/>
      <c r="G159" s="830"/>
      <c r="H159" s="449">
        <v>39833</v>
      </c>
      <c r="I159" s="825">
        <f t="shared" si="20"/>
        <v>10</v>
      </c>
      <c r="K159" s="423">
        <v>10</v>
      </c>
      <c r="L159" s="535"/>
      <c r="M159" s="535"/>
      <c r="N159" s="535"/>
      <c r="O159" s="535"/>
      <c r="P159" s="535"/>
      <c r="Q159" s="535"/>
      <c r="W159"/>
    </row>
    <row r="160" spans="2:23">
      <c r="B160" s="3254"/>
      <c r="C160" s="449">
        <v>39783</v>
      </c>
      <c r="D160" s="433">
        <f t="shared" si="19"/>
        <v>82</v>
      </c>
      <c r="E160" s="423">
        <v>5</v>
      </c>
      <c r="F160" s="830"/>
      <c r="G160" s="830"/>
      <c r="H160" s="449">
        <v>39833</v>
      </c>
      <c r="I160" s="825">
        <f t="shared" si="20"/>
        <v>0</v>
      </c>
      <c r="K160" s="423">
        <v>2</v>
      </c>
      <c r="L160" s="535"/>
      <c r="M160" s="535"/>
      <c r="N160" s="535"/>
      <c r="O160" s="535"/>
      <c r="P160" s="535"/>
      <c r="Q160" s="535"/>
      <c r="W160"/>
    </row>
    <row r="161" spans="2:23">
      <c r="B161" s="3254"/>
      <c r="C161" s="449">
        <v>39796</v>
      </c>
      <c r="D161" s="433">
        <f t="shared" si="19"/>
        <v>13</v>
      </c>
      <c r="E161" s="423">
        <v>5</v>
      </c>
      <c r="F161" s="830"/>
      <c r="G161" s="830"/>
      <c r="H161" s="449">
        <v>39834</v>
      </c>
      <c r="I161" s="825">
        <f t="shared" si="20"/>
        <v>1</v>
      </c>
      <c r="K161" s="423">
        <v>2</v>
      </c>
      <c r="L161" s="535"/>
      <c r="M161" s="535"/>
      <c r="N161" s="535"/>
      <c r="O161" s="535"/>
      <c r="P161" s="535"/>
      <c r="Q161" s="535"/>
      <c r="W161"/>
    </row>
    <row r="162" spans="2:23">
      <c r="B162" s="3254"/>
      <c r="C162" s="449">
        <v>39819</v>
      </c>
      <c r="D162" s="433">
        <f t="shared" si="19"/>
        <v>23</v>
      </c>
      <c r="E162" s="423">
        <v>4</v>
      </c>
      <c r="F162" s="830"/>
      <c r="G162" s="830"/>
      <c r="H162" s="449">
        <v>39835</v>
      </c>
      <c r="I162" s="825">
        <f t="shared" si="20"/>
        <v>1</v>
      </c>
      <c r="K162" s="423">
        <v>30</v>
      </c>
      <c r="L162" s="535"/>
      <c r="M162" s="535"/>
      <c r="N162" s="535"/>
      <c r="O162" s="535"/>
      <c r="P162" s="535"/>
      <c r="Q162" s="535"/>
      <c r="W162"/>
    </row>
    <row r="163" spans="2:23">
      <c r="B163" s="3254"/>
      <c r="C163" s="449">
        <v>39833</v>
      </c>
      <c r="D163" s="433">
        <f t="shared" si="19"/>
        <v>14</v>
      </c>
      <c r="E163" s="423">
        <v>10</v>
      </c>
      <c r="F163" s="830"/>
      <c r="G163" s="830"/>
      <c r="H163" s="449">
        <v>39842</v>
      </c>
      <c r="I163" s="825">
        <f t="shared" si="20"/>
        <v>7</v>
      </c>
      <c r="K163" s="423">
        <v>10</v>
      </c>
      <c r="L163" s="535"/>
      <c r="M163" s="535"/>
      <c r="N163" s="535"/>
      <c r="O163" s="535"/>
      <c r="P163" s="535"/>
      <c r="Q163" s="535"/>
      <c r="W163"/>
    </row>
    <row r="164" spans="2:23">
      <c r="B164" s="3254"/>
      <c r="C164" s="449">
        <v>39833</v>
      </c>
      <c r="D164" s="433">
        <f t="shared" si="19"/>
        <v>0</v>
      </c>
      <c r="E164" s="423">
        <v>2</v>
      </c>
      <c r="F164" s="830"/>
      <c r="G164" s="830"/>
      <c r="H164" s="449">
        <v>39842</v>
      </c>
      <c r="I164" s="825">
        <f t="shared" si="20"/>
        <v>0</v>
      </c>
      <c r="K164" s="423">
        <v>1</v>
      </c>
      <c r="L164" s="535"/>
      <c r="M164" s="535"/>
      <c r="N164" s="535"/>
      <c r="O164" s="535"/>
      <c r="P164" s="535"/>
      <c r="Q164" s="535"/>
      <c r="W164"/>
    </row>
    <row r="165" spans="2:23">
      <c r="B165" s="3254"/>
      <c r="C165" s="449">
        <v>40051</v>
      </c>
      <c r="D165" s="433">
        <f t="shared" si="19"/>
        <v>218</v>
      </c>
      <c r="E165" s="423">
        <v>5</v>
      </c>
      <c r="F165" s="830"/>
      <c r="G165" s="830"/>
      <c r="H165" s="449">
        <v>39856</v>
      </c>
      <c r="I165" s="825">
        <f t="shared" si="20"/>
        <v>14</v>
      </c>
      <c r="K165" s="423">
        <v>5</v>
      </c>
      <c r="L165" s="535"/>
      <c r="M165" s="535"/>
      <c r="N165" s="535"/>
      <c r="O165" s="535"/>
      <c r="P165" s="535"/>
      <c r="Q165" s="535"/>
      <c r="W165"/>
    </row>
    <row r="166" spans="2:23">
      <c r="B166" s="3254"/>
      <c r="C166" s="424">
        <v>40107</v>
      </c>
      <c r="D166" s="433">
        <f t="shared" si="19"/>
        <v>56</v>
      </c>
      <c r="E166" s="423">
        <v>1</v>
      </c>
      <c r="F166" s="830"/>
      <c r="G166" s="830"/>
      <c r="H166" s="449">
        <v>39860</v>
      </c>
      <c r="I166" s="825">
        <f t="shared" si="20"/>
        <v>4</v>
      </c>
      <c r="K166" s="423">
        <v>15</v>
      </c>
      <c r="L166" s="535"/>
      <c r="M166" s="535"/>
      <c r="N166" s="535"/>
      <c r="O166" s="535"/>
      <c r="P166" s="535"/>
      <c r="Q166" s="535"/>
      <c r="W166"/>
    </row>
    <row r="167" spans="2:23">
      <c r="B167" s="3254"/>
      <c r="C167" s="424">
        <v>40142</v>
      </c>
      <c r="D167" s="433">
        <f t="shared" si="19"/>
        <v>35</v>
      </c>
      <c r="E167" s="423">
        <v>5</v>
      </c>
      <c r="F167" s="830"/>
      <c r="G167" s="830"/>
      <c r="H167" s="449">
        <v>39862</v>
      </c>
      <c r="I167" s="825">
        <f t="shared" si="20"/>
        <v>2</v>
      </c>
      <c r="K167" s="423">
        <v>17</v>
      </c>
      <c r="L167" s="535"/>
      <c r="M167" s="535"/>
      <c r="N167" s="535"/>
      <c r="O167" s="535"/>
      <c r="P167" s="535"/>
      <c r="Q167" s="535"/>
      <c r="W167"/>
    </row>
    <row r="168" spans="2:23">
      <c r="B168" s="3254"/>
      <c r="C168" s="424">
        <v>40175</v>
      </c>
      <c r="D168" s="433">
        <f t="shared" si="19"/>
        <v>33</v>
      </c>
      <c r="E168" s="423">
        <v>2</v>
      </c>
      <c r="F168" s="830"/>
      <c r="G168" s="830"/>
      <c r="H168" s="449">
        <v>39890</v>
      </c>
      <c r="I168" s="825">
        <f t="shared" si="20"/>
        <v>28</v>
      </c>
      <c r="K168" s="423">
        <v>6</v>
      </c>
      <c r="L168" s="535"/>
      <c r="M168" s="535"/>
      <c r="N168" s="535"/>
      <c r="O168" s="535"/>
      <c r="P168" s="535"/>
      <c r="Q168" s="535"/>
      <c r="W168"/>
    </row>
    <row r="169" spans="2:23">
      <c r="B169" s="3254"/>
      <c r="C169" s="424">
        <v>40366</v>
      </c>
      <c r="D169" s="433">
        <f t="shared" si="19"/>
        <v>191</v>
      </c>
      <c r="E169" s="423">
        <v>4</v>
      </c>
      <c r="F169" s="830"/>
      <c r="G169" s="830"/>
      <c r="H169" s="449">
        <v>39892</v>
      </c>
      <c r="I169" s="825">
        <f t="shared" si="20"/>
        <v>2</v>
      </c>
      <c r="K169" s="423">
        <v>18</v>
      </c>
      <c r="L169" s="535"/>
      <c r="M169" s="535"/>
      <c r="N169" s="535"/>
      <c r="O169" s="535"/>
      <c r="P169" s="535"/>
      <c r="Q169" s="535"/>
      <c r="W169"/>
    </row>
    <row r="170" spans="2:23">
      <c r="B170" s="3255"/>
      <c r="C170" s="424">
        <v>40389</v>
      </c>
      <c r="D170" s="433">
        <f t="shared" si="19"/>
        <v>23</v>
      </c>
      <c r="E170" s="428">
        <v>2</v>
      </c>
      <c r="F170" s="830"/>
      <c r="G170" s="830"/>
      <c r="H170" s="449">
        <v>39909</v>
      </c>
      <c r="I170" s="825">
        <f t="shared" si="20"/>
        <v>17</v>
      </c>
      <c r="K170" s="428">
        <v>19</v>
      </c>
      <c r="L170" s="535"/>
      <c r="M170" s="535"/>
      <c r="N170" s="535"/>
      <c r="O170" s="535"/>
      <c r="P170" s="535"/>
      <c r="Q170" s="535"/>
      <c r="W170"/>
    </row>
    <row r="171" spans="2:23">
      <c r="B171" s="3255"/>
      <c r="C171" s="424">
        <v>40559</v>
      </c>
      <c r="D171" s="433">
        <f t="shared" si="19"/>
        <v>170</v>
      </c>
      <c r="E171" s="428">
        <v>30</v>
      </c>
      <c r="F171" s="830"/>
      <c r="G171" s="830"/>
      <c r="H171" s="449">
        <v>39928</v>
      </c>
      <c r="I171" s="825">
        <f t="shared" si="20"/>
        <v>19</v>
      </c>
      <c r="K171" s="428">
        <v>20</v>
      </c>
      <c r="L171" s="535"/>
      <c r="M171" s="535"/>
      <c r="N171" s="535"/>
      <c r="O171" s="535"/>
      <c r="P171" s="535"/>
      <c r="Q171" s="535"/>
      <c r="W171"/>
    </row>
    <row r="172" spans="2:23" ht="13.8" thickBot="1">
      <c r="B172" s="3256"/>
      <c r="C172" s="417">
        <v>40574</v>
      </c>
      <c r="D172" s="434">
        <f>+C172-C171</f>
        <v>15</v>
      </c>
      <c r="E172" s="426">
        <v>0</v>
      </c>
      <c r="F172" s="831"/>
      <c r="G172" s="831"/>
      <c r="H172" s="459">
        <v>39932</v>
      </c>
      <c r="I172" s="825">
        <f t="shared" si="20"/>
        <v>4</v>
      </c>
      <c r="K172" s="426">
        <v>6</v>
      </c>
      <c r="L172" s="535"/>
      <c r="M172" s="535"/>
      <c r="N172" s="535"/>
      <c r="O172" s="535"/>
      <c r="P172" s="535"/>
      <c r="Q172" s="535"/>
      <c r="W172"/>
    </row>
    <row r="173" spans="2:23">
      <c r="B173" s="3253" t="s">
        <v>91</v>
      </c>
      <c r="C173" s="448">
        <v>39122</v>
      </c>
      <c r="D173" s="828">
        <f>+C173-$D$2</f>
        <v>39</v>
      </c>
      <c r="E173" s="421">
        <v>2</v>
      </c>
      <c r="F173" s="829">
        <f>SUM(D173:D212)/COUNT(E173:E212)</f>
        <v>37.274999999999999</v>
      </c>
      <c r="G173" s="829">
        <f>(SUM(E173:E212)-1800+30)/COUNT(E173:E212)</f>
        <v>12.1</v>
      </c>
      <c r="H173" s="458">
        <v>39941</v>
      </c>
      <c r="I173" s="825">
        <f t="shared" si="20"/>
        <v>9</v>
      </c>
      <c r="K173" s="421">
        <v>8</v>
      </c>
      <c r="L173" s="535"/>
      <c r="M173" s="535"/>
      <c r="N173" s="535"/>
      <c r="O173" s="535"/>
      <c r="P173" s="535"/>
      <c r="Q173" s="535"/>
      <c r="W173"/>
    </row>
    <row r="174" spans="2:23">
      <c r="B174" s="3254"/>
      <c r="C174" s="424">
        <v>39155</v>
      </c>
      <c r="D174" s="422">
        <f t="shared" ref="D174:D211" si="21">+C174-C173</f>
        <v>33</v>
      </c>
      <c r="E174" s="423">
        <v>1</v>
      </c>
      <c r="F174" s="830"/>
      <c r="G174" s="830"/>
      <c r="H174" s="449">
        <v>39945</v>
      </c>
      <c r="I174" s="825">
        <f t="shared" si="20"/>
        <v>4</v>
      </c>
      <c r="K174" s="423">
        <v>7</v>
      </c>
      <c r="L174" s="535"/>
      <c r="M174" s="535"/>
      <c r="N174" s="535"/>
      <c r="O174" s="535"/>
      <c r="P174" s="535"/>
      <c r="Q174" s="535"/>
      <c r="W174"/>
    </row>
    <row r="175" spans="2:23">
      <c r="B175" s="3254"/>
      <c r="C175" s="424">
        <v>39161</v>
      </c>
      <c r="D175" s="422">
        <f t="shared" si="21"/>
        <v>6</v>
      </c>
      <c r="E175" s="423">
        <v>11</v>
      </c>
      <c r="F175" s="830"/>
      <c r="G175" s="830"/>
      <c r="H175" s="449">
        <v>39957</v>
      </c>
      <c r="I175" s="825">
        <f t="shared" si="20"/>
        <v>12</v>
      </c>
      <c r="K175" s="423">
        <v>2</v>
      </c>
      <c r="L175" s="535"/>
      <c r="M175" s="535"/>
      <c r="N175" s="535"/>
      <c r="O175" s="535"/>
      <c r="P175" s="535"/>
      <c r="Q175" s="535"/>
      <c r="W175"/>
    </row>
    <row r="176" spans="2:23">
      <c r="B176" s="3254"/>
      <c r="C176" s="424">
        <v>39187</v>
      </c>
      <c r="D176" s="422">
        <f t="shared" si="21"/>
        <v>26</v>
      </c>
      <c r="E176" s="423">
        <v>1</v>
      </c>
      <c r="F176" s="830"/>
      <c r="G176" s="830"/>
      <c r="H176" s="449">
        <v>39957</v>
      </c>
      <c r="I176" s="825">
        <f t="shared" si="20"/>
        <v>0</v>
      </c>
      <c r="K176" s="423">
        <v>11</v>
      </c>
      <c r="L176" s="535"/>
      <c r="M176" s="535"/>
      <c r="N176" s="535"/>
      <c r="O176" s="535"/>
      <c r="P176" s="535"/>
      <c r="Q176" s="535"/>
      <c r="W176"/>
    </row>
    <row r="177" spans="2:23">
      <c r="B177" s="3254"/>
      <c r="C177" s="424">
        <v>39256</v>
      </c>
      <c r="D177" s="422">
        <f t="shared" si="21"/>
        <v>69</v>
      </c>
      <c r="E177" s="423">
        <v>3</v>
      </c>
      <c r="F177" s="830"/>
      <c r="G177" s="830"/>
      <c r="H177" s="449">
        <v>39961</v>
      </c>
      <c r="I177" s="825">
        <f t="shared" si="20"/>
        <v>4</v>
      </c>
      <c r="K177" s="423">
        <v>11</v>
      </c>
      <c r="L177" s="535"/>
      <c r="M177" s="535"/>
      <c r="N177" s="535"/>
      <c r="O177" s="535"/>
      <c r="P177" s="535"/>
      <c r="Q177" s="535"/>
      <c r="W177"/>
    </row>
    <row r="178" spans="2:23">
      <c r="B178" s="3254"/>
      <c r="C178" s="424">
        <v>39256</v>
      </c>
      <c r="D178" s="422">
        <f t="shared" si="21"/>
        <v>0</v>
      </c>
      <c r="E178" s="423">
        <v>5</v>
      </c>
      <c r="F178" s="830"/>
      <c r="G178" s="830"/>
      <c r="H178" s="449">
        <v>39961</v>
      </c>
      <c r="I178" s="825">
        <f t="shared" si="20"/>
        <v>0</v>
      </c>
      <c r="K178" s="423">
        <v>7</v>
      </c>
      <c r="L178" s="535"/>
      <c r="M178" s="535"/>
      <c r="N178" s="535"/>
      <c r="O178" s="535"/>
      <c r="P178" s="535"/>
      <c r="Q178" s="535"/>
      <c r="W178"/>
    </row>
    <row r="179" spans="2:23">
      <c r="B179" s="3254"/>
      <c r="C179" s="424">
        <v>39328</v>
      </c>
      <c r="D179" s="422">
        <f t="shared" si="21"/>
        <v>72</v>
      </c>
      <c r="E179" s="423">
        <v>3</v>
      </c>
      <c r="F179" s="830"/>
      <c r="G179" s="830"/>
      <c r="H179" s="449">
        <v>39973</v>
      </c>
      <c r="I179" s="825">
        <f t="shared" si="20"/>
        <v>12</v>
      </c>
      <c r="K179" s="423">
        <v>18</v>
      </c>
      <c r="L179" s="535"/>
      <c r="M179" s="535"/>
      <c r="N179" s="535"/>
      <c r="O179" s="535"/>
      <c r="P179" s="535"/>
      <c r="Q179" s="535"/>
      <c r="W179"/>
    </row>
    <row r="180" spans="2:23">
      <c r="B180" s="3254"/>
      <c r="C180" s="424">
        <v>39415</v>
      </c>
      <c r="D180" s="422">
        <f t="shared" si="21"/>
        <v>87</v>
      </c>
      <c r="E180" s="423">
        <v>21</v>
      </c>
      <c r="F180" s="830"/>
      <c r="G180" s="830"/>
      <c r="H180" s="449">
        <v>39973</v>
      </c>
      <c r="I180" s="825">
        <f t="shared" si="20"/>
        <v>0</v>
      </c>
      <c r="K180" s="423">
        <v>29</v>
      </c>
      <c r="L180" s="535"/>
      <c r="M180" s="535"/>
      <c r="N180" s="535"/>
      <c r="O180" s="535"/>
      <c r="P180" s="535"/>
      <c r="Q180" s="535"/>
      <c r="W180"/>
    </row>
    <row r="181" spans="2:23">
      <c r="B181" s="3254"/>
      <c r="C181" s="424">
        <v>39434</v>
      </c>
      <c r="D181" s="422">
        <f t="shared" si="21"/>
        <v>19</v>
      </c>
      <c r="E181" s="423">
        <v>2</v>
      </c>
      <c r="F181" s="830"/>
      <c r="G181" s="830"/>
      <c r="H181" s="449">
        <v>39981</v>
      </c>
      <c r="I181" s="825">
        <f t="shared" si="20"/>
        <v>8</v>
      </c>
      <c r="K181" s="423">
        <v>7</v>
      </c>
      <c r="L181" s="535"/>
      <c r="M181" s="535"/>
      <c r="N181" s="535"/>
      <c r="O181" s="535"/>
      <c r="P181" s="535"/>
      <c r="Q181" s="535"/>
      <c r="W181"/>
    </row>
    <row r="182" spans="2:23">
      <c r="B182" s="3254"/>
      <c r="C182" s="424">
        <v>39472</v>
      </c>
      <c r="D182" s="422">
        <f t="shared" si="21"/>
        <v>38</v>
      </c>
      <c r="E182" s="423">
        <v>4</v>
      </c>
      <c r="F182" s="830"/>
      <c r="G182" s="830"/>
      <c r="H182" s="450">
        <v>39991</v>
      </c>
      <c r="I182" s="825">
        <f t="shared" si="20"/>
        <v>10</v>
      </c>
      <c r="K182" s="423">
        <v>30</v>
      </c>
      <c r="L182" s="535"/>
      <c r="M182" s="535"/>
      <c r="N182" s="535"/>
      <c r="O182" s="535"/>
      <c r="P182" s="535"/>
      <c r="Q182" s="535"/>
      <c r="W182"/>
    </row>
    <row r="183" spans="2:23">
      <c r="B183" s="3254"/>
      <c r="C183" s="424">
        <v>39485</v>
      </c>
      <c r="D183" s="422">
        <f t="shared" si="21"/>
        <v>13</v>
      </c>
      <c r="E183" s="423">
        <v>7</v>
      </c>
      <c r="F183" s="830"/>
      <c r="G183" s="830"/>
      <c r="H183" s="449">
        <v>40018</v>
      </c>
      <c r="I183" s="825">
        <f t="shared" si="20"/>
        <v>27</v>
      </c>
      <c r="K183" s="423">
        <v>51</v>
      </c>
      <c r="L183" s="535"/>
      <c r="M183" s="535"/>
      <c r="N183" s="535"/>
      <c r="O183" s="535"/>
      <c r="P183" s="535"/>
      <c r="Q183" s="535"/>
      <c r="W183"/>
    </row>
    <row r="184" spans="2:23">
      <c r="B184" s="3254"/>
      <c r="C184" s="424">
        <v>39532</v>
      </c>
      <c r="D184" s="422">
        <f t="shared" si="21"/>
        <v>47</v>
      </c>
      <c r="E184" s="423">
        <v>14</v>
      </c>
      <c r="F184" s="830"/>
      <c r="G184" s="830"/>
      <c r="H184" s="449">
        <v>40038</v>
      </c>
      <c r="I184" s="825">
        <f t="shared" si="20"/>
        <v>20</v>
      </c>
      <c r="K184" s="423">
        <v>7</v>
      </c>
      <c r="L184" s="535"/>
      <c r="M184" s="535"/>
      <c r="N184" s="535"/>
      <c r="O184" s="535"/>
      <c r="P184" s="535"/>
      <c r="Q184" s="535"/>
      <c r="W184"/>
    </row>
    <row r="185" spans="2:23">
      <c r="B185" s="3254"/>
      <c r="C185" s="424">
        <v>39580</v>
      </c>
      <c r="D185" s="422">
        <f t="shared" si="21"/>
        <v>48</v>
      </c>
      <c r="E185" s="423">
        <v>90</v>
      </c>
      <c r="F185" s="830"/>
      <c r="G185" s="830"/>
      <c r="H185" s="449">
        <v>40039</v>
      </c>
      <c r="I185" s="825">
        <f t="shared" si="20"/>
        <v>1</v>
      </c>
      <c r="K185" s="423">
        <v>27</v>
      </c>
      <c r="L185" s="535"/>
      <c r="M185" s="535"/>
      <c r="N185" s="535"/>
      <c r="O185" s="535"/>
      <c r="P185" s="535"/>
      <c r="Q185" s="535"/>
      <c r="W185"/>
    </row>
    <row r="186" spans="2:23">
      <c r="B186" s="3254"/>
      <c r="C186" s="424">
        <v>39583</v>
      </c>
      <c r="D186" s="422">
        <f t="shared" si="21"/>
        <v>3</v>
      </c>
      <c r="E186" s="423">
        <v>12</v>
      </c>
      <c r="F186" s="830"/>
      <c r="G186" s="830"/>
      <c r="H186" s="449">
        <v>40046</v>
      </c>
      <c r="I186" s="825">
        <f t="shared" si="20"/>
        <v>7</v>
      </c>
      <c r="K186" s="423">
        <v>30</v>
      </c>
      <c r="L186" s="535"/>
      <c r="M186" s="535"/>
      <c r="N186" s="535"/>
      <c r="O186" s="535"/>
      <c r="P186" s="535"/>
      <c r="Q186" s="535"/>
      <c r="W186"/>
    </row>
    <row r="187" spans="2:23">
      <c r="B187" s="3254"/>
      <c r="C187" s="424">
        <v>39610</v>
      </c>
      <c r="D187" s="422">
        <f t="shared" si="21"/>
        <v>27</v>
      </c>
      <c r="E187" s="423">
        <v>4</v>
      </c>
      <c r="F187" s="830"/>
      <c r="G187" s="830"/>
      <c r="H187" s="449">
        <v>40051</v>
      </c>
      <c r="I187" s="825">
        <f t="shared" si="20"/>
        <v>5</v>
      </c>
      <c r="K187" s="423">
        <v>5</v>
      </c>
      <c r="L187" s="535"/>
      <c r="M187" s="535"/>
      <c r="N187" s="535"/>
      <c r="O187" s="535"/>
      <c r="P187" s="535"/>
      <c r="Q187" s="535"/>
      <c r="W187"/>
    </row>
    <row r="188" spans="2:23">
      <c r="B188" s="3254"/>
      <c r="C188" s="424">
        <v>39627</v>
      </c>
      <c r="D188" s="422">
        <f t="shared" si="21"/>
        <v>17</v>
      </c>
      <c r="E188" s="423">
        <v>30</v>
      </c>
      <c r="F188" s="830"/>
      <c r="G188" s="830"/>
      <c r="H188" s="424">
        <v>40057</v>
      </c>
      <c r="I188" s="825">
        <f t="shared" si="20"/>
        <v>6</v>
      </c>
      <c r="K188" s="423">
        <v>3</v>
      </c>
      <c r="L188" s="535"/>
      <c r="M188" s="535"/>
      <c r="N188" s="535"/>
      <c r="O188" s="535"/>
      <c r="P188" s="535"/>
      <c r="Q188" s="535"/>
      <c r="W188"/>
    </row>
    <row r="189" spans="2:23">
      <c r="B189" s="3254"/>
      <c r="C189" s="424">
        <v>39693</v>
      </c>
      <c r="D189" s="422">
        <f t="shared" si="21"/>
        <v>66</v>
      </c>
      <c r="E189" s="423">
        <v>5</v>
      </c>
      <c r="F189" s="830"/>
      <c r="G189" s="830"/>
      <c r="H189" s="424">
        <v>40074</v>
      </c>
      <c r="I189" s="825">
        <f t="shared" si="20"/>
        <v>17</v>
      </c>
      <c r="K189" s="423">
        <v>7</v>
      </c>
      <c r="L189" s="535"/>
      <c r="M189" s="535"/>
      <c r="N189" s="535"/>
      <c r="O189" s="535"/>
      <c r="P189" s="535"/>
      <c r="Q189" s="535"/>
      <c r="W189"/>
    </row>
    <row r="190" spans="2:23">
      <c r="B190" s="3254"/>
      <c r="C190" s="424">
        <v>39746</v>
      </c>
      <c r="D190" s="422">
        <f t="shared" si="21"/>
        <v>53</v>
      </c>
      <c r="E190" s="423">
        <v>14</v>
      </c>
      <c r="F190" s="830"/>
      <c r="G190" s="830"/>
      <c r="H190" s="424">
        <v>40101</v>
      </c>
      <c r="I190" s="825">
        <f t="shared" si="20"/>
        <v>27</v>
      </c>
      <c r="K190" s="423">
        <v>4</v>
      </c>
      <c r="L190" s="535"/>
      <c r="M190" s="535"/>
      <c r="N190" s="535"/>
      <c r="O190" s="535"/>
      <c r="P190" s="535"/>
      <c r="Q190" s="535"/>
      <c r="W190"/>
    </row>
    <row r="191" spans="2:23">
      <c r="B191" s="3254"/>
      <c r="C191" s="449">
        <v>39835</v>
      </c>
      <c r="D191" s="422">
        <f t="shared" si="21"/>
        <v>89</v>
      </c>
      <c r="E191" s="423">
        <v>30</v>
      </c>
      <c r="F191" s="830"/>
      <c r="G191" s="830"/>
      <c r="H191" s="424">
        <v>40107</v>
      </c>
      <c r="I191" s="825">
        <f t="shared" si="20"/>
        <v>6</v>
      </c>
      <c r="K191" s="423">
        <v>1</v>
      </c>
      <c r="L191" s="535"/>
      <c r="M191" s="535"/>
      <c r="N191" s="535"/>
      <c r="O191" s="535"/>
      <c r="P191" s="535"/>
      <c r="Q191" s="535"/>
      <c r="W191"/>
    </row>
    <row r="192" spans="2:23">
      <c r="B192" s="3254"/>
      <c r="C192" s="449">
        <v>39932</v>
      </c>
      <c r="D192" s="422">
        <f t="shared" si="21"/>
        <v>97</v>
      </c>
      <c r="E192" s="423">
        <v>6</v>
      </c>
      <c r="F192" s="830"/>
      <c r="G192" s="830"/>
      <c r="H192" s="424">
        <v>40109</v>
      </c>
      <c r="I192" s="825">
        <f t="shared" si="20"/>
        <v>2</v>
      </c>
      <c r="K192" s="423">
        <v>30</v>
      </c>
      <c r="L192" s="535"/>
      <c r="M192" s="535"/>
      <c r="N192" s="535"/>
      <c r="O192" s="535"/>
      <c r="P192" s="535"/>
      <c r="Q192" s="535"/>
      <c r="W192"/>
    </row>
    <row r="193" spans="2:23">
      <c r="B193" s="3254"/>
      <c r="C193" s="449">
        <v>40046</v>
      </c>
      <c r="D193" s="422">
        <f t="shared" si="21"/>
        <v>114</v>
      </c>
      <c r="E193" s="423">
        <v>1800</v>
      </c>
      <c r="F193" s="830"/>
      <c r="G193" s="830"/>
      <c r="H193" s="424">
        <v>40112</v>
      </c>
      <c r="I193" s="825">
        <f t="shared" si="20"/>
        <v>3</v>
      </c>
      <c r="K193" s="423">
        <v>16</v>
      </c>
      <c r="L193" s="535"/>
      <c r="M193" s="535"/>
      <c r="N193" s="535"/>
      <c r="O193" s="535"/>
      <c r="P193" s="535"/>
      <c r="Q193" s="535"/>
      <c r="W193"/>
    </row>
    <row r="194" spans="2:23">
      <c r="B194" s="3254"/>
      <c r="C194" s="424">
        <v>40115</v>
      </c>
      <c r="D194" s="422">
        <f t="shared" si="21"/>
        <v>69</v>
      </c>
      <c r="E194" s="423">
        <v>2</v>
      </c>
      <c r="F194" s="830"/>
      <c r="G194" s="830"/>
      <c r="H194" s="424">
        <v>40115</v>
      </c>
      <c r="I194" s="825">
        <f t="shared" si="20"/>
        <v>3</v>
      </c>
      <c r="K194" s="423">
        <v>2</v>
      </c>
      <c r="L194" s="535"/>
      <c r="M194" s="535"/>
      <c r="N194" s="535"/>
      <c r="O194" s="535"/>
      <c r="P194" s="535"/>
      <c r="Q194" s="535"/>
      <c r="W194"/>
    </row>
    <row r="195" spans="2:23">
      <c r="B195" s="3254"/>
      <c r="C195" s="424">
        <v>40147</v>
      </c>
      <c r="D195" s="422">
        <f t="shared" si="21"/>
        <v>32</v>
      </c>
      <c r="E195" s="423">
        <v>5</v>
      </c>
      <c r="F195" s="830"/>
      <c r="G195" s="830"/>
      <c r="H195" s="424">
        <v>40122</v>
      </c>
      <c r="I195" s="825">
        <f t="shared" si="20"/>
        <v>7</v>
      </c>
      <c r="K195" s="423">
        <v>39</v>
      </c>
      <c r="L195" s="535"/>
      <c r="M195" s="535"/>
      <c r="N195" s="535"/>
      <c r="O195" s="535"/>
      <c r="P195" s="535"/>
      <c r="Q195" s="535"/>
      <c r="W195"/>
    </row>
    <row r="196" spans="2:23">
      <c r="B196" s="3254"/>
      <c r="C196" s="424">
        <v>40201</v>
      </c>
      <c r="D196" s="422">
        <f t="shared" si="21"/>
        <v>54</v>
      </c>
      <c r="E196" s="423">
        <v>15</v>
      </c>
      <c r="F196" s="830"/>
      <c r="G196" s="830"/>
      <c r="H196" s="424">
        <v>40136</v>
      </c>
      <c r="I196" s="825">
        <f t="shared" si="20"/>
        <v>14</v>
      </c>
      <c r="K196" s="423">
        <v>9</v>
      </c>
      <c r="L196" s="535"/>
      <c r="M196" s="535"/>
      <c r="N196" s="535"/>
      <c r="O196" s="535"/>
      <c r="P196" s="535"/>
      <c r="Q196" s="535"/>
      <c r="W196"/>
    </row>
    <row r="197" spans="2:23">
      <c r="B197" s="3254"/>
      <c r="C197" s="424">
        <v>40203</v>
      </c>
      <c r="D197" s="422">
        <f t="shared" si="21"/>
        <v>2</v>
      </c>
      <c r="E197" s="423">
        <v>7</v>
      </c>
      <c r="F197" s="830"/>
      <c r="G197" s="830"/>
      <c r="H197" s="424">
        <v>40142</v>
      </c>
      <c r="I197" s="825">
        <f t="shared" si="20"/>
        <v>6</v>
      </c>
      <c r="K197" s="423">
        <v>5</v>
      </c>
      <c r="L197" s="535"/>
      <c r="M197" s="535"/>
      <c r="N197" s="535"/>
      <c r="O197" s="535"/>
      <c r="P197" s="535"/>
      <c r="Q197" s="535"/>
      <c r="W197"/>
    </row>
    <row r="198" spans="2:23">
      <c r="B198" s="3254"/>
      <c r="C198" s="424">
        <v>40213</v>
      </c>
      <c r="D198" s="422">
        <f t="shared" si="21"/>
        <v>10</v>
      </c>
      <c r="E198" s="423">
        <v>15</v>
      </c>
      <c r="F198" s="830"/>
      <c r="G198" s="830"/>
      <c r="H198" s="424">
        <v>40147</v>
      </c>
      <c r="I198" s="825">
        <f t="shared" si="20"/>
        <v>5</v>
      </c>
      <c r="K198" s="423">
        <v>5</v>
      </c>
      <c r="L198" s="535"/>
      <c r="M198" s="535"/>
      <c r="N198" s="535"/>
      <c r="O198" s="535"/>
      <c r="P198" s="535"/>
      <c r="Q198" s="535"/>
      <c r="W198"/>
    </row>
    <row r="199" spans="2:23">
      <c r="B199" s="3254"/>
      <c r="C199" s="424">
        <v>40217</v>
      </c>
      <c r="D199" s="422">
        <f t="shared" si="21"/>
        <v>4</v>
      </c>
      <c r="E199" s="423">
        <v>30</v>
      </c>
      <c r="F199" s="830"/>
      <c r="G199" s="830"/>
      <c r="H199" s="424">
        <v>40156</v>
      </c>
      <c r="I199" s="825">
        <f t="shared" si="20"/>
        <v>9</v>
      </c>
      <c r="K199" s="423">
        <v>2</v>
      </c>
      <c r="L199" s="535"/>
      <c r="M199" s="535"/>
      <c r="N199" s="535"/>
      <c r="O199" s="535"/>
      <c r="P199" s="535"/>
      <c r="Q199" s="535"/>
      <c r="W199"/>
    </row>
    <row r="200" spans="2:23">
      <c r="B200" s="3254"/>
      <c r="C200" s="424">
        <v>40252</v>
      </c>
      <c r="D200" s="422">
        <f t="shared" si="21"/>
        <v>35</v>
      </c>
      <c r="E200" s="423">
        <v>48</v>
      </c>
      <c r="F200" s="830"/>
      <c r="G200" s="830"/>
      <c r="H200" s="424">
        <v>40156</v>
      </c>
      <c r="I200" s="825">
        <f t="shared" si="20"/>
        <v>0</v>
      </c>
      <c r="K200" s="423">
        <v>3</v>
      </c>
      <c r="L200" s="535"/>
      <c r="M200" s="535"/>
      <c r="N200" s="535"/>
      <c r="O200" s="535"/>
      <c r="P200" s="535"/>
      <c r="Q200" s="535"/>
      <c r="W200"/>
    </row>
    <row r="201" spans="2:23">
      <c r="B201" s="3254"/>
      <c r="C201" s="424">
        <v>40303</v>
      </c>
      <c r="D201" s="422">
        <f t="shared" si="21"/>
        <v>51</v>
      </c>
      <c r="E201" s="423">
        <v>10</v>
      </c>
      <c r="F201" s="830"/>
      <c r="G201" s="830"/>
      <c r="H201" s="424">
        <v>40175</v>
      </c>
      <c r="I201" s="825">
        <f t="shared" si="20"/>
        <v>19</v>
      </c>
      <c r="K201" s="423">
        <v>2</v>
      </c>
      <c r="L201" s="535"/>
      <c r="M201" s="535"/>
      <c r="N201" s="535"/>
      <c r="O201" s="535"/>
      <c r="P201" s="535"/>
      <c r="Q201" s="535"/>
      <c r="W201"/>
    </row>
    <row r="202" spans="2:23">
      <c r="B202" s="3254"/>
      <c r="C202" s="424">
        <v>40356</v>
      </c>
      <c r="D202" s="422">
        <f t="shared" si="21"/>
        <v>53</v>
      </c>
      <c r="E202" s="423">
        <v>3</v>
      </c>
      <c r="F202" s="830"/>
      <c r="G202" s="830"/>
      <c r="H202" s="424">
        <v>40200</v>
      </c>
      <c r="I202" s="825">
        <f t="shared" si="20"/>
        <v>25</v>
      </c>
      <c r="K202" s="423">
        <v>7</v>
      </c>
      <c r="L202" s="535"/>
      <c r="M202" s="535"/>
      <c r="N202" s="535"/>
      <c r="O202" s="535"/>
      <c r="P202" s="535"/>
      <c r="Q202" s="535"/>
      <c r="W202"/>
    </row>
    <row r="203" spans="2:23">
      <c r="B203" s="3254"/>
      <c r="C203" s="424">
        <v>40392</v>
      </c>
      <c r="D203" s="422">
        <f t="shared" si="21"/>
        <v>36</v>
      </c>
      <c r="E203" s="423">
        <v>3</v>
      </c>
      <c r="F203" s="830"/>
      <c r="G203" s="830"/>
      <c r="H203" s="424">
        <v>40200</v>
      </c>
      <c r="I203" s="825">
        <f t="shared" si="20"/>
        <v>0</v>
      </c>
      <c r="K203" s="423">
        <v>3</v>
      </c>
      <c r="L203" s="535"/>
      <c r="M203" s="535"/>
      <c r="N203" s="535"/>
      <c r="O203" s="535"/>
      <c r="P203" s="535"/>
      <c r="Q203" s="535"/>
      <c r="W203"/>
    </row>
    <row r="204" spans="2:23">
      <c r="B204" s="3254"/>
      <c r="C204" s="424">
        <v>40421</v>
      </c>
      <c r="D204" s="422">
        <f t="shared" si="21"/>
        <v>29</v>
      </c>
      <c r="E204" s="423">
        <v>3</v>
      </c>
      <c r="F204" s="830"/>
      <c r="G204" s="830"/>
      <c r="H204" s="424">
        <v>40200</v>
      </c>
      <c r="I204" s="825">
        <f t="shared" si="20"/>
        <v>0</v>
      </c>
      <c r="K204" s="423">
        <v>4</v>
      </c>
      <c r="L204" s="535"/>
      <c r="M204" s="535"/>
      <c r="N204" s="535"/>
      <c r="O204" s="535"/>
      <c r="P204" s="535"/>
      <c r="Q204" s="535"/>
      <c r="W204"/>
    </row>
    <row r="205" spans="2:23">
      <c r="B205" s="3254"/>
      <c r="C205" s="424">
        <v>40429</v>
      </c>
      <c r="D205" s="422">
        <f t="shared" si="21"/>
        <v>8</v>
      </c>
      <c r="E205" s="423">
        <v>13</v>
      </c>
      <c r="F205" s="830"/>
      <c r="G205" s="830"/>
      <c r="H205" s="424">
        <v>40201</v>
      </c>
      <c r="I205" s="825">
        <f t="shared" si="20"/>
        <v>1</v>
      </c>
      <c r="K205" s="423">
        <v>15</v>
      </c>
      <c r="L205" s="535"/>
      <c r="M205" s="535"/>
      <c r="N205" s="535"/>
      <c r="O205" s="535"/>
      <c r="P205" s="535"/>
      <c r="Q205" s="535"/>
      <c r="W205"/>
    </row>
    <row r="206" spans="2:23">
      <c r="B206" s="3254"/>
      <c r="C206" s="424">
        <v>40438</v>
      </c>
      <c r="D206" s="422">
        <f t="shared" si="21"/>
        <v>9</v>
      </c>
      <c r="E206" s="423">
        <v>2</v>
      </c>
      <c r="F206" s="830"/>
      <c r="G206" s="830"/>
      <c r="H206" s="424">
        <v>40203</v>
      </c>
      <c r="I206" s="825">
        <f t="shared" si="20"/>
        <v>2</v>
      </c>
      <c r="K206" s="423">
        <v>7</v>
      </c>
      <c r="L206" s="535"/>
      <c r="M206" s="535"/>
      <c r="N206" s="535"/>
      <c r="O206" s="535"/>
      <c r="P206" s="535"/>
      <c r="Q206" s="535"/>
      <c r="W206"/>
    </row>
    <row r="207" spans="2:23">
      <c r="B207" s="3254"/>
      <c r="C207" s="424">
        <v>40474</v>
      </c>
      <c r="D207" s="422">
        <f t="shared" si="21"/>
        <v>36</v>
      </c>
      <c r="E207" s="423">
        <v>5</v>
      </c>
      <c r="F207" s="830"/>
      <c r="G207" s="830"/>
      <c r="H207" s="424">
        <v>40204</v>
      </c>
      <c r="I207" s="825">
        <f t="shared" si="20"/>
        <v>1</v>
      </c>
      <c r="K207" s="423">
        <v>54</v>
      </c>
      <c r="L207" s="535"/>
      <c r="M207" s="535"/>
      <c r="N207" s="535"/>
      <c r="O207" s="535"/>
      <c r="P207" s="535"/>
      <c r="Q207" s="535"/>
      <c r="W207"/>
    </row>
    <row r="208" spans="2:23">
      <c r="B208" s="3254"/>
      <c r="C208" s="424">
        <v>40526</v>
      </c>
      <c r="D208" s="422">
        <f t="shared" si="21"/>
        <v>52</v>
      </c>
      <c r="E208" s="423">
        <v>3</v>
      </c>
      <c r="F208" s="830"/>
      <c r="G208" s="830"/>
      <c r="H208" s="424">
        <v>40213</v>
      </c>
      <c r="I208" s="825">
        <f t="shared" si="20"/>
        <v>9</v>
      </c>
      <c r="K208" s="423">
        <v>15</v>
      </c>
      <c r="L208" s="535"/>
      <c r="M208" s="535"/>
      <c r="N208" s="535"/>
      <c r="O208" s="535"/>
      <c r="P208" s="535"/>
      <c r="Q208" s="535"/>
      <c r="W208"/>
    </row>
    <row r="209" spans="2:23">
      <c r="B209" s="3255"/>
      <c r="C209" s="424">
        <v>40529</v>
      </c>
      <c r="D209" s="422">
        <f t="shared" si="21"/>
        <v>3</v>
      </c>
      <c r="E209" s="428">
        <v>3</v>
      </c>
      <c r="F209" s="830"/>
      <c r="G209" s="830"/>
      <c r="H209" s="424">
        <v>40217</v>
      </c>
      <c r="I209" s="825">
        <f t="shared" si="20"/>
        <v>4</v>
      </c>
      <c r="K209" s="428">
        <v>30</v>
      </c>
      <c r="L209" s="535"/>
      <c r="M209" s="535"/>
      <c r="N209" s="535"/>
      <c r="O209" s="535"/>
      <c r="P209" s="535"/>
      <c r="Q209" s="535"/>
      <c r="W209"/>
    </row>
    <row r="210" spans="2:23">
      <c r="B210" s="3255"/>
      <c r="C210" s="424">
        <v>40551</v>
      </c>
      <c r="D210" s="422">
        <f t="shared" si="21"/>
        <v>22</v>
      </c>
      <c r="E210" s="428">
        <v>20</v>
      </c>
      <c r="F210" s="830"/>
      <c r="G210" s="830"/>
      <c r="H210" s="424">
        <v>40226</v>
      </c>
      <c r="I210" s="825">
        <f t="shared" si="20"/>
        <v>9</v>
      </c>
      <c r="K210" s="428">
        <v>45</v>
      </c>
      <c r="L210" s="535"/>
      <c r="M210" s="535"/>
      <c r="N210" s="535"/>
      <c r="O210" s="535"/>
      <c r="P210" s="535"/>
      <c r="Q210" s="535"/>
      <c r="W210"/>
    </row>
    <row r="211" spans="2:23">
      <c r="B211" s="3255"/>
      <c r="C211" s="424">
        <v>40574</v>
      </c>
      <c r="D211" s="422">
        <f t="shared" si="21"/>
        <v>23</v>
      </c>
      <c r="E211" s="428">
        <v>2</v>
      </c>
      <c r="F211" s="830"/>
      <c r="G211" s="830"/>
      <c r="H211" s="424">
        <v>40228</v>
      </c>
      <c r="I211" s="825">
        <f t="shared" si="20"/>
        <v>2</v>
      </c>
      <c r="K211" s="428">
        <v>42</v>
      </c>
      <c r="L211" s="535"/>
      <c r="M211" s="535"/>
      <c r="N211" s="535"/>
      <c r="O211" s="535"/>
      <c r="P211" s="535"/>
      <c r="Q211" s="535"/>
      <c r="W211"/>
    </row>
    <row r="212" spans="2:23" ht="13.8" thickBot="1">
      <c r="B212" s="3256"/>
      <c r="C212" s="417">
        <v>40574</v>
      </c>
      <c r="D212" s="425">
        <f>+C212-C211</f>
        <v>0</v>
      </c>
      <c r="E212" s="426">
        <v>0</v>
      </c>
      <c r="F212" s="831"/>
      <c r="G212" s="831"/>
      <c r="H212" s="456">
        <v>40243</v>
      </c>
      <c r="I212" s="825">
        <f t="shared" si="20"/>
        <v>15</v>
      </c>
      <c r="K212" s="426">
        <v>21</v>
      </c>
      <c r="L212" s="535"/>
      <c r="M212" s="535"/>
      <c r="N212" s="535"/>
      <c r="O212" s="535"/>
      <c r="P212" s="535"/>
      <c r="Q212" s="535"/>
      <c r="W212"/>
    </row>
    <row r="213" spans="2:23">
      <c r="B213" s="3253" t="s">
        <v>92</v>
      </c>
      <c r="C213" s="448">
        <v>39510</v>
      </c>
      <c r="D213" s="828">
        <f>+C213-$D$2</f>
        <v>427</v>
      </c>
      <c r="E213" s="421">
        <v>4</v>
      </c>
      <c r="F213" s="829">
        <f>SUM(D213:D217)/COUNT(E213:E217)</f>
        <v>298.2</v>
      </c>
      <c r="G213" s="829">
        <f>SUM(E213:E217)/COUNT(E213:E217)</f>
        <v>16.2</v>
      </c>
      <c r="H213" s="448">
        <v>40249</v>
      </c>
      <c r="I213" s="825">
        <f t="shared" si="20"/>
        <v>6</v>
      </c>
      <c r="K213" s="421">
        <v>20</v>
      </c>
      <c r="L213" s="535"/>
      <c r="M213" s="535"/>
      <c r="N213" s="535"/>
      <c r="O213" s="535"/>
      <c r="P213" s="535"/>
      <c r="Q213" s="535"/>
      <c r="W213"/>
    </row>
    <row r="214" spans="2:23">
      <c r="B214" s="3254"/>
      <c r="C214" s="449">
        <v>39799</v>
      </c>
      <c r="D214" s="422">
        <f>+C214-C213</f>
        <v>289</v>
      </c>
      <c r="E214" s="423">
        <v>30</v>
      </c>
      <c r="F214" s="830"/>
      <c r="G214" s="830"/>
      <c r="H214" s="424">
        <v>40252</v>
      </c>
      <c r="I214" s="825">
        <f t="shared" si="20"/>
        <v>3</v>
      </c>
      <c r="K214" s="423">
        <v>48</v>
      </c>
      <c r="L214" s="535"/>
      <c r="M214" s="535"/>
      <c r="N214" s="535"/>
      <c r="O214" s="535"/>
      <c r="P214" s="535"/>
      <c r="Q214" s="535"/>
      <c r="W214"/>
    </row>
    <row r="215" spans="2:23">
      <c r="B215" s="3254"/>
      <c r="C215" s="449">
        <v>39973</v>
      </c>
      <c r="D215" s="422">
        <f>+C215-C214</f>
        <v>174</v>
      </c>
      <c r="E215" s="423">
        <v>18</v>
      </c>
      <c r="F215" s="830"/>
      <c r="G215" s="830"/>
      <c r="H215" s="424">
        <v>40254</v>
      </c>
      <c r="I215" s="825">
        <f t="shared" si="20"/>
        <v>2</v>
      </c>
      <c r="K215" s="423">
        <v>8</v>
      </c>
      <c r="L215" s="535"/>
      <c r="M215" s="535"/>
      <c r="N215" s="535"/>
      <c r="O215" s="535"/>
      <c r="P215" s="535"/>
      <c r="Q215" s="535"/>
      <c r="W215"/>
    </row>
    <row r="216" spans="2:23">
      <c r="B216" s="3255"/>
      <c r="C216" s="449">
        <v>39973</v>
      </c>
      <c r="D216" s="422">
        <f>+C216-C215</f>
        <v>0</v>
      </c>
      <c r="E216" s="428">
        <v>29</v>
      </c>
      <c r="F216" s="830"/>
      <c r="G216" s="830"/>
      <c r="H216" s="424">
        <v>40260</v>
      </c>
      <c r="I216" s="825">
        <f t="shared" si="20"/>
        <v>6</v>
      </c>
      <c r="K216" s="428">
        <v>30</v>
      </c>
      <c r="L216" s="535"/>
      <c r="M216" s="535"/>
      <c r="N216" s="535"/>
      <c r="O216" s="535"/>
      <c r="P216" s="535"/>
      <c r="Q216" s="535"/>
      <c r="W216"/>
    </row>
    <row r="217" spans="2:23" ht="13.8" thickBot="1">
      <c r="B217" s="3256"/>
      <c r="C217" s="417">
        <v>40574</v>
      </c>
      <c r="D217" s="430">
        <f>+C217-C216</f>
        <v>601</v>
      </c>
      <c r="E217" s="426">
        <v>0</v>
      </c>
      <c r="F217" s="831"/>
      <c r="G217" s="831"/>
      <c r="H217" s="456">
        <v>40266</v>
      </c>
      <c r="I217" s="825">
        <f t="shared" si="20"/>
        <v>6</v>
      </c>
      <c r="K217" s="426">
        <v>6</v>
      </c>
      <c r="L217" s="535"/>
      <c r="M217" s="535"/>
      <c r="N217" s="535"/>
      <c r="O217" s="535"/>
      <c r="P217" s="535"/>
      <c r="Q217" s="535"/>
      <c r="W217"/>
    </row>
    <row r="218" spans="2:23">
      <c r="B218" s="3253" t="s">
        <v>93</v>
      </c>
      <c r="C218" s="451">
        <v>39227</v>
      </c>
      <c r="D218" s="828">
        <f>+C218-$D$2</f>
        <v>144</v>
      </c>
      <c r="E218" s="435">
        <v>2</v>
      </c>
      <c r="F218" s="824">
        <f>SUM(D218:D231)/COUNT(E218:E231)</f>
        <v>106.5</v>
      </c>
      <c r="G218" s="824">
        <f>SUM(E218:E231)/COUNT(E218:E231)</f>
        <v>14.714285714285714</v>
      </c>
      <c r="H218" s="448">
        <v>40287</v>
      </c>
      <c r="I218" s="825">
        <f t="shared" si="20"/>
        <v>21</v>
      </c>
      <c r="K218" s="421">
        <v>30</v>
      </c>
      <c r="L218" s="535"/>
      <c r="M218" s="535"/>
      <c r="N218" s="535"/>
      <c r="O218" s="535"/>
      <c r="P218" s="535"/>
      <c r="Q218" s="535"/>
      <c r="W218"/>
    </row>
    <row r="219" spans="2:23">
      <c r="B219" s="3254"/>
      <c r="C219" s="452">
        <v>39231</v>
      </c>
      <c r="D219" s="422">
        <f t="shared" ref="D219:D230" si="22">+C219-C218</f>
        <v>4</v>
      </c>
      <c r="E219" s="436">
        <v>92</v>
      </c>
      <c r="F219" s="826"/>
      <c r="G219" s="826"/>
      <c r="H219" s="424">
        <v>40295</v>
      </c>
      <c r="I219" s="825">
        <f t="shared" ref="I219:I282" si="23">+H219-H218</f>
        <v>8</v>
      </c>
      <c r="K219" s="423">
        <v>7</v>
      </c>
      <c r="L219" s="535"/>
      <c r="M219" s="535"/>
      <c r="N219" s="535"/>
      <c r="O219" s="535"/>
      <c r="P219" s="535"/>
      <c r="Q219" s="535"/>
      <c r="W219"/>
    </row>
    <row r="220" spans="2:23">
      <c r="B220" s="3254"/>
      <c r="C220" s="452">
        <v>39331</v>
      </c>
      <c r="D220" s="422">
        <f t="shared" si="22"/>
        <v>100</v>
      </c>
      <c r="E220" s="436">
        <v>2</v>
      </c>
      <c r="F220" s="826"/>
      <c r="G220" s="826"/>
      <c r="H220" s="424">
        <v>40303</v>
      </c>
      <c r="I220" s="825">
        <f t="shared" si="23"/>
        <v>8</v>
      </c>
      <c r="K220" s="423">
        <v>10</v>
      </c>
      <c r="L220" s="535"/>
      <c r="M220" s="535"/>
      <c r="N220" s="535"/>
      <c r="O220" s="535"/>
      <c r="P220" s="535"/>
      <c r="Q220" s="535"/>
      <c r="W220"/>
    </row>
    <row r="221" spans="2:23">
      <c r="B221" s="3254"/>
      <c r="C221" s="452">
        <v>39420</v>
      </c>
      <c r="D221" s="422">
        <f t="shared" si="22"/>
        <v>89</v>
      </c>
      <c r="E221" s="436">
        <v>4</v>
      </c>
      <c r="F221" s="826"/>
      <c r="G221" s="826"/>
      <c r="H221" s="424">
        <v>40310</v>
      </c>
      <c r="I221" s="825">
        <f t="shared" si="23"/>
        <v>7</v>
      </c>
      <c r="K221" s="423">
        <v>20</v>
      </c>
      <c r="L221" s="535"/>
      <c r="M221" s="535"/>
      <c r="N221" s="535"/>
      <c r="O221" s="535"/>
      <c r="P221" s="535"/>
      <c r="Q221" s="535"/>
      <c r="W221"/>
    </row>
    <row r="222" spans="2:23">
      <c r="B222" s="3254"/>
      <c r="C222" s="452">
        <v>39430</v>
      </c>
      <c r="D222" s="422">
        <f t="shared" si="22"/>
        <v>10</v>
      </c>
      <c r="E222" s="436">
        <v>17</v>
      </c>
      <c r="F222" s="826"/>
      <c r="G222" s="826"/>
      <c r="H222" s="424">
        <v>40323</v>
      </c>
      <c r="I222" s="825">
        <f t="shared" si="23"/>
        <v>13</v>
      </c>
      <c r="K222" s="423">
        <v>2</v>
      </c>
      <c r="L222" s="535"/>
      <c r="M222" s="535"/>
      <c r="N222" s="535"/>
      <c r="O222" s="535"/>
      <c r="P222" s="535"/>
      <c r="Q222" s="535"/>
      <c r="W222"/>
    </row>
    <row r="223" spans="2:23">
      <c r="B223" s="3254"/>
      <c r="C223" s="452">
        <v>39433</v>
      </c>
      <c r="D223" s="422">
        <f t="shared" si="22"/>
        <v>3</v>
      </c>
      <c r="E223" s="436">
        <v>3</v>
      </c>
      <c r="F223" s="826"/>
      <c r="G223" s="826"/>
      <c r="H223" s="424">
        <v>40352</v>
      </c>
      <c r="I223" s="825">
        <f t="shared" si="23"/>
        <v>29</v>
      </c>
      <c r="K223" s="423">
        <v>30</v>
      </c>
      <c r="L223" s="535"/>
      <c r="M223" s="535"/>
      <c r="N223" s="535"/>
      <c r="O223" s="535"/>
      <c r="P223" s="535"/>
      <c r="Q223" s="535"/>
      <c r="W223"/>
    </row>
    <row r="224" spans="2:23">
      <c r="B224" s="3254"/>
      <c r="C224" s="452">
        <v>39475</v>
      </c>
      <c r="D224" s="422">
        <f t="shared" si="22"/>
        <v>42</v>
      </c>
      <c r="E224" s="436">
        <v>3</v>
      </c>
      <c r="F224" s="826"/>
      <c r="G224" s="826"/>
      <c r="H224" s="424">
        <v>40353</v>
      </c>
      <c r="I224" s="825">
        <f t="shared" si="23"/>
        <v>1</v>
      </c>
      <c r="K224" s="423">
        <v>2</v>
      </c>
      <c r="L224" s="535"/>
      <c r="M224" s="535"/>
      <c r="N224" s="535"/>
      <c r="O224" s="535"/>
      <c r="P224" s="535"/>
      <c r="Q224" s="535"/>
      <c r="W224"/>
    </row>
    <row r="225" spans="2:23">
      <c r="B225" s="3254"/>
      <c r="C225" s="452">
        <v>39541</v>
      </c>
      <c r="D225" s="422">
        <f t="shared" si="22"/>
        <v>66</v>
      </c>
      <c r="E225" s="436">
        <v>20</v>
      </c>
      <c r="F225" s="826"/>
      <c r="G225" s="826"/>
      <c r="H225" s="424">
        <v>40355</v>
      </c>
      <c r="I225" s="825">
        <f t="shared" si="23"/>
        <v>2</v>
      </c>
      <c r="K225" s="423">
        <v>60</v>
      </c>
      <c r="L225" s="535"/>
      <c r="M225" s="535"/>
      <c r="N225" s="535"/>
      <c r="O225" s="535"/>
      <c r="P225" s="535"/>
      <c r="Q225" s="535"/>
      <c r="W225"/>
    </row>
    <row r="226" spans="2:23">
      <c r="B226" s="3254"/>
      <c r="C226" s="449">
        <v>39778</v>
      </c>
      <c r="D226" s="422">
        <f t="shared" si="22"/>
        <v>237</v>
      </c>
      <c r="E226" s="423">
        <v>20</v>
      </c>
      <c r="F226" s="826"/>
      <c r="G226" s="826"/>
      <c r="H226" s="424">
        <v>40356</v>
      </c>
      <c r="I226" s="825">
        <f t="shared" si="23"/>
        <v>1</v>
      </c>
      <c r="K226" s="423">
        <v>3</v>
      </c>
      <c r="L226" s="535"/>
      <c r="M226" s="535"/>
      <c r="N226" s="535"/>
      <c r="O226" s="535"/>
      <c r="P226" s="535"/>
      <c r="Q226" s="535"/>
      <c r="W226"/>
    </row>
    <row r="227" spans="2:23">
      <c r="B227" s="3254"/>
      <c r="C227" s="449">
        <v>39791</v>
      </c>
      <c r="D227" s="422">
        <f t="shared" si="22"/>
        <v>13</v>
      </c>
      <c r="E227" s="423">
        <v>21</v>
      </c>
      <c r="F227" s="826"/>
      <c r="G227" s="826"/>
      <c r="H227" s="424">
        <v>40357</v>
      </c>
      <c r="I227" s="825">
        <f t="shared" si="23"/>
        <v>1</v>
      </c>
      <c r="K227" s="423">
        <v>2</v>
      </c>
      <c r="L227" s="535"/>
      <c r="M227" s="535"/>
      <c r="N227" s="535"/>
      <c r="O227" s="535"/>
      <c r="P227" s="535"/>
      <c r="Q227" s="535"/>
      <c r="W227"/>
    </row>
    <row r="228" spans="2:23">
      <c r="B228" s="3254"/>
      <c r="C228" s="424">
        <v>40057</v>
      </c>
      <c r="D228" s="422">
        <f t="shared" si="22"/>
        <v>266</v>
      </c>
      <c r="E228" s="423">
        <v>3</v>
      </c>
      <c r="F228" s="826"/>
      <c r="G228" s="826"/>
      <c r="H228" s="424">
        <v>40366</v>
      </c>
      <c r="I228" s="825">
        <f t="shared" si="23"/>
        <v>9</v>
      </c>
      <c r="K228" s="423">
        <v>4</v>
      </c>
      <c r="L228" s="535"/>
      <c r="M228" s="535"/>
      <c r="N228" s="535"/>
      <c r="O228" s="535"/>
      <c r="P228" s="535"/>
      <c r="Q228" s="535"/>
      <c r="W228"/>
    </row>
    <row r="229" spans="2:23">
      <c r="B229" s="3254"/>
      <c r="C229" s="424">
        <v>40200</v>
      </c>
      <c r="D229" s="422">
        <f t="shared" si="22"/>
        <v>143</v>
      </c>
      <c r="E229" s="423">
        <v>7</v>
      </c>
      <c r="F229" s="826"/>
      <c r="G229" s="826"/>
      <c r="H229" s="424">
        <v>40372</v>
      </c>
      <c r="I229" s="825">
        <f t="shared" si="23"/>
        <v>6</v>
      </c>
      <c r="K229" s="423">
        <v>30</v>
      </c>
      <c r="L229" s="535"/>
      <c r="M229" s="535"/>
      <c r="N229" s="535"/>
      <c r="O229" s="535"/>
      <c r="P229" s="535"/>
      <c r="Q229" s="535"/>
      <c r="W229"/>
    </row>
    <row r="230" spans="2:23">
      <c r="B230" s="3255"/>
      <c r="C230" s="424">
        <v>40514</v>
      </c>
      <c r="D230" s="422">
        <f t="shared" si="22"/>
        <v>314</v>
      </c>
      <c r="E230" s="428">
        <v>12</v>
      </c>
      <c r="F230" s="826"/>
      <c r="G230" s="826"/>
      <c r="H230" s="424">
        <v>40379</v>
      </c>
      <c r="I230" s="825">
        <f t="shared" si="23"/>
        <v>7</v>
      </c>
      <c r="K230" s="461">
        <v>3</v>
      </c>
      <c r="L230" s="548"/>
      <c r="M230" s="548"/>
      <c r="N230" s="548"/>
      <c r="O230" s="548"/>
      <c r="P230" s="548"/>
      <c r="Q230" s="548"/>
      <c r="W230"/>
    </row>
    <row r="231" spans="2:23" ht="13.8" thickBot="1">
      <c r="B231" s="3256"/>
      <c r="C231" s="417">
        <v>40574</v>
      </c>
      <c r="D231" s="425">
        <f>+C231-C230</f>
        <v>60</v>
      </c>
      <c r="E231" s="426">
        <v>0</v>
      </c>
      <c r="F231" s="827"/>
      <c r="G231" s="827"/>
      <c r="H231" s="456">
        <v>40385</v>
      </c>
      <c r="I231" s="825">
        <f t="shared" si="23"/>
        <v>6</v>
      </c>
      <c r="K231" s="426">
        <v>2</v>
      </c>
      <c r="L231" s="535"/>
      <c r="M231" s="535"/>
      <c r="N231" s="535"/>
      <c r="O231" s="535"/>
      <c r="P231" s="535"/>
      <c r="Q231" s="535"/>
      <c r="W231"/>
    </row>
    <row r="232" spans="2:23" ht="13.8" thickBot="1">
      <c r="B232" s="437" t="s">
        <v>94</v>
      </c>
      <c r="C232" s="417">
        <v>40574</v>
      </c>
      <c r="D232" s="833">
        <f>+C232-$D$2</f>
        <v>1491</v>
      </c>
      <c r="E232" s="439">
        <v>0</v>
      </c>
      <c r="F232" s="834">
        <f>SUM(D232:D232)/COUNT(E232:E232)</f>
        <v>1491</v>
      </c>
      <c r="G232" s="827">
        <f>SUM(E232:E232)/COUNT(E232:E232)</f>
        <v>0</v>
      </c>
      <c r="H232" s="456">
        <v>40389</v>
      </c>
      <c r="I232" s="825">
        <f t="shared" si="23"/>
        <v>4</v>
      </c>
      <c r="K232" s="419">
        <v>2</v>
      </c>
      <c r="L232" s="535"/>
      <c r="M232" s="535"/>
      <c r="N232" s="535"/>
      <c r="O232" s="535"/>
      <c r="P232" s="535"/>
      <c r="Q232" s="535"/>
      <c r="W232"/>
    </row>
    <row r="233" spans="2:23">
      <c r="B233" s="3257" t="s">
        <v>95</v>
      </c>
      <c r="C233" s="448">
        <v>39368</v>
      </c>
      <c r="D233" s="828">
        <f>+C233-$D$2</f>
        <v>285</v>
      </c>
      <c r="E233" s="421">
        <v>4</v>
      </c>
      <c r="F233" s="824">
        <f>SUM(D233:D242)/COUNT(E233:E242)</f>
        <v>149.1</v>
      </c>
      <c r="G233" s="824">
        <f>SUM(E233:E242)/COUNT(E233:E242)</f>
        <v>9.6</v>
      </c>
      <c r="H233" s="448">
        <v>40390</v>
      </c>
      <c r="I233" s="825">
        <f t="shared" si="23"/>
        <v>1</v>
      </c>
      <c r="K233" s="421">
        <v>15</v>
      </c>
      <c r="L233" s="535"/>
      <c r="M233" s="535"/>
      <c r="N233" s="535"/>
      <c r="O233" s="535"/>
      <c r="P233" s="535"/>
      <c r="Q233" s="535"/>
      <c r="W233"/>
    </row>
    <row r="234" spans="2:23">
      <c r="B234" s="3254"/>
      <c r="C234" s="424">
        <v>39700</v>
      </c>
      <c r="D234" s="422">
        <f t="shared" ref="D234:D241" si="24">+C234-C233</f>
        <v>332</v>
      </c>
      <c r="E234" s="423">
        <v>2</v>
      </c>
      <c r="F234" s="826"/>
      <c r="G234" s="826"/>
      <c r="H234" s="424">
        <v>40391</v>
      </c>
      <c r="I234" s="825">
        <f t="shared" si="23"/>
        <v>1</v>
      </c>
      <c r="K234" s="423">
        <v>30</v>
      </c>
      <c r="L234" s="535"/>
      <c r="M234" s="535"/>
      <c r="N234" s="535"/>
      <c r="O234" s="535"/>
      <c r="P234" s="535"/>
      <c r="Q234" s="535"/>
      <c r="W234"/>
    </row>
    <row r="235" spans="2:23">
      <c r="B235" s="3254"/>
      <c r="C235" s="424">
        <v>39700</v>
      </c>
      <c r="D235" s="422">
        <f t="shared" si="24"/>
        <v>0</v>
      </c>
      <c r="E235" s="423">
        <v>1</v>
      </c>
      <c r="F235" s="826"/>
      <c r="G235" s="826"/>
      <c r="H235" s="424">
        <v>40392</v>
      </c>
      <c r="I235" s="825">
        <f t="shared" si="23"/>
        <v>1</v>
      </c>
      <c r="K235" s="423">
        <v>3</v>
      </c>
      <c r="L235" s="535"/>
      <c r="M235" s="535"/>
      <c r="N235" s="535"/>
      <c r="O235" s="535"/>
      <c r="P235" s="535"/>
      <c r="Q235" s="535"/>
      <c r="W235"/>
    </row>
    <row r="236" spans="2:23">
      <c r="B236" s="3254"/>
      <c r="C236" s="449">
        <v>40038</v>
      </c>
      <c r="D236" s="422">
        <f t="shared" si="24"/>
        <v>338</v>
      </c>
      <c r="E236" s="423">
        <v>7</v>
      </c>
      <c r="F236" s="826"/>
      <c r="G236" s="826"/>
      <c r="H236" s="424">
        <v>40395</v>
      </c>
      <c r="I236" s="825">
        <f t="shared" si="23"/>
        <v>3</v>
      </c>
      <c r="K236" s="423">
        <v>7</v>
      </c>
      <c r="L236" s="535"/>
      <c r="M236" s="535"/>
      <c r="N236" s="535"/>
      <c r="O236" s="535"/>
      <c r="P236" s="535"/>
      <c r="Q236" s="535"/>
      <c r="W236"/>
    </row>
    <row r="237" spans="2:23">
      <c r="B237" s="3254"/>
      <c r="C237" s="424">
        <v>40200</v>
      </c>
      <c r="D237" s="422">
        <f t="shared" si="24"/>
        <v>162</v>
      </c>
      <c r="E237" s="423">
        <v>3</v>
      </c>
      <c r="F237" s="826"/>
      <c r="G237" s="826"/>
      <c r="H237" s="424">
        <v>40399</v>
      </c>
      <c r="I237" s="825">
        <f t="shared" si="23"/>
        <v>4</v>
      </c>
      <c r="K237" s="423">
        <v>40</v>
      </c>
      <c r="L237" s="535"/>
      <c r="M237" s="535"/>
      <c r="N237" s="535"/>
      <c r="O237" s="535"/>
      <c r="P237" s="535"/>
      <c r="Q237" s="535"/>
      <c r="W237"/>
    </row>
    <row r="238" spans="2:23">
      <c r="B238" s="3254"/>
      <c r="C238" s="424">
        <v>40323</v>
      </c>
      <c r="D238" s="422">
        <f t="shared" si="24"/>
        <v>123</v>
      </c>
      <c r="E238" s="423">
        <v>2</v>
      </c>
      <c r="F238" s="826"/>
      <c r="G238" s="826"/>
      <c r="H238" s="424">
        <v>40404</v>
      </c>
      <c r="I238" s="825">
        <f t="shared" si="23"/>
        <v>5</v>
      </c>
      <c r="K238" s="423">
        <v>3</v>
      </c>
      <c r="L238" s="535"/>
      <c r="M238" s="535"/>
      <c r="N238" s="535"/>
      <c r="O238" s="535"/>
      <c r="P238" s="535"/>
      <c r="Q238" s="535"/>
      <c r="W238"/>
    </row>
    <row r="239" spans="2:23">
      <c r="B239" s="3254"/>
      <c r="C239" s="424">
        <v>40353</v>
      </c>
      <c r="D239" s="422">
        <f t="shared" si="24"/>
        <v>30</v>
      </c>
      <c r="E239" s="423">
        <v>2</v>
      </c>
      <c r="F239" s="826"/>
      <c r="G239" s="826"/>
      <c r="H239" s="424">
        <v>40408</v>
      </c>
      <c r="I239" s="825">
        <f t="shared" si="23"/>
        <v>4</v>
      </c>
      <c r="K239" s="423">
        <v>92</v>
      </c>
      <c r="L239" s="535"/>
      <c r="M239" s="535"/>
      <c r="N239" s="535"/>
      <c r="O239" s="535"/>
      <c r="P239" s="535"/>
      <c r="Q239" s="535"/>
      <c r="W239"/>
    </row>
    <row r="240" spans="2:23">
      <c r="B240" s="3255"/>
      <c r="C240" s="424">
        <v>40399</v>
      </c>
      <c r="D240" s="422">
        <f t="shared" si="24"/>
        <v>46</v>
      </c>
      <c r="E240" s="428">
        <v>40</v>
      </c>
      <c r="F240" s="826"/>
      <c r="G240" s="826"/>
      <c r="H240" s="424">
        <v>40409</v>
      </c>
      <c r="I240" s="825">
        <f t="shared" si="23"/>
        <v>1</v>
      </c>
      <c r="K240" s="428">
        <v>6</v>
      </c>
      <c r="L240" s="535"/>
      <c r="M240" s="535"/>
      <c r="N240" s="535"/>
      <c r="O240" s="535"/>
      <c r="P240" s="535"/>
      <c r="Q240" s="535"/>
      <c r="W240"/>
    </row>
    <row r="241" spans="2:23">
      <c r="B241" s="3255"/>
      <c r="C241" s="424">
        <v>40569</v>
      </c>
      <c r="D241" s="422">
        <f t="shared" si="24"/>
        <v>170</v>
      </c>
      <c r="E241" s="428">
        <v>35</v>
      </c>
      <c r="F241" s="826"/>
      <c r="G241" s="826"/>
      <c r="H241" s="424">
        <v>40421</v>
      </c>
      <c r="I241" s="825">
        <f t="shared" si="23"/>
        <v>12</v>
      </c>
      <c r="K241" s="428">
        <v>3</v>
      </c>
      <c r="L241" s="535"/>
      <c r="M241" s="535"/>
      <c r="N241" s="535"/>
      <c r="O241" s="535"/>
      <c r="P241" s="535"/>
      <c r="Q241" s="535"/>
      <c r="W241"/>
    </row>
    <row r="242" spans="2:23" ht="13.8" thickBot="1">
      <c r="B242" s="3256"/>
      <c r="C242" s="417">
        <v>40574</v>
      </c>
      <c r="D242" s="430">
        <f>+C242-C241</f>
        <v>5</v>
      </c>
      <c r="E242" s="426">
        <v>0</v>
      </c>
      <c r="F242" s="827"/>
      <c r="G242" s="827"/>
      <c r="H242" s="456">
        <v>40429</v>
      </c>
      <c r="I242" s="825">
        <f t="shared" si="23"/>
        <v>8</v>
      </c>
      <c r="K242" s="426">
        <v>28</v>
      </c>
      <c r="L242" s="535"/>
      <c r="M242" s="535"/>
      <c r="N242" s="535"/>
      <c r="O242" s="535"/>
      <c r="P242" s="535"/>
      <c r="Q242" s="535"/>
      <c r="W242"/>
    </row>
    <row r="243" spans="2:23">
      <c r="B243" s="3253" t="s">
        <v>77</v>
      </c>
      <c r="C243" s="448">
        <v>39209</v>
      </c>
      <c r="D243" s="828">
        <f>+C243-$D$2</f>
        <v>126</v>
      </c>
      <c r="E243" s="421">
        <v>3</v>
      </c>
      <c r="F243" s="829">
        <f>SUM(D243:D260)/COUNT(E243:E260)</f>
        <v>82.833333333333329</v>
      </c>
      <c r="G243" s="829">
        <f>SUM(E243:E260)/COUNT(E243:E260)</f>
        <v>18.333333333333332</v>
      </c>
      <c r="H243" s="448">
        <v>40429</v>
      </c>
      <c r="I243" s="825">
        <f t="shared" si="23"/>
        <v>0</v>
      </c>
      <c r="K243" s="421">
        <v>13</v>
      </c>
      <c r="L243" s="535"/>
      <c r="M243" s="535"/>
      <c r="N243" s="535"/>
      <c r="O243" s="535"/>
      <c r="P243" s="535"/>
      <c r="Q243" s="535"/>
      <c r="W243"/>
    </row>
    <row r="244" spans="2:23">
      <c r="B244" s="3254"/>
      <c r="C244" s="424">
        <v>39259</v>
      </c>
      <c r="D244" s="422">
        <f t="shared" ref="D244:D259" si="25">+C244-C243</f>
        <v>50</v>
      </c>
      <c r="E244" s="423">
        <v>3</v>
      </c>
      <c r="F244" s="830"/>
      <c r="G244" s="830"/>
      <c r="H244" s="424">
        <v>40438</v>
      </c>
      <c r="I244" s="825">
        <f t="shared" si="23"/>
        <v>9</v>
      </c>
      <c r="K244" s="423">
        <v>2</v>
      </c>
      <c r="L244" s="535"/>
      <c r="M244" s="535"/>
      <c r="N244" s="535"/>
      <c r="O244" s="535"/>
      <c r="P244" s="535"/>
      <c r="Q244" s="535"/>
      <c r="W244"/>
    </row>
    <row r="245" spans="2:23">
      <c r="B245" s="3254"/>
      <c r="C245" s="424">
        <v>39271</v>
      </c>
      <c r="D245" s="422">
        <f t="shared" si="25"/>
        <v>12</v>
      </c>
      <c r="E245" s="423">
        <v>71</v>
      </c>
      <c r="F245" s="830"/>
      <c r="G245" s="830"/>
      <c r="H245" s="424">
        <v>40453</v>
      </c>
      <c r="I245" s="825">
        <f t="shared" si="23"/>
        <v>15</v>
      </c>
      <c r="K245" s="423">
        <v>14</v>
      </c>
      <c r="L245" s="535"/>
      <c r="M245" s="535"/>
      <c r="N245" s="535"/>
      <c r="O245" s="535"/>
      <c r="P245" s="535"/>
      <c r="Q245" s="535"/>
      <c r="W245"/>
    </row>
    <row r="246" spans="2:23">
      <c r="B246" s="3254"/>
      <c r="C246" s="424">
        <v>39291</v>
      </c>
      <c r="D246" s="422">
        <f t="shared" si="25"/>
        <v>20</v>
      </c>
      <c r="E246" s="423">
        <v>15</v>
      </c>
      <c r="F246" s="830"/>
      <c r="G246" s="830"/>
      <c r="H246" s="424">
        <v>40455</v>
      </c>
      <c r="I246" s="825">
        <f t="shared" si="23"/>
        <v>2</v>
      </c>
      <c r="K246" s="423">
        <v>2</v>
      </c>
      <c r="L246" s="535"/>
      <c r="M246" s="535"/>
      <c r="N246" s="535"/>
      <c r="O246" s="535"/>
      <c r="P246" s="535"/>
      <c r="Q246" s="535"/>
      <c r="W246"/>
    </row>
    <row r="247" spans="2:23">
      <c r="B247" s="3254"/>
      <c r="C247" s="424">
        <v>39292</v>
      </c>
      <c r="D247" s="422">
        <f t="shared" si="25"/>
        <v>1</v>
      </c>
      <c r="E247" s="423">
        <v>2</v>
      </c>
      <c r="F247" s="830"/>
      <c r="G247" s="830"/>
      <c r="H247" s="424">
        <v>40460</v>
      </c>
      <c r="I247" s="825">
        <f t="shared" si="23"/>
        <v>5</v>
      </c>
      <c r="K247" s="423">
        <v>3</v>
      </c>
      <c r="L247" s="535"/>
      <c r="M247" s="535"/>
      <c r="N247" s="535"/>
      <c r="O247" s="535"/>
      <c r="P247" s="535"/>
      <c r="Q247" s="535"/>
      <c r="W247"/>
    </row>
    <row r="248" spans="2:23">
      <c r="B248" s="3254"/>
      <c r="C248" s="424">
        <v>39332</v>
      </c>
      <c r="D248" s="422">
        <f t="shared" si="25"/>
        <v>40</v>
      </c>
      <c r="E248" s="423">
        <v>21</v>
      </c>
      <c r="F248" s="830"/>
      <c r="G248" s="830"/>
      <c r="H248" s="424">
        <v>40472</v>
      </c>
      <c r="I248" s="825">
        <f t="shared" si="23"/>
        <v>12</v>
      </c>
      <c r="K248" s="423">
        <v>2</v>
      </c>
      <c r="L248" s="535"/>
      <c r="M248" s="535"/>
      <c r="N248" s="535"/>
      <c r="O248" s="535"/>
      <c r="P248" s="535"/>
      <c r="Q248" s="535"/>
      <c r="W248"/>
    </row>
    <row r="249" spans="2:23">
      <c r="B249" s="3254"/>
      <c r="C249" s="424">
        <v>39338</v>
      </c>
      <c r="D249" s="422">
        <f t="shared" si="25"/>
        <v>6</v>
      </c>
      <c r="E249" s="423">
        <v>1</v>
      </c>
      <c r="F249" s="830"/>
      <c r="G249" s="830"/>
      <c r="H249" s="424">
        <v>40474</v>
      </c>
      <c r="I249" s="825">
        <f t="shared" si="23"/>
        <v>2</v>
      </c>
      <c r="K249" s="423">
        <v>5</v>
      </c>
      <c r="L249" s="535"/>
      <c r="M249" s="535"/>
      <c r="N249" s="535"/>
      <c r="O249" s="535"/>
      <c r="P249" s="535"/>
      <c r="Q249" s="535"/>
      <c r="W249"/>
    </row>
    <row r="250" spans="2:23">
      <c r="B250" s="3254"/>
      <c r="C250" s="424">
        <v>39353</v>
      </c>
      <c r="D250" s="422">
        <f t="shared" si="25"/>
        <v>15</v>
      </c>
      <c r="E250" s="423">
        <v>1</v>
      </c>
      <c r="F250" s="830"/>
      <c r="G250" s="830"/>
      <c r="H250" s="424">
        <v>40481</v>
      </c>
      <c r="I250" s="825">
        <f t="shared" si="23"/>
        <v>7</v>
      </c>
      <c r="K250" s="423">
        <v>5</v>
      </c>
      <c r="L250" s="535"/>
      <c r="M250" s="535"/>
      <c r="N250" s="535"/>
      <c r="O250" s="535"/>
      <c r="P250" s="535"/>
      <c r="Q250" s="535"/>
      <c r="W250"/>
    </row>
    <row r="251" spans="2:23">
      <c r="B251" s="3254"/>
      <c r="C251" s="424">
        <v>39387</v>
      </c>
      <c r="D251" s="422">
        <f t="shared" si="25"/>
        <v>34</v>
      </c>
      <c r="E251" s="423">
        <v>9</v>
      </c>
      <c r="F251" s="830"/>
      <c r="G251" s="830"/>
      <c r="H251" s="424">
        <v>40514</v>
      </c>
      <c r="I251" s="825">
        <f t="shared" si="23"/>
        <v>33</v>
      </c>
      <c r="K251" s="423">
        <v>12</v>
      </c>
      <c r="L251" s="535"/>
      <c r="M251" s="535"/>
      <c r="N251" s="535"/>
      <c r="O251" s="535"/>
      <c r="P251" s="535"/>
      <c r="Q251" s="535"/>
      <c r="W251"/>
    </row>
    <row r="252" spans="2:23">
      <c r="B252" s="3254"/>
      <c r="C252" s="424">
        <v>39387</v>
      </c>
      <c r="D252" s="422">
        <f t="shared" si="25"/>
        <v>0</v>
      </c>
      <c r="E252" s="423">
        <v>11</v>
      </c>
      <c r="F252" s="830"/>
      <c r="G252" s="830"/>
      <c r="H252" s="424">
        <v>40516</v>
      </c>
      <c r="I252" s="825">
        <f t="shared" si="23"/>
        <v>2</v>
      </c>
      <c r="K252" s="423">
        <v>13</v>
      </c>
      <c r="L252" s="535"/>
      <c r="M252" s="535"/>
      <c r="N252" s="535"/>
      <c r="O252" s="535"/>
      <c r="P252" s="535"/>
      <c r="Q252" s="535"/>
      <c r="W252"/>
    </row>
    <row r="253" spans="2:23">
      <c r="B253" s="3254"/>
      <c r="C253" s="424">
        <v>39595</v>
      </c>
      <c r="D253" s="422">
        <f t="shared" si="25"/>
        <v>208</v>
      </c>
      <c r="E253" s="423">
        <v>27</v>
      </c>
      <c r="F253" s="830"/>
      <c r="G253" s="830"/>
      <c r="H253" s="424">
        <v>40516</v>
      </c>
      <c r="I253" s="825">
        <f t="shared" si="23"/>
        <v>0</v>
      </c>
      <c r="K253" s="423">
        <v>19</v>
      </c>
      <c r="L253" s="535"/>
      <c r="M253" s="535"/>
      <c r="N253" s="535"/>
      <c r="O253" s="535"/>
      <c r="P253" s="535"/>
      <c r="Q253" s="535"/>
      <c r="W253"/>
    </row>
    <row r="254" spans="2:23">
      <c r="B254" s="3254"/>
      <c r="C254" s="424">
        <v>39667</v>
      </c>
      <c r="D254" s="422">
        <f t="shared" si="25"/>
        <v>72</v>
      </c>
      <c r="E254" s="423">
        <v>17</v>
      </c>
      <c r="F254" s="830"/>
      <c r="G254" s="830"/>
      <c r="H254" s="424">
        <v>40522</v>
      </c>
      <c r="I254" s="825">
        <f t="shared" si="23"/>
        <v>6</v>
      </c>
      <c r="K254" s="423">
        <v>2</v>
      </c>
      <c r="L254" s="535"/>
      <c r="M254" s="535"/>
      <c r="N254" s="535"/>
      <c r="O254" s="535"/>
      <c r="P254" s="535"/>
      <c r="Q254" s="535"/>
      <c r="W254"/>
    </row>
    <row r="255" spans="2:23">
      <c r="B255" s="3254"/>
      <c r="C255" s="424">
        <v>40200</v>
      </c>
      <c r="D255" s="422">
        <f t="shared" si="25"/>
        <v>533</v>
      </c>
      <c r="E255" s="423">
        <v>4</v>
      </c>
      <c r="F255" s="830"/>
      <c r="G255" s="830"/>
      <c r="H255" s="424">
        <v>40526</v>
      </c>
      <c r="I255" s="825">
        <f t="shared" si="23"/>
        <v>4</v>
      </c>
      <c r="K255" s="423">
        <v>3</v>
      </c>
      <c r="L255" s="535"/>
      <c r="M255" s="535"/>
      <c r="N255" s="535"/>
      <c r="O255" s="535"/>
      <c r="P255" s="535"/>
      <c r="Q255" s="535"/>
      <c r="W255"/>
    </row>
    <row r="256" spans="2:23">
      <c r="B256" s="3254"/>
      <c r="C256" s="424">
        <v>40254</v>
      </c>
      <c r="D256" s="422">
        <f t="shared" si="25"/>
        <v>54</v>
      </c>
      <c r="E256" s="423">
        <v>8</v>
      </c>
      <c r="F256" s="830"/>
      <c r="G256" s="830"/>
      <c r="H256" s="424">
        <v>40526</v>
      </c>
      <c r="I256" s="825">
        <f t="shared" si="23"/>
        <v>0</v>
      </c>
      <c r="K256" s="423">
        <v>3</v>
      </c>
      <c r="L256" s="535"/>
      <c r="M256" s="535"/>
      <c r="N256" s="535"/>
      <c r="O256" s="535"/>
      <c r="P256" s="535"/>
      <c r="Q256" s="535"/>
      <c r="W256"/>
    </row>
    <row r="257" spans="2:23">
      <c r="B257" s="3254"/>
      <c r="C257" s="424">
        <v>40352</v>
      </c>
      <c r="D257" s="422">
        <f t="shared" si="25"/>
        <v>98</v>
      </c>
      <c r="E257" s="423">
        <v>30</v>
      </c>
      <c r="F257" s="830"/>
      <c r="G257" s="830"/>
      <c r="H257" s="424">
        <v>40529</v>
      </c>
      <c r="I257" s="825">
        <f t="shared" si="23"/>
        <v>3</v>
      </c>
      <c r="K257" s="423">
        <v>3</v>
      </c>
      <c r="L257" s="535"/>
      <c r="M257" s="535"/>
      <c r="N257" s="535"/>
      <c r="O257" s="535"/>
      <c r="P257" s="535"/>
      <c r="Q257" s="535"/>
      <c r="W257"/>
    </row>
    <row r="258" spans="2:23">
      <c r="B258" s="3254"/>
      <c r="C258" s="424">
        <v>40390</v>
      </c>
      <c r="D258" s="422">
        <f t="shared" si="25"/>
        <v>38</v>
      </c>
      <c r="E258" s="423">
        <v>15</v>
      </c>
      <c r="F258" s="830"/>
      <c r="G258" s="830"/>
      <c r="H258" s="424">
        <v>40551</v>
      </c>
      <c r="I258" s="825">
        <f t="shared" si="23"/>
        <v>22</v>
      </c>
      <c r="K258" s="820">
        <v>25</v>
      </c>
      <c r="L258" s="535"/>
      <c r="M258" s="535"/>
      <c r="N258" s="535"/>
      <c r="O258" s="535"/>
      <c r="P258" s="535"/>
      <c r="Q258" s="535"/>
      <c r="W258"/>
    </row>
    <row r="259" spans="2:23">
      <c r="B259" s="3255"/>
      <c r="C259" s="424">
        <v>40408</v>
      </c>
      <c r="D259" s="422">
        <f t="shared" si="25"/>
        <v>18</v>
      </c>
      <c r="E259" s="428">
        <v>92</v>
      </c>
      <c r="F259" s="830"/>
      <c r="G259" s="830"/>
      <c r="H259" s="424">
        <v>40559</v>
      </c>
      <c r="I259" s="825">
        <f t="shared" si="23"/>
        <v>8</v>
      </c>
      <c r="K259" s="820">
        <v>30</v>
      </c>
      <c r="L259" s="535"/>
      <c r="M259" s="535"/>
      <c r="N259" s="535"/>
      <c r="O259" s="535"/>
      <c r="P259" s="535"/>
      <c r="Q259" s="535"/>
      <c r="W259"/>
    </row>
    <row r="260" spans="2:23" ht="13.8" thickBot="1">
      <c r="B260" s="3256"/>
      <c r="C260" s="417">
        <v>40574</v>
      </c>
      <c r="D260" s="425">
        <f>+C260-C259</f>
        <v>166</v>
      </c>
      <c r="E260" s="426">
        <v>0</v>
      </c>
      <c r="F260" s="831"/>
      <c r="G260" s="831"/>
      <c r="H260" s="424">
        <v>40568</v>
      </c>
      <c r="I260" s="825">
        <f t="shared" si="23"/>
        <v>9</v>
      </c>
      <c r="K260" s="820">
        <v>2</v>
      </c>
      <c r="L260" s="535"/>
      <c r="M260" s="535"/>
      <c r="N260" s="535"/>
      <c r="O260" s="535"/>
      <c r="P260" s="535"/>
      <c r="Q260" s="535"/>
      <c r="W260"/>
    </row>
    <row r="261" spans="2:23">
      <c r="B261" s="3253" t="s">
        <v>78</v>
      </c>
      <c r="C261" s="448">
        <v>39125</v>
      </c>
      <c r="D261" s="828">
        <f>+C261-$D$2</f>
        <v>42</v>
      </c>
      <c r="E261" s="421">
        <v>4</v>
      </c>
      <c r="F261" s="829">
        <f>SUM(D261:D279)/COUNT(E261:E279)</f>
        <v>78.473684210526315</v>
      </c>
      <c r="G261" s="829">
        <f>SUM(E261:E279)/COUNT(E261:E279)</f>
        <v>9.526315789473685</v>
      </c>
      <c r="H261" s="424">
        <v>40569</v>
      </c>
      <c r="I261" s="825">
        <f t="shared" si="23"/>
        <v>1</v>
      </c>
      <c r="K261" s="820">
        <v>35</v>
      </c>
      <c r="L261" s="535"/>
      <c r="M261" s="535"/>
      <c r="N261" s="535"/>
      <c r="O261" s="535"/>
      <c r="P261" s="535"/>
      <c r="Q261" s="535"/>
      <c r="W261"/>
    </row>
    <row r="262" spans="2:23">
      <c r="B262" s="3254"/>
      <c r="C262" s="424">
        <v>39125</v>
      </c>
      <c r="D262" s="422">
        <f t="shared" ref="D262:D278" si="26">+C262-C261</f>
        <v>0</v>
      </c>
      <c r="E262" s="423">
        <v>21</v>
      </c>
      <c r="F262" s="830"/>
      <c r="G262" s="830"/>
      <c r="H262" s="424">
        <v>40574</v>
      </c>
      <c r="I262" s="825">
        <f t="shared" si="23"/>
        <v>5</v>
      </c>
      <c r="K262" s="820">
        <v>2</v>
      </c>
      <c r="L262" s="535"/>
      <c r="M262" s="535"/>
      <c r="N262" s="535"/>
      <c r="O262" s="535"/>
      <c r="P262" s="535"/>
      <c r="Q262" s="535"/>
      <c r="W262"/>
    </row>
    <row r="263" spans="2:23">
      <c r="B263" s="3254"/>
      <c r="C263" s="424">
        <v>39185</v>
      </c>
      <c r="D263" s="422">
        <f t="shared" si="26"/>
        <v>60</v>
      </c>
      <c r="E263" s="423">
        <v>4</v>
      </c>
      <c r="F263" s="830"/>
      <c r="G263" s="830"/>
      <c r="H263" s="424">
        <v>40576</v>
      </c>
      <c r="I263" s="825">
        <f t="shared" si="23"/>
        <v>2</v>
      </c>
      <c r="K263" s="820">
        <v>2</v>
      </c>
      <c r="L263" s="535"/>
      <c r="M263" s="535"/>
      <c r="N263" s="535"/>
      <c r="O263" s="535"/>
      <c r="P263" s="535"/>
      <c r="Q263" s="535"/>
      <c r="W263"/>
    </row>
    <row r="264" spans="2:23">
      <c r="B264" s="3254"/>
      <c r="C264" s="424">
        <v>39185</v>
      </c>
      <c r="D264" s="422">
        <f t="shared" si="26"/>
        <v>0</v>
      </c>
      <c r="E264" s="423">
        <v>4</v>
      </c>
      <c r="F264" s="830"/>
      <c r="G264" s="830"/>
      <c r="H264" s="424">
        <v>40578</v>
      </c>
      <c r="I264" s="825">
        <f t="shared" si="23"/>
        <v>2</v>
      </c>
      <c r="K264" s="820">
        <v>15</v>
      </c>
      <c r="L264" s="535"/>
      <c r="M264" s="535"/>
      <c r="N264" s="535"/>
      <c r="O264" s="535"/>
      <c r="P264" s="535"/>
      <c r="Q264" s="535"/>
      <c r="W264"/>
    </row>
    <row r="265" spans="2:23">
      <c r="B265" s="3254"/>
      <c r="C265" s="424">
        <v>39224</v>
      </c>
      <c r="D265" s="422">
        <f t="shared" si="26"/>
        <v>39</v>
      </c>
      <c r="E265" s="423">
        <v>3</v>
      </c>
      <c r="F265" s="830"/>
      <c r="G265" s="830"/>
      <c r="H265" s="424">
        <v>40590</v>
      </c>
      <c r="I265" s="825">
        <f t="shared" si="23"/>
        <v>12</v>
      </c>
      <c r="K265" s="820">
        <v>73</v>
      </c>
      <c r="L265" s="535"/>
      <c r="M265" s="535"/>
      <c r="N265" s="535"/>
      <c r="O265" s="535"/>
      <c r="P265" s="535"/>
      <c r="Q265" s="535"/>
      <c r="W265"/>
    </row>
    <row r="266" spans="2:23">
      <c r="B266" s="3254"/>
      <c r="C266" s="424">
        <v>39431</v>
      </c>
      <c r="D266" s="422">
        <f t="shared" si="26"/>
        <v>207</v>
      </c>
      <c r="E266" s="423">
        <v>11</v>
      </c>
      <c r="F266" s="830"/>
      <c r="G266" s="830"/>
      <c r="H266" s="424">
        <v>40603</v>
      </c>
      <c r="I266" s="825">
        <f t="shared" si="23"/>
        <v>13</v>
      </c>
      <c r="K266" s="820">
        <v>1</v>
      </c>
      <c r="L266" s="535"/>
      <c r="M266" s="535"/>
      <c r="N266" s="535"/>
      <c r="O266" s="535"/>
      <c r="P266" s="535"/>
      <c r="Q266" s="535"/>
      <c r="W266"/>
    </row>
    <row r="267" spans="2:23">
      <c r="B267" s="3254"/>
      <c r="C267" s="424">
        <v>39524</v>
      </c>
      <c r="D267" s="422">
        <f t="shared" si="26"/>
        <v>93</v>
      </c>
      <c r="E267" s="423">
        <v>2</v>
      </c>
      <c r="F267" s="830"/>
      <c r="G267" s="830"/>
      <c r="H267" s="424">
        <v>40618</v>
      </c>
      <c r="I267" s="825">
        <f t="shared" si="23"/>
        <v>15</v>
      </c>
      <c r="K267" s="820">
        <v>13</v>
      </c>
      <c r="L267" s="535"/>
      <c r="M267" s="535"/>
      <c r="N267" s="535"/>
      <c r="O267" s="535"/>
      <c r="P267" s="535"/>
      <c r="Q267" s="535"/>
      <c r="W267"/>
    </row>
    <row r="268" spans="2:23">
      <c r="B268" s="3254"/>
      <c r="C268" s="424">
        <v>39532</v>
      </c>
      <c r="D268" s="422">
        <f t="shared" si="26"/>
        <v>8</v>
      </c>
      <c r="E268" s="423">
        <v>8</v>
      </c>
      <c r="F268" s="830"/>
      <c r="G268" s="830"/>
      <c r="H268" s="424">
        <v>40621</v>
      </c>
      <c r="I268" s="825">
        <f t="shared" si="23"/>
        <v>3</v>
      </c>
      <c r="K268" s="820">
        <v>20</v>
      </c>
      <c r="L268" s="535"/>
      <c r="M268" s="535"/>
      <c r="N268" s="535"/>
      <c r="O268" s="535"/>
      <c r="P268" s="535"/>
      <c r="Q268" s="535"/>
      <c r="W268"/>
    </row>
    <row r="269" spans="2:23">
      <c r="B269" s="3254"/>
      <c r="C269" s="424">
        <v>39532</v>
      </c>
      <c r="D269" s="422">
        <f t="shared" si="26"/>
        <v>0</v>
      </c>
      <c r="E269" s="423">
        <v>1</v>
      </c>
      <c r="F269" s="830"/>
      <c r="G269" s="830"/>
      <c r="H269" s="424">
        <v>40621</v>
      </c>
      <c r="I269" s="825">
        <f t="shared" si="23"/>
        <v>0</v>
      </c>
      <c r="K269" s="820">
        <v>26</v>
      </c>
      <c r="L269" s="535"/>
      <c r="M269" s="535"/>
      <c r="N269" s="535"/>
      <c r="O269" s="535"/>
      <c r="P269" s="535"/>
      <c r="Q269" s="535"/>
      <c r="W269"/>
    </row>
    <row r="270" spans="2:23">
      <c r="B270" s="3254"/>
      <c r="C270" s="449">
        <v>39771</v>
      </c>
      <c r="D270" s="422">
        <f t="shared" si="26"/>
        <v>239</v>
      </c>
      <c r="E270" s="423">
        <v>1</v>
      </c>
      <c r="F270" s="830"/>
      <c r="G270" s="830"/>
      <c r="H270" s="424">
        <v>40625</v>
      </c>
      <c r="I270" s="825">
        <f t="shared" si="23"/>
        <v>4</v>
      </c>
      <c r="K270" s="820">
        <v>2</v>
      </c>
      <c r="L270" s="535"/>
      <c r="M270" s="535"/>
      <c r="N270" s="535"/>
      <c r="O270" s="535"/>
      <c r="P270" s="535"/>
      <c r="Q270" s="535"/>
      <c r="W270"/>
    </row>
    <row r="271" spans="2:23">
      <c r="B271" s="3254"/>
      <c r="C271" s="449">
        <v>39811</v>
      </c>
      <c r="D271" s="422">
        <f t="shared" si="26"/>
        <v>40</v>
      </c>
      <c r="E271" s="423">
        <v>12</v>
      </c>
      <c r="F271" s="830"/>
      <c r="G271" s="830"/>
      <c r="H271" s="424">
        <v>40627</v>
      </c>
      <c r="I271" s="825">
        <f t="shared" si="23"/>
        <v>2</v>
      </c>
      <c r="K271" s="820">
        <v>3</v>
      </c>
      <c r="L271" s="535"/>
      <c r="M271" s="535"/>
      <c r="N271" s="535"/>
      <c r="O271" s="535"/>
      <c r="P271" s="535"/>
      <c r="Q271" s="535"/>
      <c r="W271"/>
    </row>
    <row r="272" spans="2:23">
      <c r="B272" s="3254"/>
      <c r="C272" s="449">
        <v>39823</v>
      </c>
      <c r="D272" s="422">
        <f t="shared" si="26"/>
        <v>12</v>
      </c>
      <c r="E272" s="423">
        <v>7</v>
      </c>
      <c r="F272" s="830"/>
      <c r="G272" s="830"/>
      <c r="H272" s="424">
        <v>40634</v>
      </c>
      <c r="I272" s="825">
        <f t="shared" si="23"/>
        <v>7</v>
      </c>
      <c r="K272" s="820">
        <v>3</v>
      </c>
      <c r="L272" s="535"/>
      <c r="M272" s="535"/>
      <c r="N272" s="535"/>
      <c r="O272" s="535"/>
      <c r="P272" s="535"/>
      <c r="Q272" s="535"/>
      <c r="W272"/>
    </row>
    <row r="273" spans="2:23">
      <c r="B273" s="3254"/>
      <c r="C273" s="449">
        <v>39909</v>
      </c>
      <c r="D273" s="422">
        <f t="shared" si="26"/>
        <v>86</v>
      </c>
      <c r="E273" s="423">
        <v>19</v>
      </c>
      <c r="F273" s="830"/>
      <c r="G273" s="830"/>
      <c r="H273" s="424">
        <v>40643</v>
      </c>
      <c r="I273" s="825">
        <f t="shared" si="23"/>
        <v>9</v>
      </c>
      <c r="K273" s="820">
        <v>30</v>
      </c>
      <c r="L273" s="535"/>
      <c r="M273" s="535"/>
      <c r="N273" s="535"/>
      <c r="O273" s="535"/>
      <c r="P273" s="535"/>
      <c r="Q273" s="535"/>
      <c r="W273"/>
    </row>
    <row r="274" spans="2:23">
      <c r="B274" s="3254"/>
      <c r="C274" s="449">
        <v>39961</v>
      </c>
      <c r="D274" s="422">
        <f t="shared" si="26"/>
        <v>52</v>
      </c>
      <c r="E274" s="423">
        <v>7</v>
      </c>
      <c r="F274" s="830"/>
      <c r="G274" s="830"/>
      <c r="H274" s="424">
        <v>40643</v>
      </c>
      <c r="I274" s="825">
        <f t="shared" si="23"/>
        <v>0</v>
      </c>
      <c r="K274" s="820">
        <v>17</v>
      </c>
      <c r="L274" s="535"/>
      <c r="M274" s="535"/>
      <c r="N274" s="535"/>
      <c r="O274" s="535"/>
      <c r="P274" s="535"/>
      <c r="Q274" s="535"/>
      <c r="W274"/>
    </row>
    <row r="275" spans="2:23">
      <c r="B275" s="3254"/>
      <c r="C275" s="424">
        <v>40122</v>
      </c>
      <c r="D275" s="422">
        <f t="shared" si="26"/>
        <v>161</v>
      </c>
      <c r="E275" s="423">
        <v>39</v>
      </c>
      <c r="F275" s="830"/>
      <c r="G275" s="830"/>
      <c r="H275" s="424">
        <v>40656</v>
      </c>
      <c r="I275" s="825">
        <f t="shared" si="23"/>
        <v>13</v>
      </c>
      <c r="K275" s="820">
        <v>4</v>
      </c>
      <c r="L275" s="535"/>
      <c r="M275" s="535"/>
      <c r="N275" s="535"/>
      <c r="O275" s="535"/>
      <c r="P275" s="535"/>
      <c r="Q275" s="535"/>
      <c r="W275"/>
    </row>
    <row r="276" spans="2:23">
      <c r="B276" s="3254"/>
      <c r="C276" s="424">
        <v>40372</v>
      </c>
      <c r="D276" s="422">
        <f t="shared" si="26"/>
        <v>250</v>
      </c>
      <c r="E276" s="423">
        <v>30</v>
      </c>
      <c r="F276" s="830"/>
      <c r="G276" s="830"/>
      <c r="H276" s="424">
        <v>40668</v>
      </c>
      <c r="I276" s="825">
        <f t="shared" si="23"/>
        <v>12</v>
      </c>
      <c r="K276" s="820">
        <v>2</v>
      </c>
      <c r="L276" s="535"/>
      <c r="M276" s="535"/>
      <c r="N276" s="535"/>
      <c r="O276" s="535"/>
      <c r="P276" s="535"/>
      <c r="Q276" s="535"/>
      <c r="W276"/>
    </row>
    <row r="277" spans="2:23">
      <c r="B277" s="3254"/>
      <c r="C277" s="424">
        <v>40409</v>
      </c>
      <c r="D277" s="422">
        <f t="shared" si="26"/>
        <v>37</v>
      </c>
      <c r="E277" s="423">
        <v>6</v>
      </c>
      <c r="F277" s="830"/>
      <c r="G277" s="830"/>
      <c r="H277" s="424">
        <v>40669</v>
      </c>
      <c r="I277" s="825">
        <f t="shared" si="23"/>
        <v>1</v>
      </c>
      <c r="K277" s="820">
        <v>24</v>
      </c>
      <c r="L277" s="535"/>
      <c r="M277" s="535"/>
      <c r="N277" s="535"/>
      <c r="O277" s="535"/>
      <c r="P277" s="535"/>
      <c r="Q277" s="535"/>
      <c r="W277"/>
    </row>
    <row r="278" spans="2:23">
      <c r="B278" s="3255"/>
      <c r="C278" s="424">
        <v>40455</v>
      </c>
      <c r="D278" s="422">
        <f t="shared" si="26"/>
        <v>46</v>
      </c>
      <c r="E278" s="428">
        <v>2</v>
      </c>
      <c r="F278" s="830"/>
      <c r="G278" s="830"/>
      <c r="H278" s="424">
        <v>40676</v>
      </c>
      <c r="I278" s="825">
        <f t="shared" si="23"/>
        <v>7</v>
      </c>
      <c r="K278" s="820">
        <v>49</v>
      </c>
      <c r="L278" s="535"/>
      <c r="M278" s="535"/>
      <c r="N278" s="535"/>
      <c r="O278" s="535"/>
      <c r="P278" s="535"/>
      <c r="Q278" s="535"/>
      <c r="W278"/>
    </row>
    <row r="279" spans="2:23" ht="13.8" thickBot="1">
      <c r="B279" s="3256"/>
      <c r="C279" s="417">
        <v>40574</v>
      </c>
      <c r="D279" s="425">
        <f>+C279-C278</f>
        <v>119</v>
      </c>
      <c r="E279" s="426">
        <v>0</v>
      </c>
      <c r="F279" s="831"/>
      <c r="G279" s="831"/>
      <c r="H279" s="424">
        <v>40678</v>
      </c>
      <c r="I279" s="825">
        <f t="shared" si="23"/>
        <v>2</v>
      </c>
      <c r="K279" s="820">
        <v>120</v>
      </c>
      <c r="L279" s="535"/>
      <c r="M279" s="535"/>
      <c r="N279" s="535"/>
      <c r="O279" s="535"/>
      <c r="P279" s="535"/>
      <c r="Q279" s="535"/>
      <c r="W279"/>
    </row>
    <row r="280" spans="2:23">
      <c r="B280" s="440"/>
      <c r="D280" s="835"/>
      <c r="H280" s="424">
        <v>40681</v>
      </c>
      <c r="I280" s="825">
        <f t="shared" si="23"/>
        <v>3</v>
      </c>
      <c r="K280" s="820">
        <v>30</v>
      </c>
      <c r="L280" s="535"/>
      <c r="M280" s="535"/>
      <c r="N280" s="535"/>
      <c r="O280" s="535"/>
      <c r="P280" s="535"/>
      <c r="Q280" s="535"/>
      <c r="W280"/>
    </row>
    <row r="281" spans="2:23">
      <c r="D281" s="835"/>
      <c r="H281" s="424">
        <v>40707</v>
      </c>
      <c r="I281" s="825">
        <f t="shared" si="23"/>
        <v>26</v>
      </c>
      <c r="K281" s="820">
        <v>90</v>
      </c>
      <c r="L281" s="535"/>
      <c r="M281" s="535"/>
      <c r="N281" s="535"/>
      <c r="O281" s="535"/>
      <c r="P281" s="535"/>
      <c r="Q281" s="535"/>
      <c r="W281"/>
    </row>
    <row r="282" spans="2:23">
      <c r="D282" s="835"/>
      <c r="H282" s="424">
        <v>40709</v>
      </c>
      <c r="I282" s="825">
        <f t="shared" si="23"/>
        <v>2</v>
      </c>
      <c r="K282" s="820">
        <v>3</v>
      </c>
      <c r="L282" s="535"/>
      <c r="M282" s="535"/>
      <c r="N282" s="535"/>
      <c r="O282" s="535"/>
      <c r="P282" s="535"/>
      <c r="Q282" s="535"/>
      <c r="W282"/>
    </row>
    <row r="283" spans="2:23">
      <c r="D283" s="835"/>
      <c r="H283" s="424">
        <v>40715</v>
      </c>
      <c r="I283" s="825">
        <f t="shared" ref="I283:I346" si="27">+H283-H282</f>
        <v>6</v>
      </c>
      <c r="K283" s="820">
        <v>1</v>
      </c>
      <c r="L283" s="535"/>
      <c r="M283" s="535"/>
      <c r="N283" s="535"/>
      <c r="O283" s="535"/>
      <c r="P283" s="535"/>
      <c r="Q283" s="535"/>
      <c r="W283"/>
    </row>
    <row r="284" spans="2:23">
      <c r="D284" s="835"/>
      <c r="H284" s="424">
        <v>40717</v>
      </c>
      <c r="I284" s="825">
        <f t="shared" si="27"/>
        <v>2</v>
      </c>
      <c r="K284" s="820">
        <v>1</v>
      </c>
      <c r="L284" s="535"/>
      <c r="M284" s="535"/>
      <c r="N284" s="535"/>
      <c r="O284" s="535"/>
      <c r="P284" s="535"/>
      <c r="Q284" s="535"/>
      <c r="W284"/>
    </row>
    <row r="285" spans="2:23">
      <c r="D285" s="835"/>
      <c r="H285" s="424">
        <v>40718</v>
      </c>
      <c r="I285" s="825">
        <f t="shared" si="27"/>
        <v>1</v>
      </c>
      <c r="K285" s="820">
        <v>25</v>
      </c>
      <c r="L285" s="535"/>
      <c r="M285" s="535"/>
      <c r="N285" s="535"/>
      <c r="O285" s="535"/>
      <c r="P285" s="535"/>
      <c r="Q285" s="535"/>
      <c r="W285"/>
    </row>
    <row r="286" spans="2:23">
      <c r="D286" s="835"/>
      <c r="H286" s="424">
        <v>40720</v>
      </c>
      <c r="I286" s="825">
        <f t="shared" si="27"/>
        <v>2</v>
      </c>
      <c r="K286" s="820">
        <v>19</v>
      </c>
      <c r="L286" s="535"/>
      <c r="M286" s="535"/>
      <c r="N286" s="535"/>
      <c r="O286" s="535"/>
      <c r="P286" s="535"/>
      <c r="Q286" s="535"/>
      <c r="W286"/>
    </row>
    <row r="287" spans="2:23">
      <c r="D287" s="835"/>
      <c r="H287" s="424">
        <v>40730</v>
      </c>
      <c r="I287" s="825">
        <f t="shared" si="27"/>
        <v>10</v>
      </c>
      <c r="K287" s="820">
        <v>3</v>
      </c>
      <c r="L287" s="535"/>
      <c r="M287" s="535"/>
      <c r="N287" s="535"/>
      <c r="O287" s="535"/>
      <c r="P287" s="535"/>
      <c r="Q287" s="535"/>
      <c r="W287"/>
    </row>
    <row r="288" spans="2:23">
      <c r="C288"/>
      <c r="D288" s="835"/>
      <c r="F288"/>
      <c r="G288"/>
      <c r="H288" s="424">
        <v>40730</v>
      </c>
      <c r="I288" s="825">
        <f t="shared" si="27"/>
        <v>0</v>
      </c>
      <c r="K288" s="820">
        <v>4</v>
      </c>
      <c r="L288" s="535"/>
      <c r="M288" s="535"/>
      <c r="N288" s="535"/>
      <c r="O288" s="535"/>
      <c r="P288" s="535"/>
      <c r="Q288" s="535"/>
      <c r="W288"/>
    </row>
    <row r="289" spans="3:23">
      <c r="C289"/>
      <c r="D289" s="835"/>
      <c r="F289"/>
      <c r="G289"/>
      <c r="H289" s="424">
        <v>40732</v>
      </c>
      <c r="I289" s="825">
        <f t="shared" si="27"/>
        <v>2</v>
      </c>
      <c r="K289" s="820">
        <v>3</v>
      </c>
      <c r="L289" s="535"/>
      <c r="M289" s="535"/>
      <c r="N289" s="535"/>
      <c r="O289" s="535"/>
      <c r="P289" s="535"/>
      <c r="Q289" s="535"/>
      <c r="W289"/>
    </row>
    <row r="290" spans="3:23">
      <c r="C290"/>
      <c r="D290" s="835"/>
      <c r="F290"/>
      <c r="G290"/>
      <c r="H290" s="424">
        <v>40736</v>
      </c>
      <c r="I290" s="825">
        <f t="shared" si="27"/>
        <v>4</v>
      </c>
      <c r="K290" s="820">
        <v>6</v>
      </c>
      <c r="L290" s="535"/>
      <c r="M290" s="535"/>
      <c r="N290" s="535"/>
      <c r="O290" s="535"/>
      <c r="P290" s="535"/>
      <c r="Q290" s="535"/>
      <c r="W290"/>
    </row>
    <row r="291" spans="3:23">
      <c r="C291"/>
      <c r="D291" s="835"/>
      <c r="F291"/>
      <c r="G291"/>
      <c r="H291" s="424">
        <v>40743</v>
      </c>
      <c r="I291" s="825">
        <f t="shared" si="27"/>
        <v>7</v>
      </c>
      <c r="K291" s="820">
        <v>2</v>
      </c>
      <c r="L291" s="535"/>
      <c r="M291" s="535"/>
      <c r="N291" s="535"/>
      <c r="O291" s="535"/>
      <c r="P291" s="535"/>
      <c r="Q291" s="535"/>
      <c r="W291"/>
    </row>
    <row r="292" spans="3:23">
      <c r="C292"/>
      <c r="D292" s="835"/>
      <c r="F292"/>
      <c r="G292"/>
      <c r="H292" s="424">
        <v>40744</v>
      </c>
      <c r="I292" s="825">
        <f t="shared" si="27"/>
        <v>1</v>
      </c>
      <c r="K292" s="820">
        <v>3</v>
      </c>
      <c r="L292" s="535"/>
      <c r="M292" s="535"/>
      <c r="N292" s="535"/>
      <c r="O292" s="535"/>
      <c r="P292" s="535"/>
      <c r="Q292" s="535"/>
      <c r="W292"/>
    </row>
    <row r="293" spans="3:23">
      <c r="C293"/>
      <c r="D293" s="835"/>
      <c r="F293"/>
      <c r="G293"/>
      <c r="H293" s="424">
        <v>40745</v>
      </c>
      <c r="I293" s="825">
        <f t="shared" si="27"/>
        <v>1</v>
      </c>
      <c r="K293" s="820">
        <v>3</v>
      </c>
      <c r="L293" s="535"/>
      <c r="M293" s="535"/>
      <c r="N293" s="535"/>
      <c r="O293" s="535"/>
      <c r="P293" s="535"/>
      <c r="Q293" s="535"/>
      <c r="W293"/>
    </row>
    <row r="294" spans="3:23">
      <c r="C294"/>
      <c r="D294" s="835"/>
      <c r="F294"/>
      <c r="G294"/>
      <c r="H294" s="424">
        <v>40749</v>
      </c>
      <c r="I294" s="825">
        <f t="shared" si="27"/>
        <v>4</v>
      </c>
      <c r="K294" s="820">
        <v>30</v>
      </c>
      <c r="L294" s="535"/>
      <c r="M294" s="535"/>
      <c r="N294" s="535"/>
      <c r="O294" s="535"/>
      <c r="P294" s="535"/>
      <c r="Q294" s="535"/>
      <c r="W294"/>
    </row>
    <row r="295" spans="3:23">
      <c r="C295"/>
      <c r="D295" s="835"/>
      <c r="F295"/>
      <c r="G295"/>
      <c r="H295" s="424">
        <v>40750</v>
      </c>
      <c r="I295" s="825">
        <f t="shared" si="27"/>
        <v>1</v>
      </c>
      <c r="K295" s="820">
        <v>3</v>
      </c>
      <c r="L295" s="535"/>
      <c r="M295" s="535"/>
      <c r="N295" s="535"/>
      <c r="O295" s="535"/>
      <c r="P295" s="535"/>
      <c r="Q295" s="535"/>
      <c r="W295"/>
    </row>
    <row r="296" spans="3:23">
      <c r="C296"/>
      <c r="D296" s="835"/>
      <c r="F296"/>
      <c r="G296"/>
      <c r="H296" s="424">
        <v>40765</v>
      </c>
      <c r="I296" s="825">
        <f t="shared" si="27"/>
        <v>15</v>
      </c>
      <c r="K296" s="820">
        <v>30</v>
      </c>
      <c r="L296" s="535"/>
      <c r="M296" s="535"/>
      <c r="N296" s="535"/>
      <c r="O296" s="535"/>
      <c r="P296" s="535"/>
      <c r="Q296" s="535"/>
      <c r="W296"/>
    </row>
    <row r="297" spans="3:23">
      <c r="C297"/>
      <c r="D297" s="835"/>
      <c r="F297"/>
      <c r="G297"/>
      <c r="H297" s="424">
        <v>40771</v>
      </c>
      <c r="I297" s="825">
        <f t="shared" si="27"/>
        <v>6</v>
      </c>
      <c r="K297" s="820">
        <v>2</v>
      </c>
      <c r="L297" s="535"/>
      <c r="M297" s="535"/>
      <c r="N297" s="535"/>
      <c r="O297" s="535"/>
      <c r="P297" s="535"/>
      <c r="Q297" s="535"/>
      <c r="W297"/>
    </row>
    <row r="298" spans="3:23">
      <c r="C298"/>
      <c r="D298" s="835"/>
      <c r="F298"/>
      <c r="G298"/>
      <c r="H298" s="424">
        <v>40778</v>
      </c>
      <c r="I298" s="825">
        <f t="shared" si="27"/>
        <v>7</v>
      </c>
      <c r="K298" s="820">
        <v>2</v>
      </c>
      <c r="L298" s="535"/>
      <c r="M298" s="535"/>
      <c r="N298" s="535"/>
      <c r="O298" s="535"/>
      <c r="P298" s="535"/>
      <c r="Q298" s="535"/>
      <c r="W298"/>
    </row>
    <row r="299" spans="3:23">
      <c r="C299"/>
      <c r="D299" s="835"/>
      <c r="F299"/>
      <c r="G299"/>
      <c r="H299" s="424">
        <v>40783</v>
      </c>
      <c r="I299" s="825">
        <f t="shared" si="27"/>
        <v>5</v>
      </c>
      <c r="K299" s="820">
        <v>2</v>
      </c>
      <c r="L299" s="535"/>
      <c r="M299" s="535"/>
      <c r="N299" s="535"/>
      <c r="O299" s="535"/>
      <c r="P299" s="535"/>
      <c r="Q299" s="535"/>
      <c r="W299"/>
    </row>
    <row r="300" spans="3:23">
      <c r="C300"/>
      <c r="D300" s="835"/>
      <c r="F300"/>
      <c r="G300"/>
      <c r="H300" s="424">
        <v>40783</v>
      </c>
      <c r="I300" s="825">
        <f t="shared" si="27"/>
        <v>0</v>
      </c>
      <c r="K300" s="820">
        <v>7</v>
      </c>
      <c r="L300" s="535"/>
      <c r="M300" s="535"/>
      <c r="N300" s="535"/>
      <c r="O300" s="535"/>
      <c r="P300" s="535"/>
      <c r="Q300" s="535"/>
      <c r="W300"/>
    </row>
    <row r="301" spans="3:23">
      <c r="H301" s="424">
        <v>40785</v>
      </c>
      <c r="I301" s="825">
        <f t="shared" si="27"/>
        <v>2</v>
      </c>
      <c r="K301" s="820">
        <v>14</v>
      </c>
      <c r="L301" s="535"/>
      <c r="M301" s="535"/>
      <c r="N301" s="535"/>
      <c r="O301" s="535"/>
      <c r="P301" s="535"/>
      <c r="Q301" s="535"/>
    </row>
    <row r="302" spans="3:23">
      <c r="H302" s="424">
        <v>40795</v>
      </c>
      <c r="I302" s="825">
        <f t="shared" si="27"/>
        <v>10</v>
      </c>
      <c r="K302" s="820">
        <v>6</v>
      </c>
      <c r="L302" s="535"/>
      <c r="M302" s="535"/>
      <c r="N302" s="535"/>
      <c r="O302" s="535"/>
      <c r="P302" s="535"/>
      <c r="Q302" s="535"/>
    </row>
    <row r="303" spans="3:23">
      <c r="H303" s="424">
        <v>40797</v>
      </c>
      <c r="I303" s="825">
        <f t="shared" si="27"/>
        <v>2</v>
      </c>
      <c r="K303" s="820">
        <v>30</v>
      </c>
      <c r="L303" s="535"/>
      <c r="M303" s="535"/>
      <c r="N303" s="535"/>
      <c r="O303" s="535"/>
      <c r="P303" s="535"/>
      <c r="Q303" s="535"/>
    </row>
    <row r="304" spans="3:23">
      <c r="H304" s="424">
        <v>40801</v>
      </c>
      <c r="I304" s="825">
        <f t="shared" si="27"/>
        <v>4</v>
      </c>
      <c r="K304" s="820">
        <v>3</v>
      </c>
      <c r="L304" s="535"/>
      <c r="M304" s="535"/>
      <c r="N304" s="535"/>
      <c r="O304" s="535"/>
      <c r="P304" s="535"/>
      <c r="Q304" s="535"/>
    </row>
    <row r="305" spans="8:17">
      <c r="H305" s="424">
        <v>40811</v>
      </c>
      <c r="I305" s="825">
        <f t="shared" si="27"/>
        <v>10</v>
      </c>
      <c r="K305" s="820">
        <v>10</v>
      </c>
      <c r="L305" s="535"/>
      <c r="M305" s="535"/>
      <c r="N305" s="535"/>
      <c r="O305" s="535"/>
      <c r="P305" s="535"/>
      <c r="Q305" s="535"/>
    </row>
    <row r="306" spans="8:17">
      <c r="H306" s="424">
        <v>40826</v>
      </c>
      <c r="I306" s="825">
        <f t="shared" si="27"/>
        <v>15</v>
      </c>
      <c r="K306" s="820">
        <v>3</v>
      </c>
      <c r="L306" s="535"/>
      <c r="M306" s="535"/>
      <c r="N306" s="535"/>
      <c r="O306" s="535"/>
      <c r="P306" s="535"/>
      <c r="Q306" s="535"/>
    </row>
    <row r="307" spans="8:17">
      <c r="H307" s="424">
        <v>40836</v>
      </c>
      <c r="I307" s="825">
        <f t="shared" si="27"/>
        <v>10</v>
      </c>
      <c r="K307" s="820">
        <v>2</v>
      </c>
      <c r="L307" s="535"/>
      <c r="M307" s="535"/>
      <c r="N307" s="535"/>
      <c r="O307" s="535"/>
      <c r="P307" s="535"/>
      <c r="Q307" s="535"/>
    </row>
    <row r="308" spans="8:17">
      <c r="H308" s="424">
        <v>40857</v>
      </c>
      <c r="I308" s="825">
        <f t="shared" si="27"/>
        <v>21</v>
      </c>
      <c r="K308" s="820">
        <v>20</v>
      </c>
      <c r="L308" s="535"/>
      <c r="M308" s="535"/>
      <c r="N308" s="535"/>
      <c r="O308" s="535"/>
      <c r="P308" s="535"/>
      <c r="Q308" s="535"/>
    </row>
    <row r="309" spans="8:17">
      <c r="H309" s="424">
        <v>40869</v>
      </c>
      <c r="I309" s="825">
        <f t="shared" si="27"/>
        <v>12</v>
      </c>
      <c r="K309" s="820">
        <v>130</v>
      </c>
      <c r="L309" s="535"/>
      <c r="M309" s="535"/>
      <c r="N309" s="535"/>
      <c r="O309" s="535"/>
      <c r="P309" s="535"/>
      <c r="Q309" s="535"/>
    </row>
    <row r="310" spans="8:17">
      <c r="H310" s="424">
        <v>40875</v>
      </c>
      <c r="I310" s="825">
        <f t="shared" si="27"/>
        <v>6</v>
      </c>
      <c r="K310" s="820">
        <v>10</v>
      </c>
      <c r="L310" s="535"/>
      <c r="M310" s="535"/>
      <c r="N310" s="535"/>
      <c r="O310" s="535"/>
      <c r="P310" s="535"/>
      <c r="Q310" s="535"/>
    </row>
    <row r="311" spans="8:17">
      <c r="H311" s="424">
        <v>40882</v>
      </c>
      <c r="I311" s="825">
        <f t="shared" si="27"/>
        <v>7</v>
      </c>
      <c r="K311" s="820">
        <v>90</v>
      </c>
      <c r="L311" s="535"/>
      <c r="M311" s="535"/>
      <c r="N311" s="535"/>
      <c r="O311" s="535"/>
      <c r="P311" s="535"/>
      <c r="Q311" s="535"/>
    </row>
    <row r="312" spans="8:17">
      <c r="H312" s="424">
        <v>40891</v>
      </c>
      <c r="I312" s="825">
        <f t="shared" si="27"/>
        <v>9</v>
      </c>
      <c r="K312" s="820">
        <v>6</v>
      </c>
      <c r="L312" s="535"/>
      <c r="M312" s="535"/>
      <c r="N312" s="535"/>
      <c r="O312" s="535"/>
      <c r="P312" s="535"/>
      <c r="Q312" s="535"/>
    </row>
    <row r="313" spans="8:17">
      <c r="H313" s="424">
        <v>40902</v>
      </c>
      <c r="I313" s="825">
        <f t="shared" si="27"/>
        <v>11</v>
      </c>
      <c r="K313" s="820">
        <v>4</v>
      </c>
      <c r="L313" s="535"/>
      <c r="M313" s="535"/>
      <c r="N313" s="535"/>
      <c r="O313" s="535"/>
      <c r="P313" s="535"/>
      <c r="Q313" s="535"/>
    </row>
    <row r="314" spans="8:17">
      <c r="H314" s="424">
        <v>40917</v>
      </c>
      <c r="I314" s="825">
        <f t="shared" si="27"/>
        <v>15</v>
      </c>
      <c r="K314" s="820">
        <v>27</v>
      </c>
      <c r="L314" s="535"/>
      <c r="M314" s="535"/>
      <c r="N314" s="535"/>
      <c r="O314" s="535"/>
      <c r="P314" s="535"/>
      <c r="Q314" s="535"/>
    </row>
    <row r="315" spans="8:17">
      <c r="H315" s="424">
        <v>40922</v>
      </c>
      <c r="I315" s="825">
        <f t="shared" si="27"/>
        <v>5</v>
      </c>
      <c r="K315" s="820">
        <v>30</v>
      </c>
      <c r="L315" s="535"/>
      <c r="M315" s="535"/>
      <c r="N315" s="535"/>
      <c r="O315" s="535"/>
      <c r="P315" s="535"/>
      <c r="Q315" s="535"/>
    </row>
    <row r="316" spans="8:17">
      <c r="H316" s="424">
        <v>40924</v>
      </c>
      <c r="I316" s="825">
        <f t="shared" si="27"/>
        <v>2</v>
      </c>
      <c r="K316" s="820">
        <v>90</v>
      </c>
      <c r="L316" s="535"/>
      <c r="M316" s="535"/>
      <c r="N316" s="535"/>
      <c r="O316" s="535"/>
      <c r="P316" s="535"/>
      <c r="Q316" s="535"/>
    </row>
    <row r="317" spans="8:17">
      <c r="H317" s="424">
        <v>40925</v>
      </c>
      <c r="I317" s="825">
        <f t="shared" si="27"/>
        <v>1</v>
      </c>
      <c r="K317" s="820">
        <v>10</v>
      </c>
      <c r="L317" s="535"/>
      <c r="M317" s="535"/>
      <c r="N317" s="535"/>
      <c r="O317" s="535"/>
      <c r="P317" s="535"/>
      <c r="Q317" s="535"/>
    </row>
    <row r="318" spans="8:17">
      <c r="H318" s="424">
        <v>40933</v>
      </c>
      <c r="I318" s="825">
        <f t="shared" si="27"/>
        <v>8</v>
      </c>
      <c r="K318" s="820">
        <v>45</v>
      </c>
      <c r="L318" s="535"/>
      <c r="M318" s="535"/>
      <c r="N318" s="535"/>
      <c r="O318" s="535"/>
      <c r="P318" s="535"/>
      <c r="Q318" s="535"/>
    </row>
    <row r="319" spans="8:17">
      <c r="H319" s="424">
        <v>40955</v>
      </c>
      <c r="I319" s="825">
        <f t="shared" si="27"/>
        <v>22</v>
      </c>
      <c r="K319" s="820">
        <v>15</v>
      </c>
      <c r="L319" s="535"/>
      <c r="M319" s="535"/>
      <c r="N319" s="535"/>
      <c r="O319" s="535"/>
      <c r="P319" s="535"/>
      <c r="Q319" s="535"/>
    </row>
    <row r="320" spans="8:17">
      <c r="H320" s="424">
        <v>40970</v>
      </c>
      <c r="I320" s="825">
        <f t="shared" si="27"/>
        <v>15</v>
      </c>
      <c r="K320" s="820">
        <v>16</v>
      </c>
      <c r="L320" s="535"/>
      <c r="M320" s="535"/>
      <c r="N320" s="535"/>
      <c r="O320" s="535"/>
      <c r="P320" s="535"/>
      <c r="Q320" s="535"/>
    </row>
    <row r="321" spans="8:17">
      <c r="H321" s="424">
        <v>40983</v>
      </c>
      <c r="I321" s="825">
        <f t="shared" si="27"/>
        <v>13</v>
      </c>
      <c r="K321" s="820">
        <v>2</v>
      </c>
      <c r="L321" s="535"/>
      <c r="M321" s="535"/>
      <c r="N321" s="535"/>
      <c r="O321" s="535"/>
      <c r="P321" s="535"/>
      <c r="Q321" s="535"/>
    </row>
    <row r="322" spans="8:17">
      <c r="H322" s="424">
        <v>40994</v>
      </c>
      <c r="I322" s="825">
        <f t="shared" si="27"/>
        <v>11</v>
      </c>
      <c r="K322" s="820">
        <v>14</v>
      </c>
      <c r="L322" s="535"/>
      <c r="M322" s="535"/>
      <c r="N322" s="535"/>
      <c r="O322" s="535"/>
      <c r="P322" s="535"/>
      <c r="Q322" s="535"/>
    </row>
    <row r="323" spans="8:17">
      <c r="H323" s="424">
        <v>40996</v>
      </c>
      <c r="I323" s="825">
        <f t="shared" si="27"/>
        <v>2</v>
      </c>
      <c r="K323" s="820">
        <v>22</v>
      </c>
      <c r="L323" s="535"/>
      <c r="M323" s="535"/>
      <c r="N323" s="535"/>
      <c r="O323" s="535"/>
      <c r="P323" s="535"/>
      <c r="Q323" s="535"/>
    </row>
    <row r="324" spans="8:17">
      <c r="H324" s="424">
        <v>40997</v>
      </c>
      <c r="I324" s="825">
        <f t="shared" si="27"/>
        <v>1</v>
      </c>
      <c r="K324" s="820">
        <v>2</v>
      </c>
      <c r="L324" s="535"/>
      <c r="M324" s="535"/>
      <c r="N324" s="535"/>
      <c r="O324" s="535"/>
      <c r="P324" s="535"/>
      <c r="Q324" s="535"/>
    </row>
    <row r="325" spans="8:17">
      <c r="H325" s="424">
        <v>41003</v>
      </c>
      <c r="I325" s="825">
        <f t="shared" si="27"/>
        <v>6</v>
      </c>
      <c r="K325" s="820">
        <v>11</v>
      </c>
      <c r="L325" s="535"/>
      <c r="M325" s="535"/>
      <c r="N325" s="535"/>
      <c r="O325" s="535"/>
      <c r="P325" s="535"/>
      <c r="Q325" s="535"/>
    </row>
    <row r="326" spans="8:17">
      <c r="H326" s="424">
        <v>41025</v>
      </c>
      <c r="I326" s="825">
        <f t="shared" si="27"/>
        <v>22</v>
      </c>
      <c r="K326" s="820">
        <v>4</v>
      </c>
      <c r="L326" s="535"/>
      <c r="M326" s="535"/>
      <c r="N326" s="535"/>
      <c r="O326" s="535"/>
      <c r="P326" s="535"/>
      <c r="Q326" s="535"/>
    </row>
    <row r="327" spans="8:17">
      <c r="H327" s="424">
        <v>41038</v>
      </c>
      <c r="I327" s="825">
        <f t="shared" si="27"/>
        <v>13</v>
      </c>
      <c r="K327" s="820">
        <v>11</v>
      </c>
      <c r="L327" s="535"/>
      <c r="M327" s="535"/>
      <c r="N327" s="535"/>
      <c r="O327" s="535"/>
      <c r="P327" s="535"/>
      <c r="Q327" s="535"/>
    </row>
    <row r="328" spans="8:17">
      <c r="H328" s="424">
        <v>41050</v>
      </c>
      <c r="I328" s="825">
        <f t="shared" si="27"/>
        <v>12</v>
      </c>
      <c r="K328" s="820">
        <v>1</v>
      </c>
      <c r="L328" s="535"/>
      <c r="M328" s="535"/>
      <c r="N328" s="535"/>
      <c r="O328" s="535"/>
      <c r="P328" s="535"/>
      <c r="Q328" s="535"/>
    </row>
    <row r="329" spans="8:17">
      <c r="H329" s="424">
        <v>41052</v>
      </c>
      <c r="I329" s="825">
        <f t="shared" si="27"/>
        <v>2</v>
      </c>
      <c r="K329" s="820">
        <v>12</v>
      </c>
      <c r="L329" s="535"/>
      <c r="M329" s="535"/>
      <c r="N329" s="535"/>
      <c r="O329" s="535"/>
      <c r="P329" s="535"/>
      <c r="Q329" s="535"/>
    </row>
    <row r="330" spans="8:17">
      <c r="H330" s="424">
        <v>41055</v>
      </c>
      <c r="I330" s="825">
        <f t="shared" si="27"/>
        <v>3</v>
      </c>
      <c r="K330" s="820">
        <v>15</v>
      </c>
      <c r="L330" s="535"/>
      <c r="M330" s="535"/>
      <c r="N330" s="535"/>
      <c r="O330" s="535"/>
      <c r="P330" s="535"/>
      <c r="Q330" s="535"/>
    </row>
    <row r="331" spans="8:17">
      <c r="H331" s="424">
        <v>41067</v>
      </c>
      <c r="I331" s="825">
        <f t="shared" si="27"/>
        <v>12</v>
      </c>
      <c r="K331" s="820">
        <v>3</v>
      </c>
      <c r="L331" s="535"/>
      <c r="M331" s="535"/>
      <c r="N331" s="535"/>
      <c r="O331" s="535"/>
      <c r="P331" s="535"/>
      <c r="Q331" s="535"/>
    </row>
    <row r="332" spans="8:17">
      <c r="H332" s="424">
        <v>41068</v>
      </c>
      <c r="I332" s="825">
        <f t="shared" si="27"/>
        <v>1</v>
      </c>
      <c r="K332" s="820">
        <v>2</v>
      </c>
      <c r="L332" s="535"/>
      <c r="M332" s="535"/>
      <c r="N332" s="535"/>
      <c r="O332" s="535"/>
      <c r="P332" s="535"/>
      <c r="Q332" s="535"/>
    </row>
    <row r="333" spans="8:17">
      <c r="H333" s="424">
        <v>41075</v>
      </c>
      <c r="I333" s="825">
        <f t="shared" si="27"/>
        <v>7</v>
      </c>
      <c r="K333" s="820">
        <v>9</v>
      </c>
      <c r="L333" s="535"/>
      <c r="M333" s="535"/>
      <c r="N333" s="535"/>
      <c r="O333" s="535"/>
      <c r="P333" s="535"/>
      <c r="Q333" s="535"/>
    </row>
    <row r="334" spans="8:17">
      <c r="H334" s="424">
        <v>41078</v>
      </c>
      <c r="I334" s="825">
        <f t="shared" si="27"/>
        <v>3</v>
      </c>
      <c r="K334" s="820">
        <v>20</v>
      </c>
      <c r="L334" s="535"/>
      <c r="M334" s="535"/>
      <c r="N334" s="535"/>
      <c r="O334" s="535"/>
      <c r="P334" s="535"/>
      <c r="Q334" s="535"/>
    </row>
    <row r="335" spans="8:17">
      <c r="H335" s="424">
        <v>41080</v>
      </c>
      <c r="I335" s="825">
        <f t="shared" si="27"/>
        <v>2</v>
      </c>
      <c r="K335" s="820">
        <v>7</v>
      </c>
      <c r="L335" s="535"/>
      <c r="M335" s="535"/>
      <c r="N335" s="535"/>
      <c r="O335" s="535"/>
      <c r="P335" s="535"/>
      <c r="Q335" s="535"/>
    </row>
    <row r="336" spans="8:17">
      <c r="H336" s="424">
        <v>41085</v>
      </c>
      <c r="I336" s="825">
        <f t="shared" si="27"/>
        <v>5</v>
      </c>
      <c r="K336" s="820">
        <v>13</v>
      </c>
      <c r="L336" s="535"/>
      <c r="M336" s="535"/>
      <c r="N336" s="535"/>
      <c r="O336" s="535"/>
      <c r="P336" s="535"/>
      <c r="Q336" s="535"/>
    </row>
    <row r="337" spans="8:17">
      <c r="H337" s="424">
        <v>41090</v>
      </c>
      <c r="I337" s="825">
        <f t="shared" si="27"/>
        <v>5</v>
      </c>
      <c r="K337" s="820">
        <v>13</v>
      </c>
      <c r="L337" s="535"/>
      <c r="M337" s="535"/>
      <c r="N337" s="535"/>
      <c r="O337" s="535"/>
      <c r="P337" s="535"/>
      <c r="Q337" s="535"/>
    </row>
    <row r="338" spans="8:17">
      <c r="H338" s="424">
        <v>41092</v>
      </c>
      <c r="I338" s="825">
        <f t="shared" si="27"/>
        <v>2</v>
      </c>
      <c r="K338" s="820">
        <v>7</v>
      </c>
      <c r="L338" s="535"/>
      <c r="M338" s="535"/>
      <c r="N338" s="535"/>
      <c r="O338" s="535"/>
      <c r="P338" s="535"/>
      <c r="Q338" s="535"/>
    </row>
    <row r="339" spans="8:17">
      <c r="H339" s="424">
        <v>41104</v>
      </c>
      <c r="I339" s="825">
        <f t="shared" si="27"/>
        <v>12</v>
      </c>
      <c r="K339" s="820">
        <v>28</v>
      </c>
      <c r="L339" s="535"/>
      <c r="M339" s="535"/>
      <c r="N339" s="535"/>
      <c r="O339" s="535"/>
      <c r="P339" s="535"/>
      <c r="Q339" s="535"/>
    </row>
    <row r="340" spans="8:17">
      <c r="H340" s="424">
        <v>41112</v>
      </c>
      <c r="I340" s="825">
        <f t="shared" si="27"/>
        <v>8</v>
      </c>
      <c r="K340" s="820">
        <v>3</v>
      </c>
      <c r="L340" s="535"/>
      <c r="M340" s="535"/>
      <c r="N340" s="535"/>
      <c r="O340" s="535"/>
      <c r="P340" s="535"/>
      <c r="Q340" s="535"/>
    </row>
    <row r="341" spans="8:17">
      <c r="H341" s="424">
        <v>41139</v>
      </c>
      <c r="I341" s="825">
        <f t="shared" si="27"/>
        <v>27</v>
      </c>
      <c r="K341" s="820">
        <v>13</v>
      </c>
      <c r="L341" s="535"/>
      <c r="M341" s="535"/>
      <c r="N341" s="535"/>
      <c r="O341" s="535"/>
      <c r="P341" s="535"/>
      <c r="Q341" s="535"/>
    </row>
    <row r="342" spans="8:17">
      <c r="H342" s="424">
        <v>41143</v>
      </c>
      <c r="I342" s="825">
        <f t="shared" si="27"/>
        <v>4</v>
      </c>
      <c r="K342" s="820">
        <v>7</v>
      </c>
      <c r="L342" s="535"/>
      <c r="M342" s="535"/>
      <c r="N342" s="535"/>
      <c r="O342" s="535"/>
      <c r="P342" s="535"/>
      <c r="Q342" s="535"/>
    </row>
    <row r="343" spans="8:17">
      <c r="H343" s="424">
        <v>41144</v>
      </c>
      <c r="I343" s="825">
        <f t="shared" si="27"/>
        <v>1</v>
      </c>
      <c r="K343" s="820">
        <v>30</v>
      </c>
      <c r="L343" s="535"/>
      <c r="M343" s="535"/>
      <c r="N343" s="535"/>
      <c r="O343" s="535"/>
      <c r="P343" s="535"/>
      <c r="Q343" s="535"/>
    </row>
    <row r="344" spans="8:17">
      <c r="H344" s="424">
        <v>41144</v>
      </c>
      <c r="I344" s="825">
        <f t="shared" si="27"/>
        <v>0</v>
      </c>
      <c r="K344" s="820">
        <v>7</v>
      </c>
      <c r="L344" s="535"/>
      <c r="M344" s="535"/>
      <c r="N344" s="535"/>
      <c r="O344" s="535"/>
      <c r="P344" s="535"/>
      <c r="Q344" s="535"/>
    </row>
    <row r="345" spans="8:17">
      <c r="H345" s="424">
        <v>41145</v>
      </c>
      <c r="I345" s="825">
        <f t="shared" si="27"/>
        <v>1</v>
      </c>
      <c r="K345" s="820">
        <v>8</v>
      </c>
      <c r="L345" s="535"/>
      <c r="M345" s="535"/>
      <c r="N345" s="535"/>
      <c r="O345" s="535"/>
      <c r="P345" s="535"/>
      <c r="Q345" s="535"/>
    </row>
    <row r="346" spans="8:17">
      <c r="H346" s="424">
        <v>41149</v>
      </c>
      <c r="I346" s="825">
        <f t="shared" si="27"/>
        <v>4</v>
      </c>
      <c r="K346" s="820">
        <v>9</v>
      </c>
      <c r="L346" s="535"/>
      <c r="M346" s="535"/>
      <c r="N346" s="535"/>
      <c r="O346" s="535"/>
      <c r="P346" s="535"/>
      <c r="Q346" s="535"/>
    </row>
    <row r="347" spans="8:17">
      <c r="H347" s="424">
        <v>41150</v>
      </c>
      <c r="I347" s="825">
        <f t="shared" ref="I347:I358" si="28">+H347-H346</f>
        <v>1</v>
      </c>
      <c r="K347" s="820">
        <v>7</v>
      </c>
      <c r="L347" s="535"/>
      <c r="M347" s="535"/>
      <c r="N347" s="535"/>
      <c r="O347" s="535"/>
      <c r="P347" s="535"/>
      <c r="Q347" s="535"/>
    </row>
    <row r="348" spans="8:17">
      <c r="H348" s="424">
        <v>41153</v>
      </c>
      <c r="I348" s="825">
        <f t="shared" si="28"/>
        <v>3</v>
      </c>
      <c r="K348" s="820">
        <v>180</v>
      </c>
      <c r="L348" s="535"/>
      <c r="M348" s="535"/>
      <c r="N348" s="535"/>
      <c r="O348" s="535"/>
      <c r="P348" s="535"/>
      <c r="Q348" s="535"/>
    </row>
    <row r="349" spans="8:17">
      <c r="H349" s="424">
        <v>41163</v>
      </c>
      <c r="I349" s="825">
        <f t="shared" si="28"/>
        <v>10</v>
      </c>
      <c r="K349" s="820">
        <v>8</v>
      </c>
      <c r="L349" s="535"/>
      <c r="M349" s="535"/>
      <c r="N349" s="535"/>
      <c r="O349" s="535"/>
      <c r="P349" s="535"/>
      <c r="Q349" s="535"/>
    </row>
    <row r="350" spans="8:17">
      <c r="H350" s="424">
        <v>41168</v>
      </c>
      <c r="I350" s="825">
        <f t="shared" si="28"/>
        <v>5</v>
      </c>
      <c r="K350" s="820">
        <v>10</v>
      </c>
      <c r="L350" s="535"/>
      <c r="M350" s="535"/>
      <c r="N350" s="535"/>
      <c r="O350" s="535"/>
      <c r="P350" s="535"/>
      <c r="Q350" s="535"/>
    </row>
    <row r="351" spans="8:17">
      <c r="H351" s="424">
        <v>41195</v>
      </c>
      <c r="I351" s="825">
        <f t="shared" si="28"/>
        <v>27</v>
      </c>
      <c r="K351" s="820">
        <v>3</v>
      </c>
      <c r="L351" s="535"/>
      <c r="M351" s="535"/>
      <c r="N351" s="535"/>
      <c r="O351" s="535"/>
      <c r="P351" s="535"/>
      <c r="Q351" s="535"/>
    </row>
    <row r="352" spans="8:17">
      <c r="H352" s="424">
        <v>41199</v>
      </c>
      <c r="I352" s="825">
        <f t="shared" si="28"/>
        <v>4</v>
      </c>
      <c r="K352" s="820">
        <v>6</v>
      </c>
      <c r="L352" s="535"/>
      <c r="M352" s="535"/>
      <c r="N352" s="535"/>
      <c r="O352" s="535"/>
      <c r="P352" s="535"/>
      <c r="Q352" s="535"/>
    </row>
    <row r="353" spans="8:17">
      <c r="H353" s="424">
        <v>41204</v>
      </c>
      <c r="I353" s="825">
        <f t="shared" si="28"/>
        <v>5</v>
      </c>
      <c r="K353" s="820">
        <v>3</v>
      </c>
      <c r="L353" s="535"/>
      <c r="M353" s="535"/>
      <c r="N353" s="535"/>
      <c r="O353" s="535"/>
      <c r="P353" s="535"/>
      <c r="Q353" s="535"/>
    </row>
    <row r="354" spans="8:17">
      <c r="H354" s="424">
        <v>41215</v>
      </c>
      <c r="I354" s="825">
        <f t="shared" si="28"/>
        <v>11</v>
      </c>
      <c r="K354" s="820">
        <v>2</v>
      </c>
      <c r="L354" s="535"/>
      <c r="M354" s="535"/>
      <c r="N354" s="535"/>
      <c r="O354" s="535"/>
      <c r="P354" s="535"/>
      <c r="Q354" s="535"/>
    </row>
    <row r="355" spans="8:17">
      <c r="H355" s="424">
        <v>41219</v>
      </c>
      <c r="I355" s="825">
        <f t="shared" si="28"/>
        <v>4</v>
      </c>
      <c r="K355" s="820">
        <v>18</v>
      </c>
      <c r="L355" s="535"/>
      <c r="M355" s="535"/>
      <c r="N355" s="535"/>
      <c r="O355" s="535"/>
      <c r="P355" s="535"/>
      <c r="Q355" s="535"/>
    </row>
    <row r="356" spans="8:17">
      <c r="H356" s="424">
        <v>41227</v>
      </c>
      <c r="I356" s="825">
        <f t="shared" si="28"/>
        <v>8</v>
      </c>
      <c r="K356" s="820">
        <v>2</v>
      </c>
      <c r="L356" s="535"/>
      <c r="M356" s="535"/>
      <c r="N356" s="535"/>
      <c r="O356" s="535"/>
      <c r="P356" s="535"/>
      <c r="Q356" s="535"/>
    </row>
    <row r="357" spans="8:17">
      <c r="H357" s="424">
        <v>41230</v>
      </c>
      <c r="I357" s="825">
        <f t="shared" si="28"/>
        <v>3</v>
      </c>
      <c r="K357" s="820">
        <v>25</v>
      </c>
      <c r="L357" s="535"/>
      <c r="M357" s="535"/>
      <c r="N357" s="535"/>
      <c r="O357" s="535"/>
      <c r="P357" s="535"/>
      <c r="Q357" s="535"/>
    </row>
    <row r="358" spans="8:17">
      <c r="H358" s="424">
        <v>41231</v>
      </c>
      <c r="I358" s="825">
        <f t="shared" si="28"/>
        <v>1</v>
      </c>
      <c r="K358" s="820">
        <v>15</v>
      </c>
      <c r="L358" s="535"/>
      <c r="M358" s="535"/>
      <c r="N358" s="535"/>
      <c r="O358" s="535"/>
      <c r="P358" s="535"/>
      <c r="Q358" s="535"/>
    </row>
    <row r="359" spans="8:17">
      <c r="H359" s="424">
        <v>41233</v>
      </c>
      <c r="I359" s="825">
        <f>+H359-H357</f>
        <v>3</v>
      </c>
      <c r="K359" s="820">
        <v>7</v>
      </c>
      <c r="L359" s="535"/>
      <c r="M359" s="535"/>
      <c r="N359" s="535"/>
      <c r="O359" s="535"/>
      <c r="P359" s="535"/>
      <c r="Q359" s="535"/>
    </row>
    <row r="360" spans="8:17">
      <c r="H360" s="424">
        <v>41236</v>
      </c>
      <c r="I360" s="825">
        <f t="shared" ref="I360:I391" si="29">+H360-H359</f>
        <v>3</v>
      </c>
      <c r="K360" s="820">
        <v>460</v>
      </c>
      <c r="L360" s="535"/>
      <c r="M360" s="535"/>
      <c r="N360" s="535"/>
      <c r="O360" s="535"/>
      <c r="P360" s="535"/>
      <c r="Q360" s="535"/>
    </row>
    <row r="361" spans="8:17">
      <c r="H361" s="424">
        <v>41236</v>
      </c>
      <c r="I361" s="825">
        <f t="shared" si="29"/>
        <v>0</v>
      </c>
      <c r="K361" s="820">
        <v>7</v>
      </c>
      <c r="L361" s="535"/>
      <c r="M361" s="535"/>
      <c r="N361" s="535"/>
      <c r="O361" s="535"/>
      <c r="P361" s="535"/>
      <c r="Q361" s="535"/>
    </row>
    <row r="362" spans="8:17">
      <c r="H362" s="424">
        <v>41254</v>
      </c>
      <c r="I362" s="825">
        <f t="shared" si="29"/>
        <v>18</v>
      </c>
      <c r="K362" s="820">
        <v>7</v>
      </c>
      <c r="L362" s="535"/>
      <c r="M362" s="535"/>
      <c r="N362" s="535"/>
      <c r="O362" s="535"/>
      <c r="P362" s="535"/>
      <c r="Q362" s="535"/>
    </row>
    <row r="363" spans="8:17">
      <c r="H363" s="424">
        <v>41255</v>
      </c>
      <c r="I363" s="825">
        <f t="shared" si="29"/>
        <v>1</v>
      </c>
      <c r="K363" s="820">
        <v>26</v>
      </c>
      <c r="L363" s="535"/>
      <c r="M363" s="535"/>
      <c r="N363" s="535"/>
      <c r="O363" s="535"/>
      <c r="P363" s="535"/>
      <c r="Q363" s="535"/>
    </row>
    <row r="364" spans="8:17">
      <c r="H364" s="1257">
        <v>41274</v>
      </c>
      <c r="I364" s="825">
        <f t="shared" si="29"/>
        <v>19</v>
      </c>
      <c r="K364" s="820">
        <v>11</v>
      </c>
      <c r="L364" s="535"/>
      <c r="M364" s="535"/>
      <c r="N364" s="535"/>
      <c r="O364" s="535"/>
      <c r="P364" s="535"/>
      <c r="Q364" s="535"/>
    </row>
    <row r="365" spans="8:17">
      <c r="H365" s="424">
        <v>41276</v>
      </c>
      <c r="I365" s="825">
        <f t="shared" si="29"/>
        <v>2</v>
      </c>
      <c r="K365" s="903">
        <v>2</v>
      </c>
      <c r="L365" s="535"/>
      <c r="M365" s="535"/>
      <c r="N365" s="535"/>
      <c r="O365" s="535"/>
      <c r="P365" s="535"/>
      <c r="Q365" s="535"/>
    </row>
    <row r="366" spans="8:17">
      <c r="H366" s="424">
        <v>41279</v>
      </c>
      <c r="I366" s="825">
        <f t="shared" si="29"/>
        <v>3</v>
      </c>
      <c r="K366" s="903">
        <v>25</v>
      </c>
      <c r="L366" s="535"/>
      <c r="M366" s="535"/>
      <c r="N366" s="535"/>
      <c r="O366" s="535"/>
      <c r="P366" s="535"/>
      <c r="Q366" s="535"/>
    </row>
    <row r="367" spans="8:17">
      <c r="H367" s="424">
        <v>41284</v>
      </c>
      <c r="I367" s="825">
        <f t="shared" si="29"/>
        <v>5</v>
      </c>
      <c r="K367" s="903">
        <v>2</v>
      </c>
      <c r="L367" s="535"/>
      <c r="M367" s="535"/>
      <c r="N367" s="535"/>
      <c r="O367" s="535"/>
      <c r="P367" s="535"/>
      <c r="Q367" s="535"/>
    </row>
    <row r="368" spans="8:17">
      <c r="H368" s="424">
        <v>41290</v>
      </c>
      <c r="I368" s="825">
        <f t="shared" si="29"/>
        <v>6</v>
      </c>
      <c r="K368" s="903">
        <v>2</v>
      </c>
      <c r="L368" s="535"/>
      <c r="M368" s="535"/>
      <c r="N368" s="535"/>
      <c r="O368" s="535"/>
      <c r="P368" s="535"/>
      <c r="Q368" s="535"/>
    </row>
    <row r="369" spans="8:17">
      <c r="H369" s="424">
        <v>41291</v>
      </c>
      <c r="I369" s="825">
        <f t="shared" si="29"/>
        <v>1</v>
      </c>
      <c r="K369" s="903">
        <v>60</v>
      </c>
      <c r="L369" s="535"/>
      <c r="M369" s="535"/>
      <c r="N369" s="535"/>
      <c r="O369" s="535"/>
      <c r="P369" s="535"/>
      <c r="Q369" s="535"/>
    </row>
    <row r="370" spans="8:17">
      <c r="H370" s="424">
        <v>41298</v>
      </c>
      <c r="I370" s="825">
        <f t="shared" si="29"/>
        <v>7</v>
      </c>
      <c r="K370" s="906">
        <v>23</v>
      </c>
      <c r="L370" s="535"/>
      <c r="M370" s="535"/>
      <c r="N370" s="535"/>
      <c r="O370" s="535"/>
      <c r="P370" s="535"/>
      <c r="Q370" s="535"/>
    </row>
    <row r="371" spans="8:17">
      <c r="H371" s="424">
        <v>41316</v>
      </c>
      <c r="I371" s="825">
        <f t="shared" si="29"/>
        <v>18</v>
      </c>
      <c r="K371" s="903">
        <v>15</v>
      </c>
      <c r="L371" s="535"/>
      <c r="M371" s="535"/>
      <c r="N371" s="535"/>
      <c r="O371" s="535"/>
      <c r="P371" s="535"/>
      <c r="Q371" s="535"/>
    </row>
    <row r="372" spans="8:17">
      <c r="H372" s="424">
        <v>41323</v>
      </c>
      <c r="I372" s="825">
        <f t="shared" si="29"/>
        <v>7</v>
      </c>
      <c r="K372" s="903">
        <v>30</v>
      </c>
      <c r="L372" s="535"/>
      <c r="M372" s="535"/>
      <c r="N372" s="535"/>
      <c r="O372" s="535"/>
      <c r="P372" s="535"/>
      <c r="Q372" s="535"/>
    </row>
    <row r="373" spans="8:17">
      <c r="H373" s="424">
        <v>41323</v>
      </c>
      <c r="I373" s="825">
        <f t="shared" si="29"/>
        <v>0</v>
      </c>
      <c r="K373" s="903">
        <v>30</v>
      </c>
      <c r="L373" s="535"/>
      <c r="M373" s="535"/>
      <c r="N373" s="535"/>
      <c r="O373" s="535"/>
      <c r="P373" s="535"/>
      <c r="Q373" s="535"/>
    </row>
    <row r="374" spans="8:17">
      <c r="H374" s="424">
        <v>41332</v>
      </c>
      <c r="I374" s="825">
        <f t="shared" si="29"/>
        <v>9</v>
      </c>
      <c r="K374" s="907">
        <v>150</v>
      </c>
      <c r="L374" s="535"/>
      <c r="M374" s="535"/>
      <c r="N374" s="535"/>
      <c r="O374" s="535"/>
      <c r="P374" s="535"/>
      <c r="Q374" s="535"/>
    </row>
    <row r="375" spans="8:17">
      <c r="H375" s="424">
        <v>41341</v>
      </c>
      <c r="I375" s="825">
        <f t="shared" si="29"/>
        <v>9</v>
      </c>
      <c r="K375" s="903">
        <v>3</v>
      </c>
      <c r="L375" s="535"/>
      <c r="M375" s="535"/>
      <c r="N375" s="535"/>
      <c r="O375" s="535"/>
      <c r="P375" s="535"/>
      <c r="Q375" s="535"/>
    </row>
    <row r="376" spans="8:17">
      <c r="H376" s="424">
        <v>41342</v>
      </c>
      <c r="I376" s="825">
        <f t="shared" si="29"/>
        <v>1</v>
      </c>
      <c r="K376" s="903">
        <v>2</v>
      </c>
      <c r="L376" s="535"/>
      <c r="M376" s="535"/>
      <c r="N376" s="535"/>
      <c r="O376" s="535"/>
      <c r="P376" s="535"/>
      <c r="Q376" s="535"/>
    </row>
    <row r="377" spans="8:17">
      <c r="H377" s="424">
        <v>41344</v>
      </c>
      <c r="I377" s="825">
        <f t="shared" si="29"/>
        <v>2</v>
      </c>
      <c r="K377" s="903">
        <v>3</v>
      </c>
      <c r="L377" s="535"/>
      <c r="M377" s="535"/>
      <c r="N377" s="535"/>
      <c r="O377" s="535"/>
      <c r="P377" s="535"/>
      <c r="Q377" s="535"/>
    </row>
    <row r="378" spans="8:17">
      <c r="H378" s="424">
        <v>41344</v>
      </c>
      <c r="I378" s="825">
        <f t="shared" si="29"/>
        <v>0</v>
      </c>
      <c r="K378" s="903">
        <v>10</v>
      </c>
      <c r="L378" s="535"/>
      <c r="M378" s="535"/>
      <c r="N378" s="535"/>
      <c r="O378" s="535"/>
      <c r="P378" s="535"/>
      <c r="Q378" s="535"/>
    </row>
    <row r="379" spans="8:17">
      <c r="H379" s="424">
        <v>41349</v>
      </c>
      <c r="I379" s="825">
        <f t="shared" si="29"/>
        <v>5</v>
      </c>
      <c r="K379" s="903">
        <v>30</v>
      </c>
      <c r="L379" s="535"/>
      <c r="M379" s="535"/>
      <c r="N379" s="535"/>
      <c r="O379" s="535"/>
      <c r="P379" s="535"/>
      <c r="Q379" s="535"/>
    </row>
    <row r="380" spans="8:17">
      <c r="H380" s="424">
        <v>41349</v>
      </c>
      <c r="I380" s="825">
        <f t="shared" si="29"/>
        <v>0</v>
      </c>
      <c r="K380" s="903">
        <v>35</v>
      </c>
      <c r="L380" s="535"/>
      <c r="M380" s="535"/>
      <c r="N380" s="535"/>
      <c r="O380" s="535"/>
      <c r="P380" s="535"/>
      <c r="Q380" s="535"/>
    </row>
    <row r="381" spans="8:17">
      <c r="H381" s="424">
        <v>41355</v>
      </c>
      <c r="I381" s="825">
        <f t="shared" si="29"/>
        <v>6</v>
      </c>
      <c r="K381" s="903">
        <v>15</v>
      </c>
      <c r="L381" s="535"/>
      <c r="M381" s="535"/>
      <c r="N381" s="535"/>
      <c r="O381" s="535"/>
      <c r="P381" s="535"/>
      <c r="Q381" s="535"/>
    </row>
    <row r="382" spans="8:17">
      <c r="H382" s="424">
        <v>41367</v>
      </c>
      <c r="I382" s="825">
        <f t="shared" si="29"/>
        <v>12</v>
      </c>
      <c r="K382" s="903">
        <v>2</v>
      </c>
    </row>
    <row r="383" spans="8:17">
      <c r="H383" s="424">
        <v>41369</v>
      </c>
      <c r="I383" s="825">
        <f t="shared" si="29"/>
        <v>2</v>
      </c>
      <c r="K383" s="903">
        <v>2</v>
      </c>
    </row>
    <row r="384" spans="8:17">
      <c r="H384" s="424">
        <v>41379</v>
      </c>
      <c r="I384" s="825">
        <f t="shared" si="29"/>
        <v>10</v>
      </c>
      <c r="K384" s="903">
        <v>2</v>
      </c>
    </row>
    <row r="385" spans="8:11">
      <c r="H385" s="424">
        <v>41380</v>
      </c>
      <c r="I385" s="825">
        <f t="shared" si="29"/>
        <v>1</v>
      </c>
      <c r="K385" s="903">
        <v>11</v>
      </c>
    </row>
    <row r="386" spans="8:11">
      <c r="H386" s="424">
        <v>41384</v>
      </c>
      <c r="I386" s="825">
        <f t="shared" si="29"/>
        <v>4</v>
      </c>
      <c r="K386" s="903">
        <v>24</v>
      </c>
    </row>
    <row r="387" spans="8:11">
      <c r="H387" s="424">
        <v>41386</v>
      </c>
      <c r="I387" s="825">
        <f t="shared" si="29"/>
        <v>2</v>
      </c>
      <c r="K387" s="903">
        <v>2</v>
      </c>
    </row>
    <row r="388" spans="8:11">
      <c r="H388" s="424">
        <v>41393</v>
      </c>
      <c r="I388" s="825">
        <f t="shared" si="29"/>
        <v>7</v>
      </c>
      <c r="K388" s="903">
        <v>10</v>
      </c>
    </row>
    <row r="389" spans="8:11">
      <c r="H389" s="871">
        <v>41398</v>
      </c>
      <c r="I389" s="825">
        <f t="shared" si="29"/>
        <v>5</v>
      </c>
      <c r="K389" s="903">
        <v>80</v>
      </c>
    </row>
    <row r="390" spans="8:11">
      <c r="H390" s="871">
        <v>41401</v>
      </c>
      <c r="I390" s="825">
        <f t="shared" si="29"/>
        <v>3</v>
      </c>
      <c r="K390" s="903">
        <v>15</v>
      </c>
    </row>
    <row r="391" spans="8:11">
      <c r="H391" s="871">
        <v>41410</v>
      </c>
      <c r="I391" s="825">
        <f t="shared" si="29"/>
        <v>9</v>
      </c>
      <c r="K391" s="903">
        <v>3</v>
      </c>
    </row>
    <row r="392" spans="8:11">
      <c r="H392" s="871">
        <v>41417</v>
      </c>
      <c r="I392" s="825">
        <f t="shared" ref="I392:I423" si="30">+H392-H391</f>
        <v>7</v>
      </c>
      <c r="K392" s="903">
        <v>2</v>
      </c>
    </row>
    <row r="393" spans="8:11">
      <c r="H393" s="871">
        <v>41420</v>
      </c>
      <c r="I393" s="825">
        <f t="shared" si="30"/>
        <v>3</v>
      </c>
      <c r="K393" s="903">
        <v>5</v>
      </c>
    </row>
    <row r="394" spans="8:11">
      <c r="H394" s="871">
        <v>41423</v>
      </c>
      <c r="I394" s="825">
        <f t="shared" si="30"/>
        <v>3</v>
      </c>
      <c r="K394" s="903">
        <v>28</v>
      </c>
    </row>
    <row r="395" spans="8:11">
      <c r="H395" s="902">
        <v>41445</v>
      </c>
      <c r="I395" s="825">
        <f t="shared" si="30"/>
        <v>22</v>
      </c>
      <c r="K395" s="903">
        <v>10</v>
      </c>
    </row>
    <row r="396" spans="8:11">
      <c r="H396" s="902">
        <v>41446</v>
      </c>
      <c r="I396" s="825">
        <f t="shared" si="30"/>
        <v>1</v>
      </c>
      <c r="K396" s="903">
        <v>5</v>
      </c>
    </row>
    <row r="397" spans="8:11">
      <c r="H397" s="902">
        <v>41446</v>
      </c>
      <c r="I397" s="825">
        <f t="shared" si="30"/>
        <v>0</v>
      </c>
      <c r="K397" s="903">
        <v>3</v>
      </c>
    </row>
    <row r="398" spans="8:11">
      <c r="H398" s="902">
        <v>41449</v>
      </c>
      <c r="I398" s="825">
        <f t="shared" si="30"/>
        <v>3</v>
      </c>
      <c r="K398" s="903">
        <v>3</v>
      </c>
    </row>
    <row r="399" spans="8:11">
      <c r="H399" s="902">
        <v>41453</v>
      </c>
      <c r="I399" s="825">
        <f t="shared" si="30"/>
        <v>4</v>
      </c>
      <c r="K399" s="903">
        <v>15</v>
      </c>
    </row>
    <row r="400" spans="8:11">
      <c r="H400" s="902">
        <v>41453</v>
      </c>
      <c r="I400" s="825">
        <f t="shared" si="30"/>
        <v>0</v>
      </c>
      <c r="K400" s="903">
        <v>5</v>
      </c>
    </row>
    <row r="401" spans="8:11">
      <c r="H401" s="902">
        <v>41457.5</v>
      </c>
      <c r="I401" s="825">
        <f t="shared" si="30"/>
        <v>4.5</v>
      </c>
      <c r="K401" s="908">
        <v>5</v>
      </c>
    </row>
    <row r="402" spans="8:11">
      <c r="H402" s="902">
        <v>41463.565972222219</v>
      </c>
      <c r="I402" s="825">
        <f t="shared" si="30"/>
        <v>6.0659722222189885</v>
      </c>
      <c r="K402" s="908">
        <v>30</v>
      </c>
    </row>
    <row r="403" spans="8:11">
      <c r="H403" s="902">
        <v>41464.5</v>
      </c>
      <c r="I403" s="825">
        <f t="shared" si="30"/>
        <v>0.93402777778101154</v>
      </c>
      <c r="K403" s="908">
        <v>1</v>
      </c>
    </row>
    <row r="404" spans="8:11">
      <c r="H404" s="902">
        <v>41465.458333333336</v>
      </c>
      <c r="I404" s="825">
        <f t="shared" si="30"/>
        <v>0.95833333333575865</v>
      </c>
      <c r="K404" s="908">
        <v>3</v>
      </c>
    </row>
    <row r="405" spans="8:11">
      <c r="H405" s="902">
        <v>41465.875</v>
      </c>
      <c r="I405" s="825">
        <f t="shared" si="30"/>
        <v>0.41666666666424135</v>
      </c>
      <c r="K405" s="908">
        <v>3</v>
      </c>
    </row>
    <row r="406" spans="8:11">
      <c r="H406" s="902">
        <v>41466.597222222219</v>
      </c>
      <c r="I406" s="825">
        <f t="shared" si="30"/>
        <v>0.72222222221898846</v>
      </c>
      <c r="K406" s="909">
        <v>35</v>
      </c>
    </row>
    <row r="407" spans="8:11">
      <c r="H407" s="902">
        <v>41470.5625</v>
      </c>
      <c r="I407" s="825">
        <f t="shared" si="30"/>
        <v>3.9652777777810115</v>
      </c>
      <c r="K407" s="908">
        <v>15</v>
      </c>
    </row>
    <row r="408" spans="8:11">
      <c r="H408" s="902">
        <v>41470.666666666664</v>
      </c>
      <c r="I408" s="825">
        <f t="shared" si="30"/>
        <v>0.10416666666424135</v>
      </c>
      <c r="K408" s="909">
        <v>20</v>
      </c>
    </row>
    <row r="409" spans="8:11">
      <c r="H409" s="902">
        <v>41473</v>
      </c>
      <c r="I409" s="825">
        <f t="shared" si="30"/>
        <v>2.3333333333357587</v>
      </c>
      <c r="K409" s="908">
        <v>2</v>
      </c>
    </row>
    <row r="410" spans="8:11">
      <c r="H410" s="902">
        <v>41473</v>
      </c>
      <c r="I410" s="825">
        <f t="shared" si="30"/>
        <v>0</v>
      </c>
      <c r="K410" s="908">
        <v>2</v>
      </c>
    </row>
    <row r="411" spans="8:11">
      <c r="H411" s="902">
        <v>41482.479166666664</v>
      </c>
      <c r="I411" s="825">
        <f t="shared" si="30"/>
        <v>9.4791666666642413</v>
      </c>
      <c r="K411" s="908">
        <v>3</v>
      </c>
    </row>
    <row r="412" spans="8:11">
      <c r="H412" s="902">
        <v>41488</v>
      </c>
      <c r="I412" s="825">
        <f t="shared" si="30"/>
        <v>5.5208333333357587</v>
      </c>
      <c r="K412" s="908">
        <v>2</v>
      </c>
    </row>
    <row r="413" spans="8:11">
      <c r="H413" s="902">
        <v>41501</v>
      </c>
      <c r="I413" s="825">
        <f t="shared" si="30"/>
        <v>13</v>
      </c>
      <c r="K413" s="908">
        <v>2</v>
      </c>
    </row>
    <row r="414" spans="8:11">
      <c r="H414" s="902">
        <v>41515.479166666664</v>
      </c>
      <c r="I414" s="825">
        <f t="shared" si="30"/>
        <v>14.479166666664241</v>
      </c>
      <c r="K414" s="908">
        <v>3</v>
      </c>
    </row>
    <row r="415" spans="8:11">
      <c r="H415" s="871">
        <v>41524</v>
      </c>
      <c r="I415" s="825">
        <f t="shared" si="30"/>
        <v>8.5208333333357587</v>
      </c>
    </row>
    <row r="416" spans="8:11">
      <c r="H416" s="871">
        <v>41526</v>
      </c>
      <c r="I416" s="825">
        <f t="shared" si="30"/>
        <v>2</v>
      </c>
    </row>
    <row r="417" spans="8:9">
      <c r="H417" s="871">
        <v>41528</v>
      </c>
      <c r="I417" s="825">
        <f t="shared" si="30"/>
        <v>2</v>
      </c>
    </row>
    <row r="418" spans="8:9">
      <c r="H418" s="871">
        <v>41537</v>
      </c>
      <c r="I418" s="825">
        <f t="shared" si="30"/>
        <v>9</v>
      </c>
    </row>
    <row r="419" spans="8:9">
      <c r="H419" s="871">
        <v>41539</v>
      </c>
      <c r="I419" s="825">
        <f t="shared" si="30"/>
        <v>2</v>
      </c>
    </row>
    <row r="420" spans="8:9">
      <c r="H420" s="871">
        <v>41540</v>
      </c>
      <c r="I420" s="825">
        <f t="shared" si="30"/>
        <v>1</v>
      </c>
    </row>
    <row r="421" spans="8:9">
      <c r="H421" s="871">
        <v>41547</v>
      </c>
      <c r="I421" s="825">
        <f t="shared" si="30"/>
        <v>7</v>
      </c>
    </row>
    <row r="422" spans="8:9">
      <c r="H422" s="871">
        <v>41555</v>
      </c>
      <c r="I422" s="825">
        <f t="shared" si="30"/>
        <v>8</v>
      </c>
    </row>
    <row r="423" spans="8:9">
      <c r="H423" s="871">
        <v>41562</v>
      </c>
      <c r="I423" s="825">
        <f t="shared" si="30"/>
        <v>7</v>
      </c>
    </row>
    <row r="424" spans="8:9">
      <c r="H424" s="871">
        <v>41567</v>
      </c>
      <c r="I424" s="825">
        <f t="shared" ref="I424:I455" si="31">+H424-H423</f>
        <v>5</v>
      </c>
    </row>
    <row r="425" spans="8:9">
      <c r="H425" s="871">
        <v>41579</v>
      </c>
      <c r="I425" s="825">
        <f t="shared" si="31"/>
        <v>12</v>
      </c>
    </row>
    <row r="426" spans="8:9">
      <c r="H426" s="871">
        <v>41586</v>
      </c>
      <c r="I426" s="825">
        <f t="shared" si="31"/>
        <v>7</v>
      </c>
    </row>
    <row r="427" spans="8:9">
      <c r="H427" s="871">
        <v>41598</v>
      </c>
      <c r="I427" s="825">
        <f t="shared" si="31"/>
        <v>12</v>
      </c>
    </row>
    <row r="428" spans="8:9">
      <c r="H428" s="871">
        <v>41603</v>
      </c>
      <c r="I428" s="825">
        <f t="shared" si="31"/>
        <v>5</v>
      </c>
    </row>
    <row r="429" spans="8:9">
      <c r="H429" s="871">
        <v>41604</v>
      </c>
      <c r="I429" s="825">
        <f t="shared" si="31"/>
        <v>1</v>
      </c>
    </row>
    <row r="430" spans="8:9">
      <c r="H430" s="939">
        <v>41605</v>
      </c>
      <c r="I430" s="825">
        <f t="shared" si="31"/>
        <v>1</v>
      </c>
    </row>
    <row r="431" spans="8:9" ht="14.4">
      <c r="H431" s="940">
        <v>41606</v>
      </c>
      <c r="I431" s="825">
        <f t="shared" si="31"/>
        <v>1</v>
      </c>
    </row>
    <row r="432" spans="8:9">
      <c r="H432" s="871">
        <v>41608</v>
      </c>
      <c r="I432" s="825">
        <f t="shared" si="31"/>
        <v>2</v>
      </c>
    </row>
    <row r="433" spans="8:9">
      <c r="H433" s="871">
        <v>41617</v>
      </c>
      <c r="I433" s="825">
        <f t="shared" si="31"/>
        <v>9</v>
      </c>
    </row>
    <row r="434" spans="8:9">
      <c r="H434" s="871">
        <v>41622</v>
      </c>
      <c r="I434" s="825">
        <f t="shared" si="31"/>
        <v>5</v>
      </c>
    </row>
    <row r="435" spans="8:9">
      <c r="H435" s="1259">
        <v>41634</v>
      </c>
      <c r="I435" s="825">
        <f t="shared" si="31"/>
        <v>12</v>
      </c>
    </row>
    <row r="436" spans="8:9">
      <c r="H436" s="871">
        <v>41643</v>
      </c>
      <c r="I436" s="825">
        <f t="shared" si="31"/>
        <v>9</v>
      </c>
    </row>
    <row r="437" spans="8:9">
      <c r="H437" s="871">
        <v>41645</v>
      </c>
      <c r="I437" s="825">
        <f t="shared" si="31"/>
        <v>2</v>
      </c>
    </row>
    <row r="438" spans="8:9">
      <c r="H438" s="871">
        <v>41647</v>
      </c>
      <c r="I438" s="825">
        <f t="shared" si="31"/>
        <v>2</v>
      </c>
    </row>
    <row r="439" spans="8:9">
      <c r="H439" s="871">
        <v>41660</v>
      </c>
      <c r="I439" s="825">
        <f t="shared" si="31"/>
        <v>13</v>
      </c>
    </row>
    <row r="440" spans="8:9">
      <c r="H440" s="871">
        <v>41660</v>
      </c>
      <c r="I440" s="825">
        <f t="shared" si="31"/>
        <v>0</v>
      </c>
    </row>
    <row r="441" spans="8:9">
      <c r="H441" s="871">
        <v>41661</v>
      </c>
      <c r="I441" s="825">
        <f t="shared" si="31"/>
        <v>1</v>
      </c>
    </row>
    <row r="442" spans="8:9">
      <c r="H442" s="871">
        <v>41688</v>
      </c>
      <c r="I442" s="825">
        <f t="shared" si="31"/>
        <v>27</v>
      </c>
    </row>
    <row r="443" spans="8:9">
      <c r="H443" s="871">
        <v>41688</v>
      </c>
      <c r="I443" s="825">
        <f t="shared" si="31"/>
        <v>0</v>
      </c>
    </row>
    <row r="444" spans="8:9">
      <c r="H444" s="871">
        <v>41689</v>
      </c>
      <c r="I444" s="825">
        <f t="shared" si="31"/>
        <v>1</v>
      </c>
    </row>
    <row r="445" spans="8:9">
      <c r="H445" s="871">
        <v>41694</v>
      </c>
      <c r="I445" s="825">
        <f t="shared" si="31"/>
        <v>5</v>
      </c>
    </row>
    <row r="446" spans="8:9">
      <c r="H446" s="871">
        <v>41694</v>
      </c>
      <c r="I446" s="825">
        <f t="shared" si="31"/>
        <v>0</v>
      </c>
    </row>
    <row r="447" spans="8:9">
      <c r="H447" s="400">
        <v>41708</v>
      </c>
      <c r="I447" s="825">
        <f t="shared" si="31"/>
        <v>14</v>
      </c>
    </row>
    <row r="448" spans="8:9">
      <c r="H448" s="400">
        <v>41717</v>
      </c>
      <c r="I448" s="825">
        <f t="shared" si="31"/>
        <v>9</v>
      </c>
    </row>
    <row r="449" spans="8:9">
      <c r="H449" s="400">
        <v>41720</v>
      </c>
      <c r="I449" s="825">
        <f t="shared" si="31"/>
        <v>3</v>
      </c>
    </row>
    <row r="450" spans="8:9">
      <c r="H450" s="400">
        <v>41721</v>
      </c>
      <c r="I450" s="825">
        <f t="shared" si="31"/>
        <v>1</v>
      </c>
    </row>
    <row r="451" spans="8:9">
      <c r="H451" s="400">
        <v>41726</v>
      </c>
      <c r="I451" s="825">
        <f t="shared" si="31"/>
        <v>5</v>
      </c>
    </row>
    <row r="452" spans="8:9">
      <c r="H452" s="400">
        <v>41732</v>
      </c>
      <c r="I452" s="825">
        <f t="shared" si="31"/>
        <v>6</v>
      </c>
    </row>
    <row r="453" spans="8:9">
      <c r="H453" s="400">
        <v>41743</v>
      </c>
      <c r="I453" s="825">
        <f t="shared" si="31"/>
        <v>11</v>
      </c>
    </row>
    <row r="454" spans="8:9">
      <c r="H454" s="400">
        <v>41753</v>
      </c>
      <c r="I454" s="825">
        <f t="shared" si="31"/>
        <v>10</v>
      </c>
    </row>
    <row r="455" spans="8:9">
      <c r="H455" s="400">
        <v>41756</v>
      </c>
      <c r="I455" s="825">
        <f t="shared" si="31"/>
        <v>3</v>
      </c>
    </row>
    <row r="456" spans="8:9">
      <c r="H456" s="400">
        <v>41759</v>
      </c>
      <c r="I456" s="825">
        <f t="shared" ref="I456:I487" si="32">+H456-H455</f>
        <v>3</v>
      </c>
    </row>
    <row r="457" spans="8:9">
      <c r="H457" s="400">
        <v>41765</v>
      </c>
      <c r="I457" s="825">
        <f t="shared" si="32"/>
        <v>6</v>
      </c>
    </row>
    <row r="458" spans="8:9">
      <c r="H458" s="400">
        <v>41766</v>
      </c>
      <c r="I458" s="825">
        <f t="shared" si="32"/>
        <v>1</v>
      </c>
    </row>
    <row r="459" spans="8:9">
      <c r="H459" s="400">
        <v>41787</v>
      </c>
      <c r="I459" s="825">
        <f t="shared" si="32"/>
        <v>21</v>
      </c>
    </row>
    <row r="460" spans="8:9">
      <c r="H460" s="400">
        <v>41788</v>
      </c>
      <c r="I460" s="825">
        <f t="shared" si="32"/>
        <v>1</v>
      </c>
    </row>
    <row r="461" spans="8:9">
      <c r="H461" s="400">
        <v>41800</v>
      </c>
      <c r="I461" s="825">
        <f t="shared" si="32"/>
        <v>12</v>
      </c>
    </row>
    <row r="462" spans="8:9">
      <c r="H462" s="400">
        <v>41807</v>
      </c>
      <c r="I462" s="825">
        <f t="shared" si="32"/>
        <v>7</v>
      </c>
    </row>
    <row r="463" spans="8:9">
      <c r="H463" s="400">
        <v>41824</v>
      </c>
      <c r="I463" s="825">
        <f t="shared" si="32"/>
        <v>17</v>
      </c>
    </row>
    <row r="464" spans="8:9">
      <c r="H464" s="400">
        <v>41832</v>
      </c>
      <c r="I464" s="825">
        <f t="shared" si="32"/>
        <v>8</v>
      </c>
    </row>
    <row r="465" spans="8:9">
      <c r="H465" s="400">
        <v>41838</v>
      </c>
      <c r="I465" s="825">
        <f t="shared" si="32"/>
        <v>6</v>
      </c>
    </row>
    <row r="466" spans="8:9">
      <c r="H466" s="400">
        <v>41844</v>
      </c>
      <c r="I466" s="825">
        <f t="shared" si="32"/>
        <v>6</v>
      </c>
    </row>
    <row r="467" spans="8:9">
      <c r="H467" s="400">
        <v>41845</v>
      </c>
      <c r="I467" s="825">
        <f t="shared" si="32"/>
        <v>1</v>
      </c>
    </row>
    <row r="468" spans="8:9" ht="13.8">
      <c r="H468" s="1052">
        <v>41853</v>
      </c>
      <c r="I468" s="825">
        <f t="shared" si="32"/>
        <v>8</v>
      </c>
    </row>
    <row r="469" spans="8:9" ht="13.8">
      <c r="H469" s="1052">
        <v>41855</v>
      </c>
      <c r="I469" s="825">
        <f t="shared" si="32"/>
        <v>2</v>
      </c>
    </row>
    <row r="470" spans="8:9" ht="13.8">
      <c r="H470" s="1052">
        <v>41856</v>
      </c>
      <c r="I470" s="825">
        <f t="shared" si="32"/>
        <v>1</v>
      </c>
    </row>
    <row r="471" spans="8:9" ht="13.8">
      <c r="H471" s="1052">
        <v>41857</v>
      </c>
      <c r="I471" s="825">
        <f t="shared" si="32"/>
        <v>1</v>
      </c>
    </row>
    <row r="472" spans="8:9" ht="13.8">
      <c r="H472" s="1052">
        <v>41858</v>
      </c>
      <c r="I472" s="825">
        <f t="shared" si="32"/>
        <v>1</v>
      </c>
    </row>
    <row r="473" spans="8:9" ht="13.8">
      <c r="H473" s="1052">
        <v>41861</v>
      </c>
      <c r="I473" s="825">
        <f t="shared" si="32"/>
        <v>3</v>
      </c>
    </row>
    <row r="474" spans="8:9" ht="13.8">
      <c r="H474" s="1052">
        <v>41865</v>
      </c>
      <c r="I474" s="825">
        <f t="shared" si="32"/>
        <v>4</v>
      </c>
    </row>
    <row r="475" spans="8:9" ht="13.8">
      <c r="H475" s="1052">
        <v>41872</v>
      </c>
      <c r="I475" s="825">
        <f t="shared" si="32"/>
        <v>7</v>
      </c>
    </row>
    <row r="476" spans="8:9" ht="13.8">
      <c r="H476" s="1052">
        <v>41877</v>
      </c>
      <c r="I476" s="825">
        <f t="shared" si="32"/>
        <v>5</v>
      </c>
    </row>
    <row r="477" spans="8:9" ht="13.8">
      <c r="H477" s="1069">
        <v>41892</v>
      </c>
      <c r="I477" s="825">
        <f t="shared" si="32"/>
        <v>15</v>
      </c>
    </row>
    <row r="478" spans="8:9" ht="13.8">
      <c r="H478" s="1069">
        <v>41893</v>
      </c>
      <c r="I478" s="825">
        <f t="shared" si="32"/>
        <v>1</v>
      </c>
    </row>
    <row r="479" spans="8:9" ht="13.8">
      <c r="H479" s="1069">
        <v>41894</v>
      </c>
      <c r="I479" s="825">
        <f t="shared" si="32"/>
        <v>1</v>
      </c>
    </row>
    <row r="480" spans="8:9" ht="13.8">
      <c r="H480" s="1069">
        <v>41899</v>
      </c>
      <c r="I480" s="825">
        <f t="shared" si="32"/>
        <v>5</v>
      </c>
    </row>
    <row r="481" spans="8:9" ht="13.8">
      <c r="H481" s="1069">
        <v>41905</v>
      </c>
      <c r="I481" s="825">
        <f t="shared" si="32"/>
        <v>6</v>
      </c>
    </row>
    <row r="482" spans="8:9" ht="13.8">
      <c r="H482" s="1069">
        <v>41905</v>
      </c>
      <c r="I482" s="825">
        <f t="shared" si="32"/>
        <v>0</v>
      </c>
    </row>
    <row r="483" spans="8:9" ht="13.8">
      <c r="H483" s="1069">
        <v>41906</v>
      </c>
      <c r="I483" s="825">
        <f t="shared" si="32"/>
        <v>1</v>
      </c>
    </row>
    <row r="484" spans="8:9" ht="13.8">
      <c r="H484" s="1070">
        <v>41914</v>
      </c>
      <c r="I484" s="825">
        <f t="shared" si="32"/>
        <v>8</v>
      </c>
    </row>
    <row r="485" spans="8:9" ht="13.8">
      <c r="H485" s="1070">
        <v>41918</v>
      </c>
      <c r="I485" s="825">
        <f t="shared" si="32"/>
        <v>4</v>
      </c>
    </row>
    <row r="486" spans="8:9" ht="13.8">
      <c r="H486" s="1070">
        <v>41924</v>
      </c>
      <c r="I486" s="825">
        <f t="shared" si="32"/>
        <v>6</v>
      </c>
    </row>
    <row r="487" spans="8:9" ht="13.8">
      <c r="H487" s="1070">
        <v>41925</v>
      </c>
      <c r="I487" s="825">
        <f t="shared" si="32"/>
        <v>1</v>
      </c>
    </row>
    <row r="488" spans="8:9" ht="13.8">
      <c r="H488" s="1070">
        <v>41926</v>
      </c>
      <c r="I488" s="825">
        <f t="shared" ref="I488:I501" si="33">+H488-H487</f>
        <v>1</v>
      </c>
    </row>
    <row r="489" spans="8:9" ht="13.8">
      <c r="H489" s="1070">
        <v>41927</v>
      </c>
      <c r="I489" s="825">
        <f t="shared" si="33"/>
        <v>1</v>
      </c>
    </row>
    <row r="490" spans="8:9" ht="13.8">
      <c r="H490" s="1070">
        <v>41943</v>
      </c>
      <c r="I490" s="825">
        <f t="shared" si="33"/>
        <v>16</v>
      </c>
    </row>
    <row r="491" spans="8:9" ht="13.8">
      <c r="H491" s="1052">
        <v>41946</v>
      </c>
      <c r="I491" s="825">
        <f t="shared" si="33"/>
        <v>3</v>
      </c>
    </row>
    <row r="492" spans="8:9" ht="13.8">
      <c r="H492" s="1052">
        <v>41950</v>
      </c>
      <c r="I492" s="825">
        <f t="shared" si="33"/>
        <v>4</v>
      </c>
    </row>
    <row r="493" spans="8:9" ht="13.8">
      <c r="H493" s="1052">
        <v>41950</v>
      </c>
      <c r="I493" s="825">
        <f t="shared" si="33"/>
        <v>0</v>
      </c>
    </row>
    <row r="494" spans="8:9" ht="13.8">
      <c r="H494" s="1052">
        <v>41954</v>
      </c>
      <c r="I494" s="825">
        <f t="shared" si="33"/>
        <v>4</v>
      </c>
    </row>
    <row r="495" spans="8:9" ht="13.8">
      <c r="H495" s="1052">
        <v>41954</v>
      </c>
      <c r="I495" s="825">
        <f t="shared" si="33"/>
        <v>0</v>
      </c>
    </row>
    <row r="496" spans="8:9" ht="13.8">
      <c r="H496" s="1052">
        <v>41954</v>
      </c>
      <c r="I496" s="825">
        <f t="shared" si="33"/>
        <v>0</v>
      </c>
    </row>
    <row r="497" spans="8:10" ht="13.8">
      <c r="H497" s="1052">
        <v>41954</v>
      </c>
      <c r="I497" s="825">
        <f t="shared" si="33"/>
        <v>0</v>
      </c>
    </row>
    <row r="498" spans="8:10" ht="13.8">
      <c r="H498" s="1052">
        <v>41961</v>
      </c>
      <c r="I498" s="825">
        <f t="shared" si="33"/>
        <v>7</v>
      </c>
    </row>
    <row r="499" spans="8:10" ht="13.8">
      <c r="H499" s="1052">
        <v>41969</v>
      </c>
      <c r="I499" s="825">
        <f t="shared" si="33"/>
        <v>8</v>
      </c>
    </row>
    <row r="500" spans="8:10" ht="13.8">
      <c r="H500" s="1052">
        <v>41992</v>
      </c>
      <c r="I500" s="825">
        <f t="shared" si="33"/>
        <v>23</v>
      </c>
    </row>
    <row r="501" spans="8:10" ht="13.8">
      <c r="H501" s="1052">
        <v>42004</v>
      </c>
      <c r="I501" s="825">
        <f t="shared" si="33"/>
        <v>12</v>
      </c>
    </row>
    <row r="502" spans="8:10" ht="13.8">
      <c r="H502" s="1052">
        <v>42018</v>
      </c>
      <c r="I502" s="825">
        <f t="shared" ref="I502:I565" si="34">+H502-H501</f>
        <v>14</v>
      </c>
    </row>
    <row r="503" spans="8:10" ht="13.8">
      <c r="H503" s="1052">
        <v>42021</v>
      </c>
      <c r="I503" s="825">
        <f t="shared" si="34"/>
        <v>3</v>
      </c>
      <c r="J503" s="825"/>
    </row>
    <row r="504" spans="8:10" ht="13.8">
      <c r="H504" s="1052">
        <v>42021</v>
      </c>
      <c r="I504" s="825">
        <f t="shared" si="34"/>
        <v>0</v>
      </c>
      <c r="J504" s="825"/>
    </row>
    <row r="505" spans="8:10" ht="13.8">
      <c r="H505" s="1052">
        <v>42031</v>
      </c>
      <c r="I505" s="825">
        <f t="shared" si="34"/>
        <v>10</v>
      </c>
      <c r="J505" s="825"/>
    </row>
    <row r="506" spans="8:10" ht="13.8">
      <c r="H506" s="1052">
        <v>42032</v>
      </c>
      <c r="I506" s="825">
        <f t="shared" si="34"/>
        <v>1</v>
      </c>
      <c r="J506" s="825"/>
    </row>
    <row r="507" spans="8:10" ht="13.8">
      <c r="H507" s="1052">
        <v>42033</v>
      </c>
      <c r="I507" s="825">
        <f t="shared" si="34"/>
        <v>1</v>
      </c>
      <c r="J507" s="825"/>
    </row>
    <row r="508" spans="8:10" ht="13.8">
      <c r="H508" s="1052">
        <v>42034</v>
      </c>
      <c r="I508" s="825">
        <f t="shared" si="34"/>
        <v>1</v>
      </c>
      <c r="J508" s="825"/>
    </row>
    <row r="509" spans="8:10" ht="13.8">
      <c r="H509" s="1052">
        <v>42038</v>
      </c>
      <c r="I509" s="825">
        <f t="shared" si="34"/>
        <v>4</v>
      </c>
      <c r="J509" s="825"/>
    </row>
    <row r="510" spans="8:10" ht="13.8">
      <c r="H510" s="1052">
        <v>42060</v>
      </c>
      <c r="I510" s="825">
        <f t="shared" si="34"/>
        <v>22</v>
      </c>
      <c r="J510" s="825"/>
    </row>
    <row r="511" spans="8:10" ht="13.8">
      <c r="H511" s="1070">
        <v>42072</v>
      </c>
      <c r="I511" s="825">
        <f t="shared" si="34"/>
        <v>12</v>
      </c>
      <c r="J511" s="825"/>
    </row>
    <row r="512" spans="8:10" ht="13.8">
      <c r="H512" s="1070">
        <v>42073</v>
      </c>
      <c r="I512" s="825">
        <f t="shared" si="34"/>
        <v>1</v>
      </c>
      <c r="J512" s="825"/>
    </row>
    <row r="513" spans="8:10" ht="13.8">
      <c r="H513" s="1070">
        <v>42080</v>
      </c>
      <c r="I513" s="825">
        <f t="shared" si="34"/>
        <v>7</v>
      </c>
      <c r="J513" s="825"/>
    </row>
    <row r="514" spans="8:10" ht="13.8">
      <c r="H514" s="1070">
        <v>42088</v>
      </c>
      <c r="I514" s="825">
        <f t="shared" si="34"/>
        <v>8</v>
      </c>
      <c r="J514" s="825"/>
    </row>
    <row r="515" spans="8:10" ht="13.8">
      <c r="H515" s="1070">
        <v>42111</v>
      </c>
      <c r="I515" s="825">
        <f t="shared" si="34"/>
        <v>23</v>
      </c>
      <c r="J515" s="825"/>
    </row>
    <row r="516" spans="8:10" ht="13.8">
      <c r="H516" s="1070">
        <v>42112</v>
      </c>
      <c r="I516" s="825">
        <f t="shared" si="34"/>
        <v>1</v>
      </c>
      <c r="J516" s="825"/>
    </row>
    <row r="517" spans="8:10" ht="13.8">
      <c r="H517" s="1070">
        <v>42116</v>
      </c>
      <c r="I517" s="825">
        <f t="shared" si="34"/>
        <v>4</v>
      </c>
      <c r="J517" s="825"/>
    </row>
    <row r="518" spans="8:10" ht="13.8">
      <c r="H518" s="1070">
        <v>42117</v>
      </c>
      <c r="I518" s="825">
        <f t="shared" si="34"/>
        <v>1</v>
      </c>
      <c r="J518" s="825"/>
    </row>
    <row r="519" spans="8:10" ht="13.8">
      <c r="H519" s="1070">
        <v>42122</v>
      </c>
      <c r="I519" s="825">
        <f t="shared" si="34"/>
        <v>5</v>
      </c>
      <c r="J519" s="825"/>
    </row>
    <row r="520" spans="8:10" ht="13.8">
      <c r="H520" s="1070">
        <v>42153</v>
      </c>
      <c r="I520" s="825">
        <f t="shared" si="34"/>
        <v>31</v>
      </c>
      <c r="J520" s="825"/>
    </row>
    <row r="521" spans="8:10" ht="13.8">
      <c r="H521" s="1070">
        <v>42159</v>
      </c>
      <c r="I521" s="825">
        <f t="shared" si="34"/>
        <v>6</v>
      </c>
      <c r="J521" s="825"/>
    </row>
    <row r="522" spans="8:10" ht="13.8">
      <c r="H522" s="1070">
        <v>42160</v>
      </c>
      <c r="I522" s="825">
        <f t="shared" si="34"/>
        <v>1</v>
      </c>
      <c r="J522" s="825"/>
    </row>
    <row r="523" spans="8:10" ht="13.8">
      <c r="H523" s="1070">
        <v>42163</v>
      </c>
      <c r="I523" s="825">
        <f t="shared" si="34"/>
        <v>3</v>
      </c>
      <c r="J523" s="825"/>
    </row>
    <row r="524" spans="8:10" ht="13.8">
      <c r="H524" s="1070">
        <v>42163</v>
      </c>
      <c r="I524" s="825">
        <f t="shared" si="34"/>
        <v>0</v>
      </c>
      <c r="J524" s="825"/>
    </row>
    <row r="525" spans="8:10" ht="13.8">
      <c r="H525" s="1070">
        <v>42164</v>
      </c>
      <c r="I525" s="825">
        <f t="shared" si="34"/>
        <v>1</v>
      </c>
      <c r="J525" s="825"/>
    </row>
    <row r="526" spans="8:10" ht="13.8">
      <c r="H526" s="1070">
        <v>42165</v>
      </c>
      <c r="I526" s="825">
        <f t="shared" si="34"/>
        <v>1</v>
      </c>
      <c r="J526" s="825"/>
    </row>
    <row r="527" spans="8:10" ht="13.8">
      <c r="H527" s="1070">
        <v>42194</v>
      </c>
      <c r="I527" s="825">
        <f t="shared" si="34"/>
        <v>29</v>
      </c>
      <c r="J527" s="825"/>
    </row>
    <row r="528" spans="8:10">
      <c r="H528" s="400">
        <v>42221</v>
      </c>
      <c r="I528" s="825">
        <f t="shared" si="34"/>
        <v>27</v>
      </c>
      <c r="J528" s="825"/>
    </row>
    <row r="529" spans="8:10">
      <c r="H529" s="400">
        <v>42230</v>
      </c>
      <c r="I529" s="825">
        <f t="shared" si="34"/>
        <v>9</v>
      </c>
      <c r="J529" s="825"/>
    </row>
    <row r="530" spans="8:10">
      <c r="H530" s="400">
        <v>42236</v>
      </c>
      <c r="I530" s="825">
        <f t="shared" si="34"/>
        <v>6</v>
      </c>
      <c r="J530" s="825"/>
    </row>
    <row r="531" spans="8:10">
      <c r="H531" s="400">
        <v>42240</v>
      </c>
      <c r="I531" s="825">
        <f t="shared" si="34"/>
        <v>4</v>
      </c>
      <c r="J531" s="825"/>
    </row>
    <row r="532" spans="8:10">
      <c r="H532" s="400">
        <v>42243</v>
      </c>
      <c r="I532" s="825">
        <f t="shared" si="34"/>
        <v>3</v>
      </c>
      <c r="J532" s="825"/>
    </row>
    <row r="533" spans="8:10">
      <c r="H533" s="400">
        <v>42269</v>
      </c>
      <c r="I533" s="825">
        <f t="shared" si="34"/>
        <v>26</v>
      </c>
      <c r="J533" s="825"/>
    </row>
    <row r="534" spans="8:10">
      <c r="H534" s="400">
        <v>42276</v>
      </c>
      <c r="I534" s="825">
        <f t="shared" si="34"/>
        <v>7</v>
      </c>
      <c r="J534" s="825"/>
    </row>
    <row r="535" spans="8:10">
      <c r="H535" s="400">
        <v>42294</v>
      </c>
      <c r="I535" s="825">
        <f t="shared" si="34"/>
        <v>18</v>
      </c>
      <c r="J535" s="825"/>
    </row>
    <row r="536" spans="8:10">
      <c r="H536" s="400">
        <v>42301</v>
      </c>
      <c r="I536" s="825">
        <f t="shared" si="34"/>
        <v>7</v>
      </c>
      <c r="J536" s="825"/>
    </row>
    <row r="537" spans="8:10">
      <c r="H537" s="400">
        <v>42310</v>
      </c>
      <c r="I537" s="825">
        <f t="shared" si="34"/>
        <v>9</v>
      </c>
      <c r="J537" s="825"/>
    </row>
    <row r="538" spans="8:10">
      <c r="H538" s="400">
        <v>42317</v>
      </c>
      <c r="I538" s="825">
        <f t="shared" si="34"/>
        <v>7</v>
      </c>
      <c r="J538" s="825"/>
    </row>
    <row r="539" spans="8:10">
      <c r="H539" s="400">
        <v>42321</v>
      </c>
      <c r="I539" s="825">
        <f t="shared" si="34"/>
        <v>4</v>
      </c>
      <c r="J539" s="825"/>
    </row>
    <row r="540" spans="8:10">
      <c r="H540" s="400">
        <v>42341</v>
      </c>
      <c r="I540" s="825">
        <f t="shared" si="34"/>
        <v>20</v>
      </c>
      <c r="J540" s="825"/>
    </row>
    <row r="541" spans="8:10">
      <c r="H541" s="400">
        <v>42353</v>
      </c>
      <c r="I541" s="825">
        <f t="shared" si="34"/>
        <v>12</v>
      </c>
      <c r="J541" s="825"/>
    </row>
    <row r="542" spans="8:10">
      <c r="H542" s="400">
        <v>42356</v>
      </c>
      <c r="I542" s="825">
        <f t="shared" si="34"/>
        <v>3</v>
      </c>
      <c r="J542" s="825"/>
    </row>
    <row r="543" spans="8:10">
      <c r="H543" s="400">
        <v>42359</v>
      </c>
      <c r="I543" s="825">
        <f t="shared" si="34"/>
        <v>3</v>
      </c>
      <c r="J543" s="825"/>
    </row>
    <row r="544" spans="8:10">
      <c r="H544" s="400">
        <v>42360</v>
      </c>
      <c r="I544" s="825">
        <f t="shared" si="34"/>
        <v>1</v>
      </c>
      <c r="J544" s="825"/>
    </row>
    <row r="545" spans="8:10" ht="13.8">
      <c r="H545" s="1207">
        <v>42370</v>
      </c>
      <c r="I545" s="825">
        <f t="shared" si="34"/>
        <v>10</v>
      </c>
      <c r="J545" s="825"/>
    </row>
    <row r="546" spans="8:10" ht="13.8">
      <c r="H546" s="1207">
        <v>42378</v>
      </c>
      <c r="I546" s="825">
        <f t="shared" si="34"/>
        <v>8</v>
      </c>
      <c r="J546" s="837"/>
    </row>
    <row r="547" spans="8:10" ht="13.8">
      <c r="H547" s="1208">
        <v>42380</v>
      </c>
      <c r="I547" s="825">
        <f t="shared" si="34"/>
        <v>2</v>
      </c>
    </row>
    <row r="548" spans="8:10" ht="13.8">
      <c r="H548" s="1207">
        <v>42381</v>
      </c>
      <c r="I548" s="825">
        <f t="shared" si="34"/>
        <v>1</v>
      </c>
    </row>
    <row r="549" spans="8:10" ht="13.8">
      <c r="H549" s="1208">
        <v>42385</v>
      </c>
      <c r="I549" s="825">
        <f t="shared" si="34"/>
        <v>4</v>
      </c>
      <c r="J549" s="825"/>
    </row>
    <row r="550" spans="8:10" ht="13.8">
      <c r="H550" s="1207">
        <v>42386</v>
      </c>
      <c r="I550" s="825">
        <f t="shared" si="34"/>
        <v>1</v>
      </c>
      <c r="J550" s="825"/>
    </row>
    <row r="551" spans="8:10" ht="13.8">
      <c r="H551" s="1207">
        <v>42389</v>
      </c>
      <c r="I551" s="825">
        <f t="shared" si="34"/>
        <v>3</v>
      </c>
      <c r="J551" s="825"/>
    </row>
    <row r="552" spans="8:10" ht="13.8">
      <c r="H552" s="1207">
        <v>42389</v>
      </c>
      <c r="I552" s="825">
        <f t="shared" si="34"/>
        <v>0</v>
      </c>
      <c r="J552" s="825"/>
    </row>
    <row r="553" spans="8:10" ht="13.8">
      <c r="H553" s="1207">
        <v>42395</v>
      </c>
      <c r="I553" s="825">
        <f t="shared" si="34"/>
        <v>6</v>
      </c>
      <c r="J553" s="825"/>
    </row>
    <row r="554" spans="8:10" ht="13.8">
      <c r="H554" s="1207">
        <v>42403</v>
      </c>
      <c r="I554" s="825">
        <f t="shared" si="34"/>
        <v>8</v>
      </c>
      <c r="J554" s="825"/>
    </row>
    <row r="555" spans="8:10" ht="13.8">
      <c r="H555" s="1207">
        <v>42409</v>
      </c>
      <c r="I555" s="825">
        <f t="shared" si="34"/>
        <v>6</v>
      </c>
      <c r="J555" s="825"/>
    </row>
    <row r="556" spans="8:10" ht="13.8">
      <c r="H556" s="1207">
        <v>42431</v>
      </c>
      <c r="I556" s="825">
        <f t="shared" si="34"/>
        <v>22</v>
      </c>
      <c r="J556" s="825"/>
    </row>
    <row r="557" spans="8:10" ht="13.8">
      <c r="H557" s="1207">
        <v>42445</v>
      </c>
      <c r="I557" s="825">
        <f t="shared" si="34"/>
        <v>14</v>
      </c>
      <c r="J557" s="825"/>
    </row>
    <row r="558" spans="8:10" ht="13.8">
      <c r="H558" s="1207">
        <v>42447</v>
      </c>
      <c r="I558" s="825">
        <f t="shared" si="34"/>
        <v>2</v>
      </c>
      <c r="J558" s="825"/>
    </row>
    <row r="559" spans="8:10" ht="13.8">
      <c r="H559" s="1207">
        <v>42460</v>
      </c>
      <c r="I559" s="825">
        <f t="shared" si="34"/>
        <v>13</v>
      </c>
      <c r="J559" s="825"/>
    </row>
    <row r="560" spans="8:10" ht="13.8">
      <c r="H560" s="1207">
        <v>42464</v>
      </c>
      <c r="I560" s="825">
        <f t="shared" si="34"/>
        <v>4</v>
      </c>
      <c r="J560" s="825"/>
    </row>
    <row r="561" spans="8:10" ht="13.8">
      <c r="H561" s="1208">
        <v>42467</v>
      </c>
      <c r="I561" s="825">
        <f t="shared" si="34"/>
        <v>3</v>
      </c>
      <c r="J561" s="825"/>
    </row>
    <row r="562" spans="8:10" ht="13.8">
      <c r="H562" s="1208">
        <v>42483</v>
      </c>
      <c r="I562" s="825">
        <f t="shared" si="34"/>
        <v>16</v>
      </c>
      <c r="J562" s="825"/>
    </row>
    <row r="563" spans="8:10" ht="13.8">
      <c r="H563" s="1208">
        <v>42492</v>
      </c>
      <c r="I563" s="825">
        <f t="shared" si="34"/>
        <v>9</v>
      </c>
      <c r="J563" s="825"/>
    </row>
    <row r="564" spans="8:10" ht="13.8">
      <c r="H564" s="1208">
        <v>42493</v>
      </c>
      <c r="I564" s="825">
        <f t="shared" si="34"/>
        <v>1</v>
      </c>
      <c r="J564" s="825"/>
    </row>
    <row r="565" spans="8:10" ht="13.8">
      <c r="H565" s="1208">
        <v>42503</v>
      </c>
      <c r="I565" s="825">
        <f t="shared" si="34"/>
        <v>10</v>
      </c>
      <c r="J565" s="825"/>
    </row>
    <row r="566" spans="8:10" ht="13.8">
      <c r="H566" s="1208">
        <v>42506</v>
      </c>
      <c r="I566" s="825">
        <f t="shared" ref="I566:I629" si="35">+H566-H565</f>
        <v>3</v>
      </c>
      <c r="J566" s="825"/>
    </row>
    <row r="567" spans="8:10" ht="13.8">
      <c r="H567" s="1209">
        <v>42512</v>
      </c>
      <c r="I567" s="825">
        <f t="shared" si="35"/>
        <v>6</v>
      </c>
      <c r="J567" s="825"/>
    </row>
    <row r="568" spans="8:10" ht="13.8">
      <c r="H568" s="1208">
        <v>42516</v>
      </c>
      <c r="I568" s="825">
        <f t="shared" si="35"/>
        <v>4</v>
      </c>
      <c r="J568" s="825"/>
    </row>
    <row r="569" spans="8:10" ht="13.8">
      <c r="H569" s="1208">
        <v>42529</v>
      </c>
      <c r="I569" s="825">
        <f t="shared" si="35"/>
        <v>13</v>
      </c>
      <c r="J569" s="825"/>
    </row>
    <row r="570" spans="8:10" ht="13.8">
      <c r="H570" s="1208">
        <v>42532</v>
      </c>
      <c r="I570" s="825">
        <f t="shared" si="35"/>
        <v>3</v>
      </c>
      <c r="J570" s="825"/>
    </row>
    <row r="571" spans="8:10" ht="13.8">
      <c r="H571" s="1208">
        <v>42534</v>
      </c>
      <c r="I571" s="825">
        <f t="shared" si="35"/>
        <v>2</v>
      </c>
      <c r="J571" s="1255"/>
    </row>
    <row r="572" spans="8:10" ht="13.8">
      <c r="H572" s="1208">
        <v>42537</v>
      </c>
      <c r="I572" s="825">
        <f t="shared" si="35"/>
        <v>3</v>
      </c>
      <c r="J572" s="825"/>
    </row>
    <row r="573" spans="8:10" ht="13.8">
      <c r="H573" s="1208">
        <v>42537</v>
      </c>
      <c r="I573" s="825">
        <f t="shared" si="35"/>
        <v>0</v>
      </c>
      <c r="J573" s="825"/>
    </row>
    <row r="574" spans="8:10" ht="13.8">
      <c r="H574" s="1208">
        <v>42538</v>
      </c>
      <c r="I574" s="825">
        <f t="shared" si="35"/>
        <v>1</v>
      </c>
      <c r="J574" s="825"/>
    </row>
    <row r="575" spans="8:10" ht="13.8">
      <c r="H575" s="1208">
        <v>42542</v>
      </c>
      <c r="I575" s="825">
        <f t="shared" si="35"/>
        <v>4</v>
      </c>
      <c r="J575" s="825"/>
    </row>
    <row r="576" spans="8:10" ht="13.8">
      <c r="H576" s="1208">
        <v>42543</v>
      </c>
      <c r="I576" s="825">
        <f t="shared" si="35"/>
        <v>1</v>
      </c>
      <c r="J576" s="825"/>
    </row>
    <row r="577" spans="8:10" ht="13.8">
      <c r="H577" s="1208">
        <v>42543</v>
      </c>
      <c r="I577" s="825">
        <f t="shared" si="35"/>
        <v>0</v>
      </c>
      <c r="J577" s="825"/>
    </row>
    <row r="578" spans="8:10" ht="13.8">
      <c r="H578" s="1208">
        <v>42556</v>
      </c>
      <c r="I578" s="825">
        <f t="shared" si="35"/>
        <v>13</v>
      </c>
      <c r="J578" s="825"/>
    </row>
    <row r="579" spans="8:10" ht="13.8">
      <c r="H579" s="1208">
        <v>42556</v>
      </c>
      <c r="I579" s="825">
        <f t="shared" si="35"/>
        <v>0</v>
      </c>
      <c r="J579" s="825"/>
    </row>
    <row r="580" spans="8:10" ht="13.8">
      <c r="H580" s="1208">
        <v>42559</v>
      </c>
      <c r="I580" s="825">
        <f t="shared" si="35"/>
        <v>3</v>
      </c>
      <c r="J580" s="825"/>
    </row>
    <row r="581" spans="8:10" ht="13.8">
      <c r="H581" s="1208">
        <v>42568</v>
      </c>
      <c r="I581" s="825">
        <f t="shared" si="35"/>
        <v>9</v>
      </c>
      <c r="J581" s="825"/>
    </row>
    <row r="582" spans="8:10" ht="13.8">
      <c r="H582" s="1208">
        <v>42585</v>
      </c>
      <c r="I582" s="825">
        <f t="shared" si="35"/>
        <v>17</v>
      </c>
      <c r="J582" s="825"/>
    </row>
    <row r="583" spans="8:10" ht="13.8">
      <c r="H583" s="1208">
        <v>42588</v>
      </c>
      <c r="I583" s="825">
        <f t="shared" si="35"/>
        <v>3</v>
      </c>
      <c r="J583" s="825"/>
    </row>
    <row r="584" spans="8:10" ht="13.8">
      <c r="H584" s="1208">
        <v>42589</v>
      </c>
      <c r="I584" s="825">
        <f t="shared" si="35"/>
        <v>1</v>
      </c>
      <c r="J584" s="825"/>
    </row>
    <row r="585" spans="8:10" ht="13.8">
      <c r="H585" s="1052">
        <v>42589</v>
      </c>
      <c r="I585" s="825">
        <f t="shared" si="35"/>
        <v>0</v>
      </c>
      <c r="J585" s="825"/>
    </row>
    <row r="586" spans="8:10" ht="13.8">
      <c r="H586" s="1052">
        <v>42590</v>
      </c>
      <c r="I586" s="825">
        <f t="shared" si="35"/>
        <v>1</v>
      </c>
      <c r="J586" s="825"/>
    </row>
    <row r="587" spans="8:10" ht="13.8">
      <c r="H587" s="1208">
        <v>42594</v>
      </c>
      <c r="I587" s="825">
        <f t="shared" si="35"/>
        <v>4</v>
      </c>
      <c r="J587" s="825"/>
    </row>
    <row r="588" spans="8:10" ht="13.8">
      <c r="H588" s="1208">
        <v>42600</v>
      </c>
      <c r="I588" s="825">
        <f t="shared" si="35"/>
        <v>6</v>
      </c>
      <c r="J588" s="825"/>
    </row>
    <row r="589" spans="8:10" ht="13.8">
      <c r="H589" s="1208">
        <v>42601</v>
      </c>
      <c r="I589" s="825">
        <f t="shared" si="35"/>
        <v>1</v>
      </c>
      <c r="J589" s="825"/>
    </row>
    <row r="590" spans="8:10" ht="13.8">
      <c r="H590" s="1208">
        <v>42608</v>
      </c>
      <c r="I590" s="825">
        <f t="shared" si="35"/>
        <v>7</v>
      </c>
      <c r="J590" s="825"/>
    </row>
    <row r="591" spans="8:10" ht="13.8">
      <c r="H591" s="1208">
        <v>42609</v>
      </c>
      <c r="I591" s="825">
        <f t="shared" si="35"/>
        <v>1</v>
      </c>
      <c r="J591" s="825"/>
    </row>
    <row r="592" spans="8:10" ht="13.8">
      <c r="H592" s="1208">
        <v>42609</v>
      </c>
      <c r="I592" s="825">
        <f t="shared" si="35"/>
        <v>0</v>
      </c>
      <c r="J592" s="825"/>
    </row>
    <row r="593" spans="8:10" ht="13.8">
      <c r="H593" s="1052">
        <v>42616</v>
      </c>
      <c r="I593" s="825">
        <f t="shared" si="35"/>
        <v>7</v>
      </c>
      <c r="J593" s="825"/>
    </row>
    <row r="594" spans="8:10" ht="13.8">
      <c r="H594" s="1052">
        <v>42620</v>
      </c>
      <c r="I594" s="825">
        <f t="shared" si="35"/>
        <v>4</v>
      </c>
      <c r="J594" s="825"/>
    </row>
    <row r="595" spans="8:10" ht="13.8">
      <c r="H595" s="1052">
        <v>42622</v>
      </c>
      <c r="I595" s="825">
        <f t="shared" si="35"/>
        <v>2</v>
      </c>
      <c r="J595" s="825"/>
    </row>
    <row r="596" spans="8:10" ht="13.8">
      <c r="H596" s="1052">
        <v>42623</v>
      </c>
      <c r="I596" s="825">
        <f t="shared" si="35"/>
        <v>1</v>
      </c>
      <c r="J596" s="825"/>
    </row>
    <row r="597" spans="8:10" ht="13.8">
      <c r="H597" s="1052">
        <v>42639</v>
      </c>
      <c r="I597" s="825">
        <f t="shared" si="35"/>
        <v>16</v>
      </c>
      <c r="J597" s="825"/>
    </row>
    <row r="598" spans="8:10" ht="13.8">
      <c r="H598" s="1052">
        <v>42641</v>
      </c>
      <c r="I598" s="825">
        <f t="shared" si="35"/>
        <v>2</v>
      </c>
      <c r="J598" s="825"/>
    </row>
    <row r="599" spans="8:10" ht="13.8">
      <c r="H599" s="1052">
        <v>42644</v>
      </c>
      <c r="I599" s="825">
        <f t="shared" si="35"/>
        <v>3</v>
      </c>
      <c r="J599" s="825"/>
    </row>
    <row r="600" spans="8:10" ht="13.8">
      <c r="H600" s="1052">
        <v>42647</v>
      </c>
      <c r="I600" s="825">
        <f t="shared" si="35"/>
        <v>3</v>
      </c>
      <c r="J600" s="825"/>
    </row>
    <row r="601" spans="8:10" ht="13.8">
      <c r="H601" s="1052">
        <v>42647</v>
      </c>
      <c r="I601" s="825">
        <f t="shared" si="35"/>
        <v>0</v>
      </c>
      <c r="J601" s="825"/>
    </row>
    <row r="602" spans="8:10" ht="13.8">
      <c r="H602" s="1052">
        <v>42650</v>
      </c>
      <c r="I602" s="825">
        <f t="shared" si="35"/>
        <v>3</v>
      </c>
      <c r="J602" s="825"/>
    </row>
    <row r="603" spans="8:10" ht="13.8">
      <c r="H603" s="1052">
        <v>42650</v>
      </c>
      <c r="I603" s="825">
        <f t="shared" si="35"/>
        <v>0</v>
      </c>
      <c r="J603" s="825"/>
    </row>
    <row r="604" spans="8:10" ht="13.8">
      <c r="H604" s="1052">
        <v>42656</v>
      </c>
      <c r="I604" s="825">
        <f t="shared" si="35"/>
        <v>6</v>
      </c>
      <c r="J604" s="825"/>
    </row>
    <row r="605" spans="8:10" ht="13.8">
      <c r="H605" s="1052">
        <v>42658</v>
      </c>
      <c r="I605" s="825">
        <f t="shared" si="35"/>
        <v>2</v>
      </c>
      <c r="J605" s="825"/>
    </row>
    <row r="606" spans="8:10" ht="13.8">
      <c r="H606" s="1052">
        <v>42662</v>
      </c>
      <c r="I606" s="825">
        <f t="shared" si="35"/>
        <v>4</v>
      </c>
      <c r="J606" s="825"/>
    </row>
    <row r="607" spans="8:10" ht="13.8">
      <c r="H607" s="1052">
        <v>42663</v>
      </c>
      <c r="I607" s="825">
        <f t="shared" si="35"/>
        <v>1</v>
      </c>
      <c r="J607" s="825"/>
    </row>
    <row r="608" spans="8:10" ht="13.8">
      <c r="H608" s="1052">
        <v>42663</v>
      </c>
      <c r="I608" s="825">
        <f t="shared" si="35"/>
        <v>0</v>
      </c>
      <c r="J608" s="825"/>
    </row>
    <row r="609" spans="8:10" ht="13.8">
      <c r="H609" s="1052">
        <v>42669</v>
      </c>
      <c r="I609" s="825">
        <f t="shared" si="35"/>
        <v>6</v>
      </c>
      <c r="J609" s="825"/>
    </row>
    <row r="610" spans="8:10" ht="13.8">
      <c r="H610" s="1052">
        <v>42670</v>
      </c>
      <c r="I610" s="825">
        <f t="shared" si="35"/>
        <v>1</v>
      </c>
      <c r="J610" s="825"/>
    </row>
    <row r="611" spans="8:10" ht="13.8">
      <c r="H611" s="1052">
        <v>42681</v>
      </c>
      <c r="I611" s="825">
        <f t="shared" si="35"/>
        <v>11</v>
      </c>
      <c r="J611" s="837"/>
    </row>
    <row r="612" spans="8:10" ht="13.8">
      <c r="H612" s="1052">
        <v>42706</v>
      </c>
      <c r="I612" s="825">
        <f t="shared" si="35"/>
        <v>25</v>
      </c>
    </row>
    <row r="613" spans="8:10" ht="13.8">
      <c r="H613" s="1052">
        <v>42708</v>
      </c>
      <c r="I613" s="825">
        <f t="shared" si="35"/>
        <v>2</v>
      </c>
      <c r="J613" s="1256"/>
    </row>
    <row r="614" spans="8:10" ht="13.8">
      <c r="H614" s="1052">
        <v>42714</v>
      </c>
      <c r="I614" s="825">
        <f t="shared" si="35"/>
        <v>6</v>
      </c>
    </row>
    <row r="615" spans="8:10" ht="13.8">
      <c r="H615" s="1052">
        <v>42725</v>
      </c>
      <c r="I615" s="825">
        <f t="shared" si="35"/>
        <v>11</v>
      </c>
    </row>
    <row r="616" spans="8:10" ht="13.8">
      <c r="H616" s="1052">
        <v>42725</v>
      </c>
      <c r="I616" s="825">
        <f t="shared" si="35"/>
        <v>0</v>
      </c>
    </row>
    <row r="617" spans="8:10" ht="13.8">
      <c r="H617" s="1052">
        <v>42730</v>
      </c>
      <c r="I617" s="825">
        <f t="shared" si="35"/>
        <v>5</v>
      </c>
    </row>
    <row r="618" spans="8:10" ht="13.8">
      <c r="H618" s="1052">
        <v>42732</v>
      </c>
      <c r="I618" s="825">
        <f t="shared" si="35"/>
        <v>2</v>
      </c>
    </row>
    <row r="619" spans="8:10">
      <c r="H619" s="1231">
        <v>42744</v>
      </c>
      <c r="I619" s="825">
        <f t="shared" si="35"/>
        <v>12</v>
      </c>
    </row>
    <row r="620" spans="8:10">
      <c r="H620" s="1231">
        <v>42748</v>
      </c>
      <c r="I620" s="825">
        <f t="shared" si="35"/>
        <v>4</v>
      </c>
    </row>
    <row r="621" spans="8:10">
      <c r="H621" s="1231">
        <v>42748</v>
      </c>
      <c r="I621" s="825">
        <f t="shared" si="35"/>
        <v>0</v>
      </c>
    </row>
    <row r="622" spans="8:10">
      <c r="H622" s="1231">
        <v>42748</v>
      </c>
      <c r="I622" s="825">
        <f t="shared" si="35"/>
        <v>0</v>
      </c>
    </row>
    <row r="623" spans="8:10">
      <c r="H623" s="1231">
        <v>42765</v>
      </c>
      <c r="I623" s="825">
        <f t="shared" si="35"/>
        <v>17</v>
      </c>
    </row>
    <row r="624" spans="8:10">
      <c r="H624" s="1231">
        <v>42770</v>
      </c>
      <c r="I624" s="825">
        <f t="shared" si="35"/>
        <v>5</v>
      </c>
    </row>
    <row r="625" spans="8:9">
      <c r="H625" s="1231">
        <v>42773</v>
      </c>
      <c r="I625" s="825">
        <f t="shared" si="35"/>
        <v>3</v>
      </c>
    </row>
    <row r="626" spans="8:9">
      <c r="H626" s="1231">
        <v>42775</v>
      </c>
      <c r="I626" s="825">
        <f t="shared" si="35"/>
        <v>2</v>
      </c>
    </row>
    <row r="627" spans="8:9">
      <c r="H627" s="1231">
        <v>42776</v>
      </c>
      <c r="I627" s="825">
        <f t="shared" si="35"/>
        <v>1</v>
      </c>
    </row>
    <row r="628" spans="8:9">
      <c r="H628" s="1231">
        <v>42780</v>
      </c>
      <c r="I628" s="825">
        <f t="shared" si="35"/>
        <v>4</v>
      </c>
    </row>
    <row r="629" spans="8:9">
      <c r="H629" s="1231">
        <v>42781</v>
      </c>
      <c r="I629" s="825">
        <f t="shared" si="35"/>
        <v>1</v>
      </c>
    </row>
    <row r="630" spans="8:9">
      <c r="H630" s="1231">
        <v>42782</v>
      </c>
      <c r="I630" s="825">
        <f t="shared" ref="I630:I690" si="36">+H630-H629</f>
        <v>1</v>
      </c>
    </row>
    <row r="631" spans="8:9">
      <c r="H631" s="1231">
        <v>42786</v>
      </c>
      <c r="I631" s="825">
        <f t="shared" si="36"/>
        <v>4</v>
      </c>
    </row>
    <row r="632" spans="8:9">
      <c r="H632" s="1231">
        <v>42787</v>
      </c>
      <c r="I632" s="825">
        <f t="shared" si="36"/>
        <v>1</v>
      </c>
    </row>
    <row r="633" spans="8:9">
      <c r="H633" s="1231">
        <v>42790</v>
      </c>
      <c r="I633" s="825">
        <f t="shared" si="36"/>
        <v>3</v>
      </c>
    </row>
    <row r="634" spans="8:9">
      <c r="H634" s="1230">
        <v>42796</v>
      </c>
      <c r="I634" s="825">
        <f t="shared" si="36"/>
        <v>6</v>
      </c>
    </row>
    <row r="635" spans="8:9">
      <c r="H635" s="1230">
        <v>42798</v>
      </c>
      <c r="I635" s="825">
        <f t="shared" si="36"/>
        <v>2</v>
      </c>
    </row>
    <row r="636" spans="8:9">
      <c r="H636" s="1230">
        <v>42801</v>
      </c>
      <c r="I636" s="825">
        <f t="shared" si="36"/>
        <v>3</v>
      </c>
    </row>
    <row r="637" spans="8:9">
      <c r="H637" s="1230">
        <v>42801</v>
      </c>
      <c r="I637" s="825">
        <f t="shared" si="36"/>
        <v>0</v>
      </c>
    </row>
    <row r="638" spans="8:9">
      <c r="H638" s="1230">
        <v>42807</v>
      </c>
      <c r="I638" s="825">
        <f t="shared" si="36"/>
        <v>6</v>
      </c>
    </row>
    <row r="639" spans="8:9">
      <c r="H639" s="1230">
        <v>42808</v>
      </c>
      <c r="I639" s="825">
        <f t="shared" si="36"/>
        <v>1</v>
      </c>
    </row>
    <row r="640" spans="8:9">
      <c r="H640" s="1230">
        <v>42817</v>
      </c>
      <c r="I640" s="825">
        <f t="shared" si="36"/>
        <v>9</v>
      </c>
    </row>
    <row r="641" spans="8:9">
      <c r="H641" s="1230">
        <v>42841</v>
      </c>
      <c r="I641" s="825">
        <f t="shared" si="36"/>
        <v>24</v>
      </c>
    </row>
    <row r="642" spans="8:9">
      <c r="H642" s="1230">
        <v>42842</v>
      </c>
      <c r="I642" s="825">
        <f t="shared" si="36"/>
        <v>1</v>
      </c>
    </row>
    <row r="643" spans="8:9">
      <c r="H643" s="1230">
        <v>42844</v>
      </c>
      <c r="I643" s="825">
        <f t="shared" si="36"/>
        <v>2</v>
      </c>
    </row>
    <row r="644" spans="8:9">
      <c r="H644" s="1230">
        <v>42849</v>
      </c>
      <c r="I644" s="825">
        <f t="shared" si="36"/>
        <v>5</v>
      </c>
    </row>
    <row r="645" spans="8:9">
      <c r="H645" s="1230">
        <v>42850</v>
      </c>
      <c r="I645" s="825">
        <f t="shared" si="36"/>
        <v>1</v>
      </c>
    </row>
    <row r="646" spans="8:9">
      <c r="H646" s="1230">
        <v>42850</v>
      </c>
      <c r="I646" s="825">
        <f t="shared" si="36"/>
        <v>0</v>
      </c>
    </row>
    <row r="647" spans="8:9">
      <c r="H647" s="1230">
        <v>42850</v>
      </c>
      <c r="I647" s="825">
        <f t="shared" si="36"/>
        <v>0</v>
      </c>
    </row>
    <row r="648" spans="8:9">
      <c r="H648" s="1230">
        <v>42863</v>
      </c>
      <c r="I648" s="825">
        <f t="shared" si="36"/>
        <v>13</v>
      </c>
    </row>
    <row r="649" spans="8:9">
      <c r="H649" s="1230">
        <v>42870</v>
      </c>
      <c r="I649" s="825">
        <f t="shared" si="36"/>
        <v>7</v>
      </c>
    </row>
    <row r="650" spans="8:9">
      <c r="H650" s="1230">
        <v>42870</v>
      </c>
      <c r="I650" s="825">
        <f t="shared" si="36"/>
        <v>0</v>
      </c>
    </row>
    <row r="651" spans="8:9">
      <c r="H651" s="1230">
        <v>42871</v>
      </c>
      <c r="I651" s="825">
        <f t="shared" si="36"/>
        <v>1</v>
      </c>
    </row>
    <row r="652" spans="8:9">
      <c r="H652" s="1230">
        <v>42877</v>
      </c>
      <c r="I652" s="825">
        <f t="shared" si="36"/>
        <v>6</v>
      </c>
    </row>
    <row r="653" spans="8:9">
      <c r="H653" s="1230">
        <v>42879</v>
      </c>
      <c r="I653" s="825">
        <f t="shared" si="36"/>
        <v>2</v>
      </c>
    </row>
    <row r="654" spans="8:9">
      <c r="H654" s="1230">
        <v>42880</v>
      </c>
      <c r="I654" s="825">
        <f t="shared" si="36"/>
        <v>1</v>
      </c>
    </row>
    <row r="655" spans="8:9">
      <c r="H655" s="1230">
        <v>42884</v>
      </c>
      <c r="I655" s="825">
        <f t="shared" si="36"/>
        <v>4</v>
      </c>
    </row>
    <row r="656" spans="8:9" ht="13.8">
      <c r="H656" s="1070">
        <v>42888</v>
      </c>
      <c r="I656" s="825">
        <f t="shared" si="36"/>
        <v>4</v>
      </c>
    </row>
    <row r="657" spans="8:9" ht="13.8">
      <c r="H657" s="1070">
        <v>42890</v>
      </c>
      <c r="I657" s="825">
        <f t="shared" si="36"/>
        <v>2</v>
      </c>
    </row>
    <row r="658" spans="8:9" ht="13.8">
      <c r="H658" s="1070">
        <v>42899</v>
      </c>
      <c r="I658" s="825">
        <f t="shared" si="36"/>
        <v>9</v>
      </c>
    </row>
    <row r="659" spans="8:9" ht="13.8">
      <c r="H659" s="1070">
        <v>42906</v>
      </c>
      <c r="I659" s="825">
        <f t="shared" si="36"/>
        <v>7</v>
      </c>
    </row>
    <row r="660" spans="8:9" ht="13.8">
      <c r="H660" s="1070">
        <v>42907</v>
      </c>
      <c r="I660" s="825">
        <f t="shared" si="36"/>
        <v>1</v>
      </c>
    </row>
    <row r="661" spans="8:9" ht="13.8">
      <c r="H661" s="1070">
        <v>42909</v>
      </c>
      <c r="I661" s="825">
        <f t="shared" si="36"/>
        <v>2</v>
      </c>
    </row>
    <row r="662" spans="8:9" ht="13.8">
      <c r="H662" s="1070">
        <v>42910</v>
      </c>
      <c r="I662" s="825">
        <f t="shared" si="36"/>
        <v>1</v>
      </c>
    </row>
    <row r="663" spans="8:9" ht="13.8">
      <c r="H663" s="1070">
        <v>42910</v>
      </c>
      <c r="I663" s="825">
        <f t="shared" si="36"/>
        <v>0</v>
      </c>
    </row>
    <row r="664" spans="8:9">
      <c r="H664" s="1230">
        <v>42918</v>
      </c>
      <c r="I664" s="825">
        <f t="shared" si="36"/>
        <v>8</v>
      </c>
    </row>
    <row r="665" spans="8:9">
      <c r="H665" s="1230">
        <v>42923</v>
      </c>
      <c r="I665" s="825">
        <f t="shared" si="36"/>
        <v>5</v>
      </c>
    </row>
    <row r="666" spans="8:9">
      <c r="H666" s="1230">
        <v>42942</v>
      </c>
      <c r="I666" s="825">
        <f t="shared" si="36"/>
        <v>19</v>
      </c>
    </row>
    <row r="667" spans="8:9">
      <c r="H667" s="1228">
        <v>42960</v>
      </c>
      <c r="I667" s="825">
        <f t="shared" si="36"/>
        <v>18</v>
      </c>
    </row>
    <row r="668" spans="8:9">
      <c r="H668" s="1228">
        <v>42961</v>
      </c>
      <c r="I668" s="825">
        <f t="shared" si="36"/>
        <v>1</v>
      </c>
    </row>
    <row r="669" spans="8:9">
      <c r="H669" s="1228">
        <v>42961</v>
      </c>
      <c r="I669" s="825">
        <f t="shared" si="36"/>
        <v>0</v>
      </c>
    </row>
    <row r="670" spans="8:9">
      <c r="H670" s="1228">
        <v>42963</v>
      </c>
      <c r="I670" s="825">
        <f t="shared" si="36"/>
        <v>2</v>
      </c>
    </row>
    <row r="671" spans="8:9">
      <c r="H671" s="1230">
        <v>42976</v>
      </c>
      <c r="I671" s="825">
        <f t="shared" si="36"/>
        <v>13</v>
      </c>
    </row>
    <row r="672" spans="8:9">
      <c r="H672" s="1230">
        <v>42977</v>
      </c>
      <c r="I672" s="825">
        <f t="shared" si="36"/>
        <v>1</v>
      </c>
    </row>
    <row r="673" spans="8:9">
      <c r="H673" s="1230">
        <v>42982</v>
      </c>
      <c r="I673" s="825">
        <f t="shared" si="36"/>
        <v>5</v>
      </c>
    </row>
    <row r="674" spans="8:9">
      <c r="H674" s="1230">
        <v>42985</v>
      </c>
      <c r="I674" s="825">
        <f t="shared" si="36"/>
        <v>3</v>
      </c>
    </row>
    <row r="675" spans="8:9">
      <c r="H675" s="1230">
        <v>42986</v>
      </c>
      <c r="I675" s="825">
        <f t="shared" si="36"/>
        <v>1</v>
      </c>
    </row>
    <row r="676" spans="8:9">
      <c r="H676" s="1230">
        <v>43000</v>
      </c>
      <c r="I676" s="825">
        <f t="shared" si="36"/>
        <v>14</v>
      </c>
    </row>
    <row r="677" spans="8:9">
      <c r="H677" s="1230">
        <v>43006</v>
      </c>
      <c r="I677" s="825">
        <f t="shared" si="36"/>
        <v>6</v>
      </c>
    </row>
    <row r="678" spans="8:9">
      <c r="H678" s="1263">
        <v>43012</v>
      </c>
      <c r="I678" s="825">
        <f t="shared" si="36"/>
        <v>6</v>
      </c>
    </row>
    <row r="679" spans="8:9">
      <c r="H679" s="1263">
        <v>43028</v>
      </c>
      <c r="I679" s="825">
        <f t="shared" si="36"/>
        <v>16</v>
      </c>
    </row>
    <row r="680" spans="8:9">
      <c r="H680" s="1263">
        <v>43031</v>
      </c>
      <c r="I680" s="825">
        <f t="shared" si="36"/>
        <v>3</v>
      </c>
    </row>
    <row r="681" spans="8:9">
      <c r="H681" s="1263">
        <v>43042</v>
      </c>
      <c r="I681" s="825">
        <f t="shared" si="36"/>
        <v>11</v>
      </c>
    </row>
    <row r="682" spans="8:9">
      <c r="H682" s="1263">
        <v>43048</v>
      </c>
      <c r="I682" s="825">
        <f t="shared" si="36"/>
        <v>6</v>
      </c>
    </row>
    <row r="683" spans="8:9">
      <c r="H683" s="1263">
        <v>43058</v>
      </c>
      <c r="I683" s="825">
        <f t="shared" si="36"/>
        <v>10</v>
      </c>
    </row>
    <row r="684" spans="8:9">
      <c r="H684" s="1263">
        <v>43058</v>
      </c>
      <c r="I684" s="825">
        <f t="shared" si="36"/>
        <v>0</v>
      </c>
    </row>
    <row r="685" spans="8:9">
      <c r="H685" s="1263">
        <v>43064</v>
      </c>
      <c r="I685" s="825">
        <f t="shared" si="36"/>
        <v>6</v>
      </c>
    </row>
    <row r="686" spans="8:9">
      <c r="H686" s="1263">
        <v>43091</v>
      </c>
      <c r="I686" s="825">
        <f t="shared" si="36"/>
        <v>27</v>
      </c>
    </row>
    <row r="687" spans="8:9">
      <c r="H687" s="1263">
        <v>43092</v>
      </c>
      <c r="I687" s="825">
        <f t="shared" si="36"/>
        <v>1</v>
      </c>
    </row>
    <row r="688" spans="8:9">
      <c r="H688" s="1263">
        <v>43099</v>
      </c>
      <c r="I688" s="825">
        <f t="shared" si="36"/>
        <v>7</v>
      </c>
    </row>
    <row r="689" spans="8:9">
      <c r="H689" s="1263">
        <v>43099</v>
      </c>
      <c r="I689" s="825">
        <f t="shared" si="36"/>
        <v>0</v>
      </c>
    </row>
    <row r="690" spans="8:9">
      <c r="H690" s="1263">
        <v>43099</v>
      </c>
      <c r="I690" s="825">
        <f t="shared" si="36"/>
        <v>0</v>
      </c>
    </row>
    <row r="691" spans="8:9">
      <c r="H691" s="1263">
        <v>43106</v>
      </c>
      <c r="I691" s="825">
        <f t="shared" ref="I691:I719" si="37">+H691-H690</f>
        <v>7</v>
      </c>
    </row>
    <row r="692" spans="8:9">
      <c r="H692" s="1263">
        <v>43110</v>
      </c>
      <c r="I692" s="825">
        <f t="shared" si="37"/>
        <v>4</v>
      </c>
    </row>
    <row r="693" spans="8:9">
      <c r="H693" s="1263">
        <v>43111</v>
      </c>
      <c r="I693" s="825">
        <f t="shared" si="37"/>
        <v>1</v>
      </c>
    </row>
    <row r="694" spans="8:9">
      <c r="H694" s="1263">
        <v>43113</v>
      </c>
      <c r="I694" s="825">
        <f t="shared" si="37"/>
        <v>2</v>
      </c>
    </row>
    <row r="695" spans="8:9">
      <c r="H695" s="1263">
        <v>43116</v>
      </c>
      <c r="I695" s="825">
        <f t="shared" si="37"/>
        <v>3</v>
      </c>
    </row>
    <row r="696" spans="8:9">
      <c r="H696" s="1263">
        <v>43119</v>
      </c>
      <c r="I696" s="825">
        <f t="shared" si="37"/>
        <v>3</v>
      </c>
    </row>
    <row r="697" spans="8:9">
      <c r="H697" s="1263">
        <v>43123</v>
      </c>
      <c r="I697" s="825">
        <f t="shared" si="37"/>
        <v>4</v>
      </c>
    </row>
    <row r="698" spans="8:9">
      <c r="H698" s="1263">
        <v>43124</v>
      </c>
      <c r="I698" s="825">
        <f t="shared" si="37"/>
        <v>1</v>
      </c>
    </row>
    <row r="699" spans="8:9">
      <c r="H699" s="1263">
        <v>43130</v>
      </c>
      <c r="I699" s="825">
        <f t="shared" si="37"/>
        <v>6</v>
      </c>
    </row>
    <row r="700" spans="8:9">
      <c r="H700" s="1263">
        <v>43132</v>
      </c>
      <c r="I700" s="825">
        <f t="shared" si="37"/>
        <v>2</v>
      </c>
    </row>
    <row r="701" spans="8:9">
      <c r="H701" s="1263">
        <v>43133</v>
      </c>
      <c r="I701" s="825">
        <f t="shared" si="37"/>
        <v>1</v>
      </c>
    </row>
    <row r="702" spans="8:9">
      <c r="H702" s="1263">
        <v>43134</v>
      </c>
      <c r="I702" s="825">
        <f t="shared" si="37"/>
        <v>1</v>
      </c>
    </row>
    <row r="703" spans="8:9">
      <c r="H703" s="1263">
        <v>43143</v>
      </c>
      <c r="I703" s="825">
        <f t="shared" si="37"/>
        <v>9</v>
      </c>
    </row>
    <row r="704" spans="8:9">
      <c r="H704" s="1263">
        <v>43149</v>
      </c>
      <c r="I704" s="825">
        <f t="shared" si="37"/>
        <v>6</v>
      </c>
    </row>
    <row r="705" spans="8:9">
      <c r="H705" s="1263">
        <v>43159</v>
      </c>
      <c r="I705" s="825">
        <f t="shared" si="37"/>
        <v>10</v>
      </c>
    </row>
    <row r="706" spans="8:9">
      <c r="H706" s="1263">
        <v>43161</v>
      </c>
      <c r="I706" s="825">
        <f t="shared" si="37"/>
        <v>2</v>
      </c>
    </row>
    <row r="707" spans="8:9">
      <c r="H707" s="1263">
        <v>43163</v>
      </c>
      <c r="I707" s="825">
        <f t="shared" si="37"/>
        <v>2</v>
      </c>
    </row>
    <row r="708" spans="8:9">
      <c r="H708" s="1263">
        <v>43175</v>
      </c>
      <c r="I708" s="825">
        <f t="shared" si="37"/>
        <v>12</v>
      </c>
    </row>
    <row r="709" spans="8:9">
      <c r="H709" s="1263">
        <v>43187</v>
      </c>
      <c r="I709" s="825">
        <f t="shared" si="37"/>
        <v>12</v>
      </c>
    </row>
    <row r="710" spans="8:9">
      <c r="H710" s="1263">
        <v>43207</v>
      </c>
      <c r="I710" s="825">
        <f t="shared" si="37"/>
        <v>20</v>
      </c>
    </row>
    <row r="711" spans="8:9">
      <c r="H711" s="1263">
        <v>43209</v>
      </c>
      <c r="I711" s="825">
        <f t="shared" si="37"/>
        <v>2</v>
      </c>
    </row>
    <row r="712" spans="8:9">
      <c r="H712" s="1263">
        <v>43223</v>
      </c>
      <c r="I712" s="825">
        <f t="shared" si="37"/>
        <v>14</v>
      </c>
    </row>
    <row r="713" spans="8:9">
      <c r="H713" s="1263">
        <v>43232</v>
      </c>
      <c r="I713" s="825">
        <f t="shared" si="37"/>
        <v>9</v>
      </c>
    </row>
    <row r="714" spans="8:9">
      <c r="H714" s="1263">
        <v>43233</v>
      </c>
      <c r="I714" s="825">
        <f t="shared" si="37"/>
        <v>1</v>
      </c>
    </row>
    <row r="715" spans="8:9">
      <c r="H715" s="1263">
        <v>43234</v>
      </c>
      <c r="I715" s="825">
        <f t="shared" si="37"/>
        <v>1</v>
      </c>
    </row>
    <row r="716" spans="8:9">
      <c r="H716" s="1263">
        <v>43239</v>
      </c>
      <c r="I716" s="825">
        <f t="shared" si="37"/>
        <v>5</v>
      </c>
    </row>
    <row r="717" spans="8:9">
      <c r="H717" s="1263">
        <v>43239</v>
      </c>
      <c r="I717" s="825">
        <f t="shared" si="37"/>
        <v>0</v>
      </c>
    </row>
    <row r="718" spans="8:9">
      <c r="H718" s="1263">
        <v>43241</v>
      </c>
      <c r="I718" s="825">
        <f t="shared" si="37"/>
        <v>2</v>
      </c>
    </row>
    <row r="719" spans="8:9">
      <c r="H719" s="1263">
        <v>43242</v>
      </c>
      <c r="I719" s="825">
        <f t="shared" si="37"/>
        <v>1</v>
      </c>
    </row>
    <row r="720" spans="8:9">
      <c r="H720" s="1263">
        <v>43243</v>
      </c>
      <c r="I720" s="825">
        <f t="shared" ref="I720:I784" si="38">+H720-H719</f>
        <v>1</v>
      </c>
    </row>
    <row r="721" spans="8:9">
      <c r="H721" s="1263">
        <v>43245</v>
      </c>
      <c r="I721" s="825">
        <f t="shared" si="38"/>
        <v>2</v>
      </c>
    </row>
    <row r="722" spans="8:9">
      <c r="H722" s="1263">
        <v>43276</v>
      </c>
      <c r="I722" s="825">
        <f t="shared" si="38"/>
        <v>31</v>
      </c>
    </row>
    <row r="723" spans="8:9">
      <c r="H723" s="1263">
        <v>43277</v>
      </c>
      <c r="I723" s="825">
        <f t="shared" si="38"/>
        <v>1</v>
      </c>
    </row>
    <row r="724" spans="8:9">
      <c r="H724" s="1263">
        <v>43278</v>
      </c>
      <c r="I724" s="825">
        <f t="shared" si="38"/>
        <v>1</v>
      </c>
    </row>
    <row r="725" spans="8:9">
      <c r="H725" s="1263">
        <v>43283</v>
      </c>
      <c r="I725" s="825">
        <f t="shared" si="38"/>
        <v>5</v>
      </c>
    </row>
    <row r="726" spans="8:9">
      <c r="H726" s="1263">
        <v>43283</v>
      </c>
      <c r="I726" s="825">
        <f t="shared" si="38"/>
        <v>0</v>
      </c>
    </row>
    <row r="727" spans="8:9">
      <c r="H727" s="1263">
        <v>43288</v>
      </c>
      <c r="I727" s="825">
        <f t="shared" si="38"/>
        <v>5</v>
      </c>
    </row>
    <row r="728" spans="8:9">
      <c r="H728" s="1263">
        <v>43288</v>
      </c>
      <c r="I728" s="825">
        <f t="shared" si="38"/>
        <v>0</v>
      </c>
    </row>
    <row r="729" spans="8:9">
      <c r="H729" s="1263">
        <v>43291</v>
      </c>
      <c r="I729" s="825">
        <f t="shared" si="38"/>
        <v>3</v>
      </c>
    </row>
    <row r="730" spans="8:9">
      <c r="H730" s="1263">
        <v>43297</v>
      </c>
      <c r="I730" s="825">
        <f t="shared" si="38"/>
        <v>6</v>
      </c>
    </row>
    <row r="731" spans="8:9">
      <c r="H731" s="1263">
        <v>43309</v>
      </c>
      <c r="I731" s="825">
        <f t="shared" si="38"/>
        <v>12</v>
      </c>
    </row>
    <row r="732" spans="8:9">
      <c r="H732" s="1263">
        <v>43320</v>
      </c>
      <c r="I732" s="825">
        <f t="shared" si="38"/>
        <v>11</v>
      </c>
    </row>
    <row r="733" spans="8:9">
      <c r="H733" s="1263">
        <v>43321</v>
      </c>
      <c r="I733" s="825">
        <f t="shared" si="38"/>
        <v>1</v>
      </c>
    </row>
    <row r="734" spans="8:9">
      <c r="H734" s="1263">
        <v>43324</v>
      </c>
      <c r="I734" s="825">
        <f t="shared" si="38"/>
        <v>3</v>
      </c>
    </row>
    <row r="735" spans="8:9">
      <c r="H735" s="1263">
        <v>43324</v>
      </c>
      <c r="I735" s="825">
        <f t="shared" si="38"/>
        <v>0</v>
      </c>
    </row>
    <row r="736" spans="8:9">
      <c r="H736" s="1263">
        <v>43325</v>
      </c>
      <c r="I736" s="825">
        <f t="shared" si="38"/>
        <v>1</v>
      </c>
    </row>
    <row r="737" spans="8:9">
      <c r="H737" s="1263">
        <v>43341</v>
      </c>
      <c r="I737" s="825">
        <f t="shared" si="38"/>
        <v>16</v>
      </c>
    </row>
    <row r="738" spans="8:9">
      <c r="H738" s="1263">
        <v>43354</v>
      </c>
      <c r="I738" s="825">
        <f t="shared" si="38"/>
        <v>13</v>
      </c>
    </row>
    <row r="739" spans="8:9">
      <c r="H739" s="1263">
        <v>43356</v>
      </c>
      <c r="I739" s="825">
        <f t="shared" si="38"/>
        <v>2</v>
      </c>
    </row>
    <row r="740" spans="8:9">
      <c r="H740" s="1263">
        <v>43364</v>
      </c>
      <c r="I740" s="825">
        <f t="shared" si="38"/>
        <v>8</v>
      </c>
    </row>
    <row r="741" spans="8:9">
      <c r="H741" s="1263">
        <v>43365</v>
      </c>
      <c r="I741" s="825">
        <f t="shared" si="38"/>
        <v>1</v>
      </c>
    </row>
    <row r="742" spans="8:9">
      <c r="H742" s="1263">
        <v>43365</v>
      </c>
      <c r="I742" s="825">
        <f t="shared" si="38"/>
        <v>0</v>
      </c>
    </row>
    <row r="743" spans="8:9">
      <c r="H743" s="1263">
        <v>43367</v>
      </c>
      <c r="I743" s="825">
        <f t="shared" si="38"/>
        <v>2</v>
      </c>
    </row>
    <row r="744" spans="8:9" ht="15">
      <c r="H744" s="1282">
        <v>43374</v>
      </c>
      <c r="I744" s="825">
        <f t="shared" si="38"/>
        <v>7</v>
      </c>
    </row>
    <row r="745" spans="8:9" ht="15">
      <c r="H745" s="1282">
        <v>43385</v>
      </c>
      <c r="I745" s="825">
        <f t="shared" si="38"/>
        <v>11</v>
      </c>
    </row>
    <row r="746" spans="8:9" ht="15">
      <c r="H746" s="1282">
        <v>43390</v>
      </c>
      <c r="I746" s="825">
        <f t="shared" si="38"/>
        <v>5</v>
      </c>
    </row>
    <row r="747" spans="8:9" ht="15">
      <c r="H747" s="1282">
        <v>43405</v>
      </c>
      <c r="I747" s="825">
        <f t="shared" si="38"/>
        <v>15</v>
      </c>
    </row>
    <row r="748" spans="8:9" ht="15">
      <c r="H748" s="1282">
        <v>43409</v>
      </c>
      <c r="I748" s="825">
        <f t="shared" si="38"/>
        <v>4</v>
      </c>
    </row>
    <row r="749" spans="8:9" ht="15">
      <c r="H749" s="1282">
        <v>43412</v>
      </c>
      <c r="I749" s="825">
        <f t="shared" si="38"/>
        <v>3</v>
      </c>
    </row>
    <row r="750" spans="8:9" ht="15">
      <c r="H750" s="1282">
        <v>43412</v>
      </c>
      <c r="I750" s="825">
        <f t="shared" si="38"/>
        <v>0</v>
      </c>
    </row>
    <row r="751" spans="8:9" ht="15">
      <c r="H751" s="1282">
        <v>43417</v>
      </c>
      <c r="I751" s="825">
        <f t="shared" si="38"/>
        <v>5</v>
      </c>
    </row>
    <row r="752" spans="8:9" ht="15">
      <c r="H752" s="1282">
        <v>43421</v>
      </c>
      <c r="I752" s="825">
        <f t="shared" si="38"/>
        <v>4</v>
      </c>
    </row>
    <row r="753" spans="8:9" ht="15">
      <c r="H753" s="1282">
        <v>43427</v>
      </c>
      <c r="I753" s="825">
        <f t="shared" si="38"/>
        <v>6</v>
      </c>
    </row>
    <row r="754" spans="8:9" ht="15">
      <c r="H754" s="1282">
        <v>43427</v>
      </c>
      <c r="I754" s="825">
        <f t="shared" si="38"/>
        <v>0</v>
      </c>
    </row>
    <row r="755" spans="8:9" ht="15">
      <c r="H755" s="1282">
        <v>43431</v>
      </c>
      <c r="I755" s="825">
        <f t="shared" si="38"/>
        <v>4</v>
      </c>
    </row>
    <row r="756" spans="8:9" ht="15">
      <c r="H756" s="1282">
        <v>43431</v>
      </c>
      <c r="I756" s="825">
        <f t="shared" si="38"/>
        <v>0</v>
      </c>
    </row>
    <row r="757" spans="8:9" ht="15">
      <c r="H757" s="1282">
        <v>43431</v>
      </c>
      <c r="I757" s="825">
        <f t="shared" si="38"/>
        <v>0</v>
      </c>
    </row>
    <row r="758" spans="8:9" ht="15">
      <c r="H758" s="1282">
        <v>43432</v>
      </c>
      <c r="I758" s="825">
        <f t="shared" si="38"/>
        <v>1</v>
      </c>
    </row>
    <row r="759" spans="8:9" ht="17.399999999999999">
      <c r="H759" s="1298">
        <v>43440</v>
      </c>
      <c r="I759" s="825">
        <f t="shared" si="38"/>
        <v>8</v>
      </c>
    </row>
    <row r="760" spans="8:9" ht="17.399999999999999">
      <c r="H760" s="1298">
        <v>43464</v>
      </c>
      <c r="I760" s="825">
        <f t="shared" si="38"/>
        <v>24</v>
      </c>
    </row>
    <row r="761" spans="8:9">
      <c r="H761" s="1316">
        <v>43470</v>
      </c>
      <c r="I761" s="825">
        <f t="shared" si="38"/>
        <v>6</v>
      </c>
    </row>
    <row r="762" spans="8:9">
      <c r="H762" s="1316">
        <v>43474</v>
      </c>
      <c r="I762" s="825">
        <f t="shared" si="38"/>
        <v>4</v>
      </c>
    </row>
    <row r="763" spans="8:9">
      <c r="H763" s="1316">
        <v>43481</v>
      </c>
      <c r="I763" s="825">
        <f t="shared" si="38"/>
        <v>7</v>
      </c>
    </row>
    <row r="764" spans="8:9">
      <c r="H764" s="1316">
        <v>43486</v>
      </c>
      <c r="I764" s="825">
        <f t="shared" si="38"/>
        <v>5</v>
      </c>
    </row>
    <row r="765" spans="8:9">
      <c r="H765" s="1316">
        <v>43486</v>
      </c>
      <c r="I765" s="825">
        <f t="shared" si="38"/>
        <v>0</v>
      </c>
    </row>
    <row r="766" spans="8:9">
      <c r="H766" s="1316">
        <v>43493</v>
      </c>
      <c r="I766" s="825">
        <f t="shared" si="38"/>
        <v>7</v>
      </c>
    </row>
    <row r="767" spans="8:9">
      <c r="H767" s="1316">
        <v>43496</v>
      </c>
      <c r="I767" s="825">
        <f t="shared" si="38"/>
        <v>3</v>
      </c>
    </row>
    <row r="768" spans="8:9">
      <c r="H768" s="1316">
        <v>43498</v>
      </c>
      <c r="I768" s="825">
        <f t="shared" si="38"/>
        <v>2</v>
      </c>
    </row>
    <row r="769" spans="8:9">
      <c r="H769" s="1316">
        <v>43498</v>
      </c>
      <c r="I769" s="825">
        <f t="shared" si="38"/>
        <v>0</v>
      </c>
    </row>
    <row r="770" spans="8:9">
      <c r="H770" s="1316">
        <v>43509</v>
      </c>
      <c r="I770" s="825">
        <f t="shared" si="38"/>
        <v>11</v>
      </c>
    </row>
    <row r="771" spans="8:9">
      <c r="H771" s="1316">
        <v>43509</v>
      </c>
      <c r="I771" s="825">
        <f t="shared" si="38"/>
        <v>0</v>
      </c>
    </row>
    <row r="772" spans="8:9">
      <c r="H772" s="1316">
        <v>43510</v>
      </c>
      <c r="I772" s="825">
        <f t="shared" si="38"/>
        <v>1</v>
      </c>
    </row>
    <row r="773" spans="8:9">
      <c r="H773" s="1316">
        <v>43511</v>
      </c>
      <c r="I773" s="825">
        <f t="shared" si="38"/>
        <v>1</v>
      </c>
    </row>
    <row r="774" spans="8:9">
      <c r="H774" s="1355">
        <v>43519</v>
      </c>
      <c r="I774" s="825">
        <f t="shared" si="38"/>
        <v>8</v>
      </c>
    </row>
    <row r="775" spans="8:9">
      <c r="H775" s="1316">
        <v>43524</v>
      </c>
      <c r="I775" s="825">
        <f t="shared" si="38"/>
        <v>5</v>
      </c>
    </row>
    <row r="776" spans="8:9">
      <c r="H776" s="1348">
        <v>43525</v>
      </c>
      <c r="I776" s="825">
        <f t="shared" si="38"/>
        <v>1</v>
      </c>
    </row>
    <row r="777" spans="8:9">
      <c r="H777" s="1348">
        <v>43528</v>
      </c>
      <c r="I777" s="825">
        <f t="shared" si="38"/>
        <v>3</v>
      </c>
    </row>
    <row r="778" spans="8:9">
      <c r="H778" s="1348">
        <v>43530</v>
      </c>
      <c r="I778" s="825">
        <f t="shared" si="38"/>
        <v>2</v>
      </c>
    </row>
    <row r="779" spans="8:9">
      <c r="H779" s="1348">
        <v>43531</v>
      </c>
      <c r="I779" s="825">
        <f t="shared" si="38"/>
        <v>1</v>
      </c>
    </row>
    <row r="780" spans="8:9">
      <c r="H780" s="1348">
        <v>43545</v>
      </c>
      <c r="I780" s="825">
        <f t="shared" si="38"/>
        <v>14</v>
      </c>
    </row>
    <row r="781" spans="8:9">
      <c r="H781" s="1348">
        <v>43549</v>
      </c>
      <c r="I781" s="825">
        <f t="shared" si="38"/>
        <v>4</v>
      </c>
    </row>
    <row r="782" spans="8:9">
      <c r="H782" s="1348">
        <v>43551</v>
      </c>
      <c r="I782" s="825">
        <f t="shared" si="38"/>
        <v>2</v>
      </c>
    </row>
    <row r="783" spans="8:9">
      <c r="H783" s="1348">
        <v>43552</v>
      </c>
      <c r="I783" s="825">
        <f t="shared" si="38"/>
        <v>1</v>
      </c>
    </row>
    <row r="784" spans="8:9">
      <c r="H784" s="1348">
        <v>43556</v>
      </c>
      <c r="I784" s="825">
        <f t="shared" si="38"/>
        <v>4</v>
      </c>
    </row>
    <row r="785" spans="8:9">
      <c r="H785" s="1348">
        <v>43564</v>
      </c>
      <c r="I785" s="825">
        <f t="shared" ref="I785:I844" si="39">+H785-H784</f>
        <v>8</v>
      </c>
    </row>
    <row r="786" spans="8:9">
      <c r="H786" s="1348">
        <v>43573</v>
      </c>
      <c r="I786" s="825">
        <f t="shared" si="39"/>
        <v>9</v>
      </c>
    </row>
    <row r="787" spans="8:9">
      <c r="H787" s="1348">
        <v>43574</v>
      </c>
      <c r="I787" s="825">
        <f t="shared" si="39"/>
        <v>1</v>
      </c>
    </row>
    <row r="788" spans="8:9">
      <c r="H788" s="1348">
        <v>43576</v>
      </c>
      <c r="I788" s="825">
        <f t="shared" si="39"/>
        <v>2</v>
      </c>
    </row>
    <row r="789" spans="8:9">
      <c r="H789" s="1348">
        <v>43580</v>
      </c>
      <c r="I789" s="825">
        <f t="shared" si="39"/>
        <v>4</v>
      </c>
    </row>
    <row r="790" spans="8:9">
      <c r="H790" s="1348">
        <v>43581</v>
      </c>
      <c r="I790" s="825">
        <f t="shared" si="39"/>
        <v>1</v>
      </c>
    </row>
    <row r="791" spans="8:9">
      <c r="H791" s="1348">
        <v>43585</v>
      </c>
      <c r="I791" s="825">
        <f t="shared" si="39"/>
        <v>4</v>
      </c>
    </row>
    <row r="792" spans="8:9">
      <c r="H792" s="1348">
        <v>43593</v>
      </c>
      <c r="I792" s="825">
        <f t="shared" si="39"/>
        <v>8</v>
      </c>
    </row>
    <row r="793" spans="8:9">
      <c r="H793" s="1348">
        <v>43596</v>
      </c>
      <c r="I793" s="825">
        <f t="shared" si="39"/>
        <v>3</v>
      </c>
    </row>
    <row r="794" spans="8:9">
      <c r="H794" s="1348">
        <v>43599</v>
      </c>
      <c r="I794" s="825">
        <f t="shared" si="39"/>
        <v>3</v>
      </c>
    </row>
    <row r="795" spans="8:9">
      <c r="H795" s="1348">
        <v>43601</v>
      </c>
      <c r="I795" s="825">
        <f t="shared" si="39"/>
        <v>2</v>
      </c>
    </row>
    <row r="796" spans="8:9">
      <c r="H796" s="1348">
        <v>43602</v>
      </c>
      <c r="I796" s="825">
        <f t="shared" si="39"/>
        <v>1</v>
      </c>
    </row>
    <row r="797" spans="8:9">
      <c r="H797" s="1348">
        <v>43607</v>
      </c>
      <c r="I797" s="825">
        <f t="shared" si="39"/>
        <v>5</v>
      </c>
    </row>
    <row r="798" spans="8:9">
      <c r="H798" s="1348">
        <v>43608</v>
      </c>
      <c r="I798" s="825">
        <f t="shared" si="39"/>
        <v>1</v>
      </c>
    </row>
    <row r="799" spans="8:9">
      <c r="H799" s="1348">
        <v>43614</v>
      </c>
      <c r="I799" s="825">
        <f t="shared" si="39"/>
        <v>6</v>
      </c>
    </row>
    <row r="800" spans="8:9">
      <c r="H800" s="1348">
        <v>43617</v>
      </c>
      <c r="I800" s="825">
        <f t="shared" si="39"/>
        <v>3</v>
      </c>
    </row>
    <row r="801" spans="8:9">
      <c r="H801" s="1348">
        <v>43621</v>
      </c>
      <c r="I801" s="825">
        <f t="shared" si="39"/>
        <v>4</v>
      </c>
    </row>
    <row r="802" spans="8:9">
      <c r="H802" s="1348">
        <v>43624</v>
      </c>
      <c r="I802" s="825">
        <f t="shared" si="39"/>
        <v>3</v>
      </c>
    </row>
    <row r="803" spans="8:9">
      <c r="H803" s="1348">
        <v>43626</v>
      </c>
      <c r="I803" s="825">
        <f t="shared" si="39"/>
        <v>2</v>
      </c>
    </row>
    <row r="804" spans="8:9">
      <c r="H804" s="1348">
        <v>43628</v>
      </c>
      <c r="I804" s="825">
        <f t="shared" si="39"/>
        <v>2</v>
      </c>
    </row>
    <row r="805" spans="8:9">
      <c r="H805" s="1348">
        <v>43633</v>
      </c>
      <c r="I805" s="825">
        <f t="shared" si="39"/>
        <v>5</v>
      </c>
    </row>
    <row r="806" spans="8:9">
      <c r="H806" s="1348">
        <v>43636</v>
      </c>
      <c r="I806" s="825">
        <f t="shared" si="39"/>
        <v>3</v>
      </c>
    </row>
    <row r="807" spans="8:9">
      <c r="H807" s="1348">
        <v>43648</v>
      </c>
      <c r="I807" s="825">
        <f t="shared" si="39"/>
        <v>12</v>
      </c>
    </row>
    <row r="808" spans="8:9">
      <c r="H808" s="1348">
        <v>43651</v>
      </c>
      <c r="I808" s="825">
        <f t="shared" si="39"/>
        <v>3</v>
      </c>
    </row>
    <row r="809" spans="8:9">
      <c r="H809" s="1348">
        <v>43651</v>
      </c>
      <c r="I809" s="825">
        <f t="shared" si="39"/>
        <v>0</v>
      </c>
    </row>
    <row r="810" spans="8:9">
      <c r="H810" s="1348">
        <v>43657</v>
      </c>
      <c r="I810" s="825">
        <f t="shared" si="39"/>
        <v>6</v>
      </c>
    </row>
    <row r="811" spans="8:9">
      <c r="H811" s="1348">
        <v>43662</v>
      </c>
      <c r="I811" s="825">
        <f t="shared" si="39"/>
        <v>5</v>
      </c>
    </row>
    <row r="812" spans="8:9">
      <c r="H812" s="1348">
        <v>43665</v>
      </c>
      <c r="I812" s="825">
        <f t="shared" si="39"/>
        <v>3</v>
      </c>
    </row>
    <row r="813" spans="8:9">
      <c r="H813" s="1348">
        <v>43663</v>
      </c>
      <c r="I813" s="825">
        <f t="shared" si="39"/>
        <v>-2</v>
      </c>
    </row>
    <row r="814" spans="8:9">
      <c r="H814" s="1348">
        <v>43670</v>
      </c>
      <c r="I814" s="825">
        <f t="shared" si="39"/>
        <v>7</v>
      </c>
    </row>
    <row r="815" spans="8:9">
      <c r="H815" s="1348">
        <v>43677</v>
      </c>
      <c r="I815" s="825">
        <f t="shared" si="39"/>
        <v>7</v>
      </c>
    </row>
    <row r="816" spans="8:9">
      <c r="H816" s="1348">
        <v>43679</v>
      </c>
      <c r="I816" s="825">
        <f t="shared" si="39"/>
        <v>2</v>
      </c>
    </row>
    <row r="817" spans="8:9">
      <c r="H817" s="1348">
        <v>43689</v>
      </c>
      <c r="I817" s="825">
        <f t="shared" si="39"/>
        <v>10</v>
      </c>
    </row>
    <row r="818" spans="8:9">
      <c r="H818" s="1348">
        <v>43694</v>
      </c>
      <c r="I818" s="825">
        <f t="shared" si="39"/>
        <v>5</v>
      </c>
    </row>
    <row r="819" spans="8:9">
      <c r="H819" s="1348">
        <v>43697</v>
      </c>
      <c r="I819" s="825">
        <f t="shared" si="39"/>
        <v>3</v>
      </c>
    </row>
    <row r="820" spans="8:9">
      <c r="H820" s="1348">
        <v>43700</v>
      </c>
      <c r="I820" s="825">
        <f t="shared" si="39"/>
        <v>3</v>
      </c>
    </row>
    <row r="821" spans="8:9">
      <c r="H821" s="1348">
        <v>43701</v>
      </c>
      <c r="I821" s="825">
        <f t="shared" si="39"/>
        <v>1</v>
      </c>
    </row>
    <row r="822" spans="8:9">
      <c r="H822" s="1348">
        <v>43713</v>
      </c>
      <c r="I822" s="825">
        <f t="shared" si="39"/>
        <v>12</v>
      </c>
    </row>
    <row r="823" spans="8:9">
      <c r="H823" s="1348">
        <v>43716</v>
      </c>
      <c r="I823" s="825">
        <f t="shared" si="39"/>
        <v>3</v>
      </c>
    </row>
    <row r="824" spans="8:9">
      <c r="H824" s="1348">
        <v>43723</v>
      </c>
      <c r="I824" s="825">
        <f t="shared" si="39"/>
        <v>7</v>
      </c>
    </row>
    <row r="825" spans="8:9">
      <c r="H825" s="1348">
        <v>43727</v>
      </c>
      <c r="I825" s="825">
        <f t="shared" si="39"/>
        <v>4</v>
      </c>
    </row>
    <row r="826" spans="8:9">
      <c r="H826" s="1348">
        <v>43729</v>
      </c>
      <c r="I826" s="825">
        <f t="shared" si="39"/>
        <v>2</v>
      </c>
    </row>
    <row r="827" spans="8:9">
      <c r="H827" s="1348">
        <v>43752</v>
      </c>
      <c r="I827" s="825">
        <f t="shared" si="39"/>
        <v>23</v>
      </c>
    </row>
    <row r="828" spans="8:9">
      <c r="H828" s="1348">
        <v>43752</v>
      </c>
      <c r="I828" s="825">
        <f t="shared" si="39"/>
        <v>0</v>
      </c>
    </row>
    <row r="829" spans="8:9">
      <c r="H829" s="1418">
        <v>43754</v>
      </c>
      <c r="I829" s="825">
        <f t="shared" si="39"/>
        <v>2</v>
      </c>
    </row>
    <row r="830" spans="8:9">
      <c r="H830" s="1348">
        <v>43755</v>
      </c>
      <c r="I830" s="825">
        <f t="shared" si="39"/>
        <v>1</v>
      </c>
    </row>
    <row r="831" spans="8:9">
      <c r="H831" s="1418">
        <v>43755</v>
      </c>
      <c r="I831" s="825">
        <f t="shared" si="39"/>
        <v>0</v>
      </c>
    </row>
    <row r="832" spans="8:9">
      <c r="H832" s="1348">
        <v>43756</v>
      </c>
      <c r="I832" s="825">
        <f t="shared" si="39"/>
        <v>1</v>
      </c>
    </row>
    <row r="833" spans="8:9">
      <c r="H833" s="1348">
        <v>43767</v>
      </c>
      <c r="I833" s="825">
        <f t="shared" si="39"/>
        <v>11</v>
      </c>
    </row>
    <row r="834" spans="8:9">
      <c r="H834" s="1348">
        <v>43782</v>
      </c>
      <c r="I834" s="825">
        <f t="shared" si="39"/>
        <v>15</v>
      </c>
    </row>
    <row r="835" spans="8:9">
      <c r="H835" s="1348">
        <v>43783</v>
      </c>
      <c r="I835" s="825">
        <f t="shared" si="39"/>
        <v>1</v>
      </c>
    </row>
    <row r="836" spans="8:9">
      <c r="H836" s="1348">
        <v>43786</v>
      </c>
      <c r="I836" s="825">
        <f t="shared" si="39"/>
        <v>3</v>
      </c>
    </row>
    <row r="837" spans="8:9">
      <c r="H837" s="1348">
        <v>43787</v>
      </c>
      <c r="I837" s="825">
        <f t="shared" si="39"/>
        <v>1</v>
      </c>
    </row>
    <row r="838" spans="8:9">
      <c r="H838" s="1348">
        <v>43787</v>
      </c>
      <c r="I838" s="825">
        <f t="shared" si="39"/>
        <v>0</v>
      </c>
    </row>
    <row r="839" spans="8:9">
      <c r="H839" s="1348">
        <v>43789</v>
      </c>
      <c r="I839" s="825">
        <f t="shared" si="39"/>
        <v>2</v>
      </c>
    </row>
    <row r="840" spans="8:9">
      <c r="H840" s="1348">
        <v>43796</v>
      </c>
      <c r="I840" s="825">
        <f t="shared" si="39"/>
        <v>7</v>
      </c>
    </row>
    <row r="841" spans="8:9">
      <c r="H841" s="1348">
        <v>43801</v>
      </c>
      <c r="I841" s="825">
        <f t="shared" si="39"/>
        <v>5</v>
      </c>
    </row>
    <row r="842" spans="8:9">
      <c r="H842" s="1348">
        <v>43803</v>
      </c>
      <c r="I842" s="825">
        <f t="shared" si="39"/>
        <v>2</v>
      </c>
    </row>
    <row r="843" spans="8:9">
      <c r="H843" s="1348">
        <v>43811</v>
      </c>
      <c r="I843" s="825">
        <f t="shared" si="39"/>
        <v>8</v>
      </c>
    </row>
    <row r="844" spans="8:9">
      <c r="H844" s="1348">
        <v>43814</v>
      </c>
      <c r="I844" s="825">
        <f t="shared" si="39"/>
        <v>3</v>
      </c>
    </row>
    <row r="845" spans="8:9">
      <c r="H845" s="1348">
        <v>43820</v>
      </c>
      <c r="I845" s="825">
        <f>+H845-H844</f>
        <v>6</v>
      </c>
    </row>
    <row r="846" spans="8:9">
      <c r="H846" s="1348">
        <v>43855</v>
      </c>
      <c r="I846" s="838">
        <f>+H846-H845</f>
        <v>35</v>
      </c>
    </row>
    <row r="847" spans="8:9">
      <c r="H847" s="1348">
        <v>43855</v>
      </c>
      <c r="I847" s="825">
        <f>+H847-H846</f>
        <v>0</v>
      </c>
    </row>
    <row r="848" spans="8:9">
      <c r="H848" s="1348">
        <v>43859</v>
      </c>
      <c r="I848" s="825">
        <f>+H848-H847</f>
        <v>4</v>
      </c>
    </row>
    <row r="849" spans="8:9">
      <c r="H849" s="1348">
        <v>43859</v>
      </c>
      <c r="I849" s="825">
        <f>+H849-H848</f>
        <v>0</v>
      </c>
    </row>
    <row r="850" spans="8:9" ht="11.1" customHeight="1">
      <c r="H850" s="1348">
        <v>43871</v>
      </c>
      <c r="I850" s="825">
        <f t="shared" ref="I850:I913" si="40">+H850-H849</f>
        <v>12</v>
      </c>
    </row>
    <row r="851" spans="8:9">
      <c r="H851" s="1348">
        <v>43873</v>
      </c>
      <c r="I851" s="825">
        <f t="shared" si="40"/>
        <v>2</v>
      </c>
    </row>
    <row r="852" spans="8:9">
      <c r="H852" s="1348">
        <v>43874</v>
      </c>
      <c r="I852" s="825">
        <f t="shared" si="40"/>
        <v>1</v>
      </c>
    </row>
    <row r="853" spans="8:9">
      <c r="H853" s="1348">
        <v>43879</v>
      </c>
      <c r="I853" s="825">
        <f t="shared" si="40"/>
        <v>5</v>
      </c>
    </row>
    <row r="854" spans="8:9">
      <c r="H854" s="1348">
        <v>43880</v>
      </c>
      <c r="I854" s="825">
        <f t="shared" si="40"/>
        <v>1</v>
      </c>
    </row>
    <row r="855" spans="8:9">
      <c r="H855" s="1348">
        <v>43881</v>
      </c>
      <c r="I855" s="825">
        <f t="shared" si="40"/>
        <v>1</v>
      </c>
    </row>
    <row r="856" spans="8:9">
      <c r="H856" s="1348">
        <v>43886</v>
      </c>
      <c r="I856" s="825">
        <f t="shared" si="40"/>
        <v>5</v>
      </c>
    </row>
    <row r="857" spans="8:9">
      <c r="H857" s="1348">
        <v>43894</v>
      </c>
      <c r="I857" s="825">
        <f t="shared" si="40"/>
        <v>8</v>
      </c>
    </row>
    <row r="858" spans="8:9">
      <c r="H858" s="1348">
        <v>43899</v>
      </c>
      <c r="I858" s="825">
        <f t="shared" si="40"/>
        <v>5</v>
      </c>
    </row>
    <row r="859" spans="8:9">
      <c r="H859" s="1348">
        <v>43903</v>
      </c>
      <c r="I859" s="825">
        <f t="shared" si="40"/>
        <v>4</v>
      </c>
    </row>
    <row r="860" spans="8:9">
      <c r="H860" s="1348">
        <v>43905</v>
      </c>
      <c r="I860" s="825">
        <f t="shared" si="40"/>
        <v>2</v>
      </c>
    </row>
    <row r="861" spans="8:9">
      <c r="H861" s="1348">
        <v>43906</v>
      </c>
      <c r="I861" s="825">
        <f t="shared" si="40"/>
        <v>1</v>
      </c>
    </row>
    <row r="862" spans="8:9">
      <c r="H862" s="1348">
        <v>43914</v>
      </c>
      <c r="I862" s="825">
        <f t="shared" si="40"/>
        <v>8</v>
      </c>
    </row>
    <row r="863" spans="8:9">
      <c r="H863" s="1348">
        <v>43914</v>
      </c>
      <c r="I863" s="825">
        <f t="shared" si="40"/>
        <v>0</v>
      </c>
    </row>
    <row r="864" spans="8:9">
      <c r="H864" s="1348">
        <v>43916</v>
      </c>
      <c r="I864" s="825">
        <f t="shared" si="40"/>
        <v>2</v>
      </c>
    </row>
    <row r="865" spans="8:9">
      <c r="H865" s="1348">
        <v>43924</v>
      </c>
      <c r="I865" s="825">
        <f t="shared" si="40"/>
        <v>8</v>
      </c>
    </row>
    <row r="866" spans="8:9">
      <c r="H866" s="1348">
        <v>43927</v>
      </c>
      <c r="I866" s="825">
        <f t="shared" si="40"/>
        <v>3</v>
      </c>
    </row>
    <row r="867" spans="8:9">
      <c r="H867" s="1525">
        <v>43931</v>
      </c>
      <c r="I867" s="825">
        <f t="shared" si="40"/>
        <v>4</v>
      </c>
    </row>
    <row r="868" spans="8:9">
      <c r="H868" s="1355">
        <v>43936</v>
      </c>
      <c r="I868" s="825">
        <f t="shared" si="40"/>
        <v>5</v>
      </c>
    </row>
    <row r="869" spans="8:9">
      <c r="H869" s="1355">
        <v>43945</v>
      </c>
      <c r="I869" s="825">
        <f t="shared" si="40"/>
        <v>9</v>
      </c>
    </row>
    <row r="870" spans="8:9">
      <c r="H870" s="1355">
        <v>43948</v>
      </c>
      <c r="I870" s="825">
        <f t="shared" si="40"/>
        <v>3</v>
      </c>
    </row>
    <row r="871" spans="8:9">
      <c r="H871" s="1355">
        <v>43957</v>
      </c>
      <c r="I871" s="825">
        <f t="shared" si="40"/>
        <v>9</v>
      </c>
    </row>
    <row r="872" spans="8:9">
      <c r="H872" s="1355">
        <v>43960</v>
      </c>
      <c r="I872" s="825">
        <f t="shared" si="40"/>
        <v>3</v>
      </c>
    </row>
    <row r="873" spans="8:9">
      <c r="H873" s="1355">
        <v>43965</v>
      </c>
      <c r="I873" s="825">
        <f t="shared" si="40"/>
        <v>5</v>
      </c>
    </row>
    <row r="874" spans="8:9">
      <c r="H874" s="1355">
        <v>43973</v>
      </c>
      <c r="I874" s="825">
        <f t="shared" si="40"/>
        <v>8</v>
      </c>
    </row>
    <row r="875" spans="8:9">
      <c r="H875" s="1355">
        <v>43989</v>
      </c>
      <c r="I875" s="825">
        <f t="shared" si="40"/>
        <v>16</v>
      </c>
    </row>
    <row r="876" spans="8:9">
      <c r="H876" s="1355">
        <v>44014</v>
      </c>
      <c r="I876" s="825">
        <f t="shared" si="40"/>
        <v>25</v>
      </c>
    </row>
    <row r="877" spans="8:9">
      <c r="H877" s="1355">
        <v>44018</v>
      </c>
      <c r="I877" s="825">
        <f t="shared" si="40"/>
        <v>4</v>
      </c>
    </row>
    <row r="878" spans="8:9">
      <c r="H878" s="1355">
        <v>44019</v>
      </c>
      <c r="I878" s="825">
        <f t="shared" si="40"/>
        <v>1</v>
      </c>
    </row>
    <row r="879" spans="8:9">
      <c r="H879" s="1355">
        <v>44020</v>
      </c>
      <c r="I879" s="825">
        <f t="shared" si="40"/>
        <v>1</v>
      </c>
    </row>
    <row r="880" spans="8:9">
      <c r="H880" s="1355">
        <v>44033</v>
      </c>
      <c r="I880" s="825">
        <f t="shared" si="40"/>
        <v>13</v>
      </c>
    </row>
    <row r="881" spans="8:9">
      <c r="H881" s="1312">
        <v>44036</v>
      </c>
      <c r="I881" s="825">
        <f t="shared" si="40"/>
        <v>3</v>
      </c>
    </row>
    <row r="882" spans="8:9">
      <c r="H882" s="1355">
        <v>44039</v>
      </c>
      <c r="I882" s="825">
        <f t="shared" si="40"/>
        <v>3</v>
      </c>
    </row>
    <row r="883" spans="8:9">
      <c r="H883" s="1316">
        <v>44046</v>
      </c>
      <c r="I883" s="825">
        <f t="shared" si="40"/>
        <v>7</v>
      </c>
    </row>
    <row r="884" spans="8:9">
      <c r="H884" s="1355">
        <v>44047</v>
      </c>
      <c r="I884" s="825">
        <f t="shared" si="40"/>
        <v>1</v>
      </c>
    </row>
    <row r="885" spans="8:9">
      <c r="H885" s="1355">
        <v>44054</v>
      </c>
      <c r="I885" s="825">
        <f t="shared" si="40"/>
        <v>7</v>
      </c>
    </row>
    <row r="886" spans="8:9">
      <c r="H886" s="1316">
        <v>44057</v>
      </c>
      <c r="I886" s="825">
        <f t="shared" si="40"/>
        <v>3</v>
      </c>
    </row>
    <row r="887" spans="8:9">
      <c r="H887" s="1316">
        <v>44058</v>
      </c>
      <c r="I887" s="825">
        <f t="shared" si="40"/>
        <v>1</v>
      </c>
    </row>
    <row r="888" spans="8:9">
      <c r="H888" s="1355">
        <v>44070</v>
      </c>
      <c r="I888" s="825">
        <f t="shared" si="40"/>
        <v>12</v>
      </c>
    </row>
    <row r="889" spans="8:9" ht="14.4">
      <c r="H889" s="1539">
        <v>44072</v>
      </c>
      <c r="I889" s="825">
        <f t="shared" si="40"/>
        <v>2</v>
      </c>
    </row>
    <row r="890" spans="8:9">
      <c r="H890" s="1355">
        <v>44083</v>
      </c>
      <c r="I890" s="825">
        <f t="shared" si="40"/>
        <v>11</v>
      </c>
    </row>
    <row r="891" spans="8:9">
      <c r="H891" s="1355">
        <v>44083</v>
      </c>
      <c r="I891" s="825">
        <f t="shared" si="40"/>
        <v>0</v>
      </c>
    </row>
    <row r="892" spans="8:9">
      <c r="H892" s="1355">
        <v>44090</v>
      </c>
      <c r="I892" s="825">
        <f t="shared" si="40"/>
        <v>7</v>
      </c>
    </row>
    <row r="893" spans="8:9">
      <c r="H893" s="1355">
        <v>44093</v>
      </c>
      <c r="I893" s="825">
        <f t="shared" si="40"/>
        <v>3</v>
      </c>
    </row>
    <row r="894" spans="8:9">
      <c r="H894" s="1355">
        <v>44096</v>
      </c>
      <c r="I894" s="825">
        <f t="shared" si="40"/>
        <v>3</v>
      </c>
    </row>
    <row r="895" spans="8:9">
      <c r="H895" s="1355">
        <v>44096</v>
      </c>
      <c r="I895" s="825">
        <f t="shared" si="40"/>
        <v>0</v>
      </c>
    </row>
    <row r="896" spans="8:9">
      <c r="H896" s="1355">
        <v>44099</v>
      </c>
      <c r="I896" s="825">
        <f t="shared" si="40"/>
        <v>3</v>
      </c>
    </row>
    <row r="897" spans="8:9">
      <c r="H897" s="1355">
        <v>44113</v>
      </c>
      <c r="I897" s="825">
        <f t="shared" si="40"/>
        <v>14</v>
      </c>
    </row>
    <row r="898" spans="8:9">
      <c r="H898" s="1355">
        <v>44117</v>
      </c>
      <c r="I898" s="825">
        <f t="shared" si="40"/>
        <v>4</v>
      </c>
    </row>
    <row r="899" spans="8:9">
      <c r="H899" s="1355">
        <v>44120</v>
      </c>
      <c r="I899" s="825">
        <f t="shared" si="40"/>
        <v>3</v>
      </c>
    </row>
    <row r="900" spans="8:9">
      <c r="H900" s="1355">
        <v>44124</v>
      </c>
      <c r="I900" s="825">
        <f t="shared" si="40"/>
        <v>4</v>
      </c>
    </row>
    <row r="901" spans="8:9">
      <c r="H901" s="1355">
        <v>44125</v>
      </c>
      <c r="I901" s="825">
        <f t="shared" si="40"/>
        <v>1</v>
      </c>
    </row>
    <row r="902" spans="8:9">
      <c r="H902" s="1355">
        <v>44127</v>
      </c>
      <c r="I902" s="825">
        <f t="shared" si="40"/>
        <v>2</v>
      </c>
    </row>
    <row r="903" spans="8:9">
      <c r="H903" s="1355">
        <v>44135</v>
      </c>
      <c r="I903" s="825">
        <f t="shared" si="40"/>
        <v>8</v>
      </c>
    </row>
    <row r="904" spans="8:9" ht="13.8">
      <c r="H904" s="1620">
        <v>44138</v>
      </c>
      <c r="I904" s="825">
        <f t="shared" si="40"/>
        <v>3</v>
      </c>
    </row>
    <row r="905" spans="8:9" ht="13.8">
      <c r="H905" s="1620">
        <v>44139</v>
      </c>
      <c r="I905" s="825">
        <f t="shared" si="40"/>
        <v>1</v>
      </c>
    </row>
    <row r="906" spans="8:9" ht="13.8">
      <c r="H906" s="1620">
        <v>44159</v>
      </c>
      <c r="I906" s="825">
        <f t="shared" si="40"/>
        <v>20</v>
      </c>
    </row>
    <row r="907" spans="8:9" ht="13.8">
      <c r="H907" s="1620">
        <v>44165</v>
      </c>
      <c r="I907" s="825">
        <f t="shared" si="40"/>
        <v>6</v>
      </c>
    </row>
    <row r="908" spans="8:9" ht="13.8">
      <c r="H908" s="1620">
        <v>44180</v>
      </c>
      <c r="I908" s="825">
        <f t="shared" si="40"/>
        <v>15</v>
      </c>
    </row>
    <row r="909" spans="8:9" ht="13.8">
      <c r="H909" s="1620">
        <v>44181</v>
      </c>
      <c r="I909" s="825">
        <f t="shared" si="40"/>
        <v>1</v>
      </c>
    </row>
    <row r="910" spans="8:9" ht="13.8">
      <c r="H910" s="1626">
        <v>44194</v>
      </c>
      <c r="I910" s="825">
        <f t="shared" si="40"/>
        <v>13</v>
      </c>
    </row>
    <row r="911" spans="8:9" ht="13.8">
      <c r="H911" s="1656">
        <v>44201</v>
      </c>
      <c r="I911" s="825">
        <f t="shared" si="40"/>
        <v>7</v>
      </c>
    </row>
    <row r="912" spans="8:9" ht="13.8">
      <c r="H912" s="1656">
        <v>44202</v>
      </c>
      <c r="I912" s="825">
        <f t="shared" si="40"/>
        <v>1</v>
      </c>
    </row>
    <row r="913" spans="8:9" ht="13.8">
      <c r="H913" s="1656">
        <v>44202</v>
      </c>
      <c r="I913" s="825">
        <f t="shared" si="40"/>
        <v>0</v>
      </c>
    </row>
    <row r="914" spans="8:9" ht="13.8">
      <c r="H914" s="1656">
        <v>44213</v>
      </c>
      <c r="I914" s="825">
        <f t="shared" ref="I914:I937" si="41">+H914-H913</f>
        <v>11</v>
      </c>
    </row>
    <row r="915" spans="8:9" ht="13.8">
      <c r="H915" s="1656">
        <v>44215</v>
      </c>
      <c r="I915" s="825">
        <f t="shared" si="41"/>
        <v>2</v>
      </c>
    </row>
    <row r="916" spans="8:9" ht="13.8">
      <c r="H916" s="1656">
        <v>44215</v>
      </c>
      <c r="I916" s="825">
        <f t="shared" si="41"/>
        <v>0</v>
      </c>
    </row>
    <row r="917" spans="8:9" ht="13.8">
      <c r="H917" s="1656">
        <v>44219</v>
      </c>
      <c r="I917" s="825">
        <f t="shared" si="41"/>
        <v>4</v>
      </c>
    </row>
    <row r="918" spans="8:9" ht="13.8">
      <c r="H918" s="1656">
        <v>44224</v>
      </c>
      <c r="I918" s="825">
        <f t="shared" si="41"/>
        <v>5</v>
      </c>
    </row>
    <row r="919" spans="8:9" ht="13.8">
      <c r="H919" s="1656">
        <v>44226</v>
      </c>
      <c r="I919" s="825">
        <f t="shared" si="41"/>
        <v>2</v>
      </c>
    </row>
    <row r="920" spans="8:9" ht="13.8">
      <c r="H920" s="1656">
        <v>44227</v>
      </c>
      <c r="I920" s="825">
        <f t="shared" si="41"/>
        <v>1</v>
      </c>
    </row>
    <row r="921" spans="8:9" ht="13.8">
      <c r="H921" s="1656">
        <v>44230</v>
      </c>
      <c r="I921" s="825">
        <f t="shared" si="41"/>
        <v>3</v>
      </c>
    </row>
    <row r="922" spans="8:9" ht="13.8">
      <c r="H922" s="1656">
        <v>44231</v>
      </c>
      <c r="I922" s="825">
        <f t="shared" si="41"/>
        <v>1</v>
      </c>
    </row>
    <row r="923" spans="8:9" ht="13.8">
      <c r="H923" s="1656">
        <v>44237</v>
      </c>
      <c r="I923" s="825">
        <f t="shared" si="41"/>
        <v>6</v>
      </c>
    </row>
    <row r="924" spans="8:9" ht="13.8">
      <c r="H924" s="1656">
        <v>44256</v>
      </c>
      <c r="I924" s="825">
        <f t="shared" si="41"/>
        <v>19</v>
      </c>
    </row>
    <row r="925" spans="8:9" ht="13.8">
      <c r="H925" s="1656">
        <v>44262</v>
      </c>
      <c r="I925" s="825">
        <f t="shared" si="41"/>
        <v>6</v>
      </c>
    </row>
    <row r="926" spans="8:9" ht="13.8">
      <c r="H926" s="1656">
        <v>44267</v>
      </c>
      <c r="I926" s="825">
        <f t="shared" si="41"/>
        <v>5</v>
      </c>
    </row>
    <row r="927" spans="8:9" ht="13.8">
      <c r="H927" s="1656">
        <v>44271</v>
      </c>
      <c r="I927" s="825">
        <f t="shared" si="41"/>
        <v>4</v>
      </c>
    </row>
    <row r="928" spans="8:9" ht="13.8">
      <c r="H928" s="1656">
        <v>44272</v>
      </c>
      <c r="I928" s="825">
        <f t="shared" si="41"/>
        <v>1</v>
      </c>
    </row>
    <row r="929" spans="8:9" ht="13.8">
      <c r="H929" s="1656">
        <v>44277</v>
      </c>
      <c r="I929" s="825">
        <f t="shared" si="41"/>
        <v>5</v>
      </c>
    </row>
    <row r="930" spans="8:9" ht="13.8">
      <c r="H930" s="1656">
        <v>44279</v>
      </c>
      <c r="I930" s="825">
        <f t="shared" si="41"/>
        <v>2</v>
      </c>
    </row>
    <row r="931" spans="8:9" ht="13.8">
      <c r="H931" s="1656">
        <v>44280</v>
      </c>
      <c r="I931" s="825">
        <f t="shared" si="41"/>
        <v>1</v>
      </c>
    </row>
    <row r="932" spans="8:9" ht="13.8">
      <c r="H932" s="1656">
        <v>44291</v>
      </c>
      <c r="I932" s="825">
        <f t="shared" si="41"/>
        <v>11</v>
      </c>
    </row>
    <row r="933" spans="8:9" ht="13.8">
      <c r="H933" s="1656">
        <v>44297</v>
      </c>
      <c r="I933" s="825">
        <f t="shared" si="41"/>
        <v>6</v>
      </c>
    </row>
    <row r="934" spans="8:9" ht="13.8">
      <c r="H934" s="1656">
        <v>44300</v>
      </c>
      <c r="I934" s="825">
        <f t="shared" si="41"/>
        <v>3</v>
      </c>
    </row>
    <row r="935" spans="8:9" ht="13.8">
      <c r="H935" s="1656">
        <v>44307</v>
      </c>
      <c r="I935" s="825">
        <f t="shared" si="41"/>
        <v>7</v>
      </c>
    </row>
    <row r="936" spans="8:9" ht="13.8">
      <c r="H936" s="1656">
        <v>44312</v>
      </c>
      <c r="I936" s="825">
        <f t="shared" si="41"/>
        <v>5</v>
      </c>
    </row>
    <row r="937" spans="8:9" ht="13.8">
      <c r="H937" s="1656">
        <v>44314</v>
      </c>
      <c r="I937" s="825">
        <f t="shared" si="41"/>
        <v>2</v>
      </c>
    </row>
  </sheetData>
  <mergeCells count="33">
    <mergeCell ref="B243:B260"/>
    <mergeCell ref="B261:B279"/>
    <mergeCell ref="B128:B143"/>
    <mergeCell ref="B144:B172"/>
    <mergeCell ref="B173:B212"/>
    <mergeCell ref="B213:B217"/>
    <mergeCell ref="B218:B231"/>
    <mergeCell ref="B233:B242"/>
    <mergeCell ref="CC2:CG2"/>
    <mergeCell ref="CI2:CM2"/>
    <mergeCell ref="CO2:CS2"/>
    <mergeCell ref="B4:B6"/>
    <mergeCell ref="B7:B24"/>
    <mergeCell ref="AM2:AO2"/>
    <mergeCell ref="AQ2:AS2"/>
    <mergeCell ref="AU2:AW2"/>
    <mergeCell ref="BE2:BI2"/>
    <mergeCell ref="BK2:BO2"/>
    <mergeCell ref="BQ2:BU2"/>
    <mergeCell ref="B2:C2"/>
    <mergeCell ref="S2:U2"/>
    <mergeCell ref="W2:Y2"/>
    <mergeCell ref="AA2:AC2"/>
    <mergeCell ref="AE2:AG2"/>
    <mergeCell ref="AI2:AK2"/>
    <mergeCell ref="B111:B127"/>
    <mergeCell ref="BW2:CA2"/>
    <mergeCell ref="B25:B46"/>
    <mergeCell ref="B47:B60"/>
    <mergeCell ref="B61:B69"/>
    <mergeCell ref="B70:B86"/>
    <mergeCell ref="B87:B110"/>
    <mergeCell ref="M44:R44"/>
  </mergeCells>
  <hyperlinks>
    <hyperlink ref="H310" r:id="rId1" display="javascript:f_VerIaacse('R-PFA-2011-003536','0','N','IAACSE');" xr:uid="{00000000-0004-0000-1900-000000000000}"/>
    <hyperlink ref="H308" r:id="rId2" display="javascript:f_VerIaacse('R-PGL-2011-006014','0','N','IAACSE');" xr:uid="{00000000-0004-0000-1900-000001000000}"/>
  </hyperlinks>
  <pageMargins left="0.7" right="0.7" top="0.75" bottom="0.75" header="0.3" footer="0.3"/>
  <pageSetup orientation="portrait" horizontalDpi="300" r:id="rId3"/>
  <customProperties>
    <customPr name="_pios_id" r:id="rId4"/>
  </customProperties>
  <drawing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7"/>
  <dimension ref="A2:AH100"/>
  <sheetViews>
    <sheetView topLeftCell="A51" zoomScale="110" zoomScaleNormal="110" workbookViewId="0">
      <selection activeCell="D52" sqref="D52"/>
    </sheetView>
  </sheetViews>
  <sheetFormatPr baseColWidth="10" defaultColWidth="11.44140625" defaultRowHeight="11.4"/>
  <cols>
    <col min="1" max="17" width="11.44140625" style="788"/>
    <col min="18" max="18" width="11.44140625" style="788" customWidth="1"/>
    <col min="19" max="30" width="11.44140625" style="788"/>
    <col min="31" max="31" width="69.44140625" style="788" customWidth="1"/>
    <col min="32" max="34" width="20.44140625" style="788" customWidth="1"/>
    <col min="35" max="16384" width="11.44140625" style="788"/>
  </cols>
  <sheetData>
    <row r="2" spans="1:15" ht="12">
      <c r="A2" s="786" t="s">
        <v>583</v>
      </c>
      <c r="B2" s="787">
        <v>40909</v>
      </c>
      <c r="C2" s="787">
        <v>40940</v>
      </c>
      <c r="D2" s="787">
        <v>40969</v>
      </c>
      <c r="E2" s="787">
        <v>41000</v>
      </c>
      <c r="F2" s="787">
        <v>41030</v>
      </c>
      <c r="G2" s="787">
        <v>41061</v>
      </c>
      <c r="H2" s="787">
        <v>41091</v>
      </c>
      <c r="I2" s="787">
        <v>41122</v>
      </c>
      <c r="J2" s="787">
        <v>41153</v>
      </c>
      <c r="K2" s="787">
        <v>41183</v>
      </c>
      <c r="L2" s="787">
        <v>41214</v>
      </c>
      <c r="M2" s="787">
        <v>41244</v>
      </c>
      <c r="N2" s="787">
        <v>41275</v>
      </c>
      <c r="O2" s="787">
        <v>41306</v>
      </c>
    </row>
    <row r="3" spans="1:15" ht="12">
      <c r="A3" s="789" t="s">
        <v>293</v>
      </c>
      <c r="B3" s="790">
        <v>1</v>
      </c>
      <c r="C3" s="790">
        <v>1</v>
      </c>
      <c r="D3" s="790">
        <v>3</v>
      </c>
      <c r="E3" s="790">
        <v>3</v>
      </c>
      <c r="F3" s="790">
        <v>2</v>
      </c>
      <c r="G3" s="790">
        <v>2</v>
      </c>
      <c r="H3" s="790">
        <v>2</v>
      </c>
      <c r="I3" s="790">
        <v>2</v>
      </c>
      <c r="J3" s="790">
        <v>2</v>
      </c>
      <c r="K3" s="790">
        <v>2</v>
      </c>
      <c r="L3" s="790">
        <v>2</v>
      </c>
      <c r="M3" s="790">
        <v>4</v>
      </c>
      <c r="N3" s="790">
        <v>4</v>
      </c>
      <c r="O3" s="790">
        <v>4</v>
      </c>
    </row>
    <row r="4" spans="1:15" ht="12">
      <c r="A4" s="789" t="s">
        <v>295</v>
      </c>
      <c r="B4" s="790">
        <v>0</v>
      </c>
      <c r="C4" s="790">
        <v>0</v>
      </c>
      <c r="D4" s="790">
        <v>0</v>
      </c>
      <c r="E4" s="790">
        <v>0</v>
      </c>
      <c r="F4" s="790">
        <v>0</v>
      </c>
      <c r="G4" s="790">
        <v>0</v>
      </c>
      <c r="H4" s="790">
        <v>0</v>
      </c>
      <c r="I4" s="790">
        <v>0</v>
      </c>
      <c r="J4" s="790">
        <v>0</v>
      </c>
      <c r="K4" s="790">
        <v>0</v>
      </c>
      <c r="L4" s="790">
        <v>0</v>
      </c>
      <c r="M4" s="790">
        <v>0</v>
      </c>
      <c r="N4" s="790">
        <v>0</v>
      </c>
      <c r="O4" s="790">
        <v>0</v>
      </c>
    </row>
    <row r="5" spans="1:15" ht="12">
      <c r="A5" s="789" t="s">
        <v>302</v>
      </c>
      <c r="B5" s="790">
        <v>410081</v>
      </c>
      <c r="C5" s="790">
        <v>414263</v>
      </c>
      <c r="D5" s="790">
        <v>413238</v>
      </c>
      <c r="E5" s="790">
        <v>410282</v>
      </c>
      <c r="F5" s="790">
        <v>406861</v>
      </c>
      <c r="G5" s="790">
        <v>413146</v>
      </c>
      <c r="H5" s="790">
        <v>411706</v>
      </c>
      <c r="I5" s="790">
        <v>405818</v>
      </c>
      <c r="J5" s="790">
        <v>392199</v>
      </c>
      <c r="K5" s="790">
        <v>392296</v>
      </c>
      <c r="L5" s="790">
        <v>393311</v>
      </c>
      <c r="M5" s="790">
        <v>394836</v>
      </c>
      <c r="N5" s="790">
        <v>400730</v>
      </c>
      <c r="O5" s="790">
        <v>389110</v>
      </c>
    </row>
    <row r="6" spans="1:15" ht="12">
      <c r="A6" s="789" t="s">
        <v>606</v>
      </c>
      <c r="B6" s="790">
        <v>2</v>
      </c>
      <c r="C6" s="790">
        <v>2</v>
      </c>
      <c r="D6" s="790">
        <v>40</v>
      </c>
      <c r="E6" s="790">
        <v>40</v>
      </c>
      <c r="F6" s="790">
        <v>38</v>
      </c>
      <c r="G6" s="790">
        <v>38</v>
      </c>
      <c r="H6" s="790">
        <v>38</v>
      </c>
      <c r="I6" s="790">
        <v>38</v>
      </c>
      <c r="J6" s="790">
        <v>38</v>
      </c>
      <c r="K6" s="790">
        <v>38</v>
      </c>
      <c r="L6" s="790">
        <v>38</v>
      </c>
      <c r="M6" s="790">
        <v>56</v>
      </c>
      <c r="N6" s="790">
        <v>56</v>
      </c>
      <c r="O6" s="790">
        <v>56</v>
      </c>
    </row>
    <row r="7" spans="1:15" ht="12">
      <c r="A7" s="789"/>
      <c r="B7" s="790"/>
      <c r="C7" s="790"/>
      <c r="D7" s="790"/>
      <c r="E7" s="790"/>
      <c r="F7" s="790"/>
      <c r="G7" s="790"/>
      <c r="H7" s="790"/>
      <c r="I7" s="790"/>
      <c r="J7" s="790"/>
      <c r="K7" s="790"/>
      <c r="L7" s="790"/>
      <c r="M7" s="790"/>
      <c r="N7" s="790"/>
      <c r="O7" s="790"/>
    </row>
    <row r="8" spans="1:15" ht="12">
      <c r="A8" s="789"/>
      <c r="B8" s="790"/>
      <c r="C8" s="790"/>
      <c r="D8" s="790"/>
      <c r="E8" s="790"/>
      <c r="F8" s="790"/>
      <c r="G8" s="790"/>
      <c r="H8" s="790"/>
      <c r="I8" s="790"/>
      <c r="J8" s="790"/>
      <c r="K8" s="790"/>
      <c r="L8" s="790"/>
      <c r="M8" s="790"/>
      <c r="N8" s="790"/>
      <c r="O8" s="790"/>
    </row>
    <row r="9" spans="1:15" ht="12">
      <c r="A9" s="789"/>
      <c r="B9" s="787">
        <v>40909</v>
      </c>
      <c r="C9" s="787">
        <v>40940</v>
      </c>
      <c r="D9" s="787">
        <v>40969</v>
      </c>
      <c r="E9" s="787">
        <v>41000</v>
      </c>
      <c r="F9" s="787">
        <v>41030</v>
      </c>
      <c r="G9" s="787">
        <v>41061</v>
      </c>
      <c r="H9" s="787">
        <v>41091</v>
      </c>
      <c r="I9" s="787">
        <v>41122</v>
      </c>
      <c r="J9" s="787">
        <v>41153</v>
      </c>
      <c r="K9" s="787">
        <v>41183</v>
      </c>
      <c r="L9" s="787">
        <v>41214</v>
      </c>
      <c r="M9" s="787">
        <v>41244</v>
      </c>
      <c r="N9" s="787">
        <v>41275</v>
      </c>
      <c r="O9" s="787">
        <v>41306</v>
      </c>
    </row>
    <row r="10" spans="1:15" ht="12">
      <c r="A10" s="791" t="s">
        <v>264</v>
      </c>
      <c r="B10" s="790">
        <v>2.4</v>
      </c>
      <c r="C10" s="790">
        <v>2.4</v>
      </c>
      <c r="D10" s="790">
        <v>7.3</v>
      </c>
      <c r="E10" s="790">
        <v>7.3</v>
      </c>
      <c r="F10" s="790">
        <v>4.9000000000000004</v>
      </c>
      <c r="G10" s="790">
        <v>4.8</v>
      </c>
      <c r="H10" s="790">
        <v>4.9000000000000004</v>
      </c>
      <c r="I10" s="790">
        <v>4.9000000000000004</v>
      </c>
      <c r="J10" s="790">
        <v>5.0999999999999996</v>
      </c>
      <c r="K10" s="790">
        <v>5.0999999999999996</v>
      </c>
      <c r="L10" s="790">
        <v>5.0999999999999996</v>
      </c>
      <c r="M10" s="790">
        <v>10.1</v>
      </c>
      <c r="N10" s="792">
        <v>10</v>
      </c>
      <c r="O10" s="790">
        <v>10.3</v>
      </c>
    </row>
    <row r="11" spans="1:15" ht="12">
      <c r="A11" s="791" t="s">
        <v>265</v>
      </c>
      <c r="B11" s="790">
        <v>5</v>
      </c>
      <c r="C11" s="790">
        <v>5</v>
      </c>
      <c r="D11" s="790">
        <v>97</v>
      </c>
      <c r="E11" s="790">
        <v>97</v>
      </c>
      <c r="F11" s="790">
        <v>93</v>
      </c>
      <c r="G11" s="790">
        <v>92</v>
      </c>
      <c r="H11" s="790">
        <v>92</v>
      </c>
      <c r="I11" s="790">
        <v>94</v>
      </c>
      <c r="J11" s="790">
        <v>97</v>
      </c>
      <c r="K11" s="790">
        <v>97</v>
      </c>
      <c r="L11" s="790">
        <v>97</v>
      </c>
      <c r="M11" s="790">
        <v>142</v>
      </c>
      <c r="N11" s="790">
        <v>140</v>
      </c>
      <c r="O11" s="790">
        <v>144</v>
      </c>
    </row>
    <row r="12" spans="1:15" ht="12">
      <c r="A12" s="791" t="s">
        <v>607</v>
      </c>
      <c r="B12" s="793">
        <f t="shared" ref="B12:L12" si="0">+(B3+B4)*200000/B5</f>
        <v>0.48770852587659513</v>
      </c>
      <c r="C12" s="793">
        <f t="shared" si="0"/>
        <v>0.48278509063083114</v>
      </c>
      <c r="D12" s="793">
        <f t="shared" si="0"/>
        <v>1.4519477879575451</v>
      </c>
      <c r="E12" s="793">
        <f t="shared" si="0"/>
        <v>1.4624087822522069</v>
      </c>
      <c r="F12" s="793">
        <f t="shared" si="0"/>
        <v>0.98313674694797482</v>
      </c>
      <c r="G12" s="793">
        <f t="shared" si="0"/>
        <v>0.96818073998053955</v>
      </c>
      <c r="H12" s="793">
        <f t="shared" si="0"/>
        <v>0.97156708913642265</v>
      </c>
      <c r="I12" s="793">
        <f t="shared" si="0"/>
        <v>0.98566352404279756</v>
      </c>
      <c r="J12" s="793">
        <f t="shared" si="0"/>
        <v>1.0198904127751474</v>
      </c>
      <c r="K12" s="793">
        <f t="shared" si="0"/>
        <v>1.0196382323551605</v>
      </c>
      <c r="L12" s="793">
        <f t="shared" si="0"/>
        <v>1.0170068978492846</v>
      </c>
      <c r="M12" s="793">
        <f>+(M3+M4)*200000/M5</f>
        <v>2.0261576958534682</v>
      </c>
      <c r="N12" s="793">
        <f>+(N3+N4)*200000/N5</f>
        <v>1.9963566491153644</v>
      </c>
      <c r="O12" s="793">
        <f>+(O3+O4)*200000/O5</f>
        <v>2.0559738891316082</v>
      </c>
    </row>
    <row r="13" spans="1:15" ht="12">
      <c r="A13" s="791" t="s">
        <v>584</v>
      </c>
      <c r="B13" s="793">
        <f>B10*B11/1000</f>
        <v>1.2E-2</v>
      </c>
      <c r="C13" s="793">
        <f>C10*C11/1000</f>
        <v>1.2E-2</v>
      </c>
      <c r="D13" s="793">
        <f>D10*D11/1000</f>
        <v>0.70810000000000006</v>
      </c>
      <c r="E13" s="793">
        <f t="shared" ref="E13:O13" si="1">E10*E11/1000</f>
        <v>0.70810000000000006</v>
      </c>
      <c r="F13" s="793">
        <f t="shared" si="1"/>
        <v>0.45570000000000005</v>
      </c>
      <c r="G13" s="793">
        <f t="shared" si="1"/>
        <v>0.44159999999999999</v>
      </c>
      <c r="H13" s="793">
        <f t="shared" si="1"/>
        <v>0.45080000000000003</v>
      </c>
      <c r="I13" s="793">
        <f t="shared" si="1"/>
        <v>0.46060000000000001</v>
      </c>
      <c r="J13" s="793">
        <f t="shared" si="1"/>
        <v>0.49469999999999997</v>
      </c>
      <c r="K13" s="793">
        <f t="shared" si="1"/>
        <v>0.49469999999999997</v>
      </c>
      <c r="L13" s="793">
        <f t="shared" si="1"/>
        <v>0.49469999999999997</v>
      </c>
      <c r="M13" s="793">
        <f t="shared" si="1"/>
        <v>1.4342000000000001</v>
      </c>
      <c r="N13" s="793">
        <f t="shared" si="1"/>
        <v>1.4</v>
      </c>
      <c r="O13" s="793">
        <f t="shared" si="1"/>
        <v>1.4832000000000001</v>
      </c>
    </row>
    <row r="14" spans="1:15" ht="12">
      <c r="A14" s="786" t="s">
        <v>264</v>
      </c>
      <c r="B14" s="787" t="s">
        <v>102</v>
      </c>
      <c r="C14" s="787" t="s">
        <v>103</v>
      </c>
      <c r="D14" s="787" t="s">
        <v>104</v>
      </c>
      <c r="E14" s="787" t="s">
        <v>105</v>
      </c>
      <c r="F14" s="787" t="s">
        <v>106</v>
      </c>
      <c r="G14" s="787" t="s">
        <v>107</v>
      </c>
      <c r="H14" s="787" t="s">
        <v>108</v>
      </c>
      <c r="I14" s="787" t="s">
        <v>109</v>
      </c>
      <c r="J14" s="787" t="s">
        <v>110</v>
      </c>
      <c r="K14" s="787" t="s">
        <v>111</v>
      </c>
      <c r="L14" s="787" t="s">
        <v>112</v>
      </c>
      <c r="M14" s="787" t="s">
        <v>113</v>
      </c>
      <c r="N14" s="787"/>
      <c r="O14" s="787"/>
    </row>
    <row r="15" spans="1:15" ht="12">
      <c r="A15" s="791">
        <v>2011</v>
      </c>
      <c r="B15" s="790">
        <v>7.4</v>
      </c>
      <c r="C15" s="794">
        <v>7.4</v>
      </c>
      <c r="D15" s="794">
        <v>7.5</v>
      </c>
      <c r="E15" s="790">
        <v>7.3</v>
      </c>
      <c r="F15" s="793">
        <v>9.9</v>
      </c>
      <c r="G15" s="793">
        <v>7.6</v>
      </c>
      <c r="H15" s="793">
        <v>2.4</v>
      </c>
      <c r="I15" s="793">
        <v>2.4</v>
      </c>
      <c r="J15" s="793">
        <v>2.4</v>
      </c>
      <c r="K15" s="793">
        <v>2.4</v>
      </c>
      <c r="L15" s="793">
        <v>2.4</v>
      </c>
      <c r="M15" s="793">
        <v>2.4</v>
      </c>
      <c r="N15" s="795"/>
      <c r="O15" s="795"/>
    </row>
    <row r="16" spans="1:15" ht="12">
      <c r="A16" s="791">
        <v>2012</v>
      </c>
      <c r="B16" s="793">
        <v>2.4</v>
      </c>
      <c r="C16" s="793">
        <v>2.4</v>
      </c>
      <c r="D16" s="793">
        <v>7.3</v>
      </c>
      <c r="E16" s="793">
        <v>7.3</v>
      </c>
      <c r="F16" s="793">
        <v>4.9000000000000004</v>
      </c>
      <c r="G16" s="793">
        <v>4.8</v>
      </c>
      <c r="H16" s="793">
        <v>4.9000000000000004</v>
      </c>
      <c r="I16" s="793">
        <v>4.9000000000000004</v>
      </c>
      <c r="J16" s="793">
        <v>5.0999999999999996</v>
      </c>
      <c r="K16" s="793">
        <v>5.0999999999999996</v>
      </c>
      <c r="L16" s="793">
        <v>5.0999999999999996</v>
      </c>
      <c r="M16" s="793">
        <v>10.1</v>
      </c>
    </row>
    <row r="17" spans="1:13" ht="12">
      <c r="A17" s="791">
        <v>2013</v>
      </c>
      <c r="B17" s="790">
        <v>5</v>
      </c>
      <c r="C17" s="790">
        <v>3.4</v>
      </c>
      <c r="D17" s="790"/>
      <c r="E17" s="790"/>
      <c r="F17" s="790"/>
      <c r="G17" s="790"/>
      <c r="H17" s="790"/>
      <c r="I17" s="790"/>
      <c r="J17" s="790"/>
      <c r="K17" s="790"/>
      <c r="L17" s="790"/>
      <c r="M17" s="790"/>
    </row>
    <row r="37" spans="1:29" ht="12.6" thickBot="1">
      <c r="A37" s="796" t="s">
        <v>77</v>
      </c>
      <c r="B37" s="797">
        <v>40544</v>
      </c>
      <c r="C37" s="797">
        <v>40575</v>
      </c>
      <c r="D37" s="797">
        <v>40603</v>
      </c>
      <c r="E37" s="797">
        <v>40634</v>
      </c>
      <c r="F37" s="797">
        <v>40664</v>
      </c>
      <c r="G37" s="797">
        <v>40695</v>
      </c>
      <c r="H37" s="797">
        <v>40725</v>
      </c>
      <c r="I37" s="797">
        <v>40756</v>
      </c>
      <c r="J37" s="797">
        <v>40787</v>
      </c>
      <c r="K37" s="797">
        <v>40817</v>
      </c>
      <c r="L37" s="797">
        <v>40848</v>
      </c>
      <c r="M37" s="797">
        <v>40878</v>
      </c>
      <c r="N37" s="797">
        <v>40909</v>
      </c>
      <c r="O37" s="797">
        <v>40940</v>
      </c>
      <c r="P37" s="797">
        <v>40969</v>
      </c>
      <c r="Q37" s="797">
        <v>41000</v>
      </c>
      <c r="R37" s="797">
        <v>41030</v>
      </c>
      <c r="S37" s="797">
        <v>41061</v>
      </c>
      <c r="T37" s="797">
        <v>41091</v>
      </c>
      <c r="U37" s="797">
        <v>41122</v>
      </c>
      <c r="V37" s="797">
        <v>41153</v>
      </c>
      <c r="W37" s="797">
        <v>41183</v>
      </c>
      <c r="X37" s="797">
        <v>41214</v>
      </c>
      <c r="Y37" s="797">
        <v>41244</v>
      </c>
      <c r="Z37" s="797">
        <v>41275</v>
      </c>
      <c r="AA37" s="797">
        <v>41306</v>
      </c>
      <c r="AB37" s="797">
        <v>41334</v>
      </c>
      <c r="AC37" s="797">
        <v>41365</v>
      </c>
    </row>
    <row r="38" spans="1:29">
      <c r="A38" s="798" t="s">
        <v>293</v>
      </c>
      <c r="B38" s="790">
        <v>0</v>
      </c>
      <c r="C38" s="790">
        <v>0</v>
      </c>
      <c r="D38" s="790">
        <v>0</v>
      </c>
      <c r="E38" s="790">
        <v>0</v>
      </c>
      <c r="F38" s="799">
        <v>1</v>
      </c>
      <c r="G38" s="790">
        <v>0</v>
      </c>
      <c r="H38" s="790">
        <v>0</v>
      </c>
      <c r="I38" s="799">
        <v>0</v>
      </c>
      <c r="J38" s="790">
        <v>0</v>
      </c>
      <c r="K38" s="790">
        <v>0</v>
      </c>
      <c r="L38" s="790">
        <v>0</v>
      </c>
      <c r="M38" s="790">
        <v>0</v>
      </c>
      <c r="N38" s="790">
        <v>0</v>
      </c>
      <c r="O38" s="790">
        <v>0</v>
      </c>
      <c r="P38" s="790">
        <v>2</v>
      </c>
      <c r="Q38" s="790">
        <v>2</v>
      </c>
      <c r="R38" s="790">
        <v>2</v>
      </c>
      <c r="S38" s="790">
        <v>2</v>
      </c>
      <c r="T38" s="790">
        <v>2</v>
      </c>
      <c r="U38" s="790">
        <v>2</v>
      </c>
      <c r="V38" s="790">
        <v>2</v>
      </c>
      <c r="W38" s="790">
        <v>2</v>
      </c>
      <c r="X38" s="790">
        <v>2</v>
      </c>
      <c r="Y38" s="790">
        <v>2</v>
      </c>
      <c r="Z38" s="790">
        <v>4</v>
      </c>
      <c r="AA38" s="790">
        <v>4</v>
      </c>
    </row>
    <row r="39" spans="1:29">
      <c r="A39" s="798" t="s">
        <v>294</v>
      </c>
      <c r="B39" s="790">
        <v>0</v>
      </c>
      <c r="C39" s="790">
        <v>0</v>
      </c>
      <c r="D39" s="790">
        <v>0</v>
      </c>
      <c r="E39" s="790">
        <v>0</v>
      </c>
      <c r="F39" s="790">
        <v>0</v>
      </c>
      <c r="G39" s="790">
        <v>0</v>
      </c>
      <c r="H39" s="790">
        <v>0</v>
      </c>
      <c r="I39" s="790">
        <v>0</v>
      </c>
      <c r="J39" s="790">
        <v>0</v>
      </c>
      <c r="K39" s="790">
        <v>0</v>
      </c>
      <c r="L39" s="790">
        <v>0</v>
      </c>
      <c r="M39" s="790">
        <v>0</v>
      </c>
      <c r="N39" s="790">
        <v>0</v>
      </c>
      <c r="O39" s="790">
        <v>0</v>
      </c>
      <c r="P39" s="790">
        <v>0</v>
      </c>
      <c r="Q39" s="790">
        <v>0</v>
      </c>
      <c r="R39" s="790">
        <v>0</v>
      </c>
      <c r="S39" s="790">
        <v>0</v>
      </c>
      <c r="T39" s="790">
        <v>0</v>
      </c>
      <c r="U39" s="790">
        <v>0</v>
      </c>
      <c r="V39" s="790">
        <v>0</v>
      </c>
      <c r="W39" s="790">
        <v>0</v>
      </c>
      <c r="X39" s="790">
        <v>0</v>
      </c>
      <c r="Y39" s="790">
        <v>0</v>
      </c>
      <c r="Z39" s="790">
        <v>0</v>
      </c>
      <c r="AA39" s="790">
        <v>0</v>
      </c>
      <c r="AB39" s="788">
        <v>0</v>
      </c>
      <c r="AC39" s="788">
        <v>0</v>
      </c>
    </row>
    <row r="40" spans="1:29" ht="12" thickBot="1">
      <c r="A40" s="800" t="s">
        <v>295</v>
      </c>
      <c r="B40" s="801">
        <v>1</v>
      </c>
      <c r="C40" s="801">
        <v>0</v>
      </c>
      <c r="D40" s="801">
        <v>0</v>
      </c>
      <c r="E40" s="801">
        <v>0</v>
      </c>
      <c r="F40" s="801">
        <v>0</v>
      </c>
      <c r="G40" s="802">
        <v>0</v>
      </c>
      <c r="H40" s="802">
        <v>0</v>
      </c>
      <c r="I40" s="801">
        <v>0</v>
      </c>
      <c r="J40" s="801">
        <v>0</v>
      </c>
      <c r="K40" s="801">
        <v>0</v>
      </c>
      <c r="L40" s="801">
        <v>0</v>
      </c>
      <c r="M40" s="801">
        <v>0</v>
      </c>
      <c r="N40" s="801">
        <v>0</v>
      </c>
      <c r="O40" s="801">
        <v>0</v>
      </c>
      <c r="P40" s="801">
        <v>0</v>
      </c>
      <c r="Q40" s="801">
        <v>0</v>
      </c>
      <c r="R40" s="801">
        <v>0</v>
      </c>
      <c r="S40" s="801">
        <v>0</v>
      </c>
      <c r="T40" s="801">
        <v>0</v>
      </c>
      <c r="U40" s="801">
        <v>0</v>
      </c>
      <c r="V40" s="801">
        <v>0</v>
      </c>
      <c r="W40" s="801">
        <v>0</v>
      </c>
      <c r="X40" s="801">
        <v>0</v>
      </c>
      <c r="Y40" s="801">
        <v>0</v>
      </c>
      <c r="Z40" s="801">
        <v>0</v>
      </c>
      <c r="AA40" s="801">
        <v>0</v>
      </c>
      <c r="AB40" s="867">
        <v>0</v>
      </c>
      <c r="AC40" s="867">
        <v>0</v>
      </c>
    </row>
    <row r="41" spans="1:29">
      <c r="A41" s="798" t="s">
        <v>55</v>
      </c>
      <c r="B41" s="790">
        <f t="shared" ref="B41:AC41" si="2">SUM(B38:B40)</f>
        <v>1</v>
      </c>
      <c r="C41" s="790">
        <f t="shared" si="2"/>
        <v>0</v>
      </c>
      <c r="D41" s="790">
        <f t="shared" si="2"/>
        <v>0</v>
      </c>
      <c r="E41" s="790">
        <f t="shared" si="2"/>
        <v>0</v>
      </c>
      <c r="F41" s="790">
        <f t="shared" si="2"/>
        <v>1</v>
      </c>
      <c r="G41" s="790">
        <f t="shared" si="2"/>
        <v>0</v>
      </c>
      <c r="H41" s="790">
        <f t="shared" si="2"/>
        <v>0</v>
      </c>
      <c r="I41" s="790">
        <f t="shared" si="2"/>
        <v>0</v>
      </c>
      <c r="J41" s="790">
        <f t="shared" si="2"/>
        <v>0</v>
      </c>
      <c r="K41" s="790">
        <f t="shared" si="2"/>
        <v>0</v>
      </c>
      <c r="L41" s="790">
        <f t="shared" si="2"/>
        <v>0</v>
      </c>
      <c r="M41" s="790">
        <f t="shared" si="2"/>
        <v>0</v>
      </c>
      <c r="N41" s="790">
        <f t="shared" si="2"/>
        <v>0</v>
      </c>
      <c r="O41" s="790">
        <f t="shared" si="2"/>
        <v>0</v>
      </c>
      <c r="P41" s="790">
        <f t="shared" si="2"/>
        <v>2</v>
      </c>
      <c r="Q41" s="790">
        <f t="shared" si="2"/>
        <v>2</v>
      </c>
      <c r="R41" s="790">
        <f t="shared" si="2"/>
        <v>2</v>
      </c>
      <c r="S41" s="790">
        <f t="shared" si="2"/>
        <v>2</v>
      </c>
      <c r="T41" s="790">
        <f t="shared" si="2"/>
        <v>2</v>
      </c>
      <c r="U41" s="790">
        <f t="shared" si="2"/>
        <v>2</v>
      </c>
      <c r="V41" s="790">
        <f t="shared" si="2"/>
        <v>2</v>
      </c>
      <c r="W41" s="790">
        <f t="shared" si="2"/>
        <v>2</v>
      </c>
      <c r="X41" s="790">
        <f t="shared" si="2"/>
        <v>2</v>
      </c>
      <c r="Y41" s="790">
        <f t="shared" si="2"/>
        <v>2</v>
      </c>
      <c r="Z41" s="790">
        <f t="shared" si="2"/>
        <v>4</v>
      </c>
      <c r="AA41" s="790">
        <f t="shared" si="2"/>
        <v>4</v>
      </c>
      <c r="AB41" s="790">
        <f t="shared" si="2"/>
        <v>0</v>
      </c>
      <c r="AC41" s="790">
        <f t="shared" si="2"/>
        <v>0</v>
      </c>
    </row>
    <row r="42" spans="1:29">
      <c r="A42" s="798" t="s">
        <v>302</v>
      </c>
      <c r="B42" s="790"/>
      <c r="C42" s="790"/>
      <c r="D42" s="790"/>
      <c r="E42" s="790"/>
      <c r="F42" s="790"/>
      <c r="G42" s="790"/>
      <c r="H42" s="790"/>
      <c r="I42" s="790"/>
      <c r="J42" s="790"/>
      <c r="K42" s="790"/>
      <c r="L42" s="790"/>
      <c r="M42" s="790"/>
      <c r="N42" s="790">
        <v>410081</v>
      </c>
      <c r="O42" s="790">
        <v>414263</v>
      </c>
      <c r="P42" s="790">
        <v>413238</v>
      </c>
      <c r="Q42" s="790">
        <v>410282</v>
      </c>
      <c r="R42" s="790">
        <v>406861</v>
      </c>
      <c r="S42" s="790">
        <v>413146</v>
      </c>
      <c r="T42" s="790">
        <v>411706</v>
      </c>
      <c r="U42" s="790">
        <v>405818</v>
      </c>
      <c r="V42" s="790">
        <v>392199</v>
      </c>
      <c r="W42" s="790">
        <v>392296</v>
      </c>
      <c r="X42" s="790">
        <v>393311</v>
      </c>
      <c r="Y42" s="790">
        <v>394836</v>
      </c>
      <c r="Z42" s="790">
        <v>400730</v>
      </c>
      <c r="AA42" s="790">
        <v>389110</v>
      </c>
    </row>
    <row r="43" spans="1:29">
      <c r="A43" s="798" t="s">
        <v>444</v>
      </c>
      <c r="B43" s="790">
        <v>7.4</v>
      </c>
      <c r="C43" s="794">
        <v>7.4</v>
      </c>
      <c r="D43" s="794">
        <v>7.5</v>
      </c>
      <c r="E43" s="790">
        <v>7.3</v>
      </c>
      <c r="F43" s="793">
        <v>9.9</v>
      </c>
      <c r="G43" s="793">
        <v>7.6</v>
      </c>
      <c r="H43" s="793">
        <v>2.4</v>
      </c>
      <c r="I43" s="793">
        <v>2.4</v>
      </c>
      <c r="J43" s="793">
        <v>2.4</v>
      </c>
      <c r="K43" s="793">
        <v>2.4</v>
      </c>
      <c r="L43" s="793">
        <v>2.4</v>
      </c>
      <c r="M43" s="793">
        <v>2.4</v>
      </c>
      <c r="N43" s="793">
        <v>2.4</v>
      </c>
      <c r="O43" s="793">
        <v>2.4</v>
      </c>
      <c r="P43" s="793">
        <v>7.3</v>
      </c>
      <c r="Q43" s="793">
        <v>7.3</v>
      </c>
      <c r="R43" s="793">
        <v>4.9000000000000004</v>
      </c>
      <c r="S43" s="793">
        <v>4.8</v>
      </c>
      <c r="T43" s="793">
        <v>4.9000000000000004</v>
      </c>
      <c r="U43" s="793">
        <v>4.9000000000000004</v>
      </c>
      <c r="V43" s="793">
        <v>5.0999999999999996</v>
      </c>
      <c r="W43" s="793">
        <v>5.0999999999999996</v>
      </c>
      <c r="X43" s="793">
        <v>5.0999999999999996</v>
      </c>
      <c r="Y43" s="793">
        <v>10.1</v>
      </c>
      <c r="Z43" s="790">
        <v>5.0999999999999996</v>
      </c>
      <c r="AA43" s="790">
        <v>5.0999999999999996</v>
      </c>
    </row>
    <row r="44" spans="1:29" ht="12">
      <c r="A44" s="803"/>
      <c r="N44" s="804">
        <f>(N38+N39+N40)*1000000/N42</f>
        <v>0</v>
      </c>
      <c r="O44" s="804">
        <f t="shared" ref="O44:AA44" si="3">(O38+O39+O40)*1000000/O42</f>
        <v>0</v>
      </c>
      <c r="P44" s="804">
        <f t="shared" si="3"/>
        <v>4.8398259598584836</v>
      </c>
      <c r="Q44" s="804">
        <f t="shared" si="3"/>
        <v>4.8746959408406898</v>
      </c>
      <c r="R44" s="804">
        <f t="shared" si="3"/>
        <v>4.9156837347398747</v>
      </c>
      <c r="S44" s="804">
        <f t="shared" si="3"/>
        <v>4.8409036999026975</v>
      </c>
      <c r="T44" s="804">
        <f t="shared" si="3"/>
        <v>4.8578354456821131</v>
      </c>
      <c r="U44" s="804">
        <f t="shared" si="3"/>
        <v>4.9283176202139876</v>
      </c>
      <c r="V44" s="804">
        <f t="shared" si="3"/>
        <v>5.0994520638757361</v>
      </c>
      <c r="W44" s="804">
        <f t="shared" si="3"/>
        <v>5.0981911617758016</v>
      </c>
      <c r="X44" s="804">
        <f t="shared" si="3"/>
        <v>5.0850344892464232</v>
      </c>
      <c r="Y44" s="804">
        <f t="shared" si="3"/>
        <v>5.0653942396336706</v>
      </c>
      <c r="Z44" s="804">
        <f t="shared" si="3"/>
        <v>9.9817832455768229</v>
      </c>
      <c r="AA44" s="804">
        <f t="shared" si="3"/>
        <v>10.27986944565804</v>
      </c>
    </row>
    <row r="45" spans="1:29" ht="12">
      <c r="A45" s="805" t="s">
        <v>293</v>
      </c>
      <c r="B45" s="806" t="s">
        <v>102</v>
      </c>
      <c r="C45" s="806" t="s">
        <v>103</v>
      </c>
      <c r="D45" s="806" t="s">
        <v>104</v>
      </c>
      <c r="E45" s="806" t="s">
        <v>105</v>
      </c>
      <c r="F45" s="806" t="s">
        <v>106</v>
      </c>
      <c r="G45" s="806" t="s">
        <v>107</v>
      </c>
      <c r="H45" s="806" t="s">
        <v>108</v>
      </c>
      <c r="I45" s="806" t="s">
        <v>109</v>
      </c>
      <c r="J45" s="806" t="s">
        <v>110</v>
      </c>
      <c r="K45" s="806" t="s">
        <v>111</v>
      </c>
      <c r="L45" s="806" t="s">
        <v>112</v>
      </c>
      <c r="M45" s="806" t="s">
        <v>113</v>
      </c>
      <c r="N45" s="806"/>
      <c r="O45" s="806" t="s">
        <v>583</v>
      </c>
      <c r="P45" s="806" t="s">
        <v>102</v>
      </c>
      <c r="Q45" s="806" t="s">
        <v>103</v>
      </c>
      <c r="R45" s="806" t="s">
        <v>104</v>
      </c>
      <c r="S45" s="806" t="s">
        <v>105</v>
      </c>
      <c r="T45" s="806" t="s">
        <v>106</v>
      </c>
      <c r="U45" s="806" t="s">
        <v>107</v>
      </c>
      <c r="V45" s="806" t="s">
        <v>108</v>
      </c>
      <c r="W45" s="806" t="s">
        <v>109</v>
      </c>
      <c r="X45" s="806" t="s">
        <v>110</v>
      </c>
      <c r="Y45" s="806" t="s">
        <v>111</v>
      </c>
      <c r="Z45" s="806" t="s">
        <v>112</v>
      </c>
      <c r="AA45" s="806" t="s">
        <v>113</v>
      </c>
    </row>
    <row r="46" spans="1:29" ht="12">
      <c r="A46" s="807">
        <v>2011</v>
      </c>
      <c r="B46" s="788">
        <v>0</v>
      </c>
      <c r="C46" s="788">
        <v>0</v>
      </c>
      <c r="D46" s="788">
        <v>0</v>
      </c>
      <c r="E46" s="788">
        <v>0</v>
      </c>
      <c r="F46" s="788">
        <v>1</v>
      </c>
      <c r="G46" s="788">
        <v>0</v>
      </c>
      <c r="H46" s="788">
        <v>0</v>
      </c>
      <c r="I46" s="788">
        <v>0</v>
      </c>
      <c r="J46" s="788">
        <v>0</v>
      </c>
      <c r="K46" s="788">
        <v>0</v>
      </c>
      <c r="L46" s="788">
        <v>0</v>
      </c>
      <c r="M46" s="788">
        <v>0</v>
      </c>
      <c r="O46" s="790">
        <v>2011</v>
      </c>
      <c r="P46" s="788">
        <v>0</v>
      </c>
      <c r="Q46" s="788">
        <v>0</v>
      </c>
      <c r="R46" s="788">
        <v>0</v>
      </c>
      <c r="S46" s="788">
        <v>0</v>
      </c>
      <c r="T46" s="788">
        <v>0</v>
      </c>
      <c r="U46" s="788">
        <v>0</v>
      </c>
      <c r="V46" s="788">
        <v>0</v>
      </c>
      <c r="W46" s="788">
        <v>0</v>
      </c>
      <c r="X46" s="788">
        <v>0</v>
      </c>
      <c r="Y46" s="788">
        <v>0</v>
      </c>
      <c r="Z46" s="790">
        <v>0</v>
      </c>
      <c r="AA46" s="790">
        <v>0</v>
      </c>
    </row>
    <row r="47" spans="1:29" ht="12">
      <c r="A47" s="807">
        <v>2012</v>
      </c>
      <c r="B47" s="788">
        <v>0</v>
      </c>
      <c r="C47" s="788">
        <v>0</v>
      </c>
      <c r="D47" s="788">
        <v>2</v>
      </c>
      <c r="E47" s="788">
        <v>0</v>
      </c>
      <c r="F47" s="788">
        <v>0</v>
      </c>
      <c r="G47" s="788">
        <v>0</v>
      </c>
      <c r="H47" s="788">
        <v>0</v>
      </c>
      <c r="I47" s="788">
        <v>0</v>
      </c>
      <c r="J47" s="788">
        <v>0</v>
      </c>
      <c r="K47" s="788">
        <v>0</v>
      </c>
      <c r="L47" s="788">
        <v>0</v>
      </c>
      <c r="M47" s="788">
        <v>2</v>
      </c>
      <c r="O47" s="790">
        <v>2012</v>
      </c>
      <c r="P47" s="788">
        <v>0</v>
      </c>
      <c r="Q47" s="788">
        <v>0</v>
      </c>
      <c r="R47" s="788">
        <v>2</v>
      </c>
      <c r="S47" s="788">
        <v>2</v>
      </c>
      <c r="T47" s="788">
        <v>2</v>
      </c>
      <c r="U47" s="788">
        <v>2</v>
      </c>
      <c r="V47" s="788">
        <v>2</v>
      </c>
      <c r="W47" s="788">
        <v>2</v>
      </c>
      <c r="X47" s="788">
        <v>2</v>
      </c>
      <c r="Y47" s="788">
        <v>2</v>
      </c>
      <c r="Z47" s="790">
        <v>2</v>
      </c>
      <c r="AA47" s="790">
        <v>4</v>
      </c>
    </row>
    <row r="48" spans="1:29" ht="12">
      <c r="A48" s="807">
        <v>2013</v>
      </c>
      <c r="B48" s="788">
        <v>0</v>
      </c>
      <c r="C48" s="788">
        <v>0</v>
      </c>
      <c r="O48" s="790">
        <v>2013</v>
      </c>
      <c r="P48" s="788">
        <v>0</v>
      </c>
      <c r="Q48" s="788">
        <v>0</v>
      </c>
    </row>
    <row r="49" spans="1:27" ht="12">
      <c r="A49" s="803"/>
      <c r="O49" s="790" t="s">
        <v>608</v>
      </c>
      <c r="P49" s="804">
        <f>1/12</f>
        <v>8.3333333333333329E-2</v>
      </c>
      <c r="Q49" s="804">
        <f>1/12*2</f>
        <v>0.16666666666666666</v>
      </c>
      <c r="R49" s="804">
        <f>1/12*3</f>
        <v>0.25</v>
      </c>
      <c r="S49" s="804">
        <f>1/12*4</f>
        <v>0.33333333333333331</v>
      </c>
      <c r="T49" s="804">
        <f>1/12*5</f>
        <v>0.41666666666666663</v>
      </c>
      <c r="U49" s="804">
        <f>1/12*6</f>
        <v>0.5</v>
      </c>
      <c r="V49" s="804">
        <f>1/12*7</f>
        <v>0.58333333333333326</v>
      </c>
      <c r="W49" s="804">
        <f>1/12*8</f>
        <v>0.66666666666666663</v>
      </c>
      <c r="X49" s="804">
        <f>1/12*9</f>
        <v>0.75</v>
      </c>
      <c r="Y49" s="804">
        <f>1/12*10</f>
        <v>0.83333333333333326</v>
      </c>
      <c r="Z49" s="804">
        <f>1/12*11</f>
        <v>0.91666666666666663</v>
      </c>
      <c r="AA49" s="804">
        <f>1/12*12</f>
        <v>1</v>
      </c>
    </row>
    <row r="50" spans="1:27" ht="12">
      <c r="A50" s="803"/>
    </row>
    <row r="51" spans="1:27" ht="12">
      <c r="A51" s="803"/>
      <c r="K51" s="805" t="s">
        <v>293</v>
      </c>
      <c r="L51" s="808">
        <v>40969</v>
      </c>
      <c r="M51" s="808">
        <v>41000</v>
      </c>
      <c r="N51" s="808">
        <v>41030</v>
      </c>
      <c r="O51" s="808">
        <v>41061</v>
      </c>
      <c r="P51" s="808">
        <v>41091</v>
      </c>
      <c r="Q51" s="808">
        <v>41122</v>
      </c>
      <c r="R51" s="808">
        <v>41153</v>
      </c>
      <c r="S51" s="808">
        <v>41183</v>
      </c>
      <c r="T51" s="808">
        <v>41214</v>
      </c>
      <c r="U51" s="808">
        <v>41244</v>
      </c>
      <c r="V51" s="808">
        <v>41275</v>
      </c>
      <c r="W51" s="808">
        <v>41306</v>
      </c>
    </row>
    <row r="52" spans="1:27" ht="12">
      <c r="A52" s="803"/>
      <c r="K52" s="807"/>
      <c r="L52" s="790">
        <v>2</v>
      </c>
      <c r="M52" s="790">
        <v>0</v>
      </c>
      <c r="N52" s="790">
        <v>0</v>
      </c>
      <c r="O52" s="790">
        <v>0</v>
      </c>
      <c r="P52" s="790">
        <v>0</v>
      </c>
      <c r="Q52" s="790">
        <v>0</v>
      </c>
      <c r="R52" s="790">
        <v>0</v>
      </c>
      <c r="S52" s="790">
        <v>0</v>
      </c>
      <c r="T52" s="790">
        <v>0</v>
      </c>
      <c r="U52" s="790">
        <v>2</v>
      </c>
      <c r="V52" s="790">
        <v>0</v>
      </c>
      <c r="W52" s="790">
        <v>0</v>
      </c>
    </row>
    <row r="75" spans="1:27" ht="12">
      <c r="A75" s="803"/>
      <c r="B75" s="787">
        <v>40544</v>
      </c>
      <c r="C75" s="787">
        <v>40575</v>
      </c>
      <c r="D75" s="787">
        <v>40603</v>
      </c>
      <c r="E75" s="787">
        <v>40634</v>
      </c>
      <c r="F75" s="787">
        <v>40664</v>
      </c>
      <c r="G75" s="787">
        <v>40695</v>
      </c>
      <c r="H75" s="787">
        <v>40725</v>
      </c>
      <c r="I75" s="787">
        <v>40756</v>
      </c>
      <c r="J75" s="787">
        <v>40787</v>
      </c>
      <c r="K75" s="787">
        <v>40817</v>
      </c>
      <c r="L75" s="787">
        <v>40848</v>
      </c>
      <c r="M75" s="787">
        <v>40878</v>
      </c>
      <c r="N75" s="787">
        <v>40909</v>
      </c>
      <c r="O75" s="787">
        <v>40940</v>
      </c>
      <c r="P75" s="787">
        <v>40969</v>
      </c>
      <c r="Q75" s="787">
        <v>41000</v>
      </c>
      <c r="R75" s="787">
        <v>41030</v>
      </c>
      <c r="S75" s="787">
        <v>41061</v>
      </c>
      <c r="T75" s="787">
        <v>41091</v>
      </c>
      <c r="U75" s="787">
        <v>41122</v>
      </c>
      <c r="V75" s="787">
        <v>41153</v>
      </c>
      <c r="W75" s="787">
        <v>41183</v>
      </c>
      <c r="X75" s="787">
        <v>41214</v>
      </c>
      <c r="Y75" s="787">
        <v>41244</v>
      </c>
      <c r="Z75" s="787">
        <v>41275</v>
      </c>
      <c r="AA75" s="787">
        <v>41306</v>
      </c>
    </row>
    <row r="76" spans="1:27" ht="12">
      <c r="A76" s="789" t="s">
        <v>293</v>
      </c>
      <c r="N76" s="790">
        <v>1</v>
      </c>
      <c r="O76" s="790">
        <v>1</v>
      </c>
      <c r="P76" s="790">
        <v>3</v>
      </c>
      <c r="Q76" s="790">
        <v>3</v>
      </c>
      <c r="R76" s="790">
        <v>2</v>
      </c>
      <c r="S76" s="790">
        <v>2</v>
      </c>
      <c r="T76" s="790">
        <v>2</v>
      </c>
      <c r="U76" s="790">
        <v>2</v>
      </c>
      <c r="V76" s="790">
        <v>2</v>
      </c>
      <c r="W76" s="790">
        <v>2</v>
      </c>
      <c r="X76" s="790">
        <v>2</v>
      </c>
      <c r="Y76" s="790">
        <v>4</v>
      </c>
      <c r="Z76" s="790">
        <v>4</v>
      </c>
      <c r="AA76" s="790">
        <v>4</v>
      </c>
    </row>
    <row r="77" spans="1:27" ht="12">
      <c r="A77" s="789" t="s">
        <v>295</v>
      </c>
      <c r="N77" s="790">
        <v>0</v>
      </c>
      <c r="O77" s="790">
        <v>0</v>
      </c>
      <c r="P77" s="790">
        <v>0</v>
      </c>
      <c r="Q77" s="790">
        <v>0</v>
      </c>
      <c r="R77" s="790">
        <v>0</v>
      </c>
      <c r="S77" s="790">
        <v>0</v>
      </c>
      <c r="T77" s="790">
        <v>0</v>
      </c>
      <c r="U77" s="790">
        <v>0</v>
      </c>
      <c r="V77" s="790">
        <v>0</v>
      </c>
      <c r="W77" s="790">
        <v>0</v>
      </c>
      <c r="X77" s="790">
        <v>0</v>
      </c>
      <c r="Y77" s="790">
        <v>0</v>
      </c>
      <c r="Z77" s="790">
        <v>0</v>
      </c>
      <c r="AA77" s="790">
        <v>0</v>
      </c>
    </row>
    <row r="78" spans="1:27" ht="12">
      <c r="A78" s="789" t="s">
        <v>302</v>
      </c>
      <c r="N78" s="790">
        <v>410081</v>
      </c>
      <c r="O78" s="790">
        <v>414263</v>
      </c>
      <c r="P78" s="790">
        <v>413238</v>
      </c>
      <c r="Q78" s="790">
        <v>410282</v>
      </c>
      <c r="R78" s="790">
        <v>406861</v>
      </c>
      <c r="S78" s="790">
        <v>413146</v>
      </c>
      <c r="T78" s="790">
        <v>411706</v>
      </c>
      <c r="U78" s="790">
        <v>405818</v>
      </c>
      <c r="V78" s="790">
        <v>392199</v>
      </c>
      <c r="W78" s="790">
        <v>392296</v>
      </c>
      <c r="X78" s="790">
        <v>393311</v>
      </c>
      <c r="Y78" s="790">
        <v>394836</v>
      </c>
      <c r="Z78" s="790">
        <v>400730</v>
      </c>
      <c r="AA78" s="790">
        <v>389110</v>
      </c>
    </row>
    <row r="79" spans="1:27" ht="12">
      <c r="A79" s="789" t="s">
        <v>606</v>
      </c>
      <c r="N79" s="790">
        <v>2</v>
      </c>
      <c r="O79" s="790">
        <v>2</v>
      </c>
      <c r="P79" s="790">
        <v>40</v>
      </c>
      <c r="Q79" s="790">
        <v>40</v>
      </c>
      <c r="R79" s="790">
        <v>38</v>
      </c>
      <c r="S79" s="790">
        <v>38</v>
      </c>
      <c r="T79" s="790">
        <v>38</v>
      </c>
      <c r="U79" s="790">
        <v>38</v>
      </c>
      <c r="V79" s="790">
        <v>38</v>
      </c>
      <c r="W79" s="790">
        <v>38</v>
      </c>
      <c r="X79" s="790">
        <v>38</v>
      </c>
      <c r="Y79" s="790">
        <v>56</v>
      </c>
      <c r="Z79" s="790">
        <v>56</v>
      </c>
      <c r="AA79" s="790">
        <v>56</v>
      </c>
    </row>
    <row r="80" spans="1:27" ht="12">
      <c r="A80" s="803" t="s">
        <v>264</v>
      </c>
      <c r="N80" s="790">
        <v>2.4</v>
      </c>
      <c r="O80" s="790">
        <v>2.4</v>
      </c>
      <c r="P80" s="790">
        <v>7.3</v>
      </c>
      <c r="Q80" s="790">
        <v>7.3</v>
      </c>
      <c r="R80" s="790">
        <v>4.9000000000000004</v>
      </c>
      <c r="S80" s="790">
        <v>4.8</v>
      </c>
      <c r="T80" s="790">
        <v>4.9000000000000004</v>
      </c>
      <c r="U80" s="790">
        <v>4.9000000000000004</v>
      </c>
      <c r="V80" s="790">
        <v>5.0999999999999996</v>
      </c>
      <c r="W80" s="790">
        <v>5.0999999999999996</v>
      </c>
      <c r="X80" s="790">
        <v>5.0999999999999996</v>
      </c>
      <c r="Y80" s="790">
        <v>10.1</v>
      </c>
      <c r="Z80" s="792">
        <v>10</v>
      </c>
      <c r="AA80" s="790">
        <v>10.3</v>
      </c>
    </row>
    <row r="81" spans="1:34" ht="12">
      <c r="A81" s="803" t="s">
        <v>265</v>
      </c>
      <c r="N81" s="790">
        <v>5</v>
      </c>
      <c r="O81" s="790">
        <v>5</v>
      </c>
      <c r="P81" s="790">
        <v>97</v>
      </c>
      <c r="Q81" s="790">
        <v>97</v>
      </c>
      <c r="R81" s="790">
        <v>93</v>
      </c>
      <c r="S81" s="790">
        <v>92</v>
      </c>
      <c r="T81" s="790">
        <v>92</v>
      </c>
      <c r="U81" s="790">
        <v>94</v>
      </c>
      <c r="V81" s="790">
        <v>97</v>
      </c>
      <c r="W81" s="790">
        <v>97</v>
      </c>
      <c r="X81" s="790">
        <v>97</v>
      </c>
      <c r="Y81" s="790">
        <v>142</v>
      </c>
      <c r="Z81" s="790">
        <v>140</v>
      </c>
      <c r="AA81" s="790">
        <v>221</v>
      </c>
    </row>
    <row r="82" spans="1:34" ht="12">
      <c r="A82" s="803" t="s">
        <v>607</v>
      </c>
      <c r="N82" s="793">
        <f>+(N76+N77)*200000/N78</f>
        <v>0.48770852587659513</v>
      </c>
      <c r="O82" s="793">
        <f t="shared" ref="O82:AA82" si="4">+(O76+O77)*200000/O78</f>
        <v>0.48278509063083114</v>
      </c>
      <c r="P82" s="793">
        <f t="shared" si="4"/>
        <v>1.4519477879575451</v>
      </c>
      <c r="Q82" s="793">
        <f t="shared" si="4"/>
        <v>1.4624087822522069</v>
      </c>
      <c r="R82" s="793">
        <f t="shared" si="4"/>
        <v>0.98313674694797482</v>
      </c>
      <c r="S82" s="793">
        <f t="shared" si="4"/>
        <v>0.96818073998053955</v>
      </c>
      <c r="T82" s="793">
        <f t="shared" si="4"/>
        <v>0.97156708913642265</v>
      </c>
      <c r="U82" s="793">
        <f t="shared" si="4"/>
        <v>0.98566352404279756</v>
      </c>
      <c r="V82" s="793">
        <f t="shared" si="4"/>
        <v>1.0198904127751474</v>
      </c>
      <c r="W82" s="793">
        <f t="shared" si="4"/>
        <v>1.0196382323551605</v>
      </c>
      <c r="X82" s="793">
        <f t="shared" si="4"/>
        <v>1.0170068978492846</v>
      </c>
      <c r="Y82" s="793">
        <f t="shared" si="4"/>
        <v>2.0261576958534682</v>
      </c>
      <c r="Z82" s="793">
        <f t="shared" si="4"/>
        <v>1.9963566491153644</v>
      </c>
      <c r="AA82" s="793">
        <f t="shared" si="4"/>
        <v>2.0559738891316082</v>
      </c>
    </row>
    <row r="83" spans="1:34" ht="12">
      <c r="A83" s="803" t="s">
        <v>584</v>
      </c>
      <c r="N83" s="793">
        <f>N80*N81/1000</f>
        <v>1.2E-2</v>
      </c>
      <c r="O83" s="793">
        <f>O80*O81/1000</f>
        <v>1.2E-2</v>
      </c>
      <c r="P83" s="793">
        <f>P80*P81/1000</f>
        <v>0.70810000000000006</v>
      </c>
      <c r="Q83" s="793">
        <f t="shared" ref="Q83:AA83" si="5">Q80*Q81/1000</f>
        <v>0.70810000000000006</v>
      </c>
      <c r="R83" s="793">
        <f t="shared" si="5"/>
        <v>0.45570000000000005</v>
      </c>
      <c r="S83" s="793">
        <f t="shared" si="5"/>
        <v>0.44159999999999999</v>
      </c>
      <c r="T83" s="793">
        <f t="shared" si="5"/>
        <v>0.45080000000000003</v>
      </c>
      <c r="U83" s="793">
        <f t="shared" si="5"/>
        <v>0.46060000000000001</v>
      </c>
      <c r="V83" s="793">
        <f t="shared" si="5"/>
        <v>0.49469999999999997</v>
      </c>
      <c r="W83" s="793">
        <f t="shared" si="5"/>
        <v>0.49469999999999997</v>
      </c>
      <c r="X83" s="793">
        <f t="shared" si="5"/>
        <v>0.49469999999999997</v>
      </c>
      <c r="Y83" s="793">
        <f t="shared" si="5"/>
        <v>1.4342000000000001</v>
      </c>
      <c r="Z83" s="793">
        <f t="shared" si="5"/>
        <v>1.4</v>
      </c>
      <c r="AA83" s="793">
        <f t="shared" si="5"/>
        <v>2.2763</v>
      </c>
    </row>
    <row r="93" spans="1:34" ht="12">
      <c r="AE93" s="809" t="s">
        <v>609</v>
      </c>
      <c r="AF93" s="809" t="s">
        <v>59</v>
      </c>
      <c r="AG93" s="809" t="s">
        <v>614</v>
      </c>
      <c r="AH93" s="809" t="s">
        <v>610</v>
      </c>
    </row>
    <row r="94" spans="1:34" ht="12">
      <c r="AE94" s="810" t="s">
        <v>611</v>
      </c>
      <c r="AF94" s="811" t="s">
        <v>612</v>
      </c>
      <c r="AG94" s="812">
        <v>41320</v>
      </c>
      <c r="AH94" s="811" t="s">
        <v>613</v>
      </c>
    </row>
    <row r="95" spans="1:34" ht="12">
      <c r="AE95" s="810" t="s">
        <v>615</v>
      </c>
      <c r="AF95" s="811" t="s">
        <v>612</v>
      </c>
      <c r="AG95" s="812">
        <v>41321</v>
      </c>
      <c r="AH95" s="811" t="s">
        <v>613</v>
      </c>
    </row>
    <row r="96" spans="1:34" ht="24">
      <c r="AE96" s="810" t="s">
        <v>617</v>
      </c>
      <c r="AF96" s="811" t="s">
        <v>612</v>
      </c>
      <c r="AG96" s="812"/>
      <c r="AH96" s="813" t="s">
        <v>613</v>
      </c>
    </row>
    <row r="97" spans="31:34" ht="24">
      <c r="AE97" s="810" t="s">
        <v>616</v>
      </c>
      <c r="AF97" s="811" t="s">
        <v>619</v>
      </c>
      <c r="AG97" s="814"/>
      <c r="AH97" s="815" t="s">
        <v>620</v>
      </c>
    </row>
    <row r="98" spans="31:34" ht="24">
      <c r="AE98" s="810" t="s">
        <v>618</v>
      </c>
      <c r="AF98" s="811" t="s">
        <v>619</v>
      </c>
      <c r="AG98" s="814"/>
      <c r="AH98" s="815" t="s">
        <v>620</v>
      </c>
    </row>
    <row r="99" spans="31:34" ht="24">
      <c r="AE99" s="816" t="s">
        <v>621</v>
      </c>
      <c r="AF99" s="813" t="s">
        <v>619</v>
      </c>
      <c r="AG99" s="817"/>
      <c r="AH99" s="815" t="s">
        <v>620</v>
      </c>
    </row>
    <row r="100" spans="31:34" ht="12">
      <c r="AE100" s="818" t="s">
        <v>622</v>
      </c>
      <c r="AF100" s="815" t="s">
        <v>623</v>
      </c>
      <c r="AG100" s="819"/>
      <c r="AH100" s="815" t="s">
        <v>620</v>
      </c>
    </row>
  </sheetData>
  <pageMargins left="0.7" right="0.7" top="0.75" bottom="0.75" header="0.3" footer="0.3"/>
  <customProperties>
    <customPr name="_pios_id" r:id="rId1"/>
  </customPropertie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8"/>
  <dimension ref="A1:Q9"/>
  <sheetViews>
    <sheetView workbookViewId="0">
      <selection activeCell="K11" sqref="K11"/>
    </sheetView>
  </sheetViews>
  <sheetFormatPr baseColWidth="10" defaultColWidth="11.44140625" defaultRowHeight="13.2"/>
  <cols>
    <col min="3" max="7" width="12.5546875" bestFit="1" customWidth="1"/>
    <col min="8" max="8" width="14.5546875" bestFit="1" customWidth="1"/>
    <col min="9" max="14" width="12.5546875" bestFit="1" customWidth="1"/>
  </cols>
  <sheetData>
    <row r="1" spans="1:17" ht="13.8" thickBot="1">
      <c r="C1" s="270">
        <v>2002</v>
      </c>
      <c r="D1" s="270">
        <v>2003</v>
      </c>
      <c r="E1" s="270">
        <v>2004</v>
      </c>
      <c r="F1" s="270">
        <v>2005</v>
      </c>
      <c r="G1" s="270">
        <v>2006</v>
      </c>
      <c r="H1" s="270">
        <v>2007</v>
      </c>
      <c r="I1" s="270">
        <v>2008</v>
      </c>
      <c r="J1" s="270">
        <v>2009</v>
      </c>
      <c r="K1" s="270">
        <v>2010</v>
      </c>
      <c r="L1" s="270">
        <v>2011</v>
      </c>
      <c r="M1" s="270">
        <v>2012</v>
      </c>
      <c r="N1" s="757" t="s">
        <v>601</v>
      </c>
    </row>
    <row r="2" spans="1:17">
      <c r="A2" s="3290" t="s">
        <v>576</v>
      </c>
      <c r="B2" s="766" t="s">
        <v>302</v>
      </c>
      <c r="C2" s="767">
        <v>1447075</v>
      </c>
      <c r="D2" s="767">
        <v>1700985</v>
      </c>
      <c r="E2" s="767">
        <v>1889109</v>
      </c>
      <c r="F2" s="767">
        <v>1787526</v>
      </c>
      <c r="G2" s="767">
        <v>1776946</v>
      </c>
      <c r="H2" s="767">
        <v>1840261</v>
      </c>
      <c r="I2" s="767">
        <v>2129934</v>
      </c>
      <c r="J2" s="767">
        <v>2270054</v>
      </c>
      <c r="K2" s="767">
        <v>2623802</v>
      </c>
      <c r="L2" s="767">
        <v>2125664.31</v>
      </c>
      <c r="M2" s="767">
        <v>2444527</v>
      </c>
      <c r="O2" s="768"/>
      <c r="P2" s="769"/>
      <c r="Q2" s="769"/>
    </row>
    <row r="3" spans="1:17">
      <c r="A3" s="3291"/>
      <c r="B3" s="770" t="s">
        <v>624</v>
      </c>
      <c r="C3" s="771">
        <v>8</v>
      </c>
      <c r="D3" s="771">
        <v>5</v>
      </c>
      <c r="E3" s="771">
        <v>7</v>
      </c>
      <c r="F3" s="771">
        <v>8</v>
      </c>
      <c r="G3" s="771">
        <v>4</v>
      </c>
      <c r="H3" s="771">
        <v>7</v>
      </c>
      <c r="I3" s="771">
        <v>5</v>
      </c>
      <c r="J3" s="771">
        <v>7</v>
      </c>
      <c r="K3" s="771">
        <v>11</v>
      </c>
      <c r="L3" s="771">
        <v>9</v>
      </c>
      <c r="M3" s="771">
        <v>9</v>
      </c>
      <c r="O3" s="772">
        <v>8</v>
      </c>
      <c r="P3" s="773">
        <v>7</v>
      </c>
      <c r="Q3" s="773">
        <v>6</v>
      </c>
    </row>
    <row r="4" spans="1:17">
      <c r="A4" s="3291"/>
      <c r="B4" s="770" t="s">
        <v>625</v>
      </c>
      <c r="C4" s="771">
        <v>0</v>
      </c>
      <c r="D4" s="771">
        <v>0</v>
      </c>
      <c r="E4" s="771">
        <v>0</v>
      </c>
      <c r="F4" s="771">
        <v>0</v>
      </c>
      <c r="G4" s="771">
        <v>0</v>
      </c>
      <c r="H4" s="771">
        <v>10</v>
      </c>
      <c r="I4" s="771">
        <v>6</v>
      </c>
      <c r="J4" s="771">
        <v>2</v>
      </c>
      <c r="K4" s="771">
        <v>4</v>
      </c>
      <c r="L4" s="771">
        <v>0</v>
      </c>
      <c r="M4" s="771">
        <v>0</v>
      </c>
      <c r="O4" s="772">
        <v>0</v>
      </c>
      <c r="P4" s="773">
        <v>0</v>
      </c>
      <c r="Q4" s="773">
        <v>0</v>
      </c>
    </row>
    <row r="5" spans="1:17">
      <c r="A5" s="3291"/>
      <c r="B5" s="770" t="s">
        <v>626</v>
      </c>
      <c r="C5" s="771">
        <v>127</v>
      </c>
      <c r="D5" s="771">
        <v>28</v>
      </c>
      <c r="E5" s="771">
        <v>34</v>
      </c>
      <c r="F5" s="771">
        <v>29</v>
      </c>
      <c r="G5" s="771">
        <v>20</v>
      </c>
      <c r="H5" s="771">
        <v>49</v>
      </c>
      <c r="I5" s="771">
        <v>35</v>
      </c>
      <c r="J5" s="771">
        <v>33</v>
      </c>
      <c r="K5" s="771">
        <v>11</v>
      </c>
      <c r="L5" s="771">
        <v>30</v>
      </c>
      <c r="M5" s="771">
        <v>23</v>
      </c>
      <c r="O5" s="772">
        <v>25</v>
      </c>
      <c r="P5" s="773">
        <v>20</v>
      </c>
      <c r="Q5" s="773">
        <v>15</v>
      </c>
    </row>
    <row r="6" spans="1:17" ht="13.8" thickBot="1">
      <c r="A6" s="3292"/>
      <c r="B6" s="774" t="s">
        <v>627</v>
      </c>
      <c r="C6" s="775">
        <v>224</v>
      </c>
      <c r="D6" s="775">
        <v>252</v>
      </c>
      <c r="E6" s="775">
        <v>467</v>
      </c>
      <c r="F6" s="775">
        <v>374</v>
      </c>
      <c r="G6" s="775">
        <v>128</v>
      </c>
      <c r="H6" s="775">
        <v>99</v>
      </c>
      <c r="I6" s="775">
        <v>148</v>
      </c>
      <c r="J6" s="775">
        <v>1839</v>
      </c>
      <c r="K6" s="775">
        <v>151</v>
      </c>
      <c r="L6" s="775">
        <v>155</v>
      </c>
      <c r="M6" s="775">
        <v>150</v>
      </c>
      <c r="O6" s="776">
        <v>160</v>
      </c>
      <c r="P6" s="777">
        <v>140</v>
      </c>
      <c r="Q6" s="777">
        <v>120</v>
      </c>
    </row>
    <row r="7" spans="1:17">
      <c r="C7" s="571">
        <f t="shared" ref="C7:M7" si="0">+(C3+C4)*1000000/C2</f>
        <v>5.5283934834061812</v>
      </c>
      <c r="D7" s="571">
        <f t="shared" si="0"/>
        <v>2.9394733051731792</v>
      </c>
      <c r="E7" s="571">
        <f t="shared" si="0"/>
        <v>3.7054505589672169</v>
      </c>
      <c r="F7" s="571">
        <f t="shared" si="0"/>
        <v>4.4754593779335234</v>
      </c>
      <c r="G7" s="571">
        <f t="shared" si="0"/>
        <v>2.2510532115213406</v>
      </c>
      <c r="H7" s="571">
        <f t="shared" si="0"/>
        <v>9.237820070087885</v>
      </c>
      <c r="I7" s="571">
        <f t="shared" si="0"/>
        <v>5.1644792749446697</v>
      </c>
      <c r="J7" s="571">
        <f t="shared" si="0"/>
        <v>3.9646633956725257</v>
      </c>
      <c r="K7" s="571">
        <f t="shared" si="0"/>
        <v>5.7168947961774554</v>
      </c>
      <c r="L7" s="571">
        <f t="shared" si="0"/>
        <v>4.233970508730045</v>
      </c>
      <c r="M7" s="571">
        <f t="shared" si="0"/>
        <v>3.6816938409761888</v>
      </c>
      <c r="N7">
        <v>11</v>
      </c>
    </row>
    <row r="8" spans="1:17">
      <c r="C8" s="63">
        <f t="shared" ref="C8:H8" si="1">+(C6)*1000000/C2</f>
        <v>154.79501753537309</v>
      </c>
      <c r="D8" s="63">
        <f t="shared" si="1"/>
        <v>148.14945458072822</v>
      </c>
      <c r="E8" s="63">
        <f t="shared" si="1"/>
        <v>247.2064872910986</v>
      </c>
      <c r="F8" s="63">
        <f t="shared" si="1"/>
        <v>209.22772591839222</v>
      </c>
      <c r="G8" s="63">
        <f t="shared" si="1"/>
        <v>72.0337027686829</v>
      </c>
      <c r="H8" s="63">
        <f t="shared" si="1"/>
        <v>53.796716878747091</v>
      </c>
      <c r="I8" s="63">
        <f>+(I6)*1000000/I2</f>
        <v>69.485721153801009</v>
      </c>
      <c r="J8" s="63">
        <f>+(J6)*1000000/J2</f>
        <v>810.1128871824194</v>
      </c>
      <c r="K8" s="63">
        <f>+(K6)*1000000/K2</f>
        <v>57.55007428151972</v>
      </c>
      <c r="L8" s="63">
        <f>+(L6)*1000000/L2</f>
        <v>72.918380983684102</v>
      </c>
      <c r="M8" s="63">
        <f>+(M6)*1000000/M2</f>
        <v>61.361564016269817</v>
      </c>
      <c r="N8" s="357">
        <v>332</v>
      </c>
    </row>
    <row r="9" spans="1:17">
      <c r="C9" s="151">
        <f>+C8*C7/1000</f>
        <v>0.85576776620630213</v>
      </c>
      <c r="D9" s="151">
        <f t="shared" ref="D9:N9" si="2">+D8*D7/1000</f>
        <v>0.43548136691601697</v>
      </c>
      <c r="E9" s="151">
        <f t="shared" si="2"/>
        <v>0.91601141651312346</v>
      </c>
      <c r="F9" s="151">
        <f t="shared" si="2"/>
        <v>0.93639018808517338</v>
      </c>
      <c r="G9" s="151">
        <f t="shared" si="2"/>
        <v>0.16215169795521731</v>
      </c>
      <c r="H9" s="151">
        <f t="shared" si="2"/>
        <v>0.49696439088732558</v>
      </c>
      <c r="I9" s="151">
        <f t="shared" si="2"/>
        <v>0.3588575668033897</v>
      </c>
      <c r="J9" s="151">
        <f t="shared" si="2"/>
        <v>3.2118249101747245</v>
      </c>
      <c r="K9" s="151">
        <f t="shared" si="2"/>
        <v>0.32900772017964608</v>
      </c>
      <c r="L9" s="151">
        <f t="shared" si="2"/>
        <v>0.30873427462926017</v>
      </c>
      <c r="M9" s="151">
        <f t="shared" si="2"/>
        <v>0.22591449231136673</v>
      </c>
      <c r="N9" s="151">
        <f t="shared" si="2"/>
        <v>3.6520000000000001</v>
      </c>
    </row>
  </sheetData>
  <mergeCells count="1">
    <mergeCell ref="A2:A6"/>
  </mergeCells>
  <pageMargins left="0.7" right="0.7" top="0.75" bottom="0.75" header="0.3" footer="0.3"/>
  <customProperties>
    <customPr name="_pios_id" r:id="rId1"/>
  </customPropertie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19"/>
  <dimension ref="A1:Q38"/>
  <sheetViews>
    <sheetView workbookViewId="0">
      <selection activeCell="D19" sqref="D19"/>
    </sheetView>
  </sheetViews>
  <sheetFormatPr baseColWidth="10" defaultRowHeight="13.2"/>
  <cols>
    <col min="1" max="1" width="30.44140625" customWidth="1"/>
    <col min="2" max="2" width="11.5546875" customWidth="1"/>
    <col min="3" max="3" width="7.5546875" bestFit="1" customWidth="1"/>
    <col min="4" max="4" width="4.44140625" bestFit="1" customWidth="1"/>
    <col min="5" max="6" width="4.44140625" style="8" bestFit="1" customWidth="1"/>
    <col min="7" max="7" width="3.5546875" style="8" bestFit="1" customWidth="1"/>
    <col min="8" max="8" width="4.5546875" style="8" bestFit="1" customWidth="1"/>
    <col min="9" max="9" width="3.5546875" style="8" bestFit="1" customWidth="1"/>
    <col min="10" max="10" width="3.44140625" style="8" bestFit="1" customWidth="1"/>
    <col min="11" max="11" width="4.5546875" style="8" bestFit="1" customWidth="1"/>
    <col min="12" max="12" width="3.5546875" style="8" bestFit="1" customWidth="1"/>
    <col min="13" max="14" width="4" style="8" bestFit="1" customWidth="1"/>
    <col min="15" max="15" width="3.5546875" style="8" bestFit="1" customWidth="1"/>
    <col min="16" max="16" width="51.5546875" style="217" customWidth="1"/>
  </cols>
  <sheetData>
    <row r="1" spans="1:17">
      <c r="A1" s="3297" t="s">
        <v>767</v>
      </c>
      <c r="B1" s="3295" t="s">
        <v>764</v>
      </c>
      <c r="C1" s="3293" t="s">
        <v>809</v>
      </c>
      <c r="D1" s="3293"/>
      <c r="E1" s="3293"/>
      <c r="F1" s="3293"/>
      <c r="G1" s="3293"/>
      <c r="H1" s="3293"/>
      <c r="I1" s="3293"/>
      <c r="J1" s="3293"/>
      <c r="K1" s="3293"/>
      <c r="L1" s="3293"/>
      <c r="M1" s="3293"/>
      <c r="N1" s="3293"/>
      <c r="O1" s="3293"/>
      <c r="P1" s="3156" t="s">
        <v>762</v>
      </c>
    </row>
    <row r="2" spans="1:17" ht="13.8" thickBot="1">
      <c r="A2" s="3298"/>
      <c r="B2" s="3296"/>
      <c r="C2" s="975" t="s">
        <v>759</v>
      </c>
      <c r="D2" s="976" t="s">
        <v>102</v>
      </c>
      <c r="E2" s="968" t="s">
        <v>103</v>
      </c>
      <c r="F2" s="968" t="s">
        <v>104</v>
      </c>
      <c r="G2" s="968" t="s">
        <v>105</v>
      </c>
      <c r="H2" s="968" t="s">
        <v>106</v>
      </c>
      <c r="I2" s="968" t="s">
        <v>107</v>
      </c>
      <c r="J2" s="968" t="s">
        <v>108</v>
      </c>
      <c r="K2" s="968" t="s">
        <v>758</v>
      </c>
      <c r="L2" s="968" t="s">
        <v>544</v>
      </c>
      <c r="M2" s="968" t="s">
        <v>111</v>
      </c>
      <c r="N2" s="968" t="s">
        <v>112</v>
      </c>
      <c r="O2" s="968" t="s">
        <v>113</v>
      </c>
      <c r="P2" s="3294"/>
      <c r="Q2" s="675" t="s">
        <v>770</v>
      </c>
    </row>
    <row r="3" spans="1:17">
      <c r="A3" s="960" t="s">
        <v>702</v>
      </c>
      <c r="B3" s="960" t="s">
        <v>760</v>
      </c>
      <c r="C3" s="969"/>
      <c r="D3" s="969"/>
      <c r="E3" s="913"/>
      <c r="F3" s="1018"/>
      <c r="G3" s="913"/>
      <c r="H3" s="913"/>
      <c r="I3" s="913"/>
      <c r="J3" s="913"/>
      <c r="K3" s="913"/>
      <c r="L3" s="913"/>
      <c r="M3" s="913"/>
      <c r="N3" s="913"/>
      <c r="O3" s="913"/>
      <c r="P3" s="974" t="s">
        <v>810</v>
      </c>
      <c r="Q3" t="s">
        <v>380</v>
      </c>
    </row>
    <row r="4" spans="1:17" hidden="1">
      <c r="A4" s="962" t="s">
        <v>704</v>
      </c>
      <c r="B4" s="960" t="s">
        <v>705</v>
      </c>
      <c r="C4" s="963"/>
      <c r="D4" s="913"/>
      <c r="E4" s="913"/>
      <c r="F4" s="1018"/>
      <c r="G4" s="913"/>
      <c r="H4" s="913"/>
      <c r="I4" s="913"/>
      <c r="J4" s="913"/>
      <c r="K4" s="913"/>
      <c r="L4" s="913"/>
      <c r="M4" s="913"/>
      <c r="N4" s="913"/>
      <c r="O4" s="913"/>
      <c r="P4" s="974" t="s">
        <v>766</v>
      </c>
      <c r="Q4" t="s">
        <v>815</v>
      </c>
    </row>
    <row r="5" spans="1:17">
      <c r="A5" s="954" t="s">
        <v>706</v>
      </c>
      <c r="B5" s="952" t="s">
        <v>707</v>
      </c>
      <c r="C5" s="961"/>
      <c r="D5" s="543"/>
      <c r="E5" s="543"/>
      <c r="F5" s="1020"/>
      <c r="G5" s="543"/>
      <c r="H5" s="543"/>
      <c r="I5" s="543"/>
      <c r="J5" s="543"/>
      <c r="K5" s="543"/>
      <c r="L5" s="543"/>
      <c r="M5" s="543"/>
      <c r="N5" s="543"/>
      <c r="O5" s="543"/>
      <c r="P5" s="971" t="s">
        <v>811</v>
      </c>
      <c r="Q5" t="s">
        <v>380</v>
      </c>
    </row>
    <row r="6" spans="1:17" hidden="1">
      <c r="A6" s="956" t="s">
        <v>709</v>
      </c>
      <c r="B6" s="952" t="s">
        <v>710</v>
      </c>
      <c r="C6" s="961"/>
      <c r="D6" s="543"/>
      <c r="E6" s="543"/>
      <c r="F6" s="1020"/>
      <c r="G6" s="543"/>
      <c r="H6" s="543"/>
      <c r="I6" s="543"/>
      <c r="J6" s="543"/>
      <c r="K6" s="543"/>
      <c r="L6" s="543"/>
      <c r="M6" s="543"/>
      <c r="N6" s="543"/>
      <c r="O6" s="543"/>
      <c r="P6" s="972" t="s">
        <v>766</v>
      </c>
      <c r="Q6" t="s">
        <v>380</v>
      </c>
    </row>
    <row r="7" spans="1:17">
      <c r="A7" s="956" t="s">
        <v>712</v>
      </c>
      <c r="B7" s="954" t="s">
        <v>713</v>
      </c>
      <c r="C7" s="961"/>
      <c r="D7" s="543"/>
      <c r="E7" s="543"/>
      <c r="F7" s="1020"/>
      <c r="G7" s="543"/>
      <c r="H7" s="543"/>
      <c r="I7" s="543"/>
      <c r="J7" s="543"/>
      <c r="K7" s="543"/>
      <c r="L7" s="543"/>
      <c r="M7" s="543"/>
      <c r="N7" s="543"/>
      <c r="O7" s="543"/>
      <c r="P7" s="972" t="s">
        <v>816</v>
      </c>
      <c r="Q7" t="s">
        <v>380</v>
      </c>
    </row>
    <row r="8" spans="1:17" ht="21.6" thickBot="1">
      <c r="A8" s="953" t="s">
        <v>761</v>
      </c>
      <c r="B8" s="953" t="s">
        <v>714</v>
      </c>
      <c r="C8" s="964"/>
      <c r="D8" s="912"/>
      <c r="E8" s="912"/>
      <c r="F8" s="1021"/>
      <c r="G8" s="912"/>
      <c r="H8" s="912"/>
      <c r="I8" s="912"/>
      <c r="J8" s="912"/>
      <c r="K8" s="912"/>
      <c r="L8" s="912"/>
      <c r="M8" s="912"/>
      <c r="N8" s="912"/>
      <c r="O8" s="912"/>
      <c r="P8" s="973" t="s">
        <v>765</v>
      </c>
    </row>
    <row r="9" spans="1:17">
      <c r="A9" s="955" t="s">
        <v>715</v>
      </c>
      <c r="B9" s="966" t="s">
        <v>716</v>
      </c>
      <c r="C9" s="137"/>
      <c r="D9" s="137"/>
      <c r="E9" s="913"/>
      <c r="F9" s="1018"/>
      <c r="G9" s="1016"/>
      <c r="H9" s="913"/>
      <c r="I9" s="913"/>
      <c r="J9" s="913"/>
      <c r="K9" s="913"/>
      <c r="L9" s="913"/>
      <c r="M9" s="913"/>
      <c r="N9" s="913"/>
      <c r="O9" s="913"/>
      <c r="P9" s="974" t="s">
        <v>813</v>
      </c>
      <c r="Q9" t="s">
        <v>380</v>
      </c>
    </row>
    <row r="10" spans="1:17">
      <c r="A10" s="954" t="s">
        <v>717</v>
      </c>
      <c r="B10" s="957" t="s">
        <v>718</v>
      </c>
      <c r="C10" s="137"/>
      <c r="D10" s="137"/>
      <c r="E10" s="543"/>
      <c r="F10" s="1020"/>
      <c r="G10" s="543"/>
      <c r="H10" s="1017"/>
      <c r="I10" s="543"/>
      <c r="J10" s="543"/>
      <c r="K10" s="543"/>
      <c r="L10" s="543"/>
      <c r="M10" s="543"/>
      <c r="N10" s="543"/>
      <c r="O10" s="543"/>
      <c r="P10" s="974" t="s">
        <v>812</v>
      </c>
      <c r="Q10" t="s">
        <v>380</v>
      </c>
    </row>
    <row r="11" spans="1:17">
      <c r="A11" s="954" t="s">
        <v>719</v>
      </c>
      <c r="B11" s="957" t="s">
        <v>720</v>
      </c>
      <c r="C11" s="137"/>
      <c r="D11" s="137"/>
      <c r="E11" s="543"/>
      <c r="F11" s="1020"/>
      <c r="G11" s="543"/>
      <c r="H11" s="1017"/>
      <c r="I11" s="543"/>
      <c r="J11" s="543"/>
      <c r="K11" s="543"/>
      <c r="L11" s="543"/>
      <c r="M11" s="543"/>
      <c r="N11" s="543"/>
      <c r="O11" s="543"/>
      <c r="P11" s="974" t="s">
        <v>814</v>
      </c>
      <c r="Q11" t="s">
        <v>380</v>
      </c>
    </row>
    <row r="12" spans="1:17">
      <c r="A12" s="954" t="s">
        <v>721</v>
      </c>
      <c r="B12" s="957" t="s">
        <v>722</v>
      </c>
      <c r="C12" s="137"/>
      <c r="D12" s="137"/>
      <c r="E12" s="543"/>
      <c r="F12" s="1020"/>
      <c r="G12" s="543"/>
      <c r="H12" s="543"/>
      <c r="I12" s="1017"/>
      <c r="J12" s="543"/>
      <c r="K12" s="543"/>
      <c r="L12" s="543"/>
      <c r="M12" s="543"/>
      <c r="N12" s="543"/>
      <c r="O12" s="543"/>
      <c r="P12" s="974" t="s">
        <v>814</v>
      </c>
      <c r="Q12" t="s">
        <v>380</v>
      </c>
    </row>
    <row r="13" spans="1:17">
      <c r="A13" s="954" t="s">
        <v>723</v>
      </c>
      <c r="B13" s="957" t="s">
        <v>722</v>
      </c>
      <c r="C13" s="137"/>
      <c r="D13" s="137"/>
      <c r="E13" s="543"/>
      <c r="F13" s="1020"/>
      <c r="G13" s="543"/>
      <c r="H13" s="543"/>
      <c r="I13" s="1017"/>
      <c r="J13" s="543"/>
      <c r="K13" s="543"/>
      <c r="L13" s="543"/>
      <c r="M13" s="543"/>
      <c r="N13" s="543"/>
      <c r="O13" s="543"/>
      <c r="P13" s="974" t="s">
        <v>814</v>
      </c>
      <c r="Q13" t="s">
        <v>380</v>
      </c>
    </row>
    <row r="14" spans="1:17">
      <c r="A14" s="954" t="s">
        <v>724</v>
      </c>
      <c r="B14" s="957" t="s">
        <v>725</v>
      </c>
      <c r="C14" s="137"/>
      <c r="D14" s="137"/>
      <c r="E14" s="137"/>
      <c r="F14" s="1020"/>
      <c r="G14" s="543"/>
      <c r="H14" s="543"/>
      <c r="I14" s="1017"/>
      <c r="J14" s="543"/>
      <c r="K14" s="543"/>
      <c r="L14" s="543"/>
      <c r="M14" s="543"/>
      <c r="N14" s="543"/>
      <c r="O14" s="543"/>
      <c r="P14" s="974" t="s">
        <v>814</v>
      </c>
      <c r="Q14" t="s">
        <v>380</v>
      </c>
    </row>
    <row r="15" spans="1:17">
      <c r="A15" s="954" t="s">
        <v>579</v>
      </c>
      <c r="B15" s="957" t="s">
        <v>726</v>
      </c>
      <c r="C15" s="137"/>
      <c r="D15" s="137"/>
      <c r="E15" s="137"/>
      <c r="F15" s="1020"/>
      <c r="G15" s="543"/>
      <c r="H15" s="543"/>
      <c r="I15" s="1017"/>
      <c r="J15" s="543"/>
      <c r="K15" s="543"/>
      <c r="L15" s="543"/>
      <c r="M15" s="543"/>
      <c r="N15" s="543"/>
      <c r="O15" s="543"/>
      <c r="P15" s="972" t="s">
        <v>817</v>
      </c>
    </row>
    <row r="16" spans="1:17" hidden="1">
      <c r="A16" s="954" t="s">
        <v>727</v>
      </c>
      <c r="B16" s="957" t="s">
        <v>728</v>
      </c>
      <c r="C16" s="137"/>
      <c r="D16" s="137"/>
      <c r="E16" s="137"/>
      <c r="F16" s="1020"/>
      <c r="G16" s="543"/>
      <c r="H16" s="543"/>
      <c r="I16" s="1017"/>
      <c r="J16" s="543"/>
      <c r="K16" s="543"/>
      <c r="L16" s="543"/>
      <c r="M16" s="543"/>
      <c r="N16" s="543"/>
      <c r="O16" s="543"/>
      <c r="P16" s="972"/>
    </row>
    <row r="17" spans="1:17">
      <c r="A17" s="954" t="s">
        <v>818</v>
      </c>
      <c r="B17" s="957" t="s">
        <v>729</v>
      </c>
      <c r="C17" s="137"/>
      <c r="D17" s="137"/>
      <c r="E17" s="543"/>
      <c r="F17" s="1022"/>
      <c r="G17" s="543"/>
      <c r="H17" s="543"/>
      <c r="I17" s="543"/>
      <c r="J17" s="1017"/>
      <c r="K17" s="543"/>
      <c r="L17" s="543"/>
      <c r="M17" s="543"/>
      <c r="N17" s="543"/>
      <c r="O17" s="543"/>
      <c r="P17" s="974" t="s">
        <v>814</v>
      </c>
      <c r="Q17" t="s">
        <v>380</v>
      </c>
    </row>
    <row r="18" spans="1:17">
      <c r="A18" s="954" t="s">
        <v>93</v>
      </c>
      <c r="B18" s="957" t="s">
        <v>730</v>
      </c>
      <c r="C18" s="137"/>
      <c r="D18" s="137"/>
      <c r="E18" s="543"/>
      <c r="F18" s="1022"/>
      <c r="G18" s="543"/>
      <c r="H18" s="543"/>
      <c r="I18" s="543"/>
      <c r="J18" s="1017"/>
      <c r="K18" s="543"/>
      <c r="M18" s="543"/>
      <c r="N18" s="543"/>
      <c r="O18" s="543"/>
      <c r="P18" s="974" t="s">
        <v>814</v>
      </c>
      <c r="Q18" t="s">
        <v>380</v>
      </c>
    </row>
    <row r="19" spans="1:17">
      <c r="A19" s="954" t="s">
        <v>731</v>
      </c>
      <c r="B19" s="957" t="s">
        <v>732</v>
      </c>
      <c r="C19" s="137"/>
      <c r="D19" s="137"/>
      <c r="E19" s="543"/>
      <c r="F19" s="1022"/>
      <c r="G19" s="543"/>
      <c r="H19" s="543"/>
      <c r="I19" s="543"/>
      <c r="J19" s="1017"/>
      <c r="K19" s="543"/>
      <c r="L19" s="543"/>
      <c r="M19" s="543"/>
      <c r="N19" s="543"/>
      <c r="O19" s="543"/>
      <c r="P19" s="974" t="s">
        <v>814</v>
      </c>
      <c r="Q19" t="s">
        <v>380</v>
      </c>
    </row>
    <row r="20" spans="1:17">
      <c r="A20" s="954" t="s">
        <v>733</v>
      </c>
      <c r="B20" s="957" t="s">
        <v>734</v>
      </c>
      <c r="C20" s="137"/>
      <c r="D20" s="137"/>
      <c r="E20" s="543"/>
      <c r="F20" s="1022"/>
      <c r="G20" s="543"/>
      <c r="H20" s="543"/>
      <c r="I20" s="543"/>
      <c r="J20" s="1017"/>
      <c r="K20" s="543"/>
      <c r="L20" s="543"/>
      <c r="M20" s="543"/>
      <c r="N20" s="543"/>
      <c r="O20" s="543"/>
      <c r="P20" s="972"/>
      <c r="Q20" t="s">
        <v>380</v>
      </c>
    </row>
    <row r="21" spans="1:17">
      <c r="A21" s="954" t="s">
        <v>735</v>
      </c>
      <c r="B21" s="957" t="s">
        <v>736</v>
      </c>
      <c r="C21" s="137"/>
      <c r="D21" s="137"/>
      <c r="E21" s="543"/>
      <c r="F21" s="1020"/>
      <c r="G21" s="137"/>
      <c r="H21" s="543"/>
      <c r="I21" s="543"/>
      <c r="J21" s="543"/>
      <c r="K21" s="1017"/>
      <c r="L21" s="543"/>
      <c r="M21" s="543"/>
      <c r="N21" s="543"/>
      <c r="O21" s="543"/>
      <c r="P21" s="972"/>
      <c r="Q21" t="s">
        <v>380</v>
      </c>
    </row>
    <row r="22" spans="1:17">
      <c r="A22" s="954" t="s">
        <v>737</v>
      </c>
      <c r="B22" s="952" t="s">
        <v>738</v>
      </c>
      <c r="C22" s="137"/>
      <c r="D22" s="137"/>
      <c r="E22" s="543"/>
      <c r="F22" s="1020"/>
      <c r="G22" s="543"/>
      <c r="H22" s="137"/>
      <c r="I22" s="543"/>
      <c r="J22" s="543"/>
      <c r="K22" s="543"/>
      <c r="L22" s="1017"/>
      <c r="M22" s="543"/>
      <c r="N22" s="543"/>
      <c r="O22" s="543"/>
      <c r="P22" s="972"/>
      <c r="Q22" t="s">
        <v>380</v>
      </c>
    </row>
    <row r="23" spans="1:17">
      <c r="A23" s="954" t="s">
        <v>739</v>
      </c>
      <c r="B23" s="957" t="s">
        <v>740</v>
      </c>
      <c r="C23" s="137"/>
      <c r="D23" s="137"/>
      <c r="E23" s="543"/>
      <c r="F23" s="1020"/>
      <c r="G23" s="543"/>
      <c r="H23" s="137"/>
      <c r="I23" s="543"/>
      <c r="J23" s="543"/>
      <c r="K23" s="543"/>
      <c r="L23" s="1017"/>
      <c r="M23" s="543"/>
      <c r="N23" s="543"/>
      <c r="O23" s="543"/>
      <c r="P23" s="972"/>
      <c r="Q23" t="s">
        <v>380</v>
      </c>
    </row>
    <row r="24" spans="1:17">
      <c r="A24" s="954" t="s">
        <v>451</v>
      </c>
      <c r="B24" s="954" t="s">
        <v>740</v>
      </c>
      <c r="C24" s="137"/>
      <c r="D24" s="137"/>
      <c r="E24" s="543"/>
      <c r="F24" s="1020"/>
      <c r="G24" s="543"/>
      <c r="H24" s="137"/>
      <c r="I24" s="543"/>
      <c r="J24" s="543"/>
      <c r="K24" s="543"/>
      <c r="L24" s="1017"/>
      <c r="M24" s="543"/>
      <c r="N24" s="543"/>
      <c r="O24" s="543"/>
      <c r="P24" s="972"/>
      <c r="Q24" t="s">
        <v>380</v>
      </c>
    </row>
    <row r="25" spans="1:17">
      <c r="A25" s="954" t="s">
        <v>819</v>
      </c>
      <c r="B25" s="957" t="s">
        <v>741</v>
      </c>
      <c r="C25" s="137"/>
      <c r="D25" s="137"/>
      <c r="E25" s="543"/>
      <c r="F25" s="1020"/>
      <c r="G25" s="543"/>
      <c r="H25" s="543"/>
      <c r="I25" s="137"/>
      <c r="J25" s="543"/>
      <c r="K25" s="543"/>
      <c r="L25" s="543"/>
      <c r="M25" s="1017"/>
      <c r="N25" s="543"/>
      <c r="O25" s="543"/>
      <c r="P25" s="972"/>
      <c r="Q25" t="s">
        <v>380</v>
      </c>
    </row>
    <row r="26" spans="1:17" hidden="1">
      <c r="A26" s="954" t="s">
        <v>742</v>
      </c>
      <c r="B26" s="957" t="s">
        <v>743</v>
      </c>
      <c r="C26" s="137"/>
      <c r="D26" s="137"/>
      <c r="E26" s="543"/>
      <c r="F26" s="1020"/>
      <c r="G26" s="543"/>
      <c r="H26" s="543"/>
      <c r="I26" s="137"/>
      <c r="J26" s="543"/>
      <c r="K26" s="543"/>
      <c r="L26" s="543"/>
      <c r="M26" s="1017"/>
      <c r="N26" s="543"/>
      <c r="O26" s="543"/>
      <c r="P26" s="972"/>
    </row>
    <row r="27" spans="1:17">
      <c r="A27" s="954" t="s">
        <v>744</v>
      </c>
      <c r="B27" s="958" t="s">
        <v>745</v>
      </c>
      <c r="C27" s="137"/>
      <c r="D27" s="137"/>
      <c r="E27" s="543"/>
      <c r="F27" s="1020"/>
      <c r="G27" s="543"/>
      <c r="H27" s="543"/>
      <c r="I27" s="543"/>
      <c r="J27" s="137"/>
      <c r="K27" s="543"/>
      <c r="L27" s="543"/>
      <c r="M27" s="543"/>
      <c r="N27" s="1017"/>
      <c r="O27" s="543"/>
      <c r="P27" s="972"/>
      <c r="Q27" t="s">
        <v>380</v>
      </c>
    </row>
    <row r="28" spans="1:17" ht="13.8" thickBot="1">
      <c r="A28" s="953" t="s">
        <v>591</v>
      </c>
      <c r="B28" s="967" t="s">
        <v>746</v>
      </c>
      <c r="C28" s="965"/>
      <c r="D28" s="965"/>
      <c r="E28" s="912"/>
      <c r="F28" s="1021"/>
      <c r="G28" s="912"/>
      <c r="H28" s="912"/>
      <c r="I28" s="912"/>
      <c r="J28" s="912"/>
      <c r="K28" s="965"/>
      <c r="L28" s="912"/>
      <c r="M28" s="912"/>
      <c r="N28" s="912"/>
      <c r="O28" s="1017"/>
      <c r="P28" s="973"/>
      <c r="Q28" t="s">
        <v>380</v>
      </c>
    </row>
    <row r="29" spans="1:17">
      <c r="A29" s="955" t="s">
        <v>747</v>
      </c>
      <c r="B29" s="955" t="s">
        <v>748</v>
      </c>
      <c r="C29" s="943"/>
      <c r="D29" s="943"/>
      <c r="E29" s="913"/>
      <c r="F29" s="1018"/>
      <c r="G29" s="913"/>
      <c r="H29" s="913"/>
      <c r="I29" s="913"/>
      <c r="J29" s="913"/>
      <c r="K29" s="943"/>
      <c r="L29" s="913"/>
      <c r="M29" s="913"/>
      <c r="N29" s="913"/>
      <c r="O29" s="913"/>
      <c r="P29" s="974"/>
    </row>
    <row r="30" spans="1:17">
      <c r="A30" s="954" t="s">
        <v>450</v>
      </c>
      <c r="B30" s="954" t="s">
        <v>749</v>
      </c>
      <c r="C30" s="137"/>
      <c r="D30" s="137"/>
      <c r="E30" s="543"/>
      <c r="F30" s="1020"/>
      <c r="G30" s="543"/>
      <c r="H30" s="543"/>
      <c r="I30" s="543"/>
      <c r="J30" s="543"/>
      <c r="K30" s="543"/>
      <c r="L30" s="137"/>
      <c r="M30" s="543"/>
      <c r="N30" s="543"/>
      <c r="O30" s="543"/>
      <c r="P30" s="972"/>
    </row>
    <row r="31" spans="1:17">
      <c r="A31" s="954" t="s">
        <v>509</v>
      </c>
      <c r="B31" s="954" t="s">
        <v>749</v>
      </c>
      <c r="C31" s="137"/>
      <c r="D31" s="137"/>
      <c r="E31" s="543"/>
      <c r="F31" s="1020"/>
      <c r="G31" s="543"/>
      <c r="H31" s="543"/>
      <c r="I31" s="543"/>
      <c r="J31" s="543"/>
      <c r="K31" s="543"/>
      <c r="L31" s="137"/>
      <c r="M31" s="543"/>
      <c r="N31" s="543"/>
      <c r="O31" s="543"/>
      <c r="P31" s="972"/>
    </row>
    <row r="32" spans="1:17">
      <c r="A32" s="954" t="s">
        <v>750</v>
      </c>
      <c r="B32" s="954" t="s">
        <v>751</v>
      </c>
      <c r="C32" s="137"/>
      <c r="D32" s="137"/>
      <c r="E32" s="543"/>
      <c r="F32" s="1020"/>
      <c r="G32" s="543"/>
      <c r="H32" s="543"/>
      <c r="I32" s="543"/>
      <c r="J32" s="543"/>
      <c r="K32" s="543"/>
      <c r="L32" s="543"/>
      <c r="M32" s="543"/>
      <c r="N32" s="137"/>
      <c r="O32" s="543"/>
      <c r="P32" s="972"/>
    </row>
    <row r="33" spans="1:17">
      <c r="A33" s="954" t="s">
        <v>752</v>
      </c>
      <c r="B33" s="954" t="s">
        <v>753</v>
      </c>
      <c r="C33" s="137"/>
      <c r="D33" s="137"/>
      <c r="E33" s="543"/>
      <c r="F33" s="1020"/>
      <c r="G33" s="543"/>
      <c r="H33" s="543"/>
      <c r="I33" s="543"/>
      <c r="J33" s="543"/>
      <c r="K33" s="543"/>
      <c r="L33" s="543"/>
      <c r="M33" s="543"/>
      <c r="N33" s="543"/>
      <c r="O33" s="543"/>
      <c r="P33" s="972"/>
    </row>
    <row r="34" spans="1:17">
      <c r="A34" s="954" t="s">
        <v>754</v>
      </c>
      <c r="B34" s="954" t="s">
        <v>755</v>
      </c>
      <c r="C34" s="137"/>
      <c r="D34" s="137"/>
      <c r="E34" s="543"/>
      <c r="F34" s="1020"/>
      <c r="G34" s="543"/>
      <c r="H34" s="543"/>
      <c r="I34" s="543"/>
      <c r="J34" s="543"/>
      <c r="K34" s="543"/>
      <c r="L34" s="543"/>
      <c r="M34" s="543"/>
      <c r="N34" s="543"/>
      <c r="O34" s="543"/>
      <c r="P34" s="972"/>
    </row>
    <row r="35" spans="1:17">
      <c r="A35" s="954" t="s">
        <v>756</v>
      </c>
      <c r="B35" s="954" t="s">
        <v>757</v>
      </c>
      <c r="C35" s="137"/>
      <c r="D35" s="137"/>
      <c r="E35" s="543"/>
      <c r="F35" s="1020"/>
      <c r="G35" s="543"/>
      <c r="H35" s="543"/>
      <c r="I35" s="543"/>
      <c r="J35" s="543"/>
      <c r="K35" s="543"/>
      <c r="L35" s="543"/>
      <c r="M35" s="543"/>
      <c r="N35" s="543"/>
      <c r="O35" s="543"/>
      <c r="P35" s="972"/>
    </row>
    <row r="36" spans="1:17" ht="13.8" thickBot="1">
      <c r="A36" s="959" t="s">
        <v>711</v>
      </c>
      <c r="B36" s="959" t="s">
        <v>763</v>
      </c>
      <c r="C36" s="965"/>
      <c r="D36" s="912"/>
      <c r="E36" s="912"/>
      <c r="F36" s="1021"/>
      <c r="G36" s="912"/>
      <c r="H36" s="912"/>
      <c r="I36" s="912"/>
      <c r="J36" s="912"/>
      <c r="K36" s="912"/>
      <c r="L36" s="912"/>
      <c r="M36" s="912"/>
      <c r="N36" s="912"/>
      <c r="O36" s="912"/>
      <c r="P36" s="973"/>
    </row>
    <row r="37" spans="1:17">
      <c r="A37" s="954" t="s">
        <v>708</v>
      </c>
      <c r="B37" s="952" t="s">
        <v>808</v>
      </c>
      <c r="C37" s="137"/>
      <c r="D37" s="543"/>
      <c r="E37" s="543"/>
      <c r="F37" s="1020"/>
      <c r="G37" s="543"/>
      <c r="H37" s="543"/>
      <c r="I37" s="543"/>
      <c r="J37" s="543"/>
      <c r="K37" s="543"/>
      <c r="L37" s="543"/>
      <c r="M37" s="543"/>
      <c r="N37" s="543"/>
      <c r="O37" s="543"/>
      <c r="P37" s="971"/>
      <c r="Q37" t="s">
        <v>380</v>
      </c>
    </row>
    <row r="38" spans="1:17" ht="13.8" thickBot="1">
      <c r="A38" s="953" t="s">
        <v>703</v>
      </c>
      <c r="B38" s="959" t="s">
        <v>820</v>
      </c>
      <c r="C38" s="970"/>
      <c r="D38" s="970"/>
      <c r="E38" s="912"/>
      <c r="F38" s="1019"/>
      <c r="G38" s="912"/>
      <c r="H38" s="912"/>
      <c r="I38" s="912"/>
      <c r="J38" s="912"/>
      <c r="K38" s="912"/>
      <c r="L38" s="912"/>
      <c r="M38" s="912"/>
      <c r="N38" s="912"/>
      <c r="O38" s="912"/>
      <c r="P38" s="973"/>
      <c r="Q38" t="s">
        <v>380</v>
      </c>
    </row>
  </sheetData>
  <mergeCells count="4">
    <mergeCell ref="C1:O1"/>
    <mergeCell ref="P1:P2"/>
    <mergeCell ref="B1:B2"/>
    <mergeCell ref="A1:A2"/>
  </mergeCells>
  <pageMargins left="0.7" right="0.7" top="0.75" bottom="0.75" header="0.3" footer="0.3"/>
  <customProperties>
    <customPr name="_pios_id" r:id="rId1"/>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0"/>
  <dimension ref="A1:U27"/>
  <sheetViews>
    <sheetView topLeftCell="A3" workbookViewId="0">
      <selection activeCell="A28" sqref="A28"/>
    </sheetView>
  </sheetViews>
  <sheetFormatPr baseColWidth="10" defaultRowHeight="13.2"/>
  <cols>
    <col min="1" max="1" width="27.44140625" customWidth="1"/>
    <col min="2" max="2" width="5.44140625" bestFit="1" customWidth="1"/>
    <col min="3" max="3" width="5" bestFit="1" customWidth="1"/>
    <col min="4" max="4" width="4.5546875" bestFit="1" customWidth="1"/>
    <col min="5" max="5" width="5.5546875" bestFit="1" customWidth="1"/>
    <col min="6" max="6" width="7.44140625" bestFit="1" customWidth="1"/>
    <col min="7" max="7" width="5.44140625" bestFit="1" customWidth="1"/>
    <col min="8" max="9" width="4.5546875" bestFit="1" customWidth="1"/>
    <col min="10" max="10" width="5.5546875" bestFit="1" customWidth="1"/>
    <col min="11" max="11" width="7.44140625" bestFit="1" customWidth="1"/>
    <col min="12" max="12" width="5.44140625" bestFit="1" customWidth="1"/>
    <col min="13" max="14" width="4.5546875" bestFit="1" customWidth="1"/>
    <col min="15" max="15" width="5.5546875" bestFit="1" customWidth="1"/>
    <col min="16" max="16" width="7.44140625" bestFit="1" customWidth="1"/>
    <col min="17" max="17" width="5.44140625" bestFit="1" customWidth="1"/>
    <col min="18" max="18" width="5" bestFit="1" customWidth="1"/>
    <col min="19" max="19" width="4.5546875" bestFit="1" customWidth="1"/>
    <col min="20" max="20" width="5.5546875" bestFit="1" customWidth="1"/>
    <col min="21" max="21" width="7.44140625" bestFit="1" customWidth="1"/>
  </cols>
  <sheetData>
    <row r="1" spans="1:21" ht="13.8" thickBot="1"/>
    <row r="2" spans="1:21" ht="26.4" thickBot="1">
      <c r="A2" s="3299" t="s">
        <v>791</v>
      </c>
      <c r="B2" s="3300"/>
      <c r="C2" s="3300"/>
      <c r="D2" s="3300"/>
      <c r="E2" s="3300"/>
      <c r="F2" s="3300"/>
      <c r="G2" s="3300"/>
      <c r="H2" s="3300"/>
      <c r="I2" s="3300"/>
      <c r="J2" s="3300"/>
      <c r="K2" s="3300"/>
      <c r="L2" s="3300"/>
      <c r="M2" s="3300"/>
      <c r="N2" s="3300"/>
      <c r="O2" s="3300"/>
      <c r="P2" s="3300"/>
      <c r="Q2" s="3300"/>
      <c r="R2" s="3300"/>
      <c r="S2" s="3300"/>
      <c r="T2" s="3300"/>
      <c r="U2" s="3301"/>
    </row>
    <row r="3" spans="1:21" ht="13.8" thickBot="1"/>
    <row r="4" spans="1:21" ht="14.4">
      <c r="A4" s="3305" t="s">
        <v>792</v>
      </c>
      <c r="B4" s="3302" t="s">
        <v>804</v>
      </c>
      <c r="C4" s="3303"/>
      <c r="D4" s="3303"/>
      <c r="E4" s="3303"/>
      <c r="F4" s="3304"/>
      <c r="G4" s="3302" t="s">
        <v>805</v>
      </c>
      <c r="H4" s="3303"/>
      <c r="I4" s="3303"/>
      <c r="J4" s="3303"/>
      <c r="K4" s="3304"/>
      <c r="L4" s="3302" t="s">
        <v>806</v>
      </c>
      <c r="M4" s="3303"/>
      <c r="N4" s="3303"/>
      <c r="O4" s="3303"/>
      <c r="P4" s="3304"/>
      <c r="Q4" s="3302" t="s">
        <v>807</v>
      </c>
      <c r="R4" s="3303"/>
      <c r="S4" s="3303"/>
      <c r="T4" s="3303"/>
      <c r="U4" s="3304"/>
    </row>
    <row r="5" spans="1:21">
      <c r="A5" s="3306"/>
      <c r="B5" s="1009" t="s">
        <v>793</v>
      </c>
      <c r="C5" s="1010" t="s">
        <v>794</v>
      </c>
      <c r="D5" s="1010" t="s">
        <v>795</v>
      </c>
      <c r="E5" s="1010" t="s">
        <v>796</v>
      </c>
      <c r="F5" s="1011" t="s">
        <v>797</v>
      </c>
      <c r="G5" s="1009" t="s">
        <v>793</v>
      </c>
      <c r="H5" s="1010" t="s">
        <v>798</v>
      </c>
      <c r="I5" s="1010" t="s">
        <v>795</v>
      </c>
      <c r="J5" s="1010" t="s">
        <v>796</v>
      </c>
      <c r="K5" s="1011" t="s">
        <v>797</v>
      </c>
      <c r="L5" s="1009" t="s">
        <v>793</v>
      </c>
      <c r="M5" s="1010" t="s">
        <v>798</v>
      </c>
      <c r="N5" s="1010" t="s">
        <v>795</v>
      </c>
      <c r="O5" s="1010" t="s">
        <v>796</v>
      </c>
      <c r="P5" s="1011" t="s">
        <v>797</v>
      </c>
      <c r="Q5" s="1009" t="s">
        <v>793</v>
      </c>
      <c r="R5" s="1010" t="s">
        <v>794</v>
      </c>
      <c r="S5" s="1010" t="s">
        <v>795</v>
      </c>
      <c r="T5" s="1010" t="s">
        <v>796</v>
      </c>
      <c r="U5" s="1011" t="s">
        <v>797</v>
      </c>
    </row>
    <row r="6" spans="1:21" ht="14.4">
      <c r="A6" s="1002" t="s">
        <v>598</v>
      </c>
      <c r="B6" s="1003">
        <v>2</v>
      </c>
      <c r="C6" s="862">
        <v>1</v>
      </c>
      <c r="D6" s="862">
        <v>1</v>
      </c>
      <c r="E6" s="862"/>
      <c r="F6" s="1004">
        <f>C6/B6</f>
        <v>0.5</v>
      </c>
      <c r="G6" s="1003">
        <v>4</v>
      </c>
      <c r="H6" s="862">
        <v>2</v>
      </c>
      <c r="I6" s="862">
        <v>2</v>
      </c>
      <c r="J6" s="862"/>
      <c r="K6" s="1004">
        <f>H6/G6</f>
        <v>0.5</v>
      </c>
      <c r="L6" s="1003">
        <v>4</v>
      </c>
      <c r="M6" s="862">
        <v>2</v>
      </c>
      <c r="N6" s="862">
        <v>2</v>
      </c>
      <c r="O6" s="862"/>
      <c r="P6" s="1004">
        <f>M6/L6</f>
        <v>0.5</v>
      </c>
      <c r="Q6" s="1003">
        <v>2</v>
      </c>
      <c r="R6" s="862">
        <v>1</v>
      </c>
      <c r="S6" s="862">
        <v>1</v>
      </c>
      <c r="T6" s="862"/>
      <c r="U6" s="1004">
        <f>R6/Q6</f>
        <v>0.5</v>
      </c>
    </row>
    <row r="7" spans="1:21" ht="14.4">
      <c r="A7" s="1002" t="s">
        <v>799</v>
      </c>
      <c r="B7" s="1003"/>
      <c r="C7" s="862"/>
      <c r="D7" s="862"/>
      <c r="E7" s="862"/>
      <c r="F7" s="1004"/>
      <c r="G7" s="1003">
        <v>1</v>
      </c>
      <c r="H7" s="862">
        <v>1</v>
      </c>
      <c r="I7" s="862"/>
      <c r="J7" s="862"/>
      <c r="K7" s="1004">
        <f t="shared" ref="K7:K19" si="0">H7/G7</f>
        <v>1</v>
      </c>
      <c r="L7" s="1003">
        <v>1</v>
      </c>
      <c r="M7" s="862">
        <v>1</v>
      </c>
      <c r="N7" s="862"/>
      <c r="O7" s="862"/>
      <c r="P7" s="1004"/>
      <c r="Q7" s="1003"/>
      <c r="R7" s="862"/>
      <c r="S7" s="862"/>
      <c r="T7" s="862"/>
      <c r="U7" s="1004"/>
    </row>
    <row r="8" spans="1:21" ht="14.4">
      <c r="A8" s="1002" t="s">
        <v>91</v>
      </c>
      <c r="B8" s="1003">
        <v>5</v>
      </c>
      <c r="C8" s="862">
        <v>5</v>
      </c>
      <c r="D8" s="862"/>
      <c r="E8" s="862"/>
      <c r="F8" s="1004">
        <f>C8/B8</f>
        <v>1</v>
      </c>
      <c r="G8" s="1003">
        <v>28</v>
      </c>
      <c r="H8" s="862">
        <v>24</v>
      </c>
      <c r="I8" s="862">
        <v>4</v>
      </c>
      <c r="J8" s="862">
        <v>1</v>
      </c>
      <c r="K8" s="1004">
        <f t="shared" si="0"/>
        <v>0.8571428571428571</v>
      </c>
      <c r="L8" s="1003">
        <v>25</v>
      </c>
      <c r="M8" s="862">
        <v>19</v>
      </c>
      <c r="N8" s="862">
        <v>6</v>
      </c>
      <c r="O8" s="862">
        <v>4</v>
      </c>
      <c r="P8" s="1004">
        <f t="shared" ref="P8:P19" si="1">M8/L8</f>
        <v>0.76</v>
      </c>
      <c r="Q8" s="1003">
        <v>3</v>
      </c>
      <c r="R8" s="862">
        <v>2</v>
      </c>
      <c r="S8" s="862">
        <v>1</v>
      </c>
      <c r="T8" s="862">
        <v>2</v>
      </c>
      <c r="U8" s="1004">
        <f t="shared" ref="U8:U19" si="2">R8/Q8</f>
        <v>0.66666666666666663</v>
      </c>
    </row>
    <row r="9" spans="1:21" ht="14.4">
      <c r="A9" s="1002" t="s">
        <v>577</v>
      </c>
      <c r="B9" s="1003">
        <v>7</v>
      </c>
      <c r="C9" s="862">
        <v>5</v>
      </c>
      <c r="D9" s="862">
        <v>2</v>
      </c>
      <c r="E9" s="862">
        <v>3</v>
      </c>
      <c r="F9" s="1004">
        <f>C9/B9</f>
        <v>0.7142857142857143</v>
      </c>
      <c r="G9" s="1003">
        <v>8</v>
      </c>
      <c r="H9" s="862">
        <v>5</v>
      </c>
      <c r="I9" s="862">
        <v>3</v>
      </c>
      <c r="J9" s="862">
        <v>4</v>
      </c>
      <c r="K9" s="1004">
        <f t="shared" si="0"/>
        <v>0.625</v>
      </c>
      <c r="L9" s="1003">
        <v>10</v>
      </c>
      <c r="M9" s="862">
        <v>6</v>
      </c>
      <c r="N9" s="862">
        <v>4</v>
      </c>
      <c r="O9" s="862">
        <v>2</v>
      </c>
      <c r="P9" s="1004">
        <f t="shared" si="1"/>
        <v>0.6</v>
      </c>
      <c r="Q9" s="1003">
        <v>3</v>
      </c>
      <c r="R9" s="862">
        <v>3</v>
      </c>
      <c r="S9" s="862"/>
      <c r="T9" s="862">
        <v>7</v>
      </c>
      <c r="U9" s="1004">
        <f t="shared" si="2"/>
        <v>1</v>
      </c>
    </row>
    <row r="10" spans="1:21" ht="14.4">
      <c r="A10" s="1002" t="s">
        <v>688</v>
      </c>
      <c r="B10" s="1003">
        <v>1</v>
      </c>
      <c r="C10" s="862"/>
      <c r="D10" s="862">
        <v>1</v>
      </c>
      <c r="E10" s="862"/>
      <c r="F10" s="1004">
        <f>C10/B10</f>
        <v>0</v>
      </c>
      <c r="G10" s="1003">
        <v>4</v>
      </c>
      <c r="H10" s="862">
        <v>4</v>
      </c>
      <c r="I10" s="862"/>
      <c r="J10" s="862">
        <v>3</v>
      </c>
      <c r="K10" s="1004">
        <f t="shared" si="0"/>
        <v>1</v>
      </c>
      <c r="L10" s="1003">
        <v>4</v>
      </c>
      <c r="M10" s="862"/>
      <c r="N10" s="862">
        <v>4</v>
      </c>
      <c r="O10" s="862">
        <v>3</v>
      </c>
      <c r="P10" s="1004">
        <f t="shared" si="1"/>
        <v>0</v>
      </c>
      <c r="Q10" s="1003"/>
      <c r="R10" s="862"/>
      <c r="S10" s="862"/>
      <c r="T10" s="862">
        <v>1</v>
      </c>
      <c r="U10" s="1004"/>
    </row>
    <row r="11" spans="1:21" ht="14.4">
      <c r="A11" s="1002" t="s">
        <v>689</v>
      </c>
      <c r="B11" s="1003"/>
      <c r="C11" s="862"/>
      <c r="D11" s="862"/>
      <c r="E11" s="862"/>
      <c r="F11" s="1004"/>
      <c r="G11" s="1003">
        <v>9</v>
      </c>
      <c r="H11" s="862">
        <v>5</v>
      </c>
      <c r="I11" s="862">
        <v>4</v>
      </c>
      <c r="J11" s="862">
        <v>5</v>
      </c>
      <c r="K11" s="1004">
        <f t="shared" si="0"/>
        <v>0.55555555555555558</v>
      </c>
      <c r="L11" s="1003">
        <v>11</v>
      </c>
      <c r="M11" s="862">
        <v>5</v>
      </c>
      <c r="N11" s="862">
        <v>6</v>
      </c>
      <c r="O11" s="862">
        <v>3</v>
      </c>
      <c r="P11" s="1004">
        <f t="shared" si="1"/>
        <v>0.45454545454545453</v>
      </c>
      <c r="Q11" s="1003"/>
      <c r="R11" s="862"/>
      <c r="S11" s="862"/>
      <c r="T11" s="862"/>
      <c r="U11" s="1004"/>
    </row>
    <row r="12" spans="1:21" ht="14.4">
      <c r="A12" s="1002" t="s">
        <v>75</v>
      </c>
      <c r="B12" s="1003">
        <v>3</v>
      </c>
      <c r="C12" s="862">
        <v>3</v>
      </c>
      <c r="D12" s="862"/>
      <c r="E12" s="862"/>
      <c r="F12" s="1004">
        <f>C12/B12</f>
        <v>1</v>
      </c>
      <c r="G12" s="1003">
        <v>6</v>
      </c>
      <c r="H12" s="862">
        <v>4</v>
      </c>
      <c r="I12" s="862">
        <v>2</v>
      </c>
      <c r="J12" s="862">
        <v>1</v>
      </c>
      <c r="K12" s="1004">
        <f t="shared" si="0"/>
        <v>0.66666666666666663</v>
      </c>
      <c r="L12" s="1003">
        <v>6</v>
      </c>
      <c r="M12" s="862">
        <v>2</v>
      </c>
      <c r="N12" s="862">
        <v>4</v>
      </c>
      <c r="O12" s="862">
        <v>1</v>
      </c>
      <c r="P12" s="1004">
        <f t="shared" si="1"/>
        <v>0.33333333333333331</v>
      </c>
      <c r="Q12" s="1003">
        <v>2</v>
      </c>
      <c r="R12" s="862">
        <v>2</v>
      </c>
      <c r="S12" s="862"/>
      <c r="T12" s="862">
        <v>1</v>
      </c>
      <c r="U12" s="1004">
        <f t="shared" si="2"/>
        <v>1</v>
      </c>
    </row>
    <row r="13" spans="1:21" ht="14.4">
      <c r="A13" s="1002" t="s">
        <v>690</v>
      </c>
      <c r="B13" s="1003">
        <v>1</v>
      </c>
      <c r="C13" s="862">
        <v>1</v>
      </c>
      <c r="D13" s="862"/>
      <c r="E13" s="862">
        <v>1</v>
      </c>
      <c r="F13" s="1004">
        <f>C13/B13</f>
        <v>1</v>
      </c>
      <c r="G13" s="1003">
        <v>9</v>
      </c>
      <c r="H13" s="862">
        <v>5</v>
      </c>
      <c r="I13" s="862">
        <v>4</v>
      </c>
      <c r="J13" s="862">
        <v>1</v>
      </c>
      <c r="K13" s="1004">
        <f t="shared" si="0"/>
        <v>0.55555555555555558</v>
      </c>
      <c r="L13" s="1003">
        <v>10</v>
      </c>
      <c r="M13" s="862">
        <v>6</v>
      </c>
      <c r="N13" s="862">
        <v>4</v>
      </c>
      <c r="O13" s="862"/>
      <c r="P13" s="1004">
        <f t="shared" si="1"/>
        <v>0.6</v>
      </c>
      <c r="Q13" s="1003">
        <v>1</v>
      </c>
      <c r="R13" s="862">
        <v>1</v>
      </c>
      <c r="S13" s="862"/>
      <c r="T13" s="862">
        <v>1</v>
      </c>
      <c r="U13" s="1004">
        <f t="shared" si="2"/>
        <v>1</v>
      </c>
    </row>
    <row r="14" spans="1:21" ht="14.4">
      <c r="A14" s="1002" t="s">
        <v>691</v>
      </c>
      <c r="B14" s="1003"/>
      <c r="C14" s="862"/>
      <c r="D14" s="862"/>
      <c r="E14" s="862"/>
      <c r="F14" s="1004"/>
      <c r="G14" s="1003">
        <v>1</v>
      </c>
      <c r="H14" s="862">
        <v>1</v>
      </c>
      <c r="I14" s="862"/>
      <c r="J14" s="862"/>
      <c r="K14" s="1004">
        <f t="shared" si="0"/>
        <v>1</v>
      </c>
      <c r="L14" s="1003">
        <v>1</v>
      </c>
      <c r="M14" s="862">
        <v>1</v>
      </c>
      <c r="N14" s="862"/>
      <c r="O14" s="862"/>
      <c r="P14" s="1004"/>
      <c r="Q14" s="1003"/>
      <c r="R14" s="862"/>
      <c r="S14" s="862"/>
      <c r="T14" s="862"/>
      <c r="U14" s="1004"/>
    </row>
    <row r="15" spans="1:21" ht="14.4">
      <c r="A15" s="1002" t="s">
        <v>692</v>
      </c>
      <c r="B15" s="1003">
        <v>1</v>
      </c>
      <c r="C15" s="862"/>
      <c r="D15" s="862">
        <v>1</v>
      </c>
      <c r="E15" s="862"/>
      <c r="F15" s="1004">
        <f>C15/B15</f>
        <v>0</v>
      </c>
      <c r="G15" s="1003">
        <v>4</v>
      </c>
      <c r="H15" s="862">
        <v>3</v>
      </c>
      <c r="I15" s="862">
        <v>1</v>
      </c>
      <c r="J15" s="862"/>
      <c r="K15" s="1004">
        <f t="shared" si="0"/>
        <v>0.75</v>
      </c>
      <c r="L15" s="1003">
        <v>4</v>
      </c>
      <c r="M15" s="862">
        <v>2</v>
      </c>
      <c r="N15" s="862">
        <v>2</v>
      </c>
      <c r="O15" s="862"/>
      <c r="P15" s="1004">
        <f t="shared" si="1"/>
        <v>0.5</v>
      </c>
      <c r="Q15" s="1003">
        <v>1</v>
      </c>
      <c r="R15" s="862">
        <v>1</v>
      </c>
      <c r="S15" s="862"/>
      <c r="T15" s="862"/>
      <c r="U15" s="1004">
        <f t="shared" si="2"/>
        <v>1</v>
      </c>
    </row>
    <row r="16" spans="1:21" ht="14.4">
      <c r="A16" s="1002" t="s">
        <v>693</v>
      </c>
      <c r="B16" s="1003">
        <v>4</v>
      </c>
      <c r="C16" s="862">
        <v>3</v>
      </c>
      <c r="D16" s="862">
        <v>1</v>
      </c>
      <c r="E16" s="862"/>
      <c r="F16" s="1004">
        <f>C16/B16</f>
        <v>0.75</v>
      </c>
      <c r="G16" s="1003">
        <v>12</v>
      </c>
      <c r="H16" s="862">
        <v>9</v>
      </c>
      <c r="I16" s="862">
        <v>3</v>
      </c>
      <c r="J16" s="862"/>
      <c r="K16" s="1004">
        <f t="shared" si="0"/>
        <v>0.75</v>
      </c>
      <c r="L16" s="1003">
        <v>12</v>
      </c>
      <c r="M16" s="862">
        <v>5</v>
      </c>
      <c r="N16" s="862">
        <v>7</v>
      </c>
      <c r="O16" s="862"/>
      <c r="P16" s="1004">
        <f t="shared" si="1"/>
        <v>0.41666666666666669</v>
      </c>
      <c r="Q16" s="1003">
        <v>1</v>
      </c>
      <c r="R16" s="862">
        <v>1</v>
      </c>
      <c r="S16" s="862"/>
      <c r="T16" s="862">
        <v>3</v>
      </c>
      <c r="U16" s="1004">
        <f t="shared" si="2"/>
        <v>1</v>
      </c>
    </row>
    <row r="17" spans="1:21" ht="14.4">
      <c r="A17" s="1002" t="s">
        <v>694</v>
      </c>
      <c r="B17" s="1003">
        <v>3</v>
      </c>
      <c r="C17" s="862">
        <v>3</v>
      </c>
      <c r="D17" s="862"/>
      <c r="E17" s="862"/>
      <c r="F17" s="1004">
        <f>C17/B17</f>
        <v>1</v>
      </c>
      <c r="G17" s="1003">
        <v>13</v>
      </c>
      <c r="H17" s="862">
        <v>10</v>
      </c>
      <c r="I17" s="862">
        <v>3</v>
      </c>
      <c r="J17" s="862"/>
      <c r="K17" s="1004">
        <f t="shared" si="0"/>
        <v>0.76923076923076927</v>
      </c>
      <c r="L17" s="1003">
        <v>13</v>
      </c>
      <c r="M17" s="862">
        <v>12</v>
      </c>
      <c r="N17" s="862">
        <v>1</v>
      </c>
      <c r="O17" s="862">
        <v>1</v>
      </c>
      <c r="P17" s="1004">
        <f t="shared" si="1"/>
        <v>0.92307692307692313</v>
      </c>
      <c r="Q17" s="1003">
        <v>2</v>
      </c>
      <c r="R17" s="862">
        <v>2</v>
      </c>
      <c r="S17" s="862"/>
      <c r="T17" s="862">
        <v>1</v>
      </c>
      <c r="U17" s="1004">
        <f t="shared" si="2"/>
        <v>1</v>
      </c>
    </row>
    <row r="18" spans="1:21" ht="14.4">
      <c r="A18" s="1002" t="s">
        <v>695</v>
      </c>
      <c r="B18" s="1003"/>
      <c r="C18" s="862"/>
      <c r="D18" s="862"/>
      <c r="E18" s="862"/>
      <c r="F18" s="1004"/>
      <c r="G18" s="1003">
        <v>9</v>
      </c>
      <c r="H18" s="862">
        <v>6</v>
      </c>
      <c r="I18" s="862">
        <v>3</v>
      </c>
      <c r="J18" s="862">
        <v>1</v>
      </c>
      <c r="K18" s="1004">
        <f t="shared" si="0"/>
        <v>0.66666666666666663</v>
      </c>
      <c r="L18" s="1003">
        <v>10</v>
      </c>
      <c r="M18" s="862">
        <v>7</v>
      </c>
      <c r="N18" s="862">
        <v>3</v>
      </c>
      <c r="O18" s="862"/>
      <c r="P18" s="1004">
        <f t="shared" si="1"/>
        <v>0.7</v>
      </c>
      <c r="Q18" s="1003"/>
      <c r="R18" s="862"/>
      <c r="S18" s="862"/>
      <c r="T18" s="862"/>
      <c r="U18" s="1004"/>
    </row>
    <row r="19" spans="1:21" ht="14.4">
      <c r="A19" s="1002" t="s">
        <v>696</v>
      </c>
      <c r="B19" s="1003">
        <v>15</v>
      </c>
      <c r="C19" s="862">
        <v>12</v>
      </c>
      <c r="D19" s="862">
        <v>3</v>
      </c>
      <c r="E19" s="862">
        <v>1</v>
      </c>
      <c r="F19" s="1004">
        <f>C19/B19</f>
        <v>0.8</v>
      </c>
      <c r="G19" s="1003">
        <v>17</v>
      </c>
      <c r="H19" s="862">
        <v>15</v>
      </c>
      <c r="I19" s="862">
        <v>2</v>
      </c>
      <c r="J19" s="862"/>
      <c r="K19" s="1004">
        <f t="shared" si="0"/>
        <v>0.88235294117647056</v>
      </c>
      <c r="L19" s="1003">
        <v>17</v>
      </c>
      <c r="M19" s="862">
        <v>12</v>
      </c>
      <c r="N19" s="862">
        <v>5</v>
      </c>
      <c r="O19" s="862"/>
      <c r="P19" s="1004">
        <f t="shared" si="1"/>
        <v>0.70588235294117652</v>
      </c>
      <c r="Q19" s="1003">
        <v>14</v>
      </c>
      <c r="R19" s="862">
        <v>12</v>
      </c>
      <c r="S19" s="862">
        <v>2</v>
      </c>
      <c r="T19" s="862">
        <v>1</v>
      </c>
      <c r="U19" s="1004">
        <f t="shared" si="2"/>
        <v>0.8571428571428571</v>
      </c>
    </row>
    <row r="20" spans="1:21" ht="15" thickBot="1">
      <c r="A20" s="1005" t="s">
        <v>800</v>
      </c>
      <c r="B20" s="1006">
        <f>SUM(B6:B19)</f>
        <v>42</v>
      </c>
      <c r="C20" s="1007">
        <f>SUM(C5:C19)</f>
        <v>33</v>
      </c>
      <c r="D20" s="1007">
        <f>SUM(D5:D19)</f>
        <v>9</v>
      </c>
      <c r="E20" s="1007">
        <f>SUM(E5:E19)</f>
        <v>5</v>
      </c>
      <c r="F20" s="1008">
        <f>C20/B20</f>
        <v>0.7857142857142857</v>
      </c>
      <c r="G20" s="1006">
        <f>SUM(G6:G19)</f>
        <v>125</v>
      </c>
      <c r="H20" s="1007">
        <f>SUM(H6:H19)</f>
        <v>94</v>
      </c>
      <c r="I20" s="1007">
        <f>SUM(I6:I19)</f>
        <v>31</v>
      </c>
      <c r="J20" s="1007">
        <v>16</v>
      </c>
      <c r="K20" s="1008">
        <f>H20/G20</f>
        <v>0.752</v>
      </c>
      <c r="L20" s="1006">
        <f>SUM(L6:L19)</f>
        <v>128</v>
      </c>
      <c r="M20" s="1007">
        <f>SUM(M6:M19)</f>
        <v>80</v>
      </c>
      <c r="N20" s="1007">
        <f>SUM(N6:N19)</f>
        <v>48</v>
      </c>
      <c r="O20" s="1007">
        <v>14</v>
      </c>
      <c r="P20" s="1008">
        <f>M20/L20</f>
        <v>0.625</v>
      </c>
      <c r="Q20" s="1006">
        <f>SUM(Q6:Q19)</f>
        <v>29</v>
      </c>
      <c r="R20" s="1007">
        <f>SUM(R6:R19)</f>
        <v>25</v>
      </c>
      <c r="S20" s="1007">
        <f>SUM(S6:S19)</f>
        <v>4</v>
      </c>
      <c r="T20" s="1007">
        <f>SUM(T5:T19)</f>
        <v>17</v>
      </c>
      <c r="U20" s="1008">
        <f>R20/Q20</f>
        <v>0.86206896551724133</v>
      </c>
    </row>
    <row r="21" spans="1:21">
      <c r="A21" s="859"/>
      <c r="B21" s="859"/>
      <c r="C21" s="859"/>
      <c r="D21" s="859"/>
      <c r="E21" s="859"/>
      <c r="F21" s="859"/>
      <c r="G21" s="859"/>
      <c r="H21" s="859"/>
      <c r="I21" s="859"/>
      <c r="J21" s="859"/>
      <c r="K21" s="859"/>
      <c r="L21" s="859"/>
      <c r="M21" s="859"/>
      <c r="N21" s="859"/>
      <c r="O21" s="859"/>
      <c r="P21" s="859"/>
      <c r="Q21" s="859"/>
      <c r="R21" s="859"/>
      <c r="S21" s="859"/>
      <c r="T21" s="859"/>
      <c r="U21" s="859"/>
    </row>
    <row r="22" spans="1:21">
      <c r="A22" s="1012" t="s">
        <v>803</v>
      </c>
      <c r="B22" s="1015">
        <v>23</v>
      </c>
      <c r="C22" s="1015">
        <v>21</v>
      </c>
      <c r="D22" s="1015">
        <v>2</v>
      </c>
      <c r="E22" s="1015">
        <v>0</v>
      </c>
      <c r="F22" s="1014">
        <f>+C22/B22</f>
        <v>0.91304347826086951</v>
      </c>
      <c r="G22" s="859"/>
      <c r="H22" s="859"/>
      <c r="I22" s="859"/>
      <c r="J22" s="859"/>
      <c r="K22" s="859"/>
      <c r="L22" s="859"/>
      <c r="M22" s="859"/>
      <c r="N22" s="859"/>
      <c r="O22" s="859"/>
      <c r="P22" s="859"/>
      <c r="Q22" s="859"/>
      <c r="R22" s="859"/>
      <c r="S22" s="859"/>
      <c r="T22" s="859"/>
      <c r="U22" s="859"/>
    </row>
    <row r="23" spans="1:21">
      <c r="A23" s="859"/>
      <c r="B23" s="859"/>
      <c r="C23" s="859"/>
      <c r="D23" s="859"/>
      <c r="E23" s="859"/>
      <c r="F23" s="859"/>
      <c r="G23" s="859"/>
      <c r="H23" s="859"/>
      <c r="I23" s="859"/>
      <c r="J23" s="859"/>
      <c r="K23" s="859"/>
      <c r="L23" s="859"/>
      <c r="M23" s="859"/>
      <c r="N23" s="859"/>
      <c r="O23" s="859"/>
      <c r="P23" s="859"/>
      <c r="Q23" s="859"/>
      <c r="R23" s="859"/>
      <c r="S23" s="859"/>
      <c r="T23" s="859"/>
      <c r="U23" s="859"/>
    </row>
    <row r="24" spans="1:21">
      <c r="A24" s="1013" t="s">
        <v>801</v>
      </c>
      <c r="B24" s="859"/>
      <c r="C24" s="859"/>
      <c r="D24" s="859"/>
      <c r="E24" s="859"/>
      <c r="F24" s="859"/>
      <c r="G24" s="859"/>
      <c r="H24" s="859"/>
      <c r="I24" s="859"/>
      <c r="J24" s="859"/>
      <c r="K24" s="859"/>
      <c r="L24" s="859"/>
      <c r="M24" s="859"/>
      <c r="N24" s="859"/>
      <c r="O24" s="859"/>
      <c r="P24" s="859"/>
      <c r="Q24" s="859"/>
      <c r="R24" s="859"/>
      <c r="S24" s="859"/>
      <c r="T24" s="859"/>
      <c r="U24" s="859"/>
    </row>
    <row r="25" spans="1:21">
      <c r="A25" s="1013" t="s">
        <v>802</v>
      </c>
      <c r="B25" s="859"/>
      <c r="C25" s="859"/>
      <c r="D25" s="859"/>
      <c r="E25" s="859"/>
      <c r="F25" s="859"/>
      <c r="G25" s="859"/>
      <c r="H25" s="859"/>
      <c r="I25" s="859"/>
      <c r="J25" s="859"/>
      <c r="K25" s="859"/>
      <c r="L25" s="859"/>
      <c r="M25" s="859"/>
      <c r="N25" s="859"/>
      <c r="O25" s="859"/>
      <c r="P25" s="859"/>
      <c r="Q25" s="859"/>
      <c r="R25" s="859"/>
      <c r="S25" s="859"/>
      <c r="T25" s="859"/>
      <c r="U25" s="859"/>
    </row>
    <row r="26" spans="1:21">
      <c r="A26" s="859"/>
      <c r="B26" s="859"/>
      <c r="C26" s="859"/>
      <c r="D26" s="859"/>
      <c r="E26" s="859"/>
      <c r="F26" s="859"/>
      <c r="G26" s="859"/>
      <c r="H26" s="859"/>
      <c r="I26" s="859"/>
      <c r="J26" s="859"/>
      <c r="K26" s="859"/>
      <c r="L26" s="859"/>
      <c r="M26" s="859"/>
      <c r="N26" s="859"/>
      <c r="O26" s="859"/>
      <c r="P26" s="859"/>
      <c r="Q26" s="859"/>
      <c r="R26" s="859"/>
      <c r="S26" s="859"/>
      <c r="T26" s="859"/>
      <c r="U26" s="859"/>
    </row>
    <row r="27" spans="1:21">
      <c r="A27" s="859"/>
      <c r="B27" s="859"/>
      <c r="C27" s="859"/>
      <c r="D27" s="859"/>
      <c r="E27" s="859"/>
      <c r="F27" s="859"/>
      <c r="G27" s="859"/>
      <c r="H27" s="859"/>
      <c r="I27" s="859"/>
      <c r="J27" s="859"/>
      <c r="K27" s="859"/>
      <c r="L27" s="859"/>
      <c r="M27" s="859"/>
      <c r="N27" s="859"/>
      <c r="O27" s="859"/>
      <c r="P27" s="859"/>
      <c r="Q27" s="859"/>
      <c r="R27" s="859"/>
      <c r="S27" s="859"/>
      <c r="T27" s="859"/>
      <c r="U27" s="859"/>
    </row>
  </sheetData>
  <mergeCells count="6">
    <mergeCell ref="A2:U2"/>
    <mergeCell ref="B4:F4"/>
    <mergeCell ref="G4:K4"/>
    <mergeCell ref="L4:P4"/>
    <mergeCell ref="Q4:U4"/>
    <mergeCell ref="A4:A5"/>
  </mergeCells>
  <pageMargins left="0.7" right="0.7" top="0.75" bottom="0.75" header="0.3" footer="0.3"/>
  <pageSetup orientation="portrait" horizontalDpi="300" r:id="rId1"/>
  <customProperties>
    <customPr name="_pios_id" r:id="rId2"/>
  </customProperties>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21"/>
  <dimension ref="A1:E25"/>
  <sheetViews>
    <sheetView workbookViewId="0">
      <selection activeCell="H22" sqref="H22"/>
    </sheetView>
  </sheetViews>
  <sheetFormatPr baseColWidth="10" defaultRowHeight="13.2"/>
  <cols>
    <col min="1" max="1" width="34.5546875" bestFit="1" customWidth="1"/>
    <col min="2" max="3" width="9.5546875" style="8" customWidth="1"/>
    <col min="4" max="4" width="8.5546875" style="8" bestFit="1" customWidth="1"/>
    <col min="5" max="5" width="8.5546875" style="8" customWidth="1"/>
  </cols>
  <sheetData>
    <row r="1" spans="1:5" ht="36" customHeight="1">
      <c r="A1" s="888" t="s">
        <v>847</v>
      </c>
      <c r="B1" s="1042" t="s">
        <v>841</v>
      </c>
      <c r="C1" s="1042" t="s">
        <v>846</v>
      </c>
      <c r="D1" s="1042" t="s">
        <v>842</v>
      </c>
      <c r="E1" s="1042" t="s">
        <v>845</v>
      </c>
    </row>
    <row r="2" spans="1:5">
      <c r="A2" s="1033" t="s">
        <v>840</v>
      </c>
      <c r="B2" s="1039"/>
      <c r="C2" s="1039"/>
      <c r="D2" s="1039"/>
      <c r="E2" s="692"/>
    </row>
    <row r="3" spans="1:5">
      <c r="A3" s="1033" t="s">
        <v>822</v>
      </c>
      <c r="B3" s="1039"/>
      <c r="C3" s="1040"/>
      <c r="D3" s="1039"/>
      <c r="E3" s="543"/>
    </row>
    <row r="4" spans="1:5">
      <c r="A4" s="1033" t="s">
        <v>823</v>
      </c>
      <c r="B4" s="1039"/>
      <c r="C4" s="1039"/>
      <c r="D4" s="1039"/>
      <c r="E4" s="543"/>
    </row>
    <row r="5" spans="1:5">
      <c r="A5" s="1033" t="s">
        <v>824</v>
      </c>
      <c r="B5" s="1040"/>
      <c r="C5" s="1040"/>
      <c r="D5" s="1040"/>
      <c r="E5" s="543"/>
    </row>
    <row r="6" spans="1:5">
      <c r="A6" s="1033" t="s">
        <v>825</v>
      </c>
      <c r="B6" s="1041"/>
      <c r="C6" s="1041"/>
      <c r="D6" s="1041"/>
      <c r="E6" s="543"/>
    </row>
    <row r="7" spans="1:5">
      <c r="A7" s="1033" t="s">
        <v>827</v>
      </c>
      <c r="B7" s="1039"/>
      <c r="C7" s="1039"/>
      <c r="D7" s="1039"/>
      <c r="E7" s="543"/>
    </row>
    <row r="8" spans="1:5">
      <c r="A8" s="1033" t="s">
        <v>828</v>
      </c>
      <c r="B8" s="1039"/>
      <c r="C8" s="1039"/>
      <c r="D8" s="1039"/>
      <c r="E8" s="543"/>
    </row>
    <row r="9" spans="1:5">
      <c r="A9" s="1033" t="s">
        <v>839</v>
      </c>
      <c r="B9" s="1041"/>
      <c r="C9" s="1041"/>
      <c r="D9" s="1041"/>
      <c r="E9" s="543"/>
    </row>
    <row r="10" spans="1:5">
      <c r="A10" s="1033" t="s">
        <v>826</v>
      </c>
      <c r="B10" s="1039"/>
      <c r="C10" s="1039"/>
      <c r="D10" s="1039"/>
      <c r="E10" s="543"/>
    </row>
    <row r="11" spans="1:5">
      <c r="A11" s="1033" t="s">
        <v>837</v>
      </c>
      <c r="B11" s="1041"/>
      <c r="C11" s="1041"/>
      <c r="D11" s="1040"/>
      <c r="E11" s="543"/>
    </row>
    <row r="12" spans="1:5">
      <c r="A12" s="1033" t="s">
        <v>830</v>
      </c>
      <c r="B12" s="1039"/>
      <c r="C12" s="1040"/>
      <c r="D12" s="1039"/>
      <c r="E12" s="543"/>
    </row>
    <row r="13" spans="1:5">
      <c r="A13" s="1033" t="s">
        <v>831</v>
      </c>
      <c r="B13" s="1039"/>
      <c r="C13" s="1039"/>
      <c r="D13" s="1039"/>
      <c r="E13" s="543"/>
    </row>
    <row r="14" spans="1:5">
      <c r="A14" s="1033" t="s">
        <v>829</v>
      </c>
      <c r="B14" s="1039"/>
      <c r="C14" s="1039"/>
      <c r="D14" s="1039"/>
      <c r="E14" s="543"/>
    </row>
    <row r="15" spans="1:5">
      <c r="A15" s="1033" t="s">
        <v>832</v>
      </c>
      <c r="B15" s="1040"/>
      <c r="C15" s="1040"/>
      <c r="D15" s="1040"/>
      <c r="E15" s="543"/>
    </row>
    <row r="16" spans="1:5">
      <c r="A16" s="1033" t="s">
        <v>833</v>
      </c>
      <c r="B16" s="1039"/>
      <c r="C16" s="1039"/>
      <c r="D16" s="1039"/>
      <c r="E16" s="543"/>
    </row>
    <row r="17" spans="1:5">
      <c r="A17" s="1033" t="s">
        <v>844</v>
      </c>
      <c r="B17" s="1039"/>
      <c r="C17" s="1040"/>
      <c r="D17" s="1039"/>
      <c r="E17" s="543"/>
    </row>
    <row r="18" spans="1:5">
      <c r="A18" s="1033" t="s">
        <v>834</v>
      </c>
      <c r="B18" s="1040"/>
      <c r="C18" s="1040"/>
      <c r="D18" s="1039"/>
      <c r="E18" s="543"/>
    </row>
    <row r="19" spans="1:5">
      <c r="A19" s="1033" t="s">
        <v>835</v>
      </c>
      <c r="B19" s="1039"/>
      <c r="C19" s="1039"/>
      <c r="D19" s="1040"/>
      <c r="E19" s="543"/>
    </row>
    <row r="20" spans="1:5">
      <c r="A20" s="1033" t="s">
        <v>836</v>
      </c>
      <c r="B20" s="1040"/>
      <c r="C20" s="1041"/>
      <c r="D20" s="1039"/>
      <c r="E20" s="543"/>
    </row>
    <row r="21" spans="1:5">
      <c r="A21" s="1033" t="s">
        <v>838</v>
      </c>
      <c r="B21" s="1039"/>
      <c r="C21" s="1041"/>
      <c r="D21" s="1041"/>
      <c r="E21" s="543"/>
    </row>
    <row r="22" spans="1:5" ht="13.8" thickBot="1">
      <c r="A22" s="1034" t="s">
        <v>843</v>
      </c>
      <c r="B22" s="1043"/>
      <c r="C22" s="1044"/>
      <c r="D22" s="1044"/>
      <c r="E22" s="912"/>
    </row>
    <row r="23" spans="1:5">
      <c r="A23" s="859"/>
      <c r="B23" s="983"/>
      <c r="C23" s="983"/>
      <c r="D23" s="983"/>
      <c r="E23" s="983"/>
    </row>
    <row r="24" spans="1:5" ht="15.6">
      <c r="A24" s="1046" t="s">
        <v>848</v>
      </c>
      <c r="B24" s="1045">
        <v>0.33</v>
      </c>
      <c r="C24" s="1045">
        <v>0.45</v>
      </c>
      <c r="D24" s="1045">
        <v>0.4</v>
      </c>
      <c r="E24" s="983"/>
    </row>
    <row r="25" spans="1:5">
      <c r="A25" s="859"/>
      <c r="B25" s="983"/>
      <c r="C25" s="983"/>
      <c r="D25" s="983"/>
      <c r="E25" s="983"/>
    </row>
  </sheetData>
  <pageMargins left="0.7" right="0.7" top="0.75" bottom="0.75" header="0.3" footer="0.3"/>
  <pageSetup paperSize="9" orientation="portrait" r:id="rId1"/>
  <customProperties>
    <customPr name="_pios_id" r:id="rId2"/>
  </customPropertie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22"/>
  <dimension ref="A1:R83"/>
  <sheetViews>
    <sheetView topLeftCell="H1" zoomScale="67" zoomScaleNormal="67" workbookViewId="0">
      <selection activeCell="O3" sqref="O3"/>
    </sheetView>
  </sheetViews>
  <sheetFormatPr baseColWidth="10" defaultRowHeight="13.2"/>
  <cols>
    <col min="1" max="1" width="37.5546875" customWidth="1"/>
    <col min="2" max="2" width="13.5546875" customWidth="1"/>
    <col min="3" max="3" width="14" customWidth="1"/>
    <col min="14" max="14" width="20" customWidth="1"/>
  </cols>
  <sheetData>
    <row r="1" spans="1:18">
      <c r="A1" s="556" t="s">
        <v>874</v>
      </c>
      <c r="B1" s="675" t="s">
        <v>875</v>
      </c>
      <c r="C1" s="675" t="s">
        <v>266</v>
      </c>
      <c r="O1" s="8">
        <v>2014</v>
      </c>
      <c r="P1" s="8">
        <v>2015</v>
      </c>
      <c r="Q1" s="8">
        <v>2014</v>
      </c>
      <c r="R1" s="8">
        <v>2015</v>
      </c>
    </row>
    <row r="2" spans="1:18">
      <c r="A2" s="556" t="s">
        <v>864</v>
      </c>
      <c r="B2">
        <v>4</v>
      </c>
      <c r="C2">
        <v>63</v>
      </c>
      <c r="N2" s="556" t="s">
        <v>874</v>
      </c>
      <c r="O2" s="675" t="s">
        <v>875</v>
      </c>
      <c r="Q2" s="675" t="s">
        <v>266</v>
      </c>
    </row>
    <row r="3" spans="1:18" ht="26.4">
      <c r="A3" s="556" t="s">
        <v>558</v>
      </c>
      <c r="B3">
        <v>2</v>
      </c>
      <c r="C3">
        <v>52</v>
      </c>
      <c r="N3" s="1136" t="s">
        <v>864</v>
      </c>
      <c r="O3">
        <v>12</v>
      </c>
      <c r="P3">
        <f>+B3</f>
        <v>2</v>
      </c>
      <c r="Q3">
        <v>226</v>
      </c>
    </row>
    <row r="4" spans="1:18">
      <c r="A4" s="556" t="s">
        <v>869</v>
      </c>
      <c r="B4">
        <v>1</v>
      </c>
      <c r="C4">
        <v>20</v>
      </c>
      <c r="N4" s="1136" t="s">
        <v>869</v>
      </c>
      <c r="O4">
        <f>8-1</f>
        <v>7</v>
      </c>
      <c r="P4">
        <f>+B10</f>
        <v>0</v>
      </c>
      <c r="Q4">
        <f>129-10</f>
        <v>119</v>
      </c>
    </row>
    <row r="5" spans="1:18">
      <c r="A5" s="556" t="s">
        <v>928</v>
      </c>
      <c r="B5">
        <v>1</v>
      </c>
      <c r="C5">
        <v>15</v>
      </c>
      <c r="N5" s="1136" t="s">
        <v>552</v>
      </c>
      <c r="O5">
        <v>7</v>
      </c>
      <c r="P5">
        <f>+B8</f>
        <v>0</v>
      </c>
      <c r="Q5">
        <v>155</v>
      </c>
    </row>
    <row r="6" spans="1:18">
      <c r="A6" s="556" t="s">
        <v>914</v>
      </c>
      <c r="B6">
        <v>1</v>
      </c>
      <c r="C6">
        <v>9</v>
      </c>
      <c r="N6" s="1136" t="s">
        <v>863</v>
      </c>
      <c r="O6">
        <v>5</v>
      </c>
      <c r="P6">
        <f>+B5</f>
        <v>1</v>
      </c>
      <c r="Q6">
        <v>127</v>
      </c>
    </row>
    <row r="7" spans="1:18" ht="39.6">
      <c r="A7" s="556" t="s">
        <v>887</v>
      </c>
      <c r="B7">
        <v>2</v>
      </c>
      <c r="C7">
        <v>8</v>
      </c>
      <c r="N7" s="1136" t="s">
        <v>865</v>
      </c>
      <c r="O7">
        <v>5</v>
      </c>
      <c r="Q7">
        <v>22</v>
      </c>
    </row>
    <row r="8" spans="1:18" ht="25.5" customHeight="1">
      <c r="A8" s="556"/>
      <c r="N8" s="1136" t="s">
        <v>871</v>
      </c>
      <c r="O8">
        <v>4</v>
      </c>
      <c r="P8">
        <f>+B11</f>
        <v>0</v>
      </c>
      <c r="Q8">
        <v>254</v>
      </c>
      <c r="R8" s="242"/>
    </row>
    <row r="9" spans="1:18">
      <c r="A9" s="556"/>
      <c r="N9" s="1136" t="s">
        <v>558</v>
      </c>
      <c r="O9">
        <f>4-1</f>
        <v>3</v>
      </c>
      <c r="P9">
        <f>+B2</f>
        <v>4</v>
      </c>
      <c r="Q9">
        <f>256-17</f>
        <v>239</v>
      </c>
    </row>
    <row r="10" spans="1:18">
      <c r="A10" s="556"/>
      <c r="N10" s="1136" t="s">
        <v>868</v>
      </c>
      <c r="O10">
        <v>3</v>
      </c>
      <c r="Q10">
        <v>98</v>
      </c>
    </row>
    <row r="11" spans="1:18">
      <c r="A11" s="556"/>
      <c r="N11" s="1136" t="s">
        <v>934</v>
      </c>
      <c r="O11">
        <v>3</v>
      </c>
      <c r="P11">
        <f>+B6</f>
        <v>1</v>
      </c>
      <c r="Q11">
        <v>19</v>
      </c>
    </row>
    <row r="12" spans="1:18">
      <c r="N12" s="1136" t="s">
        <v>867</v>
      </c>
      <c r="O12">
        <v>3</v>
      </c>
      <c r="Q12">
        <v>17</v>
      </c>
    </row>
    <row r="13" spans="1:18">
      <c r="A13" s="556"/>
      <c r="N13" s="1136" t="s">
        <v>870</v>
      </c>
      <c r="O13">
        <f>3-1</f>
        <v>2</v>
      </c>
      <c r="P13">
        <f>+B7</f>
        <v>2</v>
      </c>
      <c r="Q13">
        <f>225-19</f>
        <v>206</v>
      </c>
    </row>
    <row r="14" spans="1:18" ht="26.4">
      <c r="A14" s="556"/>
      <c r="N14" s="1136" t="s">
        <v>914</v>
      </c>
      <c r="O14">
        <v>2</v>
      </c>
      <c r="P14">
        <f>+B4</f>
        <v>1</v>
      </c>
      <c r="Q14">
        <v>30</v>
      </c>
    </row>
    <row r="15" spans="1:18" ht="26.4">
      <c r="A15" s="556"/>
      <c r="N15" s="1136" t="s">
        <v>866</v>
      </c>
      <c r="O15">
        <v>2</v>
      </c>
      <c r="Q15">
        <v>11</v>
      </c>
    </row>
    <row r="16" spans="1:18" ht="26.4">
      <c r="A16" s="556"/>
      <c r="N16" s="1136" t="s">
        <v>872</v>
      </c>
      <c r="O16">
        <f>2-1</f>
        <v>1</v>
      </c>
      <c r="P16">
        <f>+B9</f>
        <v>0</v>
      </c>
      <c r="Q16">
        <f>100-90</f>
        <v>10</v>
      </c>
    </row>
    <row r="17" spans="1:18">
      <c r="A17" s="556"/>
      <c r="N17" s="1136" t="s">
        <v>821</v>
      </c>
      <c r="O17">
        <f>10-3</f>
        <v>7</v>
      </c>
      <c r="Q17">
        <f>207-19</f>
        <v>188</v>
      </c>
    </row>
    <row r="18" spans="1:18">
      <c r="A18" s="556"/>
    </row>
    <row r="19" spans="1:18">
      <c r="A19" s="556"/>
    </row>
    <row r="20" spans="1:18">
      <c r="A20" s="556"/>
    </row>
    <row r="21" spans="1:18">
      <c r="A21" s="556"/>
    </row>
    <row r="22" spans="1:18">
      <c r="A22" s="556"/>
    </row>
    <row r="23" spans="1:18">
      <c r="D23" s="242"/>
    </row>
    <row r="24" spans="1:18">
      <c r="D24" s="242"/>
    </row>
    <row r="25" spans="1:18">
      <c r="A25" s="556"/>
    </row>
    <row r="26" spans="1:18">
      <c r="A26" s="556"/>
    </row>
    <row r="27" spans="1:18">
      <c r="A27" s="556"/>
      <c r="D27" s="242"/>
    </row>
    <row r="28" spans="1:18">
      <c r="A28" s="556"/>
      <c r="O28" s="3279" t="s">
        <v>933</v>
      </c>
      <c r="P28" s="3251"/>
      <c r="Q28" s="3279" t="s">
        <v>932</v>
      </c>
      <c r="R28" s="3279"/>
    </row>
    <row r="29" spans="1:18">
      <c r="A29" s="556"/>
      <c r="O29" s="8">
        <v>2014</v>
      </c>
      <c r="P29" s="8">
        <v>2015</v>
      </c>
      <c r="Q29" s="8">
        <v>2014</v>
      </c>
      <c r="R29" s="8">
        <v>2015</v>
      </c>
    </row>
    <row r="30" spans="1:18">
      <c r="M30" s="556"/>
      <c r="N30" s="556" t="s">
        <v>881</v>
      </c>
      <c r="O30" s="8">
        <v>3</v>
      </c>
      <c r="P30" s="1137">
        <f>+B31</f>
        <v>3</v>
      </c>
      <c r="Q30" s="8">
        <v>539</v>
      </c>
      <c r="R30" s="8"/>
    </row>
    <row r="31" spans="1:18">
      <c r="A31" s="556" t="s">
        <v>851</v>
      </c>
      <c r="B31">
        <v>3</v>
      </c>
      <c r="C31">
        <v>41</v>
      </c>
      <c r="M31" s="556"/>
      <c r="N31" s="556" t="s">
        <v>883</v>
      </c>
      <c r="O31" s="8">
        <v>2</v>
      </c>
      <c r="P31" s="1137">
        <f>+B33</f>
        <v>1</v>
      </c>
      <c r="Q31" s="8">
        <v>89</v>
      </c>
      <c r="R31" s="8"/>
    </row>
    <row r="32" spans="1:18">
      <c r="A32" s="556" t="s">
        <v>850</v>
      </c>
      <c r="B32">
        <v>3</v>
      </c>
      <c r="C32">
        <v>38</v>
      </c>
      <c r="M32" s="556"/>
      <c r="N32" s="1090" t="s">
        <v>931</v>
      </c>
      <c r="O32" s="8">
        <v>6</v>
      </c>
      <c r="P32" s="8">
        <f>+B39</f>
        <v>0</v>
      </c>
      <c r="Q32" s="8">
        <v>135</v>
      </c>
      <c r="R32" s="8"/>
    </row>
    <row r="33" spans="1:18">
      <c r="A33" s="556" t="s">
        <v>948</v>
      </c>
      <c r="B33">
        <v>1</v>
      </c>
      <c r="C33">
        <v>30</v>
      </c>
      <c r="M33" s="556"/>
      <c r="N33" s="556" t="s">
        <v>849</v>
      </c>
      <c r="O33" s="8">
        <v>5</v>
      </c>
      <c r="P33" s="1137">
        <f>+B35</f>
        <v>1</v>
      </c>
      <c r="Q33" s="8">
        <v>139</v>
      </c>
      <c r="R33" s="8"/>
    </row>
    <row r="34" spans="1:18">
      <c r="A34" s="556" t="s">
        <v>916</v>
      </c>
      <c r="B34">
        <v>1</v>
      </c>
      <c r="C34">
        <v>22</v>
      </c>
      <c r="M34" s="556"/>
      <c r="N34" s="556" t="s">
        <v>882</v>
      </c>
      <c r="O34" s="8">
        <v>5</v>
      </c>
      <c r="P34" s="8">
        <f>+B37</f>
        <v>1</v>
      </c>
      <c r="Q34" s="8">
        <v>77</v>
      </c>
      <c r="R34" s="8"/>
    </row>
    <row r="35" spans="1:18">
      <c r="A35" s="556" t="s">
        <v>883</v>
      </c>
      <c r="B35">
        <v>1</v>
      </c>
      <c r="C35">
        <v>20</v>
      </c>
      <c r="M35" s="556"/>
      <c r="N35" s="556" t="s">
        <v>850</v>
      </c>
      <c r="O35" s="8">
        <v>26</v>
      </c>
      <c r="P35" s="1137">
        <f>+B32</f>
        <v>3</v>
      </c>
      <c r="Q35" s="8">
        <v>509</v>
      </c>
      <c r="R35" s="8"/>
    </row>
    <row r="36" spans="1:18">
      <c r="A36" s="556" t="s">
        <v>882</v>
      </c>
      <c r="B36">
        <v>1</v>
      </c>
      <c r="C36">
        <v>15</v>
      </c>
      <c r="M36" s="556"/>
      <c r="N36" s="556" t="s">
        <v>851</v>
      </c>
      <c r="O36" s="8">
        <v>12</v>
      </c>
      <c r="P36" s="1137">
        <f>+B34</f>
        <v>1</v>
      </c>
      <c r="Q36" s="8">
        <v>199</v>
      </c>
      <c r="R36" s="8"/>
    </row>
    <row r="37" spans="1:18">
      <c r="A37" s="556" t="s">
        <v>852</v>
      </c>
      <c r="B37">
        <v>1</v>
      </c>
      <c r="C37">
        <v>1</v>
      </c>
      <c r="M37" s="556"/>
      <c r="N37" s="556" t="s">
        <v>880</v>
      </c>
      <c r="O37" s="8">
        <v>3</v>
      </c>
      <c r="P37" s="1137">
        <f>+B38</f>
        <v>0</v>
      </c>
      <c r="Q37" s="8">
        <v>21</v>
      </c>
      <c r="R37" s="8"/>
    </row>
    <row r="38" spans="1:18">
      <c r="A38" s="556"/>
      <c r="M38" s="556"/>
      <c r="N38" s="556" t="s">
        <v>853</v>
      </c>
      <c r="O38" s="8">
        <v>2</v>
      </c>
      <c r="P38" s="1137">
        <f>+B36</f>
        <v>1</v>
      </c>
      <c r="Q38" s="8">
        <v>10</v>
      </c>
      <c r="R38" s="8"/>
    </row>
    <row r="39" spans="1:18">
      <c r="A39" s="556"/>
      <c r="M39" s="556"/>
      <c r="N39" s="556" t="s">
        <v>852</v>
      </c>
      <c r="O39" s="8">
        <v>2</v>
      </c>
      <c r="P39" s="8">
        <f>+B40</f>
        <v>0</v>
      </c>
      <c r="Q39" s="8">
        <v>3</v>
      </c>
      <c r="R39" s="8"/>
    </row>
    <row r="40" spans="1:18">
      <c r="A40" s="556"/>
      <c r="N40" s="556"/>
      <c r="O40" s="8"/>
      <c r="P40" s="8"/>
      <c r="Q40" s="8"/>
      <c r="R40" s="8"/>
    </row>
    <row r="41" spans="1:18">
      <c r="A41" s="556"/>
      <c r="N41" s="556"/>
      <c r="O41" s="8"/>
      <c r="P41" s="8"/>
      <c r="Q41" s="8"/>
      <c r="R41" s="8"/>
    </row>
    <row r="45" spans="1:18">
      <c r="A45" s="556"/>
    </row>
    <row r="46" spans="1:18">
      <c r="A46" s="556"/>
    </row>
    <row r="47" spans="1:18">
      <c r="A47" s="556"/>
    </row>
    <row r="48" spans="1:18">
      <c r="A48" s="556"/>
    </row>
    <row r="49" spans="1:17">
      <c r="A49" s="556"/>
    </row>
    <row r="50" spans="1:17">
      <c r="A50" s="556"/>
    </row>
    <row r="51" spans="1:17">
      <c r="A51" s="556"/>
    </row>
    <row r="52" spans="1:17">
      <c r="A52" s="556"/>
      <c r="N52" s="556" t="s">
        <v>912</v>
      </c>
      <c r="O52">
        <v>30</v>
      </c>
      <c r="P52">
        <f>+B53</f>
        <v>4</v>
      </c>
      <c r="Q52">
        <v>1134</v>
      </c>
    </row>
    <row r="53" spans="1:17">
      <c r="A53" s="556" t="s">
        <v>912</v>
      </c>
      <c r="B53">
        <v>4</v>
      </c>
      <c r="C53">
        <v>63</v>
      </c>
      <c r="N53" s="556" t="s">
        <v>913</v>
      </c>
      <c r="O53">
        <v>9</v>
      </c>
      <c r="P53">
        <v>4</v>
      </c>
      <c r="Q53">
        <v>200</v>
      </c>
    </row>
    <row r="54" spans="1:17">
      <c r="A54" s="556" t="s">
        <v>915</v>
      </c>
      <c r="B54">
        <v>2</v>
      </c>
      <c r="C54">
        <v>31</v>
      </c>
      <c r="N54" s="556" t="s">
        <v>925</v>
      </c>
      <c r="O54">
        <v>7</v>
      </c>
      <c r="P54">
        <f>+B55</f>
        <v>1</v>
      </c>
      <c r="Q54">
        <v>261</v>
      </c>
    </row>
    <row r="55" spans="1:17">
      <c r="A55" s="556" t="s">
        <v>917</v>
      </c>
      <c r="B55">
        <v>1</v>
      </c>
      <c r="C55">
        <v>30</v>
      </c>
      <c r="D55" s="556"/>
      <c r="N55" s="556" t="s">
        <v>915</v>
      </c>
      <c r="O55">
        <v>6</v>
      </c>
      <c r="P55">
        <f>+B56</f>
        <v>1</v>
      </c>
      <c r="Q55">
        <v>46</v>
      </c>
    </row>
    <row r="56" spans="1:17">
      <c r="A56" s="556" t="s">
        <v>949</v>
      </c>
      <c r="B56">
        <v>1</v>
      </c>
      <c r="C56">
        <v>20</v>
      </c>
      <c r="D56" s="556"/>
      <c r="H56" s="556"/>
      <c r="N56" s="556" t="s">
        <v>917</v>
      </c>
      <c r="O56">
        <v>3</v>
      </c>
      <c r="P56">
        <f>+B57</f>
        <v>1</v>
      </c>
    </row>
    <row r="57" spans="1:17">
      <c r="A57" s="556" t="s">
        <v>913</v>
      </c>
      <c r="B57">
        <v>1</v>
      </c>
      <c r="C57">
        <v>15</v>
      </c>
      <c r="D57" s="556"/>
      <c r="H57" s="556"/>
      <c r="N57" s="556" t="s">
        <v>923</v>
      </c>
      <c r="O57">
        <v>9</v>
      </c>
      <c r="P57">
        <f>+B58</f>
        <v>1</v>
      </c>
      <c r="Q57">
        <v>59</v>
      </c>
    </row>
    <row r="58" spans="1:17">
      <c r="A58" s="556" t="s">
        <v>923</v>
      </c>
      <c r="B58">
        <v>1</v>
      </c>
      <c r="C58">
        <v>7</v>
      </c>
      <c r="D58" s="556"/>
      <c r="H58" s="556"/>
      <c r="N58" s="556" t="s">
        <v>911</v>
      </c>
      <c r="P58">
        <f>+B59</f>
        <v>1</v>
      </c>
      <c r="Q58">
        <v>18</v>
      </c>
    </row>
    <row r="59" spans="1:17">
      <c r="A59" s="556" t="s">
        <v>929</v>
      </c>
      <c r="B59">
        <v>1</v>
      </c>
      <c r="C59">
        <v>1</v>
      </c>
      <c r="D59" s="556"/>
      <c r="H59" s="556"/>
      <c r="N59" s="556" t="s">
        <v>929</v>
      </c>
      <c r="O59">
        <v>2</v>
      </c>
      <c r="Q59">
        <v>3</v>
      </c>
    </row>
    <row r="60" spans="1:17">
      <c r="G60" s="556"/>
      <c r="H60" s="556"/>
    </row>
    <row r="61" spans="1:17">
      <c r="G61" s="556"/>
    </row>
    <row r="62" spans="1:17">
      <c r="A62" s="556"/>
      <c r="D62" s="556"/>
      <c r="G62" s="556"/>
      <c r="N62" s="556"/>
    </row>
    <row r="63" spans="1:17">
      <c r="A63" s="556"/>
      <c r="G63" s="556"/>
      <c r="N63" s="556"/>
    </row>
    <row r="64" spans="1:17">
      <c r="A64" s="556"/>
      <c r="N64" s="556"/>
    </row>
    <row r="65" spans="1:14">
      <c r="A65" s="556"/>
      <c r="N65" s="556"/>
    </row>
    <row r="66" spans="1:14">
      <c r="A66" s="556"/>
      <c r="N66" s="556"/>
    </row>
    <row r="67" spans="1:14">
      <c r="A67" s="556"/>
      <c r="D67" s="556"/>
      <c r="N67" s="556"/>
    </row>
    <row r="68" spans="1:14">
      <c r="A68" s="556"/>
      <c r="D68" s="556"/>
      <c r="N68" s="556"/>
    </row>
    <row r="69" spans="1:14">
      <c r="A69" s="556"/>
      <c r="D69" s="556"/>
    </row>
    <row r="70" spans="1:14">
      <c r="A70" s="556"/>
      <c r="D70" s="556"/>
    </row>
    <row r="71" spans="1:14">
      <c r="A71" s="556"/>
      <c r="D71" s="556"/>
    </row>
    <row r="72" spans="1:14">
      <c r="A72" s="556"/>
    </row>
    <row r="73" spans="1:14">
      <c r="A73" s="556"/>
    </row>
    <row r="77" spans="1:14">
      <c r="A77" s="556"/>
    </row>
    <row r="78" spans="1:14">
      <c r="A78" s="556"/>
    </row>
    <row r="79" spans="1:14">
      <c r="A79" s="556"/>
    </row>
    <row r="80" spans="1:14">
      <c r="A80" s="556"/>
    </row>
    <row r="81" spans="1:1">
      <c r="A81" s="556"/>
    </row>
    <row r="82" spans="1:1">
      <c r="A82" s="556"/>
    </row>
    <row r="83" spans="1:1">
      <c r="A83" s="556"/>
    </row>
  </sheetData>
  <sortState xmlns:xlrd2="http://schemas.microsoft.com/office/spreadsheetml/2017/richdata2" ref="N3:R17">
    <sortCondition descending="1" ref="O3:O17"/>
  </sortState>
  <mergeCells count="2">
    <mergeCell ref="Q28:R28"/>
    <mergeCell ref="O28:P28"/>
  </mergeCells>
  <pageMargins left="0.7" right="0.7" top="0.75" bottom="0.75" header="0.3" footer="0.3"/>
  <customProperties>
    <customPr name="_pios_id" r:id="rId1"/>
  </customPropertie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26"/>
  <dimension ref="A1:DN132"/>
  <sheetViews>
    <sheetView showGridLines="0" topLeftCell="CQ18" zoomScale="70" zoomScaleNormal="70" workbookViewId="0">
      <selection activeCell="DB39" sqref="DB39"/>
    </sheetView>
  </sheetViews>
  <sheetFormatPr baseColWidth="10" defaultRowHeight="13.2"/>
  <cols>
    <col min="1" max="1" width="9.44140625" customWidth="1"/>
    <col min="2" max="2" width="5.5546875" style="8" customWidth="1"/>
    <col min="3" max="3" width="11.44140625" style="8"/>
    <col min="4" max="5" width="15.5546875" style="8" bestFit="1" customWidth="1"/>
    <col min="6" max="6" width="11.44140625" style="8"/>
    <col min="10" max="11" width="15.5546875" bestFit="1" customWidth="1"/>
    <col min="21" max="21" width="21.44140625" customWidth="1"/>
    <col min="22" max="22" width="11.5546875" bestFit="1" customWidth="1"/>
    <col min="23" max="23" width="12.5546875" bestFit="1" customWidth="1"/>
    <col min="24" max="26" width="11.5546875" bestFit="1" customWidth="1"/>
    <col min="27" max="27" width="16.21875" customWidth="1"/>
    <col min="28" max="28" width="15.77734375" customWidth="1"/>
    <col min="35" max="35" width="14.21875" customWidth="1"/>
    <col min="39" max="39" width="12.77734375" customWidth="1"/>
    <col min="46" max="46" width="38.44140625" bestFit="1" customWidth="1"/>
    <col min="47" max="52" width="7.77734375" customWidth="1"/>
    <col min="53" max="53" width="14.21875" customWidth="1"/>
    <col min="54" max="54" width="15.5546875" bestFit="1" customWidth="1"/>
    <col min="55" max="55" width="10.44140625" bestFit="1" customWidth="1"/>
    <col min="56" max="56" width="12" bestFit="1" customWidth="1"/>
    <col min="57" max="57" width="13.77734375" bestFit="1" customWidth="1"/>
    <col min="58" max="62" width="7.77734375" customWidth="1"/>
    <col min="63" max="84" width="8.21875" customWidth="1"/>
    <col min="85" max="86" width="6.5546875" style="8" customWidth="1"/>
    <col min="91" max="91" width="14.77734375" customWidth="1"/>
  </cols>
  <sheetData>
    <row r="1" spans="1:118">
      <c r="A1" s="1120" t="s">
        <v>461</v>
      </c>
      <c r="B1" s="911" t="s">
        <v>910</v>
      </c>
      <c r="C1" s="911" t="s">
        <v>919</v>
      </c>
      <c r="D1" s="911" t="s">
        <v>920</v>
      </c>
      <c r="E1" s="911" t="s">
        <v>834</v>
      </c>
      <c r="F1" s="911" t="s">
        <v>921</v>
      </c>
      <c r="G1" s="1119"/>
      <c r="I1" s="1175" t="s">
        <v>919</v>
      </c>
      <c r="J1" s="1175" t="s">
        <v>920</v>
      </c>
      <c r="K1" s="1175" t="s">
        <v>834</v>
      </c>
      <c r="L1" s="1175" t="s">
        <v>921</v>
      </c>
      <c r="V1" s="242" t="s">
        <v>1058</v>
      </c>
      <c r="AC1" t="s">
        <v>954</v>
      </c>
      <c r="AJ1" t="s">
        <v>3704</v>
      </c>
      <c r="AT1" s="8"/>
      <c r="AU1" s="8" t="s">
        <v>3712</v>
      </c>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Y1" s="3251" t="s">
        <v>5441</v>
      </c>
      <c r="CZ1" s="3251"/>
    </row>
    <row r="2" spans="1:118">
      <c r="A2" s="3308" t="s">
        <v>857</v>
      </c>
      <c r="B2" s="1116">
        <v>2015</v>
      </c>
      <c r="C2" s="1117">
        <v>0.82</v>
      </c>
      <c r="D2" s="1117">
        <v>0.81</v>
      </c>
      <c r="E2" s="1117">
        <v>0.65</v>
      </c>
      <c r="F2" s="1117">
        <v>0.78</v>
      </c>
      <c r="H2" s="137" t="s">
        <v>953</v>
      </c>
      <c r="I2" s="1111">
        <v>0.88</v>
      </c>
      <c r="J2" s="1111">
        <v>0.9</v>
      </c>
      <c r="K2" s="1111">
        <v>0.7</v>
      </c>
      <c r="L2" s="1111">
        <v>0.85</v>
      </c>
      <c r="V2" s="8" t="s">
        <v>951</v>
      </c>
      <c r="W2" s="8" t="s">
        <v>789</v>
      </c>
      <c r="X2" s="8" t="s">
        <v>952</v>
      </c>
      <c r="Y2" s="8" t="s">
        <v>788</v>
      </c>
      <c r="Z2" s="8" t="s">
        <v>790</v>
      </c>
      <c r="AA2" s="8" t="s">
        <v>55</v>
      </c>
      <c r="AC2" s="8" t="s">
        <v>951</v>
      </c>
      <c r="AD2" s="8" t="s">
        <v>789</v>
      </c>
      <c r="AE2" s="8" t="s">
        <v>952</v>
      </c>
      <c r="AF2" s="8" t="s">
        <v>788</v>
      </c>
      <c r="AG2" s="8" t="s">
        <v>790</v>
      </c>
      <c r="AH2" s="8" t="s">
        <v>55</v>
      </c>
      <c r="AJ2" s="8" t="s">
        <v>79</v>
      </c>
      <c r="AK2" s="8" t="s">
        <v>591</v>
      </c>
      <c r="AL2" s="8" t="s">
        <v>2789</v>
      </c>
      <c r="AM2" s="8" t="s">
        <v>1053</v>
      </c>
      <c r="AN2" s="8" t="s">
        <v>789</v>
      </c>
      <c r="AO2" s="8" t="s">
        <v>952</v>
      </c>
      <c r="AP2" s="675" t="s">
        <v>788</v>
      </c>
      <c r="AT2" s="8"/>
      <c r="AU2" s="3307" t="s">
        <v>91</v>
      </c>
      <c r="AV2" s="3307"/>
      <c r="AW2" s="3307" t="s">
        <v>542</v>
      </c>
      <c r="AX2" s="3307"/>
      <c r="AY2" s="3251" t="s">
        <v>388</v>
      </c>
      <c r="AZ2" s="3251"/>
      <c r="BA2" s="3307" t="s">
        <v>972</v>
      </c>
      <c r="BB2" s="3307"/>
      <c r="BC2" s="3251" t="s">
        <v>77</v>
      </c>
      <c r="BD2" s="3251"/>
      <c r="BE2" s="3251" t="s">
        <v>893</v>
      </c>
      <c r="BF2" s="3251"/>
      <c r="BG2" s="3251" t="s">
        <v>93</v>
      </c>
      <c r="BH2" s="3251"/>
      <c r="BI2" s="3251" t="s">
        <v>4033</v>
      </c>
      <c r="BJ2" s="3251"/>
      <c r="BK2" s="3307" t="s">
        <v>1006</v>
      </c>
      <c r="BL2" s="3307"/>
      <c r="BM2" s="3251" t="s">
        <v>386</v>
      </c>
      <c r="BN2" s="3251"/>
      <c r="BO2" s="3251" t="s">
        <v>387</v>
      </c>
      <c r="BP2" s="3251"/>
      <c r="BQ2" s="3251" t="s">
        <v>3298</v>
      </c>
      <c r="BR2" s="3251"/>
      <c r="BS2" s="3251" t="s">
        <v>2645</v>
      </c>
      <c r="BT2" s="3251"/>
      <c r="BU2" s="3251" t="s">
        <v>2696</v>
      </c>
      <c r="BV2" s="3251"/>
      <c r="BW2" s="3251" t="s">
        <v>2610</v>
      </c>
      <c r="BX2" s="3251"/>
      <c r="BY2" s="3251" t="s">
        <v>2437</v>
      </c>
      <c r="BZ2" s="3251"/>
      <c r="CA2" s="3251" t="s">
        <v>971</v>
      </c>
      <c r="CB2" s="3251"/>
      <c r="CC2" s="3251" t="s">
        <v>3479</v>
      </c>
      <c r="CD2" s="3251"/>
      <c r="CE2" s="3251" t="s">
        <v>5150</v>
      </c>
      <c r="CF2" s="3280"/>
      <c r="CG2" s="3318" t="s">
        <v>55</v>
      </c>
      <c r="CH2" s="3319"/>
      <c r="CI2" s="3307" t="s">
        <v>304</v>
      </c>
      <c r="CJ2" s="3307"/>
      <c r="CK2" s="3251" t="s">
        <v>5012</v>
      </c>
      <c r="CL2" s="3251"/>
      <c r="CM2" s="3251" t="s">
        <v>5013</v>
      </c>
      <c r="CN2" s="3251"/>
      <c r="CO2" s="3251" t="s">
        <v>5014</v>
      </c>
      <c r="CP2" s="3251"/>
      <c r="CQ2" s="3251" t="s">
        <v>5147</v>
      </c>
      <c r="CR2" s="3251"/>
      <c r="CS2" s="3251" t="s">
        <v>5148</v>
      </c>
      <c r="CT2" s="3251"/>
      <c r="CU2" s="3307" t="s">
        <v>5149</v>
      </c>
      <c r="CV2" s="3307"/>
      <c r="CW2" s="3307" t="s">
        <v>5151</v>
      </c>
      <c r="CX2" s="3307"/>
      <c r="CY2" s="3251"/>
      <c r="CZ2" s="3251"/>
      <c r="DA2" s="3251" t="s">
        <v>5440</v>
      </c>
      <c r="DB2" s="3251"/>
      <c r="DC2" s="3251" t="s">
        <v>5590</v>
      </c>
      <c r="DD2" s="3251"/>
      <c r="DE2" s="3320" t="s">
        <v>3495</v>
      </c>
      <c r="DF2" s="3321"/>
      <c r="DG2" s="3320" t="s">
        <v>1053</v>
      </c>
      <c r="DH2" s="3321"/>
      <c r="DI2" s="3320" t="s">
        <v>2943</v>
      </c>
      <c r="DJ2" s="3321"/>
      <c r="DK2" s="3320" t="s">
        <v>2906</v>
      </c>
      <c r="DL2" s="3321"/>
      <c r="DM2" s="3320" t="s">
        <v>4342</v>
      </c>
      <c r="DN2" s="3321"/>
    </row>
    <row r="3" spans="1:118" s="1112" customFormat="1">
      <c r="A3" s="3309"/>
      <c r="B3" s="820">
        <v>2014</v>
      </c>
      <c r="C3" s="1111">
        <v>0.52</v>
      </c>
      <c r="D3" s="1111">
        <v>0.71</v>
      </c>
      <c r="E3" s="1111">
        <v>0.65</v>
      </c>
      <c r="F3" s="1111">
        <v>0.63</v>
      </c>
      <c r="H3" s="1185" t="s">
        <v>857</v>
      </c>
      <c r="I3" s="1111">
        <v>0.63</v>
      </c>
      <c r="J3" s="1111">
        <v>0.74</v>
      </c>
      <c r="K3" s="1111">
        <v>0.6</v>
      </c>
      <c r="L3" s="1111">
        <v>0.67</v>
      </c>
      <c r="U3">
        <v>2013</v>
      </c>
      <c r="V3" s="8">
        <v>5.4</v>
      </c>
      <c r="W3" s="571">
        <v>26.2</v>
      </c>
      <c r="X3" s="8">
        <v>17.8</v>
      </c>
      <c r="Y3" s="8">
        <v>27.3</v>
      </c>
      <c r="Z3" s="8">
        <v>32.700000000000003</v>
      </c>
      <c r="AA3" s="836">
        <v>10.3</v>
      </c>
      <c r="AC3" s="8">
        <v>97</v>
      </c>
      <c r="AD3" s="63">
        <v>2381</v>
      </c>
      <c r="AE3" s="8">
        <v>2288</v>
      </c>
      <c r="AF3" s="8">
        <v>741</v>
      </c>
      <c r="AG3" s="8">
        <v>427</v>
      </c>
      <c r="AH3" s="836">
        <v>456</v>
      </c>
      <c r="AI3" s="1112" t="s">
        <v>3705</v>
      </c>
      <c r="AJ3" s="1448">
        <v>0.63</v>
      </c>
      <c r="AK3" s="1448">
        <v>0.68571428571428572</v>
      </c>
      <c r="AL3" s="1174">
        <v>0.89</v>
      </c>
      <c r="AM3" s="1448">
        <v>0.38293650793650785</v>
      </c>
      <c r="AN3" s="1448">
        <v>0.41865079365079366</v>
      </c>
      <c r="AO3" s="1448">
        <v>0.52</v>
      </c>
      <c r="AP3" s="1448"/>
      <c r="AT3" s="1340" t="s">
        <v>3714</v>
      </c>
      <c r="AU3" s="1448">
        <v>0.67</v>
      </c>
      <c r="AV3" s="1448"/>
      <c r="AW3" s="1448">
        <v>0.77</v>
      </c>
      <c r="AX3" s="1448"/>
      <c r="AY3" s="1174">
        <v>0.78</v>
      </c>
      <c r="AZ3" s="1174"/>
      <c r="BA3" s="1448">
        <v>0.83</v>
      </c>
      <c r="BB3" s="1448"/>
      <c r="BC3" s="1448">
        <v>0.87</v>
      </c>
      <c r="BD3" s="1448"/>
      <c r="BE3" s="1174">
        <v>0.83</v>
      </c>
      <c r="BF3" s="1174"/>
      <c r="BG3" s="1174">
        <v>0.89</v>
      </c>
      <c r="BH3" s="1174"/>
      <c r="BI3" s="1174">
        <v>0.9</v>
      </c>
      <c r="BJ3" s="1174"/>
      <c r="BK3" s="1448">
        <v>0.79</v>
      </c>
      <c r="BL3" s="836"/>
      <c r="BM3" s="1448">
        <v>0.55000000000000004</v>
      </c>
      <c r="BN3" s="836"/>
      <c r="BO3" s="1448">
        <v>0.57999999999999996</v>
      </c>
      <c r="BP3" s="836"/>
      <c r="BQ3" s="1448">
        <v>0.55000000000000004</v>
      </c>
      <c r="BR3" s="836"/>
      <c r="BS3" s="1448">
        <v>0.68</v>
      </c>
      <c r="BT3" s="836"/>
      <c r="BU3" s="1174">
        <v>0.64</v>
      </c>
      <c r="BW3" s="1448">
        <v>0.7</v>
      </c>
      <c r="BX3" s="836"/>
      <c r="BY3" s="1174">
        <v>0.64</v>
      </c>
      <c r="BZ3" s="836"/>
      <c r="CA3" s="1174">
        <v>0.86</v>
      </c>
      <c r="CB3" s="836"/>
      <c r="CC3" s="1174">
        <v>0.74</v>
      </c>
      <c r="CD3" s="1174"/>
      <c r="CE3" s="1174">
        <v>0.74</v>
      </c>
      <c r="CG3" s="1813"/>
      <c r="CH3" s="1813"/>
      <c r="CR3" s="1174">
        <v>0.89</v>
      </c>
      <c r="DE3" s="2218"/>
      <c r="DF3" s="2219"/>
      <c r="DG3" s="2218"/>
      <c r="DH3" s="2219"/>
      <c r="DI3" s="2218"/>
      <c r="DJ3" s="2219"/>
      <c r="DK3" s="2218"/>
      <c r="DL3" s="2219"/>
      <c r="DM3" s="2218"/>
      <c r="DN3" s="2219"/>
    </row>
    <row r="4" spans="1:118" s="1112" customFormat="1" ht="12" customHeight="1">
      <c r="A4" s="3312"/>
      <c r="B4" s="3313"/>
      <c r="C4" s="3313"/>
      <c r="D4" s="3313"/>
      <c r="E4" s="3313"/>
      <c r="F4" s="3314"/>
      <c r="H4" s="1185" t="s">
        <v>858</v>
      </c>
      <c r="I4" s="1111">
        <v>0.96</v>
      </c>
      <c r="J4" s="1111">
        <v>0.96</v>
      </c>
      <c r="K4" s="1111">
        <v>0.75</v>
      </c>
      <c r="L4" s="1111">
        <v>0.91</v>
      </c>
      <c r="U4">
        <v>2014</v>
      </c>
      <c r="V4" s="8">
        <v>4.0999999999999996</v>
      </c>
      <c r="W4" s="571">
        <v>0</v>
      </c>
      <c r="X4" s="8">
        <v>4.4000000000000004</v>
      </c>
      <c r="Y4" s="8">
        <v>21.7</v>
      </c>
      <c r="Z4" s="8">
        <v>7.7</v>
      </c>
      <c r="AA4" s="836">
        <v>7.2</v>
      </c>
      <c r="AC4" s="8">
        <v>118</v>
      </c>
      <c r="AD4" s="63">
        <v>0</v>
      </c>
      <c r="AE4" s="8">
        <v>191</v>
      </c>
      <c r="AF4" s="8">
        <v>661</v>
      </c>
      <c r="AG4" s="8">
        <v>86</v>
      </c>
      <c r="AH4" s="836">
        <v>187</v>
      </c>
      <c r="AI4" s="1112" t="s">
        <v>3706</v>
      </c>
      <c r="AJ4" s="1448">
        <v>0.86</v>
      </c>
      <c r="AK4" s="1448">
        <v>0.65954545454545466</v>
      </c>
      <c r="AL4" s="1174">
        <v>0.67</v>
      </c>
      <c r="AM4" s="1448">
        <v>0.74897727272727266</v>
      </c>
      <c r="AN4" s="1448">
        <v>0.60125000000000006</v>
      </c>
      <c r="AO4" s="1448">
        <v>0.77</v>
      </c>
      <c r="AP4" s="1448"/>
      <c r="AT4" s="1340" t="s">
        <v>3715</v>
      </c>
      <c r="AU4" s="1448">
        <v>0.56999999999999995</v>
      </c>
      <c r="AV4" s="1448"/>
      <c r="AW4" s="1448">
        <v>0.6</v>
      </c>
      <c r="AX4" s="1448"/>
      <c r="AY4" s="1174">
        <v>0.61</v>
      </c>
      <c r="AZ4" s="1174"/>
      <c r="BA4" s="1448">
        <v>0.64</v>
      </c>
      <c r="BB4" s="1448"/>
      <c r="BC4" s="1448">
        <v>0.65</v>
      </c>
      <c r="BD4" s="1448"/>
      <c r="BE4" s="1174">
        <v>0.6</v>
      </c>
      <c r="BF4" s="1174"/>
      <c r="BG4" s="1174">
        <v>0.64</v>
      </c>
      <c r="BH4" s="1174"/>
      <c r="BI4" s="1174">
        <v>0.69</v>
      </c>
      <c r="BJ4" s="1174"/>
      <c r="BK4" s="1448">
        <v>0.63</v>
      </c>
      <c r="BL4" s="836"/>
      <c r="BM4" s="1448">
        <v>0.78</v>
      </c>
      <c r="BN4" s="836"/>
      <c r="BO4" s="1448">
        <v>0.57999999999999996</v>
      </c>
      <c r="BP4" s="836"/>
      <c r="BQ4" s="1448">
        <v>0.63</v>
      </c>
      <c r="BR4" s="836"/>
      <c r="BS4" s="1448">
        <v>0.68</v>
      </c>
      <c r="BT4" s="836"/>
      <c r="BU4" s="1174">
        <v>0.78</v>
      </c>
      <c r="BW4" s="1448">
        <v>0.77</v>
      </c>
      <c r="BX4" s="836"/>
      <c r="BY4" s="1174">
        <v>0.72</v>
      </c>
      <c r="BZ4" s="836"/>
      <c r="CA4" s="1174">
        <v>0.69</v>
      </c>
      <c r="CB4" s="836"/>
      <c r="CC4" s="1174">
        <v>0.71</v>
      </c>
      <c r="CD4" s="1174"/>
      <c r="CE4" s="1174">
        <v>0.76</v>
      </c>
      <c r="CG4" s="1813"/>
      <c r="CH4" s="1813"/>
      <c r="CR4" s="1174">
        <v>0.64</v>
      </c>
      <c r="DE4" s="2218"/>
      <c r="DF4" s="2219"/>
      <c r="DG4" s="2218"/>
      <c r="DH4" s="2219"/>
      <c r="DI4" s="2218"/>
      <c r="DJ4" s="2219"/>
      <c r="DK4" s="2218"/>
      <c r="DL4" s="2219"/>
      <c r="DM4" s="2218"/>
      <c r="DN4" s="2219"/>
    </row>
    <row r="5" spans="1:118" s="1112" customFormat="1">
      <c r="A5" s="3311" t="s">
        <v>858</v>
      </c>
      <c r="B5" s="1116">
        <v>2015</v>
      </c>
      <c r="C5" s="1117">
        <v>0.74</v>
      </c>
      <c r="D5" s="1117">
        <v>0.86</v>
      </c>
      <c r="E5" s="1117">
        <v>0.5</v>
      </c>
      <c r="F5" s="1117">
        <v>0.74</v>
      </c>
      <c r="H5" s="1185" t="s">
        <v>803</v>
      </c>
      <c r="I5" s="1111">
        <v>0.77</v>
      </c>
      <c r="J5" s="1111">
        <v>0.93</v>
      </c>
      <c r="K5" s="1111">
        <v>0.6</v>
      </c>
      <c r="L5" s="1111">
        <v>0.8</v>
      </c>
      <c r="U5">
        <v>2015</v>
      </c>
      <c r="V5" s="8">
        <v>3.6</v>
      </c>
      <c r="W5" s="571">
        <v>8.6999999999999993</v>
      </c>
      <c r="X5" s="571">
        <v>2</v>
      </c>
      <c r="Y5" s="8">
        <v>12.6</v>
      </c>
      <c r="Z5" s="8">
        <v>10.8</v>
      </c>
      <c r="AA5" s="836">
        <v>4.3</v>
      </c>
      <c r="AC5" s="8">
        <v>141</v>
      </c>
      <c r="AD5" s="63">
        <v>262</v>
      </c>
      <c r="AE5" s="63">
        <v>11</v>
      </c>
      <c r="AF5" s="8">
        <v>379</v>
      </c>
      <c r="AG5" s="8">
        <v>99</v>
      </c>
      <c r="AH5" s="836">
        <v>157</v>
      </c>
      <c r="AI5" s="1112" t="s">
        <v>3707</v>
      </c>
      <c r="AJ5" s="1448">
        <v>0.53</v>
      </c>
      <c r="AK5" s="1448">
        <v>0.46875</v>
      </c>
      <c r="AL5" s="1174">
        <v>0.63</v>
      </c>
      <c r="AM5" s="1448">
        <v>0.34375</v>
      </c>
      <c r="AN5" s="1448">
        <v>0.25</v>
      </c>
      <c r="AO5" s="1448">
        <v>0.57999999999999996</v>
      </c>
      <c r="AP5" s="1448"/>
      <c r="AT5" s="1340" t="s">
        <v>3716</v>
      </c>
      <c r="AU5" s="1448">
        <v>0.64</v>
      </c>
      <c r="AV5" s="1448"/>
      <c r="AW5" s="1448">
        <v>0.44</v>
      </c>
      <c r="AX5" s="1448"/>
      <c r="AY5" s="1174">
        <v>0.51</v>
      </c>
      <c r="AZ5" s="1174"/>
      <c r="BA5" s="1448">
        <v>0.54</v>
      </c>
      <c r="BB5" s="1448"/>
      <c r="BC5" s="1448">
        <v>0.54</v>
      </c>
      <c r="BD5" s="1448"/>
      <c r="BE5" s="1174">
        <v>0.49</v>
      </c>
      <c r="BF5" s="1174"/>
      <c r="BG5" s="1174">
        <v>0.53</v>
      </c>
      <c r="BH5" s="1174"/>
      <c r="BI5" s="1174">
        <v>0.53</v>
      </c>
      <c r="BJ5" s="1174"/>
      <c r="BK5" s="1448">
        <v>0.55000000000000004</v>
      </c>
      <c r="BL5" s="836"/>
      <c r="BM5" s="1448">
        <v>0.64</v>
      </c>
      <c r="BN5" s="836"/>
      <c r="BO5" s="1448">
        <v>0.64</v>
      </c>
      <c r="BP5" s="836"/>
      <c r="BQ5" s="1448">
        <v>0.57999999999999996</v>
      </c>
      <c r="BR5" s="836"/>
      <c r="BS5" s="1448">
        <v>0.6</v>
      </c>
      <c r="BT5" s="836"/>
      <c r="BU5" s="1174">
        <v>0.65</v>
      </c>
      <c r="BW5" s="1448">
        <v>0.6</v>
      </c>
      <c r="BX5" s="836"/>
      <c r="BY5" s="1174">
        <v>0.62</v>
      </c>
      <c r="BZ5" s="836"/>
      <c r="CA5" s="1174">
        <v>0.56999999999999995</v>
      </c>
      <c r="CB5" s="836"/>
      <c r="CC5" s="1174">
        <v>0.54</v>
      </c>
      <c r="CD5" s="1174"/>
      <c r="CE5" s="1174">
        <v>0.66</v>
      </c>
      <c r="CG5" s="1813"/>
      <c r="CH5" s="1813"/>
      <c r="CR5" s="1174">
        <v>0.56000000000000005</v>
      </c>
      <c r="DE5" s="2218"/>
      <c r="DF5" s="2219"/>
      <c r="DG5" s="2218"/>
      <c r="DH5" s="2219"/>
      <c r="DI5" s="2218"/>
      <c r="DJ5" s="2219"/>
      <c r="DK5" s="2218"/>
      <c r="DL5" s="2219"/>
      <c r="DM5" s="2218"/>
      <c r="DN5" s="2219"/>
    </row>
    <row r="6" spans="1:118" s="1112" customFormat="1">
      <c r="A6" s="3311"/>
      <c r="B6" s="820">
        <v>2014</v>
      </c>
      <c r="C6" s="1111">
        <v>0.47</v>
      </c>
      <c r="D6" s="1111">
        <v>0.64</v>
      </c>
      <c r="E6" s="1111">
        <v>0.4</v>
      </c>
      <c r="F6" s="1111">
        <v>0.52</v>
      </c>
      <c r="H6" s="1185" t="s">
        <v>859</v>
      </c>
      <c r="I6" s="1111">
        <v>0.55000000000000004</v>
      </c>
      <c r="J6" s="1111">
        <v>0.67</v>
      </c>
      <c r="K6" s="1111">
        <v>0.65</v>
      </c>
      <c r="L6" s="1111">
        <v>0.62</v>
      </c>
      <c r="U6" s="1112">
        <v>2016</v>
      </c>
      <c r="V6" s="1188">
        <v>4.5999999999999996</v>
      </c>
      <c r="W6" s="836">
        <v>10</v>
      </c>
      <c r="X6" s="836">
        <v>1.6</v>
      </c>
      <c r="Y6" s="836">
        <v>8.6</v>
      </c>
      <c r="Z6" s="1188">
        <v>8</v>
      </c>
      <c r="AA6" s="836">
        <v>5.2</v>
      </c>
      <c r="AB6" s="836"/>
      <c r="AC6" s="836">
        <v>468</v>
      </c>
      <c r="AD6" s="836">
        <v>271</v>
      </c>
      <c r="AE6" s="836">
        <v>670</v>
      </c>
      <c r="AF6" s="836">
        <v>303</v>
      </c>
      <c r="AG6" s="836">
        <v>213</v>
      </c>
      <c r="AH6" s="836">
        <v>485</v>
      </c>
      <c r="AI6" s="1112" t="s">
        <v>3708</v>
      </c>
      <c r="AJ6" s="1448">
        <v>0.88</v>
      </c>
      <c r="AK6" s="1448">
        <v>0.72433347902097911</v>
      </c>
      <c r="AL6" s="1174">
        <v>0.87</v>
      </c>
      <c r="AM6" s="1448">
        <v>0.91304632867132862</v>
      </c>
      <c r="AN6" s="1448">
        <v>0.76640859140859141</v>
      </c>
      <c r="AO6" s="1448">
        <v>0.89</v>
      </c>
      <c r="AP6" s="1448"/>
      <c r="AT6" s="1340" t="s">
        <v>3717</v>
      </c>
      <c r="AU6" s="1448">
        <v>0.56999999999999995</v>
      </c>
      <c r="AV6" s="1448"/>
      <c r="AW6" s="1448">
        <v>0.5</v>
      </c>
      <c r="AX6" s="1448"/>
      <c r="AY6" s="1174">
        <v>0.57999999999999996</v>
      </c>
      <c r="AZ6" s="1174"/>
      <c r="BA6" s="1448">
        <v>0.61</v>
      </c>
      <c r="BB6" s="1448"/>
      <c r="BC6" s="1448">
        <v>0.59</v>
      </c>
      <c r="BD6" s="1448"/>
      <c r="BE6" s="1174">
        <v>0.54</v>
      </c>
      <c r="BF6" s="1174"/>
      <c r="BG6" s="1174">
        <v>0.56999999999999995</v>
      </c>
      <c r="BH6" s="1174"/>
      <c r="BI6" s="1174">
        <v>0.56000000000000005</v>
      </c>
      <c r="BJ6" s="1174"/>
      <c r="BK6" s="1448">
        <v>0.56999999999999995</v>
      </c>
      <c r="BL6" s="836"/>
      <c r="BM6" s="1448">
        <v>0.56999999999999995</v>
      </c>
      <c r="BN6" s="836"/>
      <c r="BO6" s="1448">
        <v>0.64</v>
      </c>
      <c r="BP6" s="836"/>
      <c r="BQ6" s="1448">
        <v>0.62</v>
      </c>
      <c r="BR6" s="836"/>
      <c r="BS6" s="1448">
        <v>0.71</v>
      </c>
      <c r="BT6" s="836"/>
      <c r="BU6" s="1174">
        <v>0.68</v>
      </c>
      <c r="BW6" s="1448">
        <v>0.75</v>
      </c>
      <c r="BX6" s="836"/>
      <c r="BY6" s="1174">
        <v>0.73</v>
      </c>
      <c r="BZ6" s="836"/>
      <c r="CA6" s="1174">
        <v>0.64</v>
      </c>
      <c r="CB6" s="836"/>
      <c r="CC6" s="1174">
        <v>0.76</v>
      </c>
      <c r="CD6" s="1174"/>
      <c r="CE6" s="1174">
        <v>0.74</v>
      </c>
      <c r="CG6" s="1813"/>
      <c r="CH6" s="1813"/>
      <c r="CR6" s="1174">
        <v>0.56999999999999995</v>
      </c>
      <c r="DE6" s="2218"/>
      <c r="DF6" s="2219"/>
      <c r="DG6" s="2218"/>
      <c r="DH6" s="2219"/>
      <c r="DI6" s="2218"/>
      <c r="DJ6" s="2219"/>
      <c r="DK6" s="2218"/>
      <c r="DL6" s="2219"/>
      <c r="DM6" s="2218"/>
      <c r="DN6" s="2219"/>
    </row>
    <row r="7" spans="1:118" s="1112" customFormat="1" ht="15" customHeight="1">
      <c r="A7" s="3311"/>
      <c r="B7" s="820">
        <v>2013</v>
      </c>
      <c r="C7" s="1111">
        <v>0.35</v>
      </c>
      <c r="D7" s="1111">
        <v>0.36</v>
      </c>
      <c r="E7" s="1111">
        <v>0.65</v>
      </c>
      <c r="F7" s="1111">
        <v>0.45</v>
      </c>
      <c r="H7" s="1185" t="s">
        <v>2828</v>
      </c>
      <c r="I7" s="1111">
        <v>0.69</v>
      </c>
      <c r="J7" s="1111">
        <v>0.9</v>
      </c>
      <c r="K7" s="1111">
        <v>0.7</v>
      </c>
      <c r="L7" s="1111">
        <v>0.78</v>
      </c>
      <c r="U7" s="1112">
        <v>2017</v>
      </c>
      <c r="V7" s="1188">
        <v>4.4000000000000004</v>
      </c>
      <c r="W7" s="1188">
        <v>8.5895525272610929</v>
      </c>
      <c r="X7" s="1188">
        <v>1.5995913577278125</v>
      </c>
      <c r="Y7" s="1188">
        <v>10.112961783117422</v>
      </c>
      <c r="Z7" s="1188">
        <v>5.1404103075507486</v>
      </c>
      <c r="AA7" s="836">
        <v>4.7</v>
      </c>
      <c r="AC7" s="837">
        <v>107.36528809163552</v>
      </c>
      <c r="AD7" s="837">
        <v>354.31904174952007</v>
      </c>
      <c r="AE7" s="837">
        <v>97.57507282139656</v>
      </c>
      <c r="AF7" s="837">
        <v>339.34605094460682</v>
      </c>
      <c r="AG7" s="837">
        <v>11.994290717618414</v>
      </c>
      <c r="AH7" s="837">
        <v>129.07069282418166</v>
      </c>
      <c r="AI7" s="1112" t="s">
        <v>3710</v>
      </c>
      <c r="AJ7" s="1448">
        <v>0.78</v>
      </c>
      <c r="AK7" s="1448">
        <v>0.64371212121212118</v>
      </c>
      <c r="AL7" s="1174">
        <v>0.92</v>
      </c>
      <c r="AM7" s="1448">
        <v>0.7645292207792207</v>
      </c>
      <c r="AN7" s="1448">
        <v>0.55132575757575764</v>
      </c>
      <c r="AO7" s="1448">
        <v>0.86</v>
      </c>
      <c r="AP7" s="1448"/>
      <c r="AT7" s="1340" t="s">
        <v>3718</v>
      </c>
      <c r="AU7" s="1448">
        <v>0.62</v>
      </c>
      <c r="AV7" s="1448"/>
      <c r="AW7" s="1448">
        <v>0.5</v>
      </c>
      <c r="AX7" s="1448"/>
      <c r="AY7" s="1174">
        <v>0.56999999999999995</v>
      </c>
      <c r="AZ7" s="1174"/>
      <c r="BA7" s="1448">
        <v>0.59</v>
      </c>
      <c r="BB7" s="1448"/>
      <c r="BC7" s="1448">
        <v>0.61</v>
      </c>
      <c r="BD7" s="1448"/>
      <c r="BE7" s="1174">
        <v>0.61</v>
      </c>
      <c r="BF7" s="1174"/>
      <c r="BG7" s="1174">
        <v>0.55000000000000004</v>
      </c>
      <c r="BH7" s="1174"/>
      <c r="BI7" s="1174">
        <v>0.56000000000000005</v>
      </c>
      <c r="BJ7" s="1174"/>
      <c r="BK7" s="1448">
        <v>0.6</v>
      </c>
      <c r="BL7" s="836"/>
      <c r="BM7" s="1448">
        <v>0.6</v>
      </c>
      <c r="BN7" s="836"/>
      <c r="BO7" s="1448">
        <v>0.69</v>
      </c>
      <c r="BP7" s="836"/>
      <c r="BQ7" s="1448">
        <v>0.57999999999999996</v>
      </c>
      <c r="BR7" s="836"/>
      <c r="BS7" s="1448">
        <v>0.63</v>
      </c>
      <c r="BT7" s="836"/>
      <c r="BU7" s="1174">
        <v>0.59</v>
      </c>
      <c r="BW7" s="1448">
        <v>0.65</v>
      </c>
      <c r="BX7" s="836"/>
      <c r="BY7" s="1174">
        <v>0.54</v>
      </c>
      <c r="BZ7" s="836"/>
      <c r="CA7" s="1174">
        <v>0.62</v>
      </c>
      <c r="CB7" s="836"/>
      <c r="CC7" s="1174">
        <v>0.59</v>
      </c>
      <c r="CD7" s="1174"/>
      <c r="CE7" s="1174">
        <v>0.64</v>
      </c>
      <c r="CG7" s="1813"/>
      <c r="CH7" s="1813"/>
      <c r="CR7" s="1174">
        <v>0.56000000000000005</v>
      </c>
      <c r="DE7" s="2218"/>
      <c r="DF7" s="2219"/>
      <c r="DG7" s="2218"/>
      <c r="DH7" s="2219"/>
      <c r="DI7" s="2218"/>
      <c r="DJ7" s="2219"/>
      <c r="DK7" s="2218"/>
      <c r="DL7" s="2219"/>
      <c r="DM7" s="2218"/>
      <c r="DN7" s="2219"/>
    </row>
    <row r="8" spans="1:118" s="1112" customFormat="1" ht="12" customHeight="1">
      <c r="A8" s="3312"/>
      <c r="B8" s="3313"/>
      <c r="C8" s="3313"/>
      <c r="D8" s="3313"/>
      <c r="E8" s="3313"/>
      <c r="F8" s="3314"/>
      <c r="U8" s="1112">
        <v>2018</v>
      </c>
      <c r="V8" s="836">
        <v>4.3</v>
      </c>
      <c r="W8" s="836">
        <v>1.7</v>
      </c>
      <c r="X8" s="888">
        <v>2.2000000000000002</v>
      </c>
      <c r="Y8" s="836">
        <v>5.2</v>
      </c>
      <c r="Z8" s="836">
        <v>14.4</v>
      </c>
      <c r="AA8" s="836">
        <v>4.8</v>
      </c>
      <c r="AC8" s="836">
        <v>446</v>
      </c>
      <c r="AD8" s="836">
        <v>255</v>
      </c>
      <c r="AE8" s="836">
        <v>259</v>
      </c>
      <c r="AF8" s="836">
        <v>130</v>
      </c>
      <c r="AG8" s="836">
        <v>43</v>
      </c>
      <c r="AH8" s="836">
        <v>185</v>
      </c>
      <c r="AI8" s="1112" t="s">
        <v>3709</v>
      </c>
      <c r="AJ8" s="1448">
        <v>0.76</v>
      </c>
      <c r="AK8" s="1448">
        <v>0.67869047619047607</v>
      </c>
      <c r="AL8" s="1174">
        <v>0.86</v>
      </c>
      <c r="AM8" s="1448">
        <v>0.66374999999999984</v>
      </c>
      <c r="AN8" s="1448">
        <v>0.47236111111111112</v>
      </c>
      <c r="AO8" s="1448">
        <v>0.68</v>
      </c>
      <c r="AP8" s="1448"/>
      <c r="AT8" s="1340" t="s">
        <v>3719</v>
      </c>
      <c r="AU8" s="1448">
        <v>0.51</v>
      </c>
      <c r="AV8" s="1448"/>
      <c r="AW8" s="1448">
        <v>0.46</v>
      </c>
      <c r="AX8" s="1448"/>
      <c r="AY8" s="1174">
        <v>0.48</v>
      </c>
      <c r="AZ8" s="1174"/>
      <c r="BA8" s="1448">
        <v>0.52</v>
      </c>
      <c r="BB8" s="1448"/>
      <c r="BC8" s="1448">
        <v>0.53</v>
      </c>
      <c r="BD8" s="1448"/>
      <c r="BE8" s="1174">
        <v>0.44</v>
      </c>
      <c r="BF8" s="1174"/>
      <c r="BG8" s="1174">
        <v>0.47</v>
      </c>
      <c r="BH8" s="1174"/>
      <c r="BI8" s="1174">
        <v>0.48</v>
      </c>
      <c r="BJ8" s="1174"/>
      <c r="BK8" s="1448">
        <v>0.55000000000000004</v>
      </c>
      <c r="BL8" s="836"/>
      <c r="BM8" s="1448">
        <v>0.56000000000000005</v>
      </c>
      <c r="BN8" s="836"/>
      <c r="BO8" s="1448">
        <v>0.57999999999999996</v>
      </c>
      <c r="BP8" s="836"/>
      <c r="BQ8" s="1448">
        <v>0.53</v>
      </c>
      <c r="BR8" s="836"/>
      <c r="BS8" s="1448">
        <v>0.59</v>
      </c>
      <c r="BT8" s="836"/>
      <c r="BU8" s="1174">
        <v>0.66</v>
      </c>
      <c r="BW8" s="1448">
        <v>0.68</v>
      </c>
      <c r="BX8" s="836"/>
      <c r="BY8" s="1174">
        <v>0.49</v>
      </c>
      <c r="BZ8" s="836"/>
      <c r="CA8" s="1174">
        <v>0.53</v>
      </c>
      <c r="CB8" s="836"/>
      <c r="CC8" s="1174">
        <v>0.47</v>
      </c>
      <c r="CD8" s="1174"/>
      <c r="CE8" s="1174">
        <v>0.5</v>
      </c>
      <c r="CG8" s="1813"/>
      <c r="CH8" s="1813"/>
      <c r="CR8" s="1174">
        <v>0.47</v>
      </c>
      <c r="DE8" s="2218"/>
      <c r="DF8" s="2219"/>
      <c r="DG8" s="2218"/>
      <c r="DH8" s="2219"/>
      <c r="DI8" s="2218"/>
      <c r="DJ8" s="2219"/>
      <c r="DK8" s="2218"/>
      <c r="DL8" s="2219"/>
      <c r="DM8" s="2218"/>
      <c r="DN8" s="2219"/>
    </row>
    <row r="9" spans="1:118" s="1112" customFormat="1" ht="12.75" customHeight="1">
      <c r="A9" s="3315" t="s">
        <v>803</v>
      </c>
      <c r="B9" s="1116">
        <v>2015</v>
      </c>
      <c r="C9" s="1131"/>
      <c r="D9" s="1131"/>
      <c r="E9" s="1131"/>
      <c r="F9" s="1131"/>
      <c r="U9" s="1112">
        <v>2019</v>
      </c>
      <c r="V9" s="1188">
        <f>+INDICADORES!S32</f>
        <v>3.703675064513702</v>
      </c>
      <c r="W9" s="1188">
        <f>+INDICADORES!S43</f>
        <v>1.6653312558124764</v>
      </c>
      <c r="X9" s="1188" t="e">
        <f>+INDICADORES!S44</f>
        <v>#DIV/0!</v>
      </c>
      <c r="Y9" s="1188" t="e">
        <f>+INDICADORES!S45</f>
        <v>#DIV/0!</v>
      </c>
      <c r="Z9" s="1188">
        <f>+INDICADORES!S52</f>
        <v>3.1624553303184593</v>
      </c>
      <c r="AA9" s="1188" t="e">
        <f>+INDICADORES!#REF!</f>
        <v>#REF!</v>
      </c>
      <c r="AC9" s="837">
        <f>+INDICADORES!T32</f>
        <v>108.67640832158776</v>
      </c>
      <c r="AD9" s="837">
        <f>+INDICADORES!T43</f>
        <v>28.310631348812098</v>
      </c>
      <c r="AE9" s="837" t="e">
        <f>+INDICADORES!T44</f>
        <v>#DIV/0!</v>
      </c>
      <c r="AF9" s="837" t="e">
        <f>+INDICADORES!T45</f>
        <v>#DIV/0!</v>
      </c>
      <c r="AG9" s="837">
        <f>+INDICADORES!T52</f>
        <v>32.67870507995741</v>
      </c>
      <c r="AH9" s="837" t="e">
        <f>+INDICADORES!#REF!</f>
        <v>#REF!</v>
      </c>
      <c r="AI9" s="1112" t="s">
        <v>3711</v>
      </c>
      <c r="AJ9" s="1448">
        <v>0.74</v>
      </c>
      <c r="AK9" s="1448">
        <v>0.64024368339993343</v>
      </c>
      <c r="AL9" s="1174">
        <v>0.81</v>
      </c>
      <c r="AM9" s="1448">
        <v>0.64079786879786882</v>
      </c>
      <c r="AN9" s="1448">
        <v>0.50587408424908431</v>
      </c>
      <c r="AO9" s="1448">
        <v>0.72</v>
      </c>
      <c r="AP9" s="1448"/>
      <c r="AT9" s="1340" t="s">
        <v>3711</v>
      </c>
      <c r="AU9" s="1448"/>
      <c r="AV9" s="1448"/>
      <c r="AW9" s="1448">
        <v>0.55000000000000004</v>
      </c>
      <c r="AX9" s="1448"/>
      <c r="AY9" s="1174">
        <v>0.6</v>
      </c>
      <c r="AZ9" s="1174"/>
      <c r="BA9" s="1448">
        <v>0.63</v>
      </c>
      <c r="BB9" s="1448"/>
      <c r="BC9" s="1448">
        <v>0.64</v>
      </c>
      <c r="BD9" s="1448"/>
      <c r="BE9" s="1174">
        <v>0.59</v>
      </c>
      <c r="BF9" s="1174"/>
      <c r="BG9" s="1174">
        <v>0.62</v>
      </c>
      <c r="BH9" s="1174"/>
      <c r="BI9" s="1174">
        <v>0.63</v>
      </c>
      <c r="BJ9" s="1174"/>
      <c r="BK9" s="1448"/>
      <c r="BL9" s="836"/>
      <c r="BM9" s="1448">
        <v>0.62</v>
      </c>
      <c r="BN9" s="836"/>
      <c r="BO9" s="1448">
        <v>0.62</v>
      </c>
      <c r="BP9" s="836"/>
      <c r="BQ9" s="1448"/>
      <c r="BR9" s="836"/>
      <c r="BS9" s="836"/>
      <c r="BT9" s="836"/>
      <c r="BU9" s="836"/>
      <c r="BV9" s="836"/>
      <c r="BW9" s="836"/>
      <c r="BX9" s="1818"/>
      <c r="BY9" s="836"/>
      <c r="BZ9" s="836"/>
      <c r="CA9" s="836"/>
      <c r="CB9" s="836"/>
      <c r="CC9" s="836"/>
      <c r="CD9" s="836"/>
      <c r="CE9" s="836"/>
      <c r="CF9" s="836"/>
      <c r="CG9" s="1813"/>
      <c r="CH9" s="1813"/>
      <c r="DE9" s="2218"/>
      <c r="DF9" s="2219"/>
      <c r="DG9" s="2218"/>
      <c r="DH9" s="2219"/>
      <c r="DI9" s="2218"/>
      <c r="DJ9" s="2219"/>
      <c r="DK9" s="2218"/>
      <c r="DL9" s="2219"/>
      <c r="DM9" s="2218"/>
      <c r="DN9" s="2219"/>
    </row>
    <row r="10" spans="1:118" s="1112" customFormat="1">
      <c r="A10" s="3316"/>
      <c r="B10" s="820">
        <v>2014</v>
      </c>
      <c r="C10" s="1111">
        <v>0.49</v>
      </c>
      <c r="D10" s="1111">
        <v>0.69</v>
      </c>
      <c r="E10" s="1111">
        <v>0.46</v>
      </c>
      <c r="F10" s="1111">
        <v>0.55000000000000004</v>
      </c>
      <c r="AT10" s="1340"/>
      <c r="AU10" s="836"/>
      <c r="AV10" s="836"/>
      <c r="AW10" s="836"/>
      <c r="AX10" s="836"/>
      <c r="AY10" s="836"/>
      <c r="AZ10" s="836"/>
      <c r="BA10" s="836"/>
      <c r="BB10" s="836"/>
      <c r="BC10" s="836"/>
      <c r="BD10" s="836"/>
      <c r="BE10" s="836"/>
      <c r="BF10" s="836"/>
      <c r="BG10" s="836"/>
      <c r="BH10" s="836"/>
      <c r="BI10" s="836"/>
      <c r="BJ10" s="836"/>
      <c r="BK10" s="836"/>
      <c r="BL10" s="836"/>
      <c r="BM10" s="836"/>
      <c r="BN10" s="836"/>
      <c r="BO10" s="836"/>
      <c r="BP10" s="836"/>
      <c r="BQ10" s="836"/>
      <c r="BR10" s="836"/>
      <c r="BS10" s="836"/>
      <c r="BT10" s="836"/>
      <c r="BU10" s="836"/>
      <c r="BV10" s="836"/>
      <c r="BW10" s="836"/>
      <c r="BX10" s="836"/>
      <c r="BY10" s="836"/>
      <c r="BZ10" s="836"/>
      <c r="CA10" s="836"/>
      <c r="CB10" s="836"/>
      <c r="CC10" s="836"/>
      <c r="CD10" s="836"/>
      <c r="CE10" s="836"/>
      <c r="CF10" s="836"/>
      <c r="CG10" s="1813"/>
      <c r="CH10" s="1813"/>
      <c r="DE10" s="2218"/>
      <c r="DF10" s="2219"/>
      <c r="DG10" s="2218"/>
      <c r="DH10" s="2219"/>
      <c r="DI10" s="2218"/>
      <c r="DJ10" s="2219"/>
      <c r="DK10" s="2218"/>
      <c r="DL10" s="2219"/>
      <c r="DM10" s="2218"/>
      <c r="DN10" s="2219"/>
    </row>
    <row r="11" spans="1:118" s="1112" customFormat="1">
      <c r="A11" s="3317"/>
      <c r="B11" s="820">
        <v>2013</v>
      </c>
      <c r="C11" s="1111">
        <v>0.63</v>
      </c>
      <c r="D11" s="1111">
        <v>0.43</v>
      </c>
      <c r="E11" s="1111">
        <v>0.42</v>
      </c>
      <c r="F11" s="1111">
        <v>0.49</v>
      </c>
      <c r="AT11" s="1340" t="s">
        <v>3720</v>
      </c>
      <c r="AU11" s="1448">
        <v>0.01</v>
      </c>
      <c r="AV11" s="1483">
        <v>3</v>
      </c>
      <c r="AW11" s="1448">
        <v>0.05</v>
      </c>
      <c r="AX11" s="1483">
        <f>+AW11*$AW$18</f>
        <v>14</v>
      </c>
      <c r="AY11" s="1448">
        <v>0.03</v>
      </c>
      <c r="AZ11" s="1483">
        <f>+AY11*$AY$18</f>
        <v>2.2199999999999998</v>
      </c>
      <c r="BA11" s="1174">
        <v>0.02</v>
      </c>
      <c r="BB11" s="1483">
        <f>+BA11*$BA$18</f>
        <v>1.78</v>
      </c>
      <c r="BC11" s="1174">
        <v>0</v>
      </c>
      <c r="BD11" s="1483">
        <f>+BC11*$BC$18</f>
        <v>0</v>
      </c>
      <c r="BE11" s="1174">
        <v>0.03</v>
      </c>
      <c r="BF11" s="1483">
        <f>+BE11*$BE$18</f>
        <v>0.87</v>
      </c>
      <c r="BG11" s="1174">
        <v>0.01</v>
      </c>
      <c r="BH11" s="1483">
        <f>+BG11*$BG$18</f>
        <v>1.1200000000000001</v>
      </c>
      <c r="BI11" s="1174">
        <v>0</v>
      </c>
      <c r="BJ11" s="1483">
        <f>+BI11*$BI$18</f>
        <v>0</v>
      </c>
      <c r="BK11" s="1174">
        <f>+BL11/$BL$18</f>
        <v>4.5977011494252873E-2</v>
      </c>
      <c r="BL11" s="836">
        <v>8</v>
      </c>
      <c r="BM11" s="1174">
        <v>0.01</v>
      </c>
      <c r="BN11" s="836">
        <v>1</v>
      </c>
      <c r="BO11" s="1174">
        <v>0</v>
      </c>
      <c r="BP11" s="836">
        <v>0</v>
      </c>
      <c r="BQ11" s="1174">
        <f>+BR11/$BR$18</f>
        <v>0.1111111111111111</v>
      </c>
      <c r="BR11" s="836">
        <v>2</v>
      </c>
      <c r="BS11" s="1448">
        <f>+BT11/$BT$18</f>
        <v>8.3333333333333329E-2</v>
      </c>
      <c r="BT11" s="836">
        <v>6</v>
      </c>
      <c r="BU11" s="1448">
        <f>+BV11/$BV$18</f>
        <v>0</v>
      </c>
      <c r="BV11" s="836">
        <v>0</v>
      </c>
      <c r="BW11" s="1448">
        <f>+BX11/$BX$18</f>
        <v>0</v>
      </c>
      <c r="BX11" s="836">
        <v>0</v>
      </c>
      <c r="BY11" s="1448">
        <f>+BZ11/$BZ$18</f>
        <v>6.25E-2</v>
      </c>
      <c r="BZ11" s="836">
        <v>1</v>
      </c>
      <c r="CA11" s="1448">
        <f>+CB11/$CB$18</f>
        <v>0</v>
      </c>
      <c r="CB11" s="836">
        <v>0</v>
      </c>
      <c r="CC11" s="1448">
        <f>+CD11/$CD$18</f>
        <v>0</v>
      </c>
      <c r="CD11" s="836">
        <v>0</v>
      </c>
      <c r="CE11" s="1448">
        <f>+CF11/$CF$18</f>
        <v>0</v>
      </c>
      <c r="CF11" s="836">
        <v>0</v>
      </c>
      <c r="CG11" s="1814">
        <f>+CH11/$CH$18</f>
        <v>2.432131495227996E-2</v>
      </c>
      <c r="CH11" s="1815">
        <f>+CJ11+CV11+CX11+AV11+AX11+BB11+BL11</f>
        <v>45.870000000000005</v>
      </c>
      <c r="CI11" s="1448">
        <f>+CJ11/$CJ$18</f>
        <v>1.3702127659574468E-2</v>
      </c>
      <c r="CJ11" s="837">
        <f>+BP11+BN11+AZ11</f>
        <v>3.2199999999999998</v>
      </c>
      <c r="CK11" s="1448">
        <f>+CL11/$CL$18</f>
        <v>0.1744186046511628</v>
      </c>
      <c r="CL11" s="837">
        <v>15</v>
      </c>
      <c r="CM11" s="1448">
        <f>+CN11/$CN$18</f>
        <v>0</v>
      </c>
      <c r="CN11" s="837">
        <v>0</v>
      </c>
      <c r="CO11" s="1448">
        <f>+CP11/$CP$18</f>
        <v>0.15957446808510639</v>
      </c>
      <c r="CP11" s="837">
        <v>15</v>
      </c>
      <c r="CQ11" s="1448">
        <f>+CR11/$CR$18</f>
        <v>3.1818181818181815E-2</v>
      </c>
      <c r="CR11" s="837">
        <v>14</v>
      </c>
      <c r="CS11" s="1448">
        <f>+CT11/$CT$18</f>
        <v>8.1967213114754103E-3</v>
      </c>
      <c r="CT11" s="837">
        <f>+CF11+CD11+CB11+BZ11+BX11+BV11</f>
        <v>1</v>
      </c>
      <c r="CU11" s="1448">
        <f>+CV11/$CV$18</f>
        <v>2.6690391459074734E-2</v>
      </c>
      <c r="CV11" s="837">
        <f>+CT11+CR11</f>
        <v>15</v>
      </c>
      <c r="CW11" s="1448">
        <f>+CX11/$CX$18</f>
        <v>7.6315789473684207E-3</v>
      </c>
      <c r="CX11" s="837">
        <f>+BD11+BF11</f>
        <v>0.87</v>
      </c>
      <c r="CY11" s="1448">
        <v>0.01</v>
      </c>
      <c r="CZ11" s="837">
        <f>+CY11*$CZ$18</f>
        <v>2.65</v>
      </c>
      <c r="DA11" s="1448">
        <f>+DB11/$DB$18</f>
        <v>2.7027027027027029E-2</v>
      </c>
      <c r="DB11" s="1112">
        <v>1</v>
      </c>
      <c r="DC11" s="1448">
        <f>+DD11/$DD$18</f>
        <v>5.8823529411764705E-2</v>
      </c>
      <c r="DD11" s="1112">
        <v>2</v>
      </c>
      <c r="DE11" s="2220">
        <v>4.7619047619047623E-3</v>
      </c>
      <c r="DF11" s="2221">
        <v>1</v>
      </c>
      <c r="DG11" s="2220">
        <v>0.04</v>
      </c>
      <c r="DH11" s="2221">
        <v>6</v>
      </c>
      <c r="DI11" s="2220">
        <v>0.12539184952978055</v>
      </c>
      <c r="DJ11" s="2221">
        <v>40</v>
      </c>
      <c r="DK11" s="2220">
        <v>0</v>
      </c>
      <c r="DL11" s="2221">
        <v>0</v>
      </c>
      <c r="DM11" s="2220">
        <v>4.8048048048048048E-2</v>
      </c>
      <c r="DN11" s="2221">
        <v>32</v>
      </c>
    </row>
    <row r="12" spans="1:118" s="1112" customFormat="1" ht="15" customHeight="1">
      <c r="A12" s="3312"/>
      <c r="B12" s="3313"/>
      <c r="C12" s="3313"/>
      <c r="D12" s="3313"/>
      <c r="E12" s="3313"/>
      <c r="F12" s="3314"/>
      <c r="AT12" s="1340" t="s">
        <v>3721</v>
      </c>
      <c r="AU12" s="1448">
        <v>0.54</v>
      </c>
      <c r="AV12" s="1483">
        <v>234</v>
      </c>
      <c r="AW12" s="1448">
        <v>0.62</v>
      </c>
      <c r="AX12" s="1483">
        <f>+AW12*$AW$18</f>
        <v>173.6</v>
      </c>
      <c r="AY12" s="1448">
        <v>0.47</v>
      </c>
      <c r="AZ12" s="1483">
        <f>+AY12*$AY$18</f>
        <v>34.78</v>
      </c>
      <c r="BA12" s="1174">
        <v>0.4</v>
      </c>
      <c r="BB12" s="1483">
        <f>+BA12*$BA$18</f>
        <v>35.6</v>
      </c>
      <c r="BC12" s="1174">
        <v>0.35</v>
      </c>
      <c r="BD12" s="1483">
        <f>+BC12*$BC$18</f>
        <v>29.749999999999996</v>
      </c>
      <c r="BE12" s="1174">
        <v>0.52</v>
      </c>
      <c r="BF12" s="1483">
        <f>+BE12*$BE$18</f>
        <v>15.08</v>
      </c>
      <c r="BG12" s="1174">
        <v>0.44</v>
      </c>
      <c r="BH12" s="1483">
        <f>+BG12*$BG$18</f>
        <v>49.28</v>
      </c>
      <c r="BI12" s="1174">
        <v>0.44</v>
      </c>
      <c r="BJ12" s="1483">
        <f>+BI12*$BI$18</f>
        <v>18.920000000000002</v>
      </c>
      <c r="BK12" s="1174">
        <f>+BL12/$BL$18</f>
        <v>0.41954022988505746</v>
      </c>
      <c r="BL12" s="836">
        <v>73</v>
      </c>
      <c r="BM12" s="1174">
        <v>0.43</v>
      </c>
      <c r="BN12" s="836">
        <v>52</v>
      </c>
      <c r="BO12" s="1174">
        <v>0.4</v>
      </c>
      <c r="BP12" s="836">
        <v>16</v>
      </c>
      <c r="BQ12" s="1174">
        <f>+BR12/$BR$18</f>
        <v>0.5</v>
      </c>
      <c r="BR12" s="836">
        <v>9</v>
      </c>
      <c r="BS12" s="1448">
        <f>+BT12/$BT$18</f>
        <v>0.31944444444444442</v>
      </c>
      <c r="BT12" s="836">
        <v>23</v>
      </c>
      <c r="BU12" s="1448">
        <f>+BV12/$BV$18</f>
        <v>0.3</v>
      </c>
      <c r="BV12" s="836">
        <v>3</v>
      </c>
      <c r="BW12" s="1448">
        <f>+BX12/$BX$18</f>
        <v>0.30769230769230771</v>
      </c>
      <c r="BX12" s="836">
        <v>4</v>
      </c>
      <c r="BY12" s="1448">
        <f>+BZ12/$BZ$18</f>
        <v>0.375</v>
      </c>
      <c r="BZ12" s="836">
        <v>6</v>
      </c>
      <c r="CA12" s="1448">
        <f>+CB12/$CB$18</f>
        <v>0.203125</v>
      </c>
      <c r="CB12" s="836">
        <v>13</v>
      </c>
      <c r="CC12" s="1448">
        <f>+CD12/$CD$18</f>
        <v>0.36363636363636365</v>
      </c>
      <c r="CD12" s="836">
        <v>4</v>
      </c>
      <c r="CE12" s="1448">
        <f>+CF12/$CF$18</f>
        <v>0.375</v>
      </c>
      <c r="CF12" s="836">
        <v>3</v>
      </c>
      <c r="CG12" s="1814">
        <f>+CH12/$CH$18</f>
        <v>0.45589077412513251</v>
      </c>
      <c r="CH12" s="1815">
        <f>+CJ12+CV12+CX12+AV12+AX12+BB12+BL12</f>
        <v>859.81</v>
      </c>
      <c r="CI12" s="1448">
        <f>+CJ12/$CJ$18</f>
        <v>0.43736170212765957</v>
      </c>
      <c r="CJ12" s="837">
        <f>+BP12+BN12+AZ12</f>
        <v>102.78</v>
      </c>
      <c r="CK12" s="1448">
        <f>+CL12/$CL$18</f>
        <v>0.45348837209302323</v>
      </c>
      <c r="CL12" s="837">
        <v>39</v>
      </c>
      <c r="CM12" s="1448">
        <f>+CN12/$CN$18</f>
        <v>0.25</v>
      </c>
      <c r="CN12" s="837">
        <v>2</v>
      </c>
      <c r="CO12" s="1448">
        <f>+CP12/$CP$18</f>
        <v>0.43617021276595747</v>
      </c>
      <c r="CP12" s="837">
        <v>41</v>
      </c>
      <c r="CQ12" s="1448">
        <f>+CR12/$CR$18</f>
        <v>0.37045454545454548</v>
      </c>
      <c r="CR12" s="837">
        <v>163</v>
      </c>
      <c r="CS12" s="1448">
        <f>+CT12/$CT$18</f>
        <v>0.27049180327868855</v>
      </c>
      <c r="CT12" s="837">
        <f>+CF12+CD12+CB12+BZ12+BX12+BV12</f>
        <v>33</v>
      </c>
      <c r="CU12" s="1448">
        <f>+CV12/$CV$18</f>
        <v>0.3487544483985765</v>
      </c>
      <c r="CV12" s="837">
        <f>+CT12+CR12</f>
        <v>196</v>
      </c>
      <c r="CW12" s="1448">
        <f>+CX12/$CX$18</f>
        <v>0.39324561403508773</v>
      </c>
      <c r="CX12" s="837">
        <f>+BD12+BF12</f>
        <v>44.83</v>
      </c>
      <c r="CY12" s="1448">
        <v>0.44</v>
      </c>
      <c r="CZ12" s="837">
        <f>+CY12*$CZ$18</f>
        <v>116.6</v>
      </c>
      <c r="DA12" s="1448">
        <f>+DB12/$DB$18</f>
        <v>0.56756756756756754</v>
      </c>
      <c r="DB12" s="1112">
        <v>21</v>
      </c>
      <c r="DC12" s="1448">
        <f>+DD12/$DD$18</f>
        <v>0.38235294117647056</v>
      </c>
      <c r="DD12" s="1112">
        <v>13</v>
      </c>
      <c r="DE12" s="2220">
        <v>0.37619047619047619</v>
      </c>
      <c r="DF12" s="2221">
        <v>79</v>
      </c>
      <c r="DG12" s="2220">
        <v>0.32</v>
      </c>
      <c r="DH12" s="2221">
        <v>46</v>
      </c>
      <c r="DI12" s="2220">
        <v>0.69278996865203757</v>
      </c>
      <c r="DJ12" s="2221">
        <v>221</v>
      </c>
      <c r="DK12" s="2220">
        <v>0.42857142857142855</v>
      </c>
      <c r="DL12" s="2221">
        <v>15</v>
      </c>
      <c r="DM12" s="2220">
        <v>0.60360360360360366</v>
      </c>
      <c r="DN12" s="2221">
        <v>402</v>
      </c>
    </row>
    <row r="13" spans="1:118" s="1112" customFormat="1" ht="15" customHeight="1">
      <c r="A13" s="3308" t="s">
        <v>859</v>
      </c>
      <c r="B13" s="1116">
        <v>2015</v>
      </c>
      <c r="C13" s="1131"/>
      <c r="D13" s="1131"/>
      <c r="E13" s="1131"/>
      <c r="F13" s="1131"/>
      <c r="AT13" s="1340" t="s">
        <v>3722</v>
      </c>
      <c r="AU13" s="1448">
        <v>0.45</v>
      </c>
      <c r="AV13" s="1483">
        <v>193</v>
      </c>
      <c r="AW13" s="1448">
        <v>0.32</v>
      </c>
      <c r="AX13" s="1483">
        <f>+AW13*$AW$18</f>
        <v>89.600000000000009</v>
      </c>
      <c r="AY13" s="1448">
        <v>0.49</v>
      </c>
      <c r="AZ13" s="1483">
        <f>+AY13*$AY$18</f>
        <v>36.26</v>
      </c>
      <c r="BA13" s="1174">
        <v>0.56000000000000005</v>
      </c>
      <c r="BB13" s="1483">
        <f>+BA13*$BA$18</f>
        <v>49.84</v>
      </c>
      <c r="BC13" s="1174">
        <v>0.62</v>
      </c>
      <c r="BD13" s="1483">
        <f>+BC13*$BC$18</f>
        <v>52.7</v>
      </c>
      <c r="BE13" s="1174">
        <v>0.45</v>
      </c>
      <c r="BF13" s="1483">
        <f>+BE13*$BE$18</f>
        <v>13.05</v>
      </c>
      <c r="BG13" s="1174">
        <v>0.55000000000000004</v>
      </c>
      <c r="BH13" s="1483">
        <f>+BG13*$BG$18</f>
        <v>61.600000000000009</v>
      </c>
      <c r="BI13" s="1174">
        <v>0.56000000000000005</v>
      </c>
      <c r="BJ13" s="1483">
        <f>+BI13*$BI$18</f>
        <v>24.080000000000002</v>
      </c>
      <c r="BK13" s="1174">
        <f>+BL13/$BL$18</f>
        <v>0.47126436781609193</v>
      </c>
      <c r="BL13" s="836">
        <v>82</v>
      </c>
      <c r="BM13" s="1174">
        <v>0.54</v>
      </c>
      <c r="BN13" s="836">
        <v>66</v>
      </c>
      <c r="BO13" s="1174">
        <v>0.6</v>
      </c>
      <c r="BP13" s="836">
        <v>24</v>
      </c>
      <c r="BQ13" s="1174">
        <f>+BR13/$BR$18</f>
        <v>0.3888888888888889</v>
      </c>
      <c r="BR13" s="836">
        <v>7</v>
      </c>
      <c r="BS13" s="1448">
        <f>+BT13/$BT$18</f>
        <v>0.54166666666666663</v>
      </c>
      <c r="BT13" s="836">
        <v>39</v>
      </c>
      <c r="BU13" s="1448">
        <f>+BV13/$BV$18</f>
        <v>0.5</v>
      </c>
      <c r="BV13" s="836">
        <v>5</v>
      </c>
      <c r="BW13" s="1448">
        <f>+BX13/$BX$18</f>
        <v>0.69230769230769229</v>
      </c>
      <c r="BX13" s="836">
        <v>9</v>
      </c>
      <c r="BY13" s="1448">
        <f>+BZ13/$BZ$18</f>
        <v>0.5625</v>
      </c>
      <c r="BZ13" s="836">
        <v>9</v>
      </c>
      <c r="CA13" s="1448">
        <f>+CB13/$CB$18</f>
        <v>0.75</v>
      </c>
      <c r="CB13" s="836">
        <v>48</v>
      </c>
      <c r="CC13" s="1448">
        <f>+CD13/$CD$18</f>
        <v>0.63636363636363635</v>
      </c>
      <c r="CD13" s="836">
        <v>7</v>
      </c>
      <c r="CE13" s="1448">
        <f>+CF13/$CF$18</f>
        <v>0.5</v>
      </c>
      <c r="CF13" s="836">
        <v>4</v>
      </c>
      <c r="CG13" s="1814">
        <f>+CH13/$CH$18</f>
        <v>0.49811770943796396</v>
      </c>
      <c r="CH13" s="1815">
        <f>+CJ13+CV13+CX13+AV13+AX13+BB13+BL13</f>
        <v>939.45</v>
      </c>
      <c r="CI13" s="1448">
        <f>+CJ13/$CJ$18</f>
        <v>0.53727659574468078</v>
      </c>
      <c r="CJ13" s="837">
        <f>+BP13+BN13+AZ13</f>
        <v>126.25999999999999</v>
      </c>
      <c r="CK13" s="1448">
        <f>+CL13/$CL$18</f>
        <v>0.36046511627906974</v>
      </c>
      <c r="CL13" s="837">
        <v>31</v>
      </c>
      <c r="CM13" s="1448">
        <f>+CN13/$CN$18</f>
        <v>0.625</v>
      </c>
      <c r="CN13" s="837">
        <v>5</v>
      </c>
      <c r="CO13" s="1448">
        <f>+CP13/$CP$18</f>
        <v>0.38297872340425532</v>
      </c>
      <c r="CP13" s="837">
        <v>36</v>
      </c>
      <c r="CQ13" s="1448">
        <f>+CR13/$CR$18</f>
        <v>0.57045454545454544</v>
      </c>
      <c r="CR13" s="837">
        <v>251</v>
      </c>
      <c r="CS13" s="1448">
        <f>+CT13/$CT$18</f>
        <v>0.67213114754098358</v>
      </c>
      <c r="CT13" s="837">
        <f>+CF13+CD13+CB13+BZ13+BX13+BV13</f>
        <v>82</v>
      </c>
      <c r="CU13" s="1448">
        <f>+CV13/$CV$18</f>
        <v>0.59252669039145911</v>
      </c>
      <c r="CV13" s="837">
        <f>+CT13+CR13</f>
        <v>333</v>
      </c>
      <c r="CW13" s="1448">
        <f>+CX13/$CX$18</f>
        <v>0.57675438596491224</v>
      </c>
      <c r="CX13" s="837">
        <f>+BD13+BF13</f>
        <v>65.75</v>
      </c>
      <c r="CY13" s="1448">
        <v>0.55000000000000004</v>
      </c>
      <c r="CZ13" s="837">
        <f>+CY13*$CZ$18</f>
        <v>145.75</v>
      </c>
      <c r="DA13" s="1448">
        <f>+DB13/$DB$18</f>
        <v>0.40540540540540543</v>
      </c>
      <c r="DB13" s="1112">
        <v>15</v>
      </c>
      <c r="DC13" s="1448">
        <f>+DD13/$DD$18</f>
        <v>0.47058823529411764</v>
      </c>
      <c r="DD13" s="1112">
        <v>16</v>
      </c>
      <c r="DE13" s="2220">
        <v>0.580952380952381</v>
      </c>
      <c r="DF13" s="2221">
        <v>122</v>
      </c>
      <c r="DG13" s="2220">
        <v>0.59</v>
      </c>
      <c r="DH13" s="2221">
        <v>86</v>
      </c>
      <c r="DI13" s="2220">
        <v>0.18181818181818182</v>
      </c>
      <c r="DJ13" s="2221">
        <v>58</v>
      </c>
      <c r="DK13" s="2220">
        <v>0.5714285714285714</v>
      </c>
      <c r="DL13" s="2221">
        <v>20</v>
      </c>
      <c r="DM13" s="2220">
        <v>0.34684684684684686</v>
      </c>
      <c r="DN13" s="2221">
        <v>231</v>
      </c>
    </row>
    <row r="14" spans="1:118" s="1112" customFormat="1">
      <c r="A14" s="3309"/>
      <c r="B14" s="820">
        <v>2014</v>
      </c>
      <c r="C14" s="1111">
        <v>0.79</v>
      </c>
      <c r="D14" s="1111">
        <v>0.41</v>
      </c>
      <c r="E14" s="1111">
        <v>0.85</v>
      </c>
      <c r="F14" s="1111">
        <v>0.65</v>
      </c>
      <c r="AT14" s="1340" t="s">
        <v>3723</v>
      </c>
      <c r="AU14" s="1448">
        <v>0</v>
      </c>
      <c r="AV14" s="1483">
        <v>2</v>
      </c>
      <c r="AW14" s="1448">
        <v>0.01</v>
      </c>
      <c r="AX14" s="1483">
        <f>+AW14*$AW$18</f>
        <v>2.8000000000000003</v>
      </c>
      <c r="AY14" s="1448">
        <v>0.01</v>
      </c>
      <c r="AZ14" s="1483">
        <f>+AY14*$AY$18</f>
        <v>0.74</v>
      </c>
      <c r="BA14" s="1174">
        <v>0.02</v>
      </c>
      <c r="BB14" s="1483">
        <f>+BA14*$BA$18</f>
        <v>1.78</v>
      </c>
      <c r="BC14" s="1174">
        <v>0.03</v>
      </c>
      <c r="BD14" s="1483">
        <f>+BC14*$BC$18</f>
        <v>2.5499999999999998</v>
      </c>
      <c r="BE14" s="1174">
        <v>0</v>
      </c>
      <c r="BF14" s="1483">
        <f>+BE14*$BE$18</f>
        <v>0</v>
      </c>
      <c r="BG14" s="1174">
        <v>0</v>
      </c>
      <c r="BH14" s="1483">
        <f>+BG14*$BG$18</f>
        <v>0</v>
      </c>
      <c r="BI14" s="1174">
        <v>0</v>
      </c>
      <c r="BJ14" s="1483">
        <f>+BI14*$BI$18</f>
        <v>0</v>
      </c>
      <c r="BK14" s="1174">
        <f>+BL14/$BL$18</f>
        <v>6.3218390804597707E-2</v>
      </c>
      <c r="BL14" s="836">
        <v>11</v>
      </c>
      <c r="BM14" s="1174">
        <v>0.02</v>
      </c>
      <c r="BN14" s="836">
        <v>2</v>
      </c>
      <c r="BO14" s="1174">
        <v>0</v>
      </c>
      <c r="BP14" s="836">
        <v>0</v>
      </c>
      <c r="BQ14" s="1174">
        <f>+BR14/$BR$18</f>
        <v>0</v>
      </c>
      <c r="BR14" s="836">
        <v>0</v>
      </c>
      <c r="BS14" s="1448">
        <f>+BT14/$BT$18</f>
        <v>5.5555555555555552E-2</v>
      </c>
      <c r="BT14" s="836">
        <v>4</v>
      </c>
      <c r="BU14" s="1448">
        <f>+BV14/$BV$18</f>
        <v>0.2</v>
      </c>
      <c r="BV14" s="836">
        <v>2</v>
      </c>
      <c r="BW14" s="1448">
        <f>+BX14/$BX$18</f>
        <v>0</v>
      </c>
      <c r="BX14" s="836">
        <v>0</v>
      </c>
      <c r="BY14" s="1448">
        <f>+BZ14/$BZ$18</f>
        <v>0</v>
      </c>
      <c r="BZ14" s="836">
        <v>0</v>
      </c>
      <c r="CA14" s="1448">
        <f>+CB14/$CB$18</f>
        <v>4.6875E-2</v>
      </c>
      <c r="CB14" s="836">
        <v>3</v>
      </c>
      <c r="CC14" s="1448">
        <f>+CD14/$CD$18</f>
        <v>0</v>
      </c>
      <c r="CD14" s="836">
        <v>0</v>
      </c>
      <c r="CE14" s="1448">
        <f>+CF14/$CF$18</f>
        <v>0.125</v>
      </c>
      <c r="CF14" s="836">
        <v>1</v>
      </c>
      <c r="CG14" s="1814">
        <f>+CH14/$CH$18</f>
        <v>2.1670201484623543E-2</v>
      </c>
      <c r="CH14" s="1815">
        <f>+CJ14+CV14+CX14+AV14+AX14+BB14+BL14</f>
        <v>40.870000000000005</v>
      </c>
      <c r="CI14" s="1448">
        <f>+CJ14/$CJ$18</f>
        <v>1.1659574468085108E-2</v>
      </c>
      <c r="CJ14" s="837">
        <f>+BP14+BN14+AZ14</f>
        <v>2.74</v>
      </c>
      <c r="CK14" s="1448">
        <f>+CL14/$CL$18</f>
        <v>1.1627906976744186E-2</v>
      </c>
      <c r="CL14" s="837">
        <v>1</v>
      </c>
      <c r="CM14" s="1448">
        <f>+CN14/$CN$18</f>
        <v>0.125</v>
      </c>
      <c r="CN14" s="837">
        <v>1</v>
      </c>
      <c r="CO14" s="1448">
        <f>+CP14/$CP$18</f>
        <v>2.1276595744680851E-2</v>
      </c>
      <c r="CP14" s="837">
        <v>2</v>
      </c>
      <c r="CQ14" s="1448">
        <f>+CR14/$CR$18</f>
        <v>2.7272727272727271E-2</v>
      </c>
      <c r="CR14" s="837">
        <v>12</v>
      </c>
      <c r="CS14" s="1448">
        <f>+CT14/$CT$18</f>
        <v>4.9180327868852458E-2</v>
      </c>
      <c r="CT14" s="837">
        <f>+CF14+CD14+CB14+BZ14+BX14+BV14</f>
        <v>6</v>
      </c>
      <c r="CU14" s="1448">
        <f>+CV14/$CV$18</f>
        <v>3.2028469750889681E-2</v>
      </c>
      <c r="CV14" s="837">
        <f>+CT14+CR14</f>
        <v>18</v>
      </c>
      <c r="CW14" s="1448">
        <f>+CX14/$CX$18</f>
        <v>2.2368421052631579E-2</v>
      </c>
      <c r="CX14" s="837">
        <f>+BD14+BF14</f>
        <v>2.5499999999999998</v>
      </c>
      <c r="CY14" s="1448">
        <v>0</v>
      </c>
      <c r="CZ14" s="837">
        <f>+CY14*$CZ$18</f>
        <v>0</v>
      </c>
      <c r="DA14" s="1448">
        <f>+DB14/$DB$18</f>
        <v>0</v>
      </c>
      <c r="DB14" s="1112">
        <v>0</v>
      </c>
      <c r="DC14" s="1448">
        <f>+DD14/$DD$18</f>
        <v>8.8235294117647065E-2</v>
      </c>
      <c r="DD14" s="1112">
        <v>3</v>
      </c>
      <c r="DE14" s="2220">
        <v>3.8095238095238099E-2</v>
      </c>
      <c r="DF14" s="2221">
        <v>8</v>
      </c>
      <c r="DG14" s="2220">
        <v>0.05</v>
      </c>
      <c r="DH14" s="2221">
        <v>7</v>
      </c>
      <c r="DI14" s="2220">
        <v>0</v>
      </c>
      <c r="DJ14" s="2221">
        <v>0</v>
      </c>
      <c r="DK14" s="2220">
        <v>0</v>
      </c>
      <c r="DL14" s="2221">
        <v>0</v>
      </c>
      <c r="DM14" s="2220">
        <v>1.5015015015015015E-3</v>
      </c>
      <c r="DN14" s="2221">
        <v>1</v>
      </c>
    </row>
    <row r="15" spans="1:118" s="1112" customFormat="1">
      <c r="A15" s="1173"/>
      <c r="B15" s="535"/>
      <c r="C15" s="1174"/>
      <c r="D15" s="1174"/>
      <c r="E15" s="1174"/>
      <c r="F15" s="1174"/>
      <c r="AT15" s="1340"/>
      <c r="AU15" s="836"/>
      <c r="AV15" s="836"/>
      <c r="AW15" s="836"/>
      <c r="AX15" s="836"/>
      <c r="AY15" s="836"/>
      <c r="AZ15" s="836"/>
      <c r="BA15" s="836"/>
      <c r="BB15" s="836"/>
      <c r="BC15" s="836"/>
      <c r="BD15" s="836"/>
      <c r="BE15" s="836"/>
      <c r="BF15" s="836"/>
      <c r="BG15" s="836"/>
      <c r="BH15" s="836"/>
      <c r="BI15" s="836"/>
      <c r="BJ15" s="836"/>
      <c r="BK15" s="836"/>
      <c r="BL15" s="836"/>
      <c r="BM15" s="836"/>
      <c r="BN15" s="836"/>
      <c r="BO15" s="836"/>
      <c r="BP15" s="836"/>
      <c r="BQ15" s="836"/>
      <c r="BR15" s="836"/>
      <c r="BS15" s="836"/>
      <c r="BT15" s="836"/>
      <c r="BU15" s="836"/>
      <c r="BV15" s="836"/>
      <c r="BW15" s="836"/>
      <c r="BX15" s="836"/>
      <c r="BY15" s="836"/>
      <c r="BZ15" s="836"/>
      <c r="CA15" s="1448"/>
      <c r="CB15" s="836"/>
      <c r="CC15" s="836"/>
      <c r="CD15" s="836"/>
      <c r="CE15" s="836"/>
      <c r="CF15" s="836"/>
      <c r="CG15" s="1813"/>
      <c r="CH15" s="1813"/>
      <c r="CJ15" s="836"/>
      <c r="CL15" s="836"/>
      <c r="CN15" s="836"/>
      <c r="CP15" s="836"/>
      <c r="CR15" s="836"/>
      <c r="CT15" s="836"/>
      <c r="CU15" s="1448"/>
      <c r="CV15" s="836"/>
      <c r="CX15" s="836"/>
      <c r="DE15" s="2218"/>
      <c r="DF15" s="2221"/>
      <c r="DG15" s="2222"/>
      <c r="DH15" s="2221"/>
      <c r="DI15" s="2222"/>
      <c r="DJ15" s="2221"/>
      <c r="DK15" s="2222"/>
      <c r="DL15" s="2221"/>
      <c r="DM15" s="2222"/>
      <c r="DN15" s="2221"/>
    </row>
    <row r="16" spans="1:118">
      <c r="AT16" s="1340" t="s">
        <v>3724</v>
      </c>
      <c r="AU16" s="8">
        <v>432</v>
      </c>
      <c r="AV16" s="8"/>
      <c r="AW16" s="1449">
        <v>283</v>
      </c>
      <c r="AX16" s="1449"/>
      <c r="AY16" s="1449">
        <v>75</v>
      </c>
      <c r="AZ16" s="1449"/>
      <c r="BA16" s="8">
        <v>90</v>
      </c>
      <c r="BB16" s="8"/>
      <c r="BC16" s="8">
        <v>85</v>
      </c>
      <c r="BD16" s="8"/>
      <c r="BE16" s="8">
        <v>31</v>
      </c>
      <c r="BF16" s="8"/>
      <c r="BG16" s="8">
        <v>114</v>
      </c>
      <c r="BH16" s="8"/>
      <c r="BI16" s="8">
        <v>45</v>
      </c>
      <c r="BJ16" s="8"/>
      <c r="BK16" s="8">
        <v>203</v>
      </c>
      <c r="BL16" s="8"/>
      <c r="BN16" s="8"/>
      <c r="BP16" s="8"/>
      <c r="BQ16" s="8"/>
      <c r="BR16" s="8"/>
      <c r="BS16" s="8"/>
      <c r="BT16" s="8"/>
      <c r="BU16" s="1448"/>
      <c r="BV16" s="8"/>
      <c r="BW16" s="8"/>
      <c r="BX16" s="8"/>
      <c r="BY16" s="8"/>
      <c r="BZ16" s="8"/>
      <c r="CA16" s="1169"/>
      <c r="CB16" s="8"/>
      <c r="CC16" s="8"/>
      <c r="CD16" s="8"/>
      <c r="CE16" s="8"/>
      <c r="CF16" s="8"/>
      <c r="CG16" s="1567"/>
      <c r="CH16" s="1567"/>
      <c r="CJ16" s="8"/>
      <c r="CL16" s="8"/>
      <c r="CN16" s="8"/>
      <c r="CP16" s="8"/>
      <c r="CR16" s="8"/>
      <c r="CT16" s="8"/>
      <c r="CV16" s="8"/>
      <c r="CX16" s="8"/>
      <c r="DE16" s="2226"/>
      <c r="DF16" s="2217"/>
      <c r="DG16" s="2223"/>
      <c r="DH16" s="2217"/>
      <c r="DI16" s="2223"/>
      <c r="DJ16" s="2217"/>
      <c r="DK16" s="2223"/>
      <c r="DL16" s="2217"/>
      <c r="DM16" s="2223"/>
      <c r="DN16" s="2217"/>
    </row>
    <row r="17" spans="1:118">
      <c r="A17" s="3310" t="s">
        <v>922</v>
      </c>
      <c r="B17" s="1116">
        <v>2015</v>
      </c>
      <c r="C17" s="1118">
        <v>0.68</v>
      </c>
      <c r="D17" s="1118">
        <v>0.85</v>
      </c>
      <c r="E17" s="1118">
        <v>0.85</v>
      </c>
      <c r="F17" s="1118">
        <v>0.78</v>
      </c>
      <c r="AT17" s="1340" t="s">
        <v>3725</v>
      </c>
      <c r="AU17" s="1449">
        <v>0</v>
      </c>
      <c r="AV17" s="1449"/>
      <c r="AW17" s="1449">
        <v>3</v>
      </c>
      <c r="AX17" s="1449"/>
      <c r="AY17" s="1449">
        <v>1</v>
      </c>
      <c r="AZ17" s="1449"/>
      <c r="BA17" s="8">
        <v>1</v>
      </c>
      <c r="BB17" s="8"/>
      <c r="BC17" s="8">
        <v>0</v>
      </c>
      <c r="BD17" s="8"/>
      <c r="BE17" s="8">
        <v>2</v>
      </c>
      <c r="BF17" s="8"/>
      <c r="BG17" s="8">
        <v>2</v>
      </c>
      <c r="BH17" s="8"/>
      <c r="BI17" s="8">
        <v>2</v>
      </c>
      <c r="BJ17" s="8"/>
      <c r="BK17" s="8">
        <v>4</v>
      </c>
      <c r="BL17" s="8"/>
      <c r="BN17" s="8"/>
      <c r="BP17" s="8"/>
      <c r="BQ17" s="8"/>
      <c r="BR17" s="8"/>
      <c r="BS17" s="8"/>
      <c r="BT17" s="8"/>
      <c r="BU17" s="8"/>
      <c r="BV17" s="8"/>
      <c r="BW17" s="8"/>
      <c r="BX17" s="8"/>
      <c r="BY17" s="8"/>
      <c r="BZ17" s="8"/>
      <c r="CA17" s="1169"/>
      <c r="CB17" s="8"/>
      <c r="CC17" s="8"/>
      <c r="CD17" s="8"/>
      <c r="CE17" s="8"/>
      <c r="CF17" s="8"/>
      <c r="CG17" s="1567"/>
      <c r="CH17" s="1567"/>
      <c r="CJ17" s="8"/>
      <c r="CL17" s="8"/>
      <c r="CN17" s="8"/>
      <c r="CP17" s="8"/>
      <c r="CR17" s="8"/>
      <c r="CT17" s="8"/>
      <c r="CV17" s="8"/>
      <c r="CX17" s="8"/>
      <c r="DE17" s="2226"/>
      <c r="DF17" s="2217"/>
      <c r="DG17" s="2223"/>
      <c r="DH17" s="2217"/>
      <c r="DI17" s="2223"/>
      <c r="DJ17" s="2217"/>
      <c r="DK17" s="2223"/>
      <c r="DL17" s="2217"/>
      <c r="DM17" s="2223"/>
      <c r="DN17" s="2217"/>
    </row>
    <row r="18" spans="1:118">
      <c r="A18" s="3310"/>
      <c r="B18" s="820">
        <v>2014</v>
      </c>
      <c r="C18" s="202">
        <v>0.54</v>
      </c>
      <c r="D18" s="202">
        <v>0.85</v>
      </c>
      <c r="E18" s="202">
        <v>0.79</v>
      </c>
      <c r="F18" s="202">
        <v>0.7</v>
      </c>
      <c r="AT18" s="1340" t="s">
        <v>4034</v>
      </c>
      <c r="AU18" s="8">
        <v>432</v>
      </c>
      <c r="AV18" s="63">
        <f>SUM(AV11:AV14)</f>
        <v>432</v>
      </c>
      <c r="AW18" s="1449">
        <v>280</v>
      </c>
      <c r="AX18" s="63">
        <f>SUM(AX11:AX14)</f>
        <v>280</v>
      </c>
      <c r="AY18" s="1449">
        <v>74</v>
      </c>
      <c r="AZ18" s="63">
        <f>SUM(AZ11:AZ14)</f>
        <v>73.999999999999986</v>
      </c>
      <c r="BA18" s="8">
        <v>89</v>
      </c>
      <c r="BB18" s="63">
        <f>SUM(BB11:BB14)</f>
        <v>89</v>
      </c>
      <c r="BC18" s="8">
        <v>85</v>
      </c>
      <c r="BD18" s="63">
        <f>SUM(BD11:BD14)</f>
        <v>85</v>
      </c>
      <c r="BE18" s="8">
        <v>29</v>
      </c>
      <c r="BF18" s="63">
        <f>SUM(BF11:BF14)</f>
        <v>29</v>
      </c>
      <c r="BG18" s="8">
        <v>112</v>
      </c>
      <c r="BH18" s="63">
        <f>SUM(BH11:BH14)</f>
        <v>112</v>
      </c>
      <c r="BI18" s="8">
        <v>43</v>
      </c>
      <c r="BJ18" s="63">
        <f>SUM(BJ11:BJ14)</f>
        <v>43</v>
      </c>
      <c r="BK18" s="8">
        <v>199</v>
      </c>
      <c r="BL18" s="63">
        <f>SUM(BL11:BL14)</f>
        <v>174</v>
      </c>
      <c r="BN18" s="63">
        <f>SUM(BN11:BN14)</f>
        <v>121</v>
      </c>
      <c r="BP18" s="63">
        <f>SUM(BP11:BP14)</f>
        <v>40</v>
      </c>
      <c r="BQ18" s="8"/>
      <c r="BR18" s="63">
        <f>SUM(BR11:BR14)</f>
        <v>18</v>
      </c>
      <c r="BS18" s="8"/>
      <c r="BT18" s="63">
        <f>SUM(BT11:BT14)</f>
        <v>72</v>
      </c>
      <c r="BU18" s="8"/>
      <c r="BV18" s="63">
        <f>SUM(BV11:BV14)</f>
        <v>10</v>
      </c>
      <c r="BW18" s="8"/>
      <c r="BX18" s="63">
        <f>SUM(BX11:BX14)</f>
        <v>13</v>
      </c>
      <c r="BY18" s="8"/>
      <c r="BZ18" s="63">
        <f>SUM(BZ11:BZ14)</f>
        <v>16</v>
      </c>
      <c r="CA18" s="63"/>
      <c r="CB18" s="63">
        <f>SUM(CB11:CB14)</f>
        <v>64</v>
      </c>
      <c r="CC18" s="8"/>
      <c r="CD18" s="63">
        <f>SUM(CD11:CD14)</f>
        <v>11</v>
      </c>
      <c r="CE18" s="63"/>
      <c r="CF18" s="63">
        <f>SUM(CF11:CF14)</f>
        <v>8</v>
      </c>
      <c r="CG18" s="1814">
        <f>+CH18/$CH$18</f>
        <v>1</v>
      </c>
      <c r="CH18" s="1815">
        <f>+CJ18+CV18+CX18+AV18+AX18+BB18+BL18</f>
        <v>1886</v>
      </c>
      <c r="CI18" s="1448">
        <f>+CJ18/$CH$18</f>
        <v>0.12460233297985154</v>
      </c>
      <c r="CJ18" s="63">
        <f>SUM(CJ11:CJ14)</f>
        <v>235</v>
      </c>
      <c r="CK18" s="1448">
        <f>+CL18/$CL$18</f>
        <v>1</v>
      </c>
      <c r="CL18" s="63">
        <f>SUM(CL11:CL14)</f>
        <v>86</v>
      </c>
      <c r="CM18" s="1448">
        <f>+CN18/$CN$18</f>
        <v>1</v>
      </c>
      <c r="CN18" s="63">
        <f>SUM(CN11:CN14)</f>
        <v>8</v>
      </c>
      <c r="CO18" s="1448">
        <f>+CP18/$CP$18</f>
        <v>1</v>
      </c>
      <c r="CP18" s="63">
        <f>SUM(CP11:CP14)</f>
        <v>94</v>
      </c>
      <c r="CQ18" s="1448"/>
      <c r="CR18" s="63">
        <f>SUM(CR11:CR14)</f>
        <v>440</v>
      </c>
      <c r="CS18" s="1448"/>
      <c r="CT18" s="63">
        <f>SUM(CT11:CT14)</f>
        <v>122</v>
      </c>
      <c r="CU18" s="1448"/>
      <c r="CV18" s="63">
        <f>SUM(CV11:CV14)</f>
        <v>562</v>
      </c>
      <c r="CW18" s="1448"/>
      <c r="CX18" s="837">
        <f>+BD18+BF18</f>
        <v>114</v>
      </c>
      <c r="CZ18" s="8">
        <v>265</v>
      </c>
      <c r="DB18">
        <f>SUM(DB11:DB17)</f>
        <v>37</v>
      </c>
      <c r="DD18">
        <f>SUM(DD11:DD17)</f>
        <v>34</v>
      </c>
      <c r="DE18" s="2227"/>
      <c r="DF18" s="2225">
        <v>210</v>
      </c>
      <c r="DG18" s="2224"/>
      <c r="DH18" s="2225">
        <v>145</v>
      </c>
      <c r="DI18" s="2224"/>
      <c r="DJ18" s="2225">
        <v>319</v>
      </c>
      <c r="DK18" s="2224"/>
      <c r="DL18" s="2225">
        <v>35</v>
      </c>
      <c r="DM18" s="2224"/>
      <c r="DN18" s="2225">
        <v>666</v>
      </c>
    </row>
    <row r="20" spans="1:118">
      <c r="N20" t="s">
        <v>1576</v>
      </c>
    </row>
    <row r="38" spans="21:44">
      <c r="U38" s="242"/>
      <c r="X38" s="645" t="s">
        <v>542</v>
      </c>
      <c r="Y38" s="645" t="s">
        <v>972</v>
      </c>
      <c r="Z38" s="645" t="s">
        <v>91</v>
      </c>
      <c r="AA38" s="645" t="s">
        <v>74</v>
      </c>
      <c r="AB38" s="645" t="s">
        <v>689</v>
      </c>
      <c r="AC38" s="645" t="s">
        <v>1006</v>
      </c>
      <c r="AD38" s="645" t="s">
        <v>5151</v>
      </c>
      <c r="AE38" s="645" t="s">
        <v>79</v>
      </c>
      <c r="AF38" s="645" t="s">
        <v>5441</v>
      </c>
      <c r="AG38" s="645" t="s">
        <v>5440</v>
      </c>
      <c r="AH38" s="645" t="s">
        <v>5590</v>
      </c>
      <c r="AI38" s="645" t="s">
        <v>4342</v>
      </c>
      <c r="AJ38" s="645" t="s">
        <v>1053</v>
      </c>
      <c r="AK38" s="645" t="s">
        <v>951</v>
      </c>
      <c r="AL38" s="645" t="s">
        <v>789</v>
      </c>
      <c r="AM38" s="645" t="s">
        <v>55</v>
      </c>
      <c r="AN38" s="675" t="s">
        <v>2906</v>
      </c>
      <c r="AO38" s="675" t="s">
        <v>2943</v>
      </c>
      <c r="AP38" s="675" t="s">
        <v>5024</v>
      </c>
      <c r="AQ38" s="645"/>
      <c r="AR38" s="645"/>
    </row>
    <row r="39" spans="21:44" ht="26.4">
      <c r="U39" s="243" t="s">
        <v>3705</v>
      </c>
      <c r="X39" s="1169">
        <v>0.54</v>
      </c>
      <c r="Y39" s="1169">
        <v>0.49</v>
      </c>
      <c r="Z39" s="1169">
        <v>0.65</v>
      </c>
      <c r="AA39" s="1169">
        <v>0.68</v>
      </c>
      <c r="AB39" s="1169">
        <v>0.72</v>
      </c>
      <c r="AC39" s="1169">
        <v>0.67</v>
      </c>
      <c r="AD39" s="1169">
        <v>0.56999999999999995</v>
      </c>
      <c r="AE39" s="1169">
        <f t="shared" ref="AE39:AE45" ca="1" si="0">AVERAGE(X39:AE39)</f>
        <v>0.61714285714285722</v>
      </c>
      <c r="AF39" s="1169">
        <v>0.54252777777777772</v>
      </c>
      <c r="AG39" s="1169">
        <v>0.6411904761904762</v>
      </c>
      <c r="AH39" s="1169">
        <v>0.82055555555555548</v>
      </c>
      <c r="AK39" s="1169">
        <v>0.66</v>
      </c>
      <c r="AL39" s="1169">
        <v>0.59166666666666667</v>
      </c>
      <c r="AM39" s="1169">
        <v>0.63</v>
      </c>
      <c r="AN39" s="1169"/>
      <c r="AO39" s="1169"/>
    </row>
    <row r="40" spans="21:44">
      <c r="U40" s="243" t="s">
        <v>3706</v>
      </c>
      <c r="X40" s="1169">
        <v>0.83</v>
      </c>
      <c r="Y40" s="1169">
        <v>0.79</v>
      </c>
      <c r="Z40" s="1169">
        <v>0.76</v>
      </c>
      <c r="AA40" s="1169">
        <v>0.78</v>
      </c>
      <c r="AB40" s="1169">
        <v>0.77</v>
      </c>
      <c r="AC40" s="1169">
        <v>0.84</v>
      </c>
      <c r="AD40" s="1169">
        <v>0.65</v>
      </c>
      <c r="AE40" s="1169">
        <f t="shared" ca="1" si="0"/>
        <v>0.77428571428571435</v>
      </c>
      <c r="AF40" s="1169">
        <v>0.64729545454545456</v>
      </c>
      <c r="AG40" s="1169">
        <v>0.66886250000000003</v>
      </c>
      <c r="AH40" s="1169">
        <v>0.66849999999999998</v>
      </c>
      <c r="AK40" s="1169">
        <v>0.69</v>
      </c>
      <c r="AL40" s="1169">
        <v>0.65662500000000001</v>
      </c>
      <c r="AM40" s="1169">
        <v>0.67</v>
      </c>
      <c r="AN40" s="1169"/>
      <c r="AP40" s="1169"/>
    </row>
    <row r="41" spans="21:44">
      <c r="U41" s="243" t="s">
        <v>3707</v>
      </c>
      <c r="X41" s="1169">
        <v>0.54</v>
      </c>
      <c r="Y41" s="1169">
        <v>0.61</v>
      </c>
      <c r="Z41" s="1169">
        <v>0.65</v>
      </c>
      <c r="AA41" s="1169">
        <v>0.61</v>
      </c>
      <c r="AB41" s="1169">
        <v>0.61</v>
      </c>
      <c r="AC41" s="1169">
        <v>0.59</v>
      </c>
      <c r="AD41" s="1169">
        <v>0.51</v>
      </c>
      <c r="AE41" s="1169">
        <f t="shared" ca="1" si="0"/>
        <v>0.58857142857142841</v>
      </c>
      <c r="AF41" s="1169">
        <v>0.57375000000000009</v>
      </c>
      <c r="AG41" s="1169">
        <v>0.52312499999999995</v>
      </c>
      <c r="AH41" s="1169">
        <v>0.49843750000000009</v>
      </c>
      <c r="AK41" s="1169">
        <v>0.55000000000000004</v>
      </c>
      <c r="AL41" s="1169">
        <v>0.53214285714285703</v>
      </c>
      <c r="AM41" s="9">
        <v>0.54</v>
      </c>
      <c r="AN41" s="1169"/>
      <c r="AP41" s="1169"/>
    </row>
    <row r="42" spans="21:44">
      <c r="U42" s="243" t="s">
        <v>3708</v>
      </c>
      <c r="X42" s="1169">
        <v>0.86</v>
      </c>
      <c r="Y42" s="1169">
        <v>0.93</v>
      </c>
      <c r="Z42" s="1169">
        <v>0.87</v>
      </c>
      <c r="AA42" s="1169">
        <v>0.88</v>
      </c>
      <c r="AB42" s="1169">
        <v>0.94</v>
      </c>
      <c r="AC42" s="1169">
        <v>0.93</v>
      </c>
      <c r="AD42" s="1169">
        <v>0.91</v>
      </c>
      <c r="AE42" s="1169">
        <f t="shared" ca="1" si="0"/>
        <v>0.90285714285714291</v>
      </c>
      <c r="AF42" s="1169">
        <v>0.80029720279720284</v>
      </c>
      <c r="AG42" s="1169">
        <v>0.84512674825174838</v>
      </c>
      <c r="AH42" s="1169">
        <v>0.7157342657342658</v>
      </c>
      <c r="AK42" s="1169">
        <v>0.82</v>
      </c>
      <c r="AL42" s="1169">
        <v>0.81070804195804214</v>
      </c>
      <c r="AM42" s="9">
        <v>0.82</v>
      </c>
      <c r="AN42" s="1169"/>
      <c r="AP42" s="1169"/>
    </row>
    <row r="43" spans="21:44" ht="26.4">
      <c r="U43" s="243" t="s">
        <v>3710</v>
      </c>
      <c r="X43" s="1169">
        <v>0.68</v>
      </c>
      <c r="Y43" s="1169">
        <v>0.8</v>
      </c>
      <c r="Z43" s="1169">
        <v>0.72</v>
      </c>
      <c r="AA43" s="1169">
        <v>0.67</v>
      </c>
      <c r="AB43" s="1169">
        <v>0.83</v>
      </c>
      <c r="AC43" s="1169">
        <v>0.7</v>
      </c>
      <c r="AD43" s="1169">
        <v>0.65</v>
      </c>
      <c r="AE43" s="1169">
        <f t="shared" ca="1" si="0"/>
        <v>0.72142857142857153</v>
      </c>
      <c r="AF43" s="1169">
        <v>0.69500000000000006</v>
      </c>
      <c r="AG43" s="1169">
        <v>0.68607954545454541</v>
      </c>
      <c r="AH43" s="1169">
        <v>0.69595643939393936</v>
      </c>
      <c r="AK43" s="1169">
        <v>0.7</v>
      </c>
      <c r="AL43" s="1169">
        <v>0.68541666666666679</v>
      </c>
      <c r="AM43" s="9">
        <v>0.69</v>
      </c>
      <c r="AN43" s="1169"/>
      <c r="AP43" s="1169"/>
    </row>
    <row r="44" spans="21:44" ht="26.4">
      <c r="U44" s="243" t="s">
        <v>3709</v>
      </c>
      <c r="X44" s="1169">
        <v>0.66</v>
      </c>
      <c r="Y44" s="1169">
        <v>0.71</v>
      </c>
      <c r="Z44" s="1169">
        <v>0.7</v>
      </c>
      <c r="AA44" s="1169">
        <v>0.68</v>
      </c>
      <c r="AB44" s="1169">
        <v>0.78</v>
      </c>
      <c r="AC44" s="1169">
        <v>0.7</v>
      </c>
      <c r="AD44" s="1169">
        <v>0.59</v>
      </c>
      <c r="AE44" s="1169">
        <f t="shared" ca="1" si="0"/>
        <v>0.68857142857142861</v>
      </c>
      <c r="AF44" s="1169">
        <v>0.5776216666666667</v>
      </c>
      <c r="AG44" s="1169">
        <v>0.7892300000000001</v>
      </c>
      <c r="AH44" s="1169">
        <v>0.68732045454545454</v>
      </c>
      <c r="AK44" s="1169">
        <v>0.69</v>
      </c>
      <c r="AL44" s="1169">
        <v>0.5979483333333333</v>
      </c>
      <c r="AM44" s="9">
        <v>0.64</v>
      </c>
      <c r="AN44" s="1169"/>
      <c r="AP44" s="1169"/>
    </row>
    <row r="45" spans="21:44">
      <c r="U45" s="243" t="s">
        <v>3711</v>
      </c>
      <c r="X45" s="1169">
        <v>0.65</v>
      </c>
      <c r="Y45" s="1169">
        <v>0.68</v>
      </c>
      <c r="Z45" s="1169">
        <v>0.7</v>
      </c>
      <c r="AA45" s="1169">
        <v>0.69</v>
      </c>
      <c r="AB45" s="1169">
        <v>0.76</v>
      </c>
      <c r="AC45" s="1169">
        <v>0.7</v>
      </c>
      <c r="AD45" s="1169">
        <v>0.6</v>
      </c>
      <c r="AE45" s="1169">
        <f t="shared" ca="1" si="0"/>
        <v>0.68285714285714294</v>
      </c>
      <c r="AF45" s="1169">
        <v>0.60573004448329448</v>
      </c>
      <c r="AG45" s="1169">
        <v>0.69499186446886441</v>
      </c>
      <c r="AH45" s="1169">
        <v>0.68646907439782434</v>
      </c>
      <c r="AK45" s="1169">
        <v>0.67</v>
      </c>
      <c r="AL45" s="1169">
        <v>0.61644708066933074</v>
      </c>
      <c r="AM45" s="9">
        <v>0.64</v>
      </c>
      <c r="AN45" s="1169"/>
      <c r="AP45" s="1169"/>
    </row>
    <row r="46" spans="21:44">
      <c r="X46" s="1169"/>
      <c r="Y46" s="1169"/>
      <c r="Z46" s="1169"/>
      <c r="AA46" s="1169"/>
      <c r="AB46" s="1169"/>
      <c r="AC46" s="1169"/>
      <c r="AD46" s="1169"/>
      <c r="AE46" s="1169"/>
      <c r="AF46" s="1169"/>
      <c r="AL46" s="1169"/>
      <c r="AQ46" s="1169"/>
      <c r="AR46" s="1169"/>
    </row>
    <row r="47" spans="21:44">
      <c r="U47" s="1112"/>
      <c r="X47" s="8"/>
      <c r="Y47" s="8"/>
      <c r="Z47" s="8"/>
      <c r="AA47" s="8"/>
      <c r="AB47" s="8"/>
      <c r="AC47" s="8"/>
      <c r="AD47" s="8"/>
    </row>
    <row r="48" spans="21:44">
      <c r="X48" s="8"/>
      <c r="Y48" s="8"/>
      <c r="Z48" s="8"/>
      <c r="AA48" s="8"/>
      <c r="AB48" s="8"/>
      <c r="AC48" s="8"/>
      <c r="AD48" s="8"/>
    </row>
    <row r="49" spans="24:30">
      <c r="X49" s="8"/>
      <c r="Y49" s="8"/>
      <c r="Z49" s="8"/>
      <c r="AA49" s="8"/>
      <c r="AB49" s="8"/>
      <c r="AC49" s="8"/>
      <c r="AD49" s="8"/>
    </row>
    <row r="124" spans="53:58">
      <c r="BB124" s="242" t="s">
        <v>5157</v>
      </c>
      <c r="BC124" s="242" t="s">
        <v>5153</v>
      </c>
      <c r="BD124" s="242" t="s">
        <v>5154</v>
      </c>
      <c r="BE124" s="242" t="s">
        <v>5155</v>
      </c>
      <c r="BF124" s="242" t="s">
        <v>5156</v>
      </c>
    </row>
    <row r="125" spans="53:58">
      <c r="BA125" s="242" t="s">
        <v>91</v>
      </c>
      <c r="BB125" s="63">
        <f>+AV18</f>
        <v>432</v>
      </c>
      <c r="BC125" s="1169">
        <v>0.01</v>
      </c>
      <c r="BD125" s="1169">
        <v>0.54</v>
      </c>
      <c r="BE125" s="1169">
        <v>0.45</v>
      </c>
      <c r="BF125" s="1169">
        <v>0</v>
      </c>
    </row>
    <row r="126" spans="53:58">
      <c r="BA126" s="242" t="s">
        <v>429</v>
      </c>
      <c r="BB126" s="63">
        <f>+AX18</f>
        <v>280</v>
      </c>
      <c r="BC126" s="1169">
        <v>0.05</v>
      </c>
      <c r="BD126" s="1169">
        <v>0.62</v>
      </c>
      <c r="BE126" s="1169">
        <v>0.32</v>
      </c>
      <c r="BF126" s="1169">
        <v>0.01</v>
      </c>
    </row>
    <row r="127" spans="53:58">
      <c r="BA127" s="242" t="s">
        <v>972</v>
      </c>
      <c r="BB127" s="1668">
        <f>+BB18</f>
        <v>89</v>
      </c>
      <c r="BC127" s="1169">
        <v>0.02</v>
      </c>
      <c r="BD127" s="1169">
        <v>0.4</v>
      </c>
      <c r="BE127" s="1169">
        <v>0.56000000000000005</v>
      </c>
      <c r="BF127" s="1169">
        <v>0.02</v>
      </c>
    </row>
    <row r="128" spans="53:58">
      <c r="BA128" s="242" t="s">
        <v>5152</v>
      </c>
      <c r="BB128" s="63">
        <f>+CJ18</f>
        <v>235</v>
      </c>
      <c r="BC128" s="1169">
        <v>1.3702127659574468E-2</v>
      </c>
      <c r="BD128" s="1169">
        <v>0.43736170212765957</v>
      </c>
      <c r="BE128" s="1169">
        <v>0.53727659574468078</v>
      </c>
      <c r="BF128" s="1169">
        <v>1.1659574468085108E-2</v>
      </c>
    </row>
    <row r="129" spans="53:58">
      <c r="BA129" s="242" t="s">
        <v>5151</v>
      </c>
      <c r="BB129" s="63">
        <f>+CX18</f>
        <v>114</v>
      </c>
      <c r="BC129" s="1169">
        <v>7.6315789473684207E-3</v>
      </c>
      <c r="BD129" s="1169">
        <v>0.39324561403508773</v>
      </c>
      <c r="BE129" s="1169">
        <v>0.57675438596491224</v>
      </c>
      <c r="BF129" s="1169">
        <v>2.2368421052631579E-2</v>
      </c>
    </row>
    <row r="130" spans="53:58">
      <c r="BA130" s="242" t="s">
        <v>1006</v>
      </c>
      <c r="BB130" s="63">
        <f>+BL18</f>
        <v>174</v>
      </c>
      <c r="BC130" s="1169">
        <v>4.5977011494252873E-2</v>
      </c>
      <c r="BD130" s="1169">
        <v>0.41954022988505746</v>
      </c>
      <c r="BE130" s="1169">
        <v>0.47126436781609193</v>
      </c>
      <c r="BF130" s="1169">
        <v>6.3218390804597707E-2</v>
      </c>
    </row>
    <row r="131" spans="53:58">
      <c r="BA131" s="242" t="s">
        <v>689</v>
      </c>
      <c r="BB131" s="63">
        <f>+CV18</f>
        <v>562</v>
      </c>
      <c r="BC131" s="1169">
        <v>2.6690391459074734E-2</v>
      </c>
      <c r="BD131" s="1169">
        <v>0.3487544483985765</v>
      </c>
      <c r="BE131" s="1169">
        <v>0.59252669039145911</v>
      </c>
      <c r="BF131" s="1169">
        <v>3.2028469750889681E-2</v>
      </c>
    </row>
    <row r="132" spans="53:58">
      <c r="BA132" s="242" t="s">
        <v>79</v>
      </c>
      <c r="BB132" s="63">
        <f>SUM(BB125:BB131)</f>
        <v>1886</v>
      </c>
      <c r="BC132" s="1169">
        <v>2.432131495227996E-2</v>
      </c>
      <c r="BD132" s="1169">
        <v>0.45589077412513251</v>
      </c>
      <c r="BE132" s="1169">
        <v>0.49811770943796396</v>
      </c>
      <c r="BF132" s="1169">
        <v>2.1670201484623543E-2</v>
      </c>
    </row>
  </sheetData>
  <mergeCells count="44">
    <mergeCell ref="DI2:DJ2"/>
    <mergeCell ref="DK2:DL2"/>
    <mergeCell ref="DM2:DN2"/>
    <mergeCell ref="DG2:DH2"/>
    <mergeCell ref="DE2:DF2"/>
    <mergeCell ref="BM2:BN2"/>
    <mergeCell ref="BO2:BP2"/>
    <mergeCell ref="CG2:CH2"/>
    <mergeCell ref="BE2:BF2"/>
    <mergeCell ref="BG2:BH2"/>
    <mergeCell ref="BI2:BJ2"/>
    <mergeCell ref="BK2:BL2"/>
    <mergeCell ref="BQ2:BR2"/>
    <mergeCell ref="BS2:BT2"/>
    <mergeCell ref="BU2:BV2"/>
    <mergeCell ref="BW2:BX2"/>
    <mergeCell ref="BY2:BZ2"/>
    <mergeCell ref="CC2:CD2"/>
    <mergeCell ref="AU2:AV2"/>
    <mergeCell ref="AW2:AX2"/>
    <mergeCell ref="AY2:AZ2"/>
    <mergeCell ref="BA2:BB2"/>
    <mergeCell ref="BC2:BD2"/>
    <mergeCell ref="A2:A3"/>
    <mergeCell ref="A17:A18"/>
    <mergeCell ref="A5:A7"/>
    <mergeCell ref="A4:F4"/>
    <mergeCell ref="A8:F8"/>
    <mergeCell ref="A12:F12"/>
    <mergeCell ref="A9:A11"/>
    <mergeCell ref="A13:A14"/>
    <mergeCell ref="DC2:DD2"/>
    <mergeCell ref="CA2:CB2"/>
    <mergeCell ref="CY1:CZ2"/>
    <mergeCell ref="DA2:DB2"/>
    <mergeCell ref="CU2:CV2"/>
    <mergeCell ref="CE2:CF2"/>
    <mergeCell ref="CI2:CJ2"/>
    <mergeCell ref="CK2:CL2"/>
    <mergeCell ref="CM2:CN2"/>
    <mergeCell ref="CO2:CP2"/>
    <mergeCell ref="CW2:CX2"/>
    <mergeCell ref="CQ2:CR2"/>
    <mergeCell ref="CS2:CT2"/>
  </mergeCells>
  <pageMargins left="0.7" right="0.7" top="0.75" bottom="0.75" header="0.3" footer="0.3"/>
  <pageSetup orientation="portrait" r:id="rId1"/>
  <customProperties>
    <customPr name="_pios_id" r:id="rId2"/>
  </customProperties>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24"/>
  <dimension ref="A1:H37"/>
  <sheetViews>
    <sheetView showGridLines="0" zoomScale="90" zoomScaleNormal="90" workbookViewId="0">
      <pane ySplit="2" topLeftCell="A15" activePane="bottomLeft" state="frozen"/>
      <selection pane="bottomLeft" activeCell="I23" sqref="I23"/>
    </sheetView>
  </sheetViews>
  <sheetFormatPr baseColWidth="10" defaultRowHeight="13.2"/>
  <cols>
    <col min="1" max="1" width="25.44140625" bestFit="1" customWidth="1"/>
    <col min="2" max="2" width="10.5546875" customWidth="1"/>
    <col min="7" max="7" width="0" hidden="1" customWidth="1"/>
  </cols>
  <sheetData>
    <row r="1" spans="1:8" ht="17.399999999999999">
      <c r="A1" s="1300"/>
      <c r="B1" s="3322" t="s">
        <v>55</v>
      </c>
      <c r="C1" s="3322"/>
      <c r="D1" s="3322"/>
      <c r="E1" s="3322"/>
      <c r="F1" s="3322"/>
      <c r="G1" s="3323"/>
    </row>
    <row r="2" spans="1:8" ht="19.5" customHeight="1">
      <c r="A2" s="1434" t="s">
        <v>2880</v>
      </c>
      <c r="B2" s="1432" t="s">
        <v>2646</v>
      </c>
      <c r="C2" s="1432" t="s">
        <v>3414</v>
      </c>
      <c r="D2" s="1432" t="s">
        <v>793</v>
      </c>
      <c r="E2" s="1432" t="s">
        <v>2874</v>
      </c>
      <c r="F2" s="1432" t="s">
        <v>2881</v>
      </c>
      <c r="G2" s="1302" t="s">
        <v>2875</v>
      </c>
    </row>
    <row r="3" spans="1:8" ht="15.6">
      <c r="A3" s="1435" t="s">
        <v>2876</v>
      </c>
      <c r="B3" s="1436">
        <v>37</v>
      </c>
      <c r="C3" s="1437">
        <v>4</v>
      </c>
      <c r="D3" s="1436">
        <v>135</v>
      </c>
      <c r="E3" s="1436">
        <v>13</v>
      </c>
      <c r="F3" s="1438">
        <f t="shared" ref="F3:F11" si="0">+D3/(D3+E3)</f>
        <v>0.91216216216216217</v>
      </c>
      <c r="G3" s="1303"/>
      <c r="H3" s="242" t="s">
        <v>3552</v>
      </c>
    </row>
    <row r="4" spans="1:8" ht="15.6">
      <c r="A4" s="1435" t="s">
        <v>3476</v>
      </c>
      <c r="B4" s="1436">
        <v>5</v>
      </c>
      <c r="C4" s="1437">
        <v>4</v>
      </c>
      <c r="D4" s="1436">
        <v>19</v>
      </c>
      <c r="E4" s="1436">
        <v>1</v>
      </c>
      <c r="F4" s="1438">
        <f t="shared" si="0"/>
        <v>0.95</v>
      </c>
      <c r="G4" s="1303"/>
      <c r="H4" s="242" t="s">
        <v>3552</v>
      </c>
    </row>
    <row r="5" spans="1:8" ht="15.6">
      <c r="A5" s="1435" t="s">
        <v>2697</v>
      </c>
      <c r="B5" s="1436">
        <v>46</v>
      </c>
      <c r="C5" s="1437">
        <v>4</v>
      </c>
      <c r="D5" s="1436">
        <v>172</v>
      </c>
      <c r="E5" s="1436">
        <v>12</v>
      </c>
      <c r="F5" s="1438">
        <f t="shared" si="0"/>
        <v>0.93478260869565222</v>
      </c>
      <c r="G5" s="1303"/>
      <c r="H5" s="242" t="s">
        <v>3552</v>
      </c>
    </row>
    <row r="6" spans="1:8" ht="15.6">
      <c r="A6" s="1435" t="s">
        <v>2698</v>
      </c>
      <c r="B6" s="1436">
        <v>19</v>
      </c>
      <c r="C6" s="1437">
        <v>4</v>
      </c>
      <c r="D6" s="1436">
        <v>57</v>
      </c>
      <c r="E6" s="1436">
        <v>19</v>
      </c>
      <c r="F6" s="1438">
        <f t="shared" si="0"/>
        <v>0.75</v>
      </c>
      <c r="G6" s="1303"/>
      <c r="H6" s="242" t="s">
        <v>3552</v>
      </c>
    </row>
    <row r="7" spans="1:8" ht="15.6">
      <c r="A7" s="1435" t="s">
        <v>3415</v>
      </c>
      <c r="B7" s="1436">
        <v>6</v>
      </c>
      <c r="C7" s="1437">
        <v>4</v>
      </c>
      <c r="D7" s="1436">
        <v>24</v>
      </c>
      <c r="E7" s="1436">
        <v>0</v>
      </c>
      <c r="F7" s="1438">
        <f t="shared" si="0"/>
        <v>1</v>
      </c>
      <c r="G7" s="1303"/>
      <c r="H7" s="242" t="s">
        <v>3552</v>
      </c>
    </row>
    <row r="8" spans="1:8" ht="15.6">
      <c r="A8" s="1435" t="s">
        <v>2611</v>
      </c>
      <c r="B8" s="1436">
        <v>120</v>
      </c>
      <c r="C8" s="1437">
        <v>4</v>
      </c>
      <c r="D8" s="1436">
        <v>420</v>
      </c>
      <c r="E8" s="1436">
        <v>60</v>
      </c>
      <c r="F8" s="1438">
        <f t="shared" si="0"/>
        <v>0.875</v>
      </c>
      <c r="G8" s="1303"/>
      <c r="H8" s="242" t="s">
        <v>3552</v>
      </c>
    </row>
    <row r="9" spans="1:8" ht="15.6">
      <c r="A9" s="1439" t="s">
        <v>2645</v>
      </c>
      <c r="B9" s="1440">
        <v>164</v>
      </c>
      <c r="C9" s="1437">
        <v>4</v>
      </c>
      <c r="D9" s="1436">
        <v>208</v>
      </c>
      <c r="E9" s="1436">
        <v>4</v>
      </c>
      <c r="F9" s="1438">
        <f t="shared" si="0"/>
        <v>0.98113207547169812</v>
      </c>
      <c r="G9" s="1303"/>
      <c r="H9" s="242" t="s">
        <v>3552</v>
      </c>
    </row>
    <row r="10" spans="1:8" ht="15.6">
      <c r="A10" s="1439" t="s">
        <v>2879</v>
      </c>
      <c r="B10" s="1436">
        <v>12</v>
      </c>
      <c r="C10" s="1437">
        <v>4</v>
      </c>
      <c r="D10" s="1436">
        <v>48</v>
      </c>
      <c r="E10" s="1436">
        <v>0</v>
      </c>
      <c r="F10" s="1438">
        <f t="shared" si="0"/>
        <v>1</v>
      </c>
      <c r="G10" s="1303"/>
      <c r="H10" s="242" t="s">
        <v>3552</v>
      </c>
    </row>
    <row r="11" spans="1:8" ht="15.6">
      <c r="A11" s="1435" t="s">
        <v>2610</v>
      </c>
      <c r="B11" s="1436">
        <v>10</v>
      </c>
      <c r="C11" s="1437">
        <v>5</v>
      </c>
      <c r="D11" s="1436">
        <v>49</v>
      </c>
      <c r="E11" s="1436">
        <v>1</v>
      </c>
      <c r="F11" s="1438">
        <f t="shared" si="0"/>
        <v>0.98</v>
      </c>
      <c r="G11" s="1303"/>
      <c r="H11" s="242" t="s">
        <v>3552</v>
      </c>
    </row>
    <row r="12" spans="1:8" ht="14.4">
      <c r="A12" s="1435" t="s">
        <v>2878</v>
      </c>
      <c r="B12" s="1436">
        <v>85</v>
      </c>
      <c r="C12" s="1437"/>
      <c r="D12" s="1436"/>
      <c r="E12" s="1436"/>
      <c r="F12" s="1438"/>
      <c r="G12" s="1304"/>
    </row>
    <row r="13" spans="1:8" ht="15.6">
      <c r="A13" s="1435" t="s">
        <v>2696</v>
      </c>
      <c r="B13" s="1436">
        <v>11</v>
      </c>
      <c r="C13" s="1437">
        <v>5</v>
      </c>
      <c r="D13" s="1436">
        <v>50</v>
      </c>
      <c r="E13" s="1436">
        <v>5</v>
      </c>
      <c r="F13" s="1438">
        <f>+D13/(D13+E13)</f>
        <v>0.90909090909090906</v>
      </c>
      <c r="G13" s="1303"/>
      <c r="H13" s="242" t="s">
        <v>3552</v>
      </c>
    </row>
    <row r="14" spans="1:8" ht="15.6">
      <c r="A14" s="1439" t="s">
        <v>2437</v>
      </c>
      <c r="B14" s="1436">
        <v>14</v>
      </c>
      <c r="C14" s="1437">
        <v>4</v>
      </c>
      <c r="D14" s="1436">
        <v>56</v>
      </c>
      <c r="E14" s="1436">
        <v>0</v>
      </c>
      <c r="F14" s="1438">
        <f>+D14/(D14+E14)</f>
        <v>1</v>
      </c>
      <c r="G14" s="1303"/>
      <c r="H14" s="242" t="s">
        <v>3552</v>
      </c>
    </row>
    <row r="15" spans="1:8" ht="13.8">
      <c r="A15" s="1439" t="s">
        <v>3477</v>
      </c>
      <c r="B15" s="1436">
        <v>2</v>
      </c>
      <c r="C15" s="1437"/>
      <c r="D15" s="1436"/>
      <c r="E15" s="1436"/>
      <c r="F15" s="1438"/>
    </row>
    <row r="16" spans="1:8" ht="16.350000000000001" customHeight="1">
      <c r="A16" s="1441" t="s">
        <v>3478</v>
      </c>
      <c r="B16" s="1436">
        <v>3</v>
      </c>
      <c r="C16" s="1437">
        <v>4</v>
      </c>
      <c r="D16" s="1436">
        <v>12</v>
      </c>
      <c r="E16" s="1436">
        <v>0</v>
      </c>
      <c r="F16" s="1438"/>
      <c r="G16" s="1304"/>
    </row>
    <row r="17" spans="1:8" ht="14.4">
      <c r="A17" s="1441" t="s">
        <v>3620</v>
      </c>
      <c r="B17" s="1436">
        <v>2</v>
      </c>
      <c r="C17" s="1450">
        <v>4</v>
      </c>
      <c r="D17" s="1436">
        <v>8</v>
      </c>
      <c r="E17" s="1436">
        <v>0</v>
      </c>
      <c r="F17" s="1438">
        <f>+D17/(D17+E17)</f>
        <v>1</v>
      </c>
      <c r="G17" s="1304"/>
      <c r="H17" s="242"/>
    </row>
    <row r="18" spans="1:8" ht="15.6">
      <c r="A18" s="1439" t="s">
        <v>3479</v>
      </c>
      <c r="B18" s="1436">
        <v>13</v>
      </c>
      <c r="C18" s="1437"/>
      <c r="D18" s="1436"/>
      <c r="E18" s="1436"/>
      <c r="F18" s="1438"/>
      <c r="G18" s="1303"/>
    </row>
    <row r="19" spans="1:8" ht="14.4">
      <c r="A19" s="1435" t="s">
        <v>91</v>
      </c>
      <c r="B19" s="1436">
        <v>503</v>
      </c>
      <c r="C19" s="1437">
        <v>7</v>
      </c>
      <c r="D19" s="1436">
        <v>865</v>
      </c>
      <c r="E19" s="1436">
        <v>3159</v>
      </c>
      <c r="F19" s="1438">
        <f t="shared" ref="F19:F26" si="1">+D19/(D19+E19)</f>
        <v>0.21496023856858848</v>
      </c>
      <c r="G19" s="1304"/>
      <c r="H19" s="242"/>
    </row>
    <row r="20" spans="1:8" ht="14.4">
      <c r="A20" s="1435" t="s">
        <v>972</v>
      </c>
      <c r="B20" s="1436">
        <v>100</v>
      </c>
      <c r="C20" s="1437">
        <v>4</v>
      </c>
      <c r="D20" s="1436">
        <v>221</v>
      </c>
      <c r="E20" s="1436">
        <v>179</v>
      </c>
      <c r="F20" s="1438">
        <f t="shared" si="1"/>
        <v>0.55249999999999999</v>
      </c>
      <c r="G20" s="1304"/>
      <c r="H20" s="242" t="s">
        <v>3552</v>
      </c>
    </row>
    <row r="21" spans="1:8" ht="14.4">
      <c r="A21" s="1435" t="s">
        <v>542</v>
      </c>
      <c r="B21" s="1436">
        <v>380</v>
      </c>
      <c r="C21" s="1437">
        <v>5</v>
      </c>
      <c r="D21" s="1436">
        <v>1580</v>
      </c>
      <c r="E21" s="1436">
        <v>320</v>
      </c>
      <c r="F21" s="1438">
        <f t="shared" si="1"/>
        <v>0.83157894736842108</v>
      </c>
      <c r="G21" s="1304"/>
      <c r="H21" s="242" t="s">
        <v>3552</v>
      </c>
    </row>
    <row r="22" spans="1:8" ht="14.4">
      <c r="A22" s="1435" t="s">
        <v>1082</v>
      </c>
      <c r="B22" s="1436">
        <v>35</v>
      </c>
      <c r="C22" s="1437">
        <v>5</v>
      </c>
      <c r="D22" s="1436">
        <v>83</v>
      </c>
      <c r="E22" s="1436">
        <v>162</v>
      </c>
      <c r="F22" s="1438">
        <f t="shared" si="1"/>
        <v>0.33877551020408164</v>
      </c>
      <c r="G22" s="1304"/>
      <c r="H22" s="242"/>
    </row>
    <row r="23" spans="1:8" ht="14.4">
      <c r="A23" s="1435" t="s">
        <v>693</v>
      </c>
      <c r="B23" s="1436">
        <v>97</v>
      </c>
      <c r="C23" s="1437">
        <v>7</v>
      </c>
      <c r="D23" s="1436">
        <v>389</v>
      </c>
      <c r="E23" s="1436">
        <v>193</v>
      </c>
      <c r="F23" s="1438">
        <f t="shared" si="1"/>
        <v>0.66838487972508587</v>
      </c>
      <c r="G23" s="1304"/>
      <c r="H23" s="242" t="s">
        <v>3552</v>
      </c>
    </row>
    <row r="24" spans="1:8" ht="15.6" customHeight="1">
      <c r="A24" s="1435" t="s">
        <v>694</v>
      </c>
      <c r="B24" s="1436">
        <v>81</v>
      </c>
      <c r="C24" s="1437">
        <v>4</v>
      </c>
      <c r="D24" s="1436">
        <v>277</v>
      </c>
      <c r="E24" s="1436">
        <v>47</v>
      </c>
      <c r="F24" s="1438">
        <f t="shared" si="1"/>
        <v>0.85493827160493829</v>
      </c>
      <c r="G24" s="1304"/>
      <c r="H24" s="242" t="s">
        <v>3552</v>
      </c>
    </row>
    <row r="25" spans="1:8" ht="26.85" customHeight="1">
      <c r="A25" s="1435" t="s">
        <v>77</v>
      </c>
      <c r="B25" s="1436">
        <v>94</v>
      </c>
      <c r="C25" s="1437">
        <v>6</v>
      </c>
      <c r="D25" s="1436">
        <v>278</v>
      </c>
      <c r="E25" s="1436">
        <v>286</v>
      </c>
      <c r="F25" s="1438">
        <f t="shared" si="1"/>
        <v>0.49290780141843971</v>
      </c>
      <c r="G25" s="1304"/>
      <c r="H25" s="242" t="s">
        <v>3552</v>
      </c>
    </row>
    <row r="26" spans="1:8" ht="14.4">
      <c r="A26" s="1442" t="s">
        <v>893</v>
      </c>
      <c r="B26" s="1443">
        <v>34</v>
      </c>
      <c r="C26" s="1444">
        <v>4</v>
      </c>
      <c r="D26" s="1443">
        <v>100</v>
      </c>
      <c r="E26" s="1443">
        <v>36</v>
      </c>
      <c r="F26" s="1445">
        <f t="shared" si="1"/>
        <v>0.73529411764705888</v>
      </c>
      <c r="G26" s="1304"/>
      <c r="H26" s="242" t="s">
        <v>3552</v>
      </c>
    </row>
    <row r="27" spans="1:8" ht="14.4">
      <c r="A27" s="1435" t="s">
        <v>1006</v>
      </c>
      <c r="B27" s="1436">
        <f>167+79</f>
        <v>246</v>
      </c>
      <c r="C27" s="1437">
        <v>4</v>
      </c>
      <c r="D27" s="1437">
        <v>167</v>
      </c>
      <c r="E27" s="1437">
        <v>79</v>
      </c>
      <c r="F27" s="1438">
        <f>+D27/(D27+E27)</f>
        <v>0.67886178861788615</v>
      </c>
      <c r="G27" s="1304"/>
    </row>
    <row r="28" spans="1:8" ht="14.4">
      <c r="A28" s="1435" t="s">
        <v>591</v>
      </c>
      <c r="B28" s="1436"/>
      <c r="C28" s="1437"/>
      <c r="D28" s="1437"/>
      <c r="E28" s="1437"/>
      <c r="F28" s="1438"/>
      <c r="G28" s="1304"/>
    </row>
    <row r="29" spans="1:8" ht="14.4">
      <c r="A29" s="1435" t="s">
        <v>1073</v>
      </c>
      <c r="B29" s="1436"/>
      <c r="C29" s="1437"/>
      <c r="D29" s="1437"/>
      <c r="E29" s="1437"/>
      <c r="F29" s="1438"/>
      <c r="G29" s="1304"/>
    </row>
    <row r="30" spans="1:8" ht="14.4">
      <c r="A30" s="1435" t="s">
        <v>1958</v>
      </c>
      <c r="B30" s="1436"/>
      <c r="C30" s="1437"/>
      <c r="D30" s="1437"/>
      <c r="E30" s="1437"/>
      <c r="F30" s="1438"/>
      <c r="G30" s="1304"/>
    </row>
    <row r="31" spans="1:8" ht="14.4">
      <c r="A31" s="1435" t="s">
        <v>938</v>
      </c>
      <c r="B31" s="1436"/>
      <c r="C31" s="1437"/>
      <c r="D31" s="1437"/>
      <c r="E31" s="1437"/>
      <c r="F31" s="1438"/>
      <c r="G31" s="1304"/>
    </row>
    <row r="32" spans="1:8" ht="15.6" customHeight="1">
      <c r="A32" s="1433"/>
      <c r="B32" s="1433"/>
      <c r="C32" s="1433"/>
      <c r="D32" s="1446">
        <f>SUM(D3:D31)</f>
        <v>5218</v>
      </c>
      <c r="E32" s="1446">
        <f>SUM(E3:E31)</f>
        <v>4576</v>
      </c>
      <c r="F32" s="1447">
        <f>+D32/(D32+E32)</f>
        <v>0.53277516847049211</v>
      </c>
      <c r="G32" s="1304"/>
    </row>
    <row r="33" spans="1:7" ht="26.85" customHeight="1">
      <c r="G33" s="1306"/>
    </row>
    <row r="34" spans="1:7" ht="14.4">
      <c r="G34" s="1301"/>
    </row>
    <row r="35" spans="1:7" ht="14.4">
      <c r="A35" s="1305"/>
      <c r="B35" s="1305"/>
      <c r="C35" s="859"/>
      <c r="G35" s="1301"/>
    </row>
    <row r="36" spans="1:7">
      <c r="A36" s="859"/>
      <c r="B36" s="859"/>
      <c r="C36" s="859"/>
    </row>
    <row r="37" spans="1:7">
      <c r="A37" s="859"/>
      <c r="B37" s="859"/>
      <c r="C37" s="859"/>
    </row>
  </sheetData>
  <mergeCells count="1">
    <mergeCell ref="B1:G1"/>
  </mergeCells>
  <pageMargins left="0.7" right="0.7" top="0.75" bottom="0.75" header="0.3" footer="0.3"/>
  <pageSetup orientation="portrait" horizontalDpi="300" r:id="rId1"/>
  <customProperties>
    <customPr name="_pios_id" r:id="rId2"/>
  </customPropertie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25"/>
  <dimension ref="B1:R34"/>
  <sheetViews>
    <sheetView topLeftCell="A13" workbookViewId="0">
      <selection activeCell="C17" sqref="C17:N17"/>
    </sheetView>
  </sheetViews>
  <sheetFormatPr baseColWidth="10" defaultRowHeight="13.2"/>
  <sheetData>
    <row r="1" spans="2:18" ht="14.4">
      <c r="B1" s="1166">
        <v>2015</v>
      </c>
      <c r="C1" s="1103" t="s">
        <v>895</v>
      </c>
      <c r="D1" s="1103" t="s">
        <v>896</v>
      </c>
      <c r="E1" s="1103" t="s">
        <v>897</v>
      </c>
      <c r="F1" s="1103" t="s">
        <v>898</v>
      </c>
      <c r="G1" s="1103" t="s">
        <v>899</v>
      </c>
      <c r="H1" s="1103" t="s">
        <v>900</v>
      </c>
      <c r="I1" s="1103" t="s">
        <v>901</v>
      </c>
      <c r="J1" s="1103" t="s">
        <v>902</v>
      </c>
      <c r="K1" s="1103" t="s">
        <v>903</v>
      </c>
      <c r="L1" s="1103" t="s">
        <v>904</v>
      </c>
      <c r="M1" s="1103" t="s">
        <v>905</v>
      </c>
      <c r="N1" s="1103" t="s">
        <v>906</v>
      </c>
    </row>
    <row r="2" spans="2:18" ht="14.4">
      <c r="B2" s="1104" t="s">
        <v>908</v>
      </c>
      <c r="C2" s="544">
        <v>277.48</v>
      </c>
      <c r="D2" s="544">
        <v>468</v>
      </c>
      <c r="E2" s="544">
        <v>2274</v>
      </c>
      <c r="F2" s="544">
        <v>1678</v>
      </c>
      <c r="G2" s="544">
        <v>2407</v>
      </c>
      <c r="H2" s="1114">
        <v>3250.53</v>
      </c>
      <c r="I2" s="1114">
        <v>2728</v>
      </c>
      <c r="J2" s="1127">
        <v>666.31</v>
      </c>
      <c r="K2" s="1128">
        <v>589</v>
      </c>
      <c r="L2" s="1127">
        <v>4722.16</v>
      </c>
      <c r="M2" s="1127">
        <v>6183.44</v>
      </c>
      <c r="N2" s="1138">
        <v>6183.44</v>
      </c>
      <c r="Q2" s="1261"/>
      <c r="R2" s="242"/>
    </row>
    <row r="3" spans="2:18" ht="14.4">
      <c r="B3" s="1104" t="s">
        <v>909</v>
      </c>
      <c r="C3" s="544">
        <v>8055</v>
      </c>
      <c r="D3" s="544">
        <v>8035</v>
      </c>
      <c r="E3" s="544">
        <v>7262</v>
      </c>
      <c r="F3" s="1115">
        <v>7977</v>
      </c>
      <c r="G3">
        <v>7396</v>
      </c>
      <c r="H3" s="544">
        <v>8953</v>
      </c>
      <c r="I3" s="544">
        <v>7742</v>
      </c>
      <c r="J3" s="1126">
        <v>7490</v>
      </c>
      <c r="K3" s="1129">
        <v>9182</v>
      </c>
      <c r="L3" s="1130">
        <v>9182</v>
      </c>
      <c r="M3" s="1130">
        <v>9182</v>
      </c>
      <c r="N3" s="1130">
        <v>9182</v>
      </c>
      <c r="Q3" s="1261"/>
      <c r="R3" s="242"/>
    </row>
    <row r="4" spans="2:18" ht="13.8">
      <c r="B4" s="1105" t="s">
        <v>907</v>
      </c>
      <c r="C4" s="544">
        <f>SUM(C2:C3)</f>
        <v>8332.48</v>
      </c>
      <c r="D4" s="544">
        <f t="shared" ref="D4:N4" si="0">SUM(D2:D3)</f>
        <v>8503</v>
      </c>
      <c r="E4" s="544">
        <f t="shared" si="0"/>
        <v>9536</v>
      </c>
      <c r="F4" s="544">
        <f t="shared" si="0"/>
        <v>9655</v>
      </c>
      <c r="G4" s="544">
        <f t="shared" si="0"/>
        <v>9803</v>
      </c>
      <c r="H4" s="544">
        <f t="shared" si="0"/>
        <v>12203.53</v>
      </c>
      <c r="I4" s="544">
        <f t="shared" si="0"/>
        <v>10470</v>
      </c>
      <c r="J4" s="544">
        <f t="shared" si="0"/>
        <v>8156.3099999999995</v>
      </c>
      <c r="K4" s="544">
        <f t="shared" si="0"/>
        <v>9771</v>
      </c>
      <c r="L4" s="544">
        <f t="shared" si="0"/>
        <v>13904.16</v>
      </c>
      <c r="M4" s="544">
        <f t="shared" si="0"/>
        <v>15365.439999999999</v>
      </c>
      <c r="N4" s="544">
        <f t="shared" si="0"/>
        <v>15365.439999999999</v>
      </c>
      <c r="Q4" s="1261"/>
      <c r="R4" s="242"/>
    </row>
    <row r="5" spans="2:18" ht="13.8">
      <c r="Q5" s="1261"/>
      <c r="R5" s="242"/>
    </row>
    <row r="6" spans="2:18" ht="15">
      <c r="B6" s="1102">
        <v>2016</v>
      </c>
      <c r="C6" s="1103" t="s">
        <v>895</v>
      </c>
      <c r="D6" s="1103" t="s">
        <v>896</v>
      </c>
      <c r="E6" s="1103" t="s">
        <v>897</v>
      </c>
      <c r="F6" s="1103" t="s">
        <v>898</v>
      </c>
      <c r="G6" s="1103" t="s">
        <v>899</v>
      </c>
      <c r="H6" s="1103" t="s">
        <v>900</v>
      </c>
      <c r="I6" s="1103" t="s">
        <v>901</v>
      </c>
      <c r="J6" s="1103" t="s">
        <v>902</v>
      </c>
      <c r="K6" s="1103" t="s">
        <v>903</v>
      </c>
      <c r="L6" s="1103" t="s">
        <v>904</v>
      </c>
      <c r="M6" s="1103" t="s">
        <v>905</v>
      </c>
      <c r="N6" s="1103" t="s">
        <v>906</v>
      </c>
      <c r="Q6" s="1261"/>
      <c r="R6" s="242"/>
    </row>
    <row r="7" spans="2:18" ht="13.8">
      <c r="B7" s="1104" t="s">
        <v>908</v>
      </c>
      <c r="C7" s="544">
        <v>817.48</v>
      </c>
      <c r="D7" s="544">
        <v>1725.15</v>
      </c>
      <c r="E7" s="544">
        <v>1195.51</v>
      </c>
      <c r="F7" s="544">
        <v>349.92</v>
      </c>
      <c r="G7" s="544">
        <v>4.26</v>
      </c>
      <c r="H7" s="544">
        <v>1083.94</v>
      </c>
      <c r="I7" s="1172">
        <v>277.48</v>
      </c>
      <c r="J7" s="1172">
        <v>277.48</v>
      </c>
      <c r="K7" s="1172">
        <v>277.48</v>
      </c>
      <c r="L7" s="1172">
        <v>277.48</v>
      </c>
      <c r="M7" s="1172">
        <v>277.48</v>
      </c>
      <c r="N7" s="1172">
        <v>277.48</v>
      </c>
      <c r="O7" s="1106">
        <f>SUM(C7:N7)</f>
        <v>6841.1399999999976</v>
      </c>
      <c r="Q7" s="1262"/>
      <c r="R7" s="242"/>
    </row>
    <row r="8" spans="2:18" ht="13.8">
      <c r="B8" s="1104" t="s">
        <v>909</v>
      </c>
      <c r="C8" s="544">
        <v>6801</v>
      </c>
      <c r="D8" s="544">
        <v>8228</v>
      </c>
      <c r="E8" s="544">
        <v>8235</v>
      </c>
      <c r="F8" s="544">
        <v>8012</v>
      </c>
      <c r="G8" s="544">
        <v>8228</v>
      </c>
      <c r="H8" s="544">
        <v>8638.67</v>
      </c>
      <c r="I8" s="1172">
        <v>8055</v>
      </c>
      <c r="J8" s="1172">
        <v>8055</v>
      </c>
      <c r="K8" s="1172">
        <v>8055</v>
      </c>
      <c r="L8" s="1172">
        <v>8055</v>
      </c>
      <c r="M8" s="1172">
        <v>8055</v>
      </c>
      <c r="N8" s="1172">
        <v>8055</v>
      </c>
      <c r="O8" s="1106">
        <f>SUM(C8:N8)</f>
        <v>96472.67</v>
      </c>
      <c r="Q8" s="1262"/>
      <c r="R8" s="242"/>
    </row>
    <row r="9" spans="2:18" ht="16.5" customHeight="1">
      <c r="B9" s="1105" t="s">
        <v>907</v>
      </c>
      <c r="C9" s="544">
        <f>SUM(C7:C8)</f>
        <v>7618.48</v>
      </c>
      <c r="D9" s="544">
        <f t="shared" ref="D9:M9" si="1">SUM(D7:D8)</f>
        <v>9953.15</v>
      </c>
      <c r="E9" s="544">
        <f t="shared" si="1"/>
        <v>9430.51</v>
      </c>
      <c r="F9" s="544">
        <f t="shared" si="1"/>
        <v>8361.92</v>
      </c>
      <c r="G9" s="544">
        <f t="shared" si="1"/>
        <v>8232.26</v>
      </c>
      <c r="H9" s="544">
        <f t="shared" si="1"/>
        <v>9722.61</v>
      </c>
      <c r="I9" s="544">
        <f t="shared" si="1"/>
        <v>8332.48</v>
      </c>
      <c r="J9" s="544">
        <f t="shared" si="1"/>
        <v>8332.48</v>
      </c>
      <c r="K9" s="544">
        <f t="shared" si="1"/>
        <v>8332.48</v>
      </c>
      <c r="L9" s="544">
        <f t="shared" si="1"/>
        <v>8332.48</v>
      </c>
      <c r="M9" s="544">
        <f t="shared" si="1"/>
        <v>8332.48</v>
      </c>
      <c r="N9" s="544">
        <f>SUM(N7:N8)</f>
        <v>8332.48</v>
      </c>
      <c r="O9" s="1106">
        <f>SUM(C9:N9)</f>
        <v>103313.80999999998</v>
      </c>
      <c r="Q9" s="1262"/>
      <c r="R9" s="242"/>
    </row>
    <row r="10" spans="2:18" ht="13.8">
      <c r="Q10" s="1262"/>
      <c r="R10" s="242"/>
    </row>
    <row r="11" spans="2:18" ht="15">
      <c r="B11" s="1102">
        <v>2017</v>
      </c>
      <c r="C11" s="1103" t="s">
        <v>895</v>
      </c>
      <c r="D11" s="1103" t="s">
        <v>896</v>
      </c>
      <c r="E11" s="1103" t="s">
        <v>897</v>
      </c>
      <c r="F11" s="1103" t="s">
        <v>898</v>
      </c>
      <c r="G11" s="1103" t="s">
        <v>899</v>
      </c>
      <c r="H11" s="1103" t="s">
        <v>900</v>
      </c>
      <c r="I11" s="1103" t="s">
        <v>901</v>
      </c>
      <c r="J11" s="1103" t="s">
        <v>902</v>
      </c>
      <c r="K11" s="1103" t="s">
        <v>903</v>
      </c>
      <c r="L11" s="1103" t="s">
        <v>904</v>
      </c>
      <c r="M11" s="1103" t="s">
        <v>905</v>
      </c>
      <c r="N11" s="1103" t="s">
        <v>906</v>
      </c>
      <c r="Q11" s="1262"/>
      <c r="R11" s="242"/>
    </row>
    <row r="12" spans="2:18">
      <c r="B12" s="1104" t="s">
        <v>908</v>
      </c>
      <c r="C12" s="1172">
        <v>817.48</v>
      </c>
      <c r="D12" s="1172">
        <v>817.48</v>
      </c>
      <c r="E12" s="1172">
        <v>817.48</v>
      </c>
      <c r="F12" s="1172">
        <v>817.48</v>
      </c>
      <c r="G12" s="1172">
        <v>817.48</v>
      </c>
      <c r="H12" s="1172">
        <v>817.48</v>
      </c>
      <c r="I12" s="1172">
        <v>817.48</v>
      </c>
      <c r="J12" s="1172">
        <v>817.48</v>
      </c>
      <c r="K12" s="1172">
        <v>817.48</v>
      </c>
      <c r="L12" s="1172">
        <v>817.48</v>
      </c>
      <c r="M12" s="1172">
        <v>817.48</v>
      </c>
      <c r="N12" s="1172">
        <v>817.48</v>
      </c>
      <c r="O12" s="1106">
        <f>SUM(C12:N12)</f>
        <v>9809.7599999999984</v>
      </c>
    </row>
    <row r="13" spans="2:18">
      <c r="B13" s="1104" t="s">
        <v>909</v>
      </c>
      <c r="C13" s="544">
        <v>8555.5</v>
      </c>
      <c r="D13" s="544">
        <v>8289</v>
      </c>
      <c r="E13" s="544">
        <v>7071</v>
      </c>
      <c r="F13" s="544">
        <v>4893.3900000000003</v>
      </c>
      <c r="G13" s="544">
        <v>7751.53</v>
      </c>
      <c r="H13" s="544">
        <v>8256.35</v>
      </c>
      <c r="I13" s="544">
        <v>8306.67</v>
      </c>
      <c r="J13" s="544">
        <v>8063</v>
      </c>
      <c r="K13" s="544">
        <v>7835.8</v>
      </c>
      <c r="L13" s="544">
        <v>7679.89</v>
      </c>
      <c r="M13" s="1267">
        <v>7604</v>
      </c>
      <c r="N13" s="1267">
        <v>7144</v>
      </c>
      <c r="O13" s="1106">
        <f>SUM(C13:N13)</f>
        <v>91450.12999999999</v>
      </c>
    </row>
    <row r="14" spans="2:18" ht="13.8">
      <c r="B14" s="1105" t="s">
        <v>907</v>
      </c>
      <c r="C14" s="544">
        <f t="shared" ref="C14:H14" si="2">SUM(C12:C13)</f>
        <v>9372.98</v>
      </c>
      <c r="D14" s="544">
        <f t="shared" si="2"/>
        <v>9106.48</v>
      </c>
      <c r="E14" s="544">
        <f t="shared" si="2"/>
        <v>7888.48</v>
      </c>
      <c r="F14" s="544">
        <f t="shared" si="2"/>
        <v>5710.8700000000008</v>
      </c>
      <c r="G14" s="544">
        <f t="shared" si="2"/>
        <v>8569.01</v>
      </c>
      <c r="H14" s="544">
        <f t="shared" si="2"/>
        <v>9073.83</v>
      </c>
      <c r="I14" s="544">
        <f t="shared" ref="I14:N14" si="3">SUM(I12:I13)</f>
        <v>9124.15</v>
      </c>
      <c r="J14" s="544">
        <f t="shared" si="3"/>
        <v>8880.48</v>
      </c>
      <c r="K14" s="544">
        <f t="shared" si="3"/>
        <v>8653.2800000000007</v>
      </c>
      <c r="L14" s="544">
        <f t="shared" si="3"/>
        <v>8497.3700000000008</v>
      </c>
      <c r="M14" s="544">
        <f t="shared" si="3"/>
        <v>8421.48</v>
      </c>
      <c r="N14" s="544">
        <f t="shared" si="3"/>
        <v>7961.48</v>
      </c>
      <c r="O14" s="1106">
        <f>SUM(C14:N14)</f>
        <v>101259.88999999998</v>
      </c>
    </row>
    <row r="16" spans="2:18" ht="14.4">
      <c r="B16" s="1102">
        <v>2018</v>
      </c>
      <c r="C16" s="1103" t="s">
        <v>895</v>
      </c>
      <c r="D16" s="1103" t="s">
        <v>896</v>
      </c>
      <c r="E16" s="1103" t="s">
        <v>897</v>
      </c>
      <c r="F16" s="1103" t="s">
        <v>898</v>
      </c>
      <c r="G16" s="1103" t="s">
        <v>899</v>
      </c>
      <c r="H16" s="1103" t="s">
        <v>900</v>
      </c>
      <c r="I16" s="1103" t="s">
        <v>901</v>
      </c>
      <c r="J16" s="1103" t="s">
        <v>902</v>
      </c>
      <c r="K16" s="1103" t="s">
        <v>903</v>
      </c>
      <c r="L16" s="1103" t="s">
        <v>904</v>
      </c>
      <c r="M16" s="1103" t="s">
        <v>905</v>
      </c>
      <c r="N16" s="1103" t="s">
        <v>906</v>
      </c>
    </row>
    <row r="17" spans="2:15">
      <c r="B17" s="1104" t="s">
        <v>908</v>
      </c>
      <c r="C17" s="1172">
        <v>817.48</v>
      </c>
      <c r="D17" s="1172">
        <v>817.48</v>
      </c>
      <c r="E17" s="1172">
        <v>817.48</v>
      </c>
      <c r="F17" s="1172">
        <v>817.48</v>
      </c>
      <c r="G17" s="1172">
        <v>817.48</v>
      </c>
      <c r="H17" s="1172">
        <v>817.48</v>
      </c>
      <c r="I17" s="1172">
        <v>817.48</v>
      </c>
      <c r="J17" s="1172">
        <v>817.48</v>
      </c>
      <c r="K17" s="1172">
        <v>817.48</v>
      </c>
      <c r="L17" s="1172">
        <v>817.48</v>
      </c>
      <c r="M17" s="1172">
        <v>817.48</v>
      </c>
      <c r="N17" s="1172">
        <v>817.48</v>
      </c>
      <c r="O17" s="1106">
        <f>SUM(C17:N17)</f>
        <v>9809.7599999999984</v>
      </c>
    </row>
    <row r="18" spans="2:15">
      <c r="B18" s="1104" t="s">
        <v>909</v>
      </c>
      <c r="C18" s="1267">
        <v>7186.09</v>
      </c>
      <c r="D18" s="1267">
        <v>7182.24</v>
      </c>
      <c r="E18" s="1267">
        <v>6091.26</v>
      </c>
      <c r="F18" s="1267">
        <v>7170.7</v>
      </c>
      <c r="G18" s="1267">
        <v>6776.73</v>
      </c>
      <c r="H18" s="1267">
        <v>7220.15</v>
      </c>
      <c r="I18" s="1267">
        <v>7042.1</v>
      </c>
      <c r="J18" s="1267">
        <v>6914.15</v>
      </c>
      <c r="K18" s="1267">
        <v>6376</v>
      </c>
      <c r="L18" s="1267">
        <v>6290</v>
      </c>
      <c r="M18" s="1267">
        <v>6221.97</v>
      </c>
      <c r="N18" s="1267">
        <v>6314.56</v>
      </c>
      <c r="O18" s="1106">
        <f>SUM(C18:N18)</f>
        <v>80785.950000000012</v>
      </c>
    </row>
    <row r="19" spans="2:15" ht="13.8">
      <c r="B19" s="1105" t="s">
        <v>907</v>
      </c>
      <c r="C19" s="544">
        <f t="shared" ref="C19:M19" si="4">SUM(C17:C18)</f>
        <v>8003.57</v>
      </c>
      <c r="D19" s="544">
        <f t="shared" si="4"/>
        <v>7999.7199999999993</v>
      </c>
      <c r="E19" s="544">
        <f t="shared" si="4"/>
        <v>6908.74</v>
      </c>
      <c r="F19" s="544">
        <f t="shared" si="4"/>
        <v>7988.18</v>
      </c>
      <c r="G19" s="544">
        <f t="shared" si="4"/>
        <v>7594.2099999999991</v>
      </c>
      <c r="H19" s="544">
        <f t="shared" si="4"/>
        <v>8037.6299999999992</v>
      </c>
      <c r="I19" s="544">
        <f t="shared" si="4"/>
        <v>7859.58</v>
      </c>
      <c r="J19" s="544">
        <f t="shared" si="4"/>
        <v>7731.6299999999992</v>
      </c>
      <c r="K19" s="544">
        <f t="shared" si="4"/>
        <v>7193.48</v>
      </c>
      <c r="L19" s="544">
        <f t="shared" si="4"/>
        <v>7107.48</v>
      </c>
      <c r="M19" s="544">
        <f t="shared" si="4"/>
        <v>7039.4500000000007</v>
      </c>
      <c r="N19" s="544">
        <f>SUM(N17:N18)</f>
        <v>7132.0400000000009</v>
      </c>
      <c r="O19" s="1106">
        <f>SUM(C19:N19)</f>
        <v>90595.709999999992</v>
      </c>
    </row>
    <row r="20" spans="2:15">
      <c r="N20" s="357"/>
    </row>
    <row r="23" spans="2:15" ht="14.4">
      <c r="C23" s="1272"/>
    </row>
    <row r="24" spans="2:15" ht="14.4">
      <c r="C24" s="1272"/>
      <c r="H24" s="1272"/>
    </row>
    <row r="25" spans="2:15" ht="14.4">
      <c r="C25" s="1272"/>
      <c r="H25" s="1272"/>
    </row>
    <row r="26" spans="2:15" ht="14.4">
      <c r="C26" s="1272"/>
      <c r="H26" s="1272"/>
    </row>
    <row r="27" spans="2:15" ht="14.4">
      <c r="C27" s="1272"/>
      <c r="H27" s="1272"/>
    </row>
    <row r="28" spans="2:15" ht="14.4">
      <c r="C28" s="1272"/>
      <c r="H28" s="1272"/>
    </row>
    <row r="29" spans="2:15" ht="14.4">
      <c r="C29" s="1272"/>
      <c r="H29" s="1272"/>
    </row>
    <row r="30" spans="2:15" ht="14.4">
      <c r="C30" s="1272"/>
      <c r="H30" s="1272"/>
    </row>
    <row r="31" spans="2:15" ht="14.4">
      <c r="C31" s="1272"/>
    </row>
    <row r="32" spans="2:15" ht="14.4">
      <c r="C32" s="1272"/>
    </row>
    <row r="33" spans="3:3" ht="14.4">
      <c r="C33" s="1272"/>
    </row>
    <row r="34" spans="3:3" ht="14.4">
      <c r="C34" s="1272"/>
    </row>
  </sheetData>
  <pageMargins left="0.7" right="0.7" top="0.75" bottom="0.75" header="0.3" footer="0.3"/>
  <customProperties>
    <customPr name="_pios_id" r:id="rId1"/>
  </customPropertie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27"/>
  <dimension ref="A1:F29"/>
  <sheetViews>
    <sheetView workbookViewId="0">
      <selection activeCell="L14" sqref="L14"/>
    </sheetView>
  </sheetViews>
  <sheetFormatPr baseColWidth="10" defaultRowHeight="13.2"/>
  <cols>
    <col min="1" max="1" width="26.5546875" customWidth="1"/>
    <col min="2" max="2" width="10.5546875" style="8" customWidth="1"/>
    <col min="3" max="3" width="15.44140625" style="8" customWidth="1"/>
    <col min="4" max="4" width="16.5546875" style="8" customWidth="1"/>
    <col min="5" max="5" width="36.5546875" style="1121" hidden="1" customWidth="1"/>
    <col min="6" max="6" width="15.5546875" customWidth="1"/>
  </cols>
  <sheetData>
    <row r="1" spans="1:6">
      <c r="A1" s="859"/>
      <c r="B1" s="983"/>
      <c r="C1" s="3324" t="s">
        <v>955</v>
      </c>
      <c r="D1" s="3324"/>
      <c r="E1" s="1176"/>
      <c r="F1" s="543">
        <v>2016</v>
      </c>
    </row>
    <row r="2" spans="1:6">
      <c r="A2" s="1177" t="s">
        <v>792</v>
      </c>
      <c r="B2" s="1178" t="s">
        <v>956</v>
      </c>
      <c r="C2" s="1178" t="s">
        <v>957</v>
      </c>
      <c r="D2" s="1178" t="s">
        <v>958</v>
      </c>
      <c r="E2" s="1189" t="s">
        <v>959</v>
      </c>
      <c r="F2" s="543" t="s">
        <v>968</v>
      </c>
    </row>
    <row r="3" spans="1:6">
      <c r="A3" s="1185" t="s">
        <v>592</v>
      </c>
      <c r="B3" s="1194">
        <v>5</v>
      </c>
      <c r="C3" s="862"/>
      <c r="D3" s="862">
        <v>5</v>
      </c>
      <c r="E3" s="1190"/>
      <c r="F3" s="137"/>
    </row>
    <row r="4" spans="1:6" ht="21">
      <c r="A4" s="1185" t="s">
        <v>586</v>
      </c>
      <c r="B4" s="1194">
        <v>7</v>
      </c>
      <c r="C4" s="862">
        <v>1</v>
      </c>
      <c r="D4" s="862">
        <v>6</v>
      </c>
      <c r="E4" s="1191" t="s">
        <v>960</v>
      </c>
      <c r="F4" s="137"/>
    </row>
    <row r="5" spans="1:6" ht="21">
      <c r="A5" s="1185" t="s">
        <v>593</v>
      </c>
      <c r="B5" s="1194">
        <v>8</v>
      </c>
      <c r="C5" s="862"/>
      <c r="D5" s="862">
        <v>8</v>
      </c>
      <c r="E5" s="1191" t="s">
        <v>961</v>
      </c>
      <c r="F5" s="137"/>
    </row>
    <row r="6" spans="1:6" ht="31.2">
      <c r="A6" s="1185" t="s">
        <v>542</v>
      </c>
      <c r="B6" s="1194">
        <v>7</v>
      </c>
      <c r="C6" s="862"/>
      <c r="D6" s="862">
        <v>7</v>
      </c>
      <c r="E6" s="1192" t="s">
        <v>965</v>
      </c>
      <c r="F6" s="137"/>
    </row>
    <row r="7" spans="1:6">
      <c r="A7" s="1195" t="s">
        <v>970</v>
      </c>
      <c r="B7" s="1194"/>
      <c r="C7" s="862"/>
      <c r="D7" s="862"/>
      <c r="E7" s="1192"/>
      <c r="F7" s="137"/>
    </row>
    <row r="8" spans="1:6" ht="41.4">
      <c r="A8" s="1195" t="s">
        <v>969</v>
      </c>
      <c r="B8" s="1194">
        <v>6</v>
      </c>
      <c r="C8" s="862">
        <v>6</v>
      </c>
      <c r="D8" s="862"/>
      <c r="E8" s="1192" t="s">
        <v>966</v>
      </c>
      <c r="F8" s="137"/>
    </row>
    <row r="9" spans="1:6" ht="21">
      <c r="A9" s="1185" t="s">
        <v>588</v>
      </c>
      <c r="B9" s="1194">
        <v>10</v>
      </c>
      <c r="C9" s="862"/>
      <c r="D9" s="862">
        <v>10</v>
      </c>
      <c r="E9" s="1191" t="s">
        <v>962</v>
      </c>
      <c r="F9" s="137"/>
    </row>
    <row r="10" spans="1:6" ht="41.4">
      <c r="A10" s="1185" t="s">
        <v>576</v>
      </c>
      <c r="B10" s="1194">
        <v>29</v>
      </c>
      <c r="C10" s="862">
        <v>13</v>
      </c>
      <c r="D10" s="862">
        <v>16</v>
      </c>
      <c r="E10" s="1192" t="s">
        <v>967</v>
      </c>
      <c r="F10" s="137"/>
    </row>
    <row r="11" spans="1:6">
      <c r="A11" s="1185" t="s">
        <v>595</v>
      </c>
      <c r="B11" s="862">
        <v>22</v>
      </c>
      <c r="C11" s="862"/>
      <c r="D11" s="862">
        <v>22</v>
      </c>
      <c r="E11" s="1191" t="s">
        <v>766</v>
      </c>
      <c r="F11" s="137"/>
    </row>
    <row r="12" spans="1:6">
      <c r="A12" s="1196" t="s">
        <v>971</v>
      </c>
      <c r="B12" s="862"/>
      <c r="C12" s="862"/>
      <c r="D12" s="862"/>
      <c r="E12" s="1191"/>
      <c r="F12" s="137"/>
    </row>
    <row r="13" spans="1:6">
      <c r="A13" s="1196" t="s">
        <v>972</v>
      </c>
      <c r="B13" s="862"/>
      <c r="C13" s="862"/>
      <c r="D13" s="862"/>
      <c r="E13" s="1191"/>
      <c r="F13" s="137"/>
    </row>
    <row r="14" spans="1:6">
      <c r="A14" s="1196" t="s">
        <v>973</v>
      </c>
      <c r="B14" s="862"/>
      <c r="C14" s="862"/>
      <c r="D14" s="862"/>
      <c r="E14" s="1191"/>
      <c r="F14" s="137"/>
    </row>
    <row r="15" spans="1:6">
      <c r="A15" s="1196" t="s">
        <v>974</v>
      </c>
      <c r="B15" s="862"/>
      <c r="C15" s="862"/>
      <c r="D15" s="862"/>
      <c r="E15" s="1191"/>
      <c r="F15" s="137"/>
    </row>
    <row r="16" spans="1:6">
      <c r="A16" s="1185" t="s">
        <v>76</v>
      </c>
      <c r="B16" s="862"/>
      <c r="C16" s="862"/>
      <c r="D16" s="862"/>
      <c r="E16" s="1191"/>
      <c r="F16" s="137"/>
    </row>
    <row r="17" spans="1:6">
      <c r="A17" s="1185" t="s">
        <v>77</v>
      </c>
      <c r="B17" s="1194">
        <v>6</v>
      </c>
      <c r="C17" s="862"/>
      <c r="D17" s="862">
        <v>6</v>
      </c>
      <c r="E17" s="1191" t="s">
        <v>963</v>
      </c>
      <c r="F17" s="137"/>
    </row>
    <row r="18" spans="1:6">
      <c r="A18" s="1185" t="s">
        <v>893</v>
      </c>
      <c r="B18" s="1194">
        <v>2</v>
      </c>
      <c r="C18" s="862"/>
      <c r="D18" s="862">
        <v>2</v>
      </c>
      <c r="E18" s="1191"/>
      <c r="F18" s="137"/>
    </row>
    <row r="19" spans="1:6" ht="51.6">
      <c r="A19" s="1185" t="s">
        <v>597</v>
      </c>
      <c r="B19" s="1194">
        <v>15</v>
      </c>
      <c r="C19" s="862"/>
      <c r="D19" s="862">
        <v>5</v>
      </c>
      <c r="E19" s="1191" t="s">
        <v>964</v>
      </c>
      <c r="F19" s="862">
        <v>2</v>
      </c>
    </row>
    <row r="20" spans="1:6">
      <c r="A20" s="1185" t="s">
        <v>383</v>
      </c>
      <c r="B20" s="862"/>
      <c r="C20" s="862"/>
      <c r="D20" s="862"/>
      <c r="E20" s="1191"/>
      <c r="F20" s="137"/>
    </row>
    <row r="21" spans="1:6">
      <c r="A21" s="1185" t="s">
        <v>384</v>
      </c>
      <c r="B21" s="862"/>
      <c r="C21" s="862"/>
      <c r="D21" s="862"/>
      <c r="E21" s="1191"/>
      <c r="F21" s="137"/>
    </row>
    <row r="22" spans="1:6">
      <c r="A22" s="1185" t="s">
        <v>508</v>
      </c>
      <c r="B22" s="862"/>
      <c r="C22" s="862"/>
      <c r="D22" s="862"/>
      <c r="E22" s="1191"/>
      <c r="F22" s="137"/>
    </row>
    <row r="23" spans="1:6" ht="13.8" thickBot="1">
      <c r="A23" s="1186" t="s">
        <v>591</v>
      </c>
      <c r="B23" s="1179"/>
      <c r="C23" s="1179"/>
      <c r="D23" s="1179"/>
      <c r="E23" s="1193"/>
      <c r="F23" s="137"/>
    </row>
    <row r="24" spans="1:6" ht="18">
      <c r="A24" s="1180" t="s">
        <v>55</v>
      </c>
      <c r="B24" s="1181">
        <f>SUM(B3:B23)</f>
        <v>117</v>
      </c>
      <c r="C24" s="1181">
        <f>SUM(C3:C23)</f>
        <v>20</v>
      </c>
      <c r="D24" s="1181">
        <f>SUM(D3:D23)</f>
        <v>87</v>
      </c>
      <c r="E24" s="1182"/>
    </row>
    <row r="25" spans="1:6">
      <c r="A25" s="859"/>
      <c r="B25" s="1183">
        <f>+B24/$B$24</f>
        <v>1</v>
      </c>
      <c r="C25" s="1183">
        <f>+C24/$B$24</f>
        <v>0.17094017094017094</v>
      </c>
      <c r="D25" s="1183">
        <f>+D24/$B$24</f>
        <v>0.74358974358974361</v>
      </c>
      <c r="E25" s="1184"/>
    </row>
    <row r="26" spans="1:6">
      <c r="A26" s="859"/>
      <c r="B26" s="983"/>
      <c r="C26" s="983"/>
      <c r="D26" s="983"/>
      <c r="E26" s="1184"/>
    </row>
    <row r="27" spans="1:6">
      <c r="A27" s="859"/>
      <c r="B27" s="983"/>
      <c r="C27" s="983"/>
      <c r="D27" s="983"/>
      <c r="E27" s="1184"/>
    </row>
    <row r="28" spans="1:6">
      <c r="A28" s="859"/>
      <c r="B28" s="983"/>
      <c r="C28" s="983"/>
      <c r="D28" s="983"/>
      <c r="E28" s="1184"/>
    </row>
    <row r="29" spans="1:6">
      <c r="A29" s="859"/>
      <c r="B29" s="983"/>
      <c r="C29" s="983"/>
      <c r="D29" s="983"/>
      <c r="E29" s="1184"/>
    </row>
  </sheetData>
  <mergeCells count="1">
    <mergeCell ref="C1:D1"/>
  </mergeCells>
  <pageMargins left="0.7" right="0.7" top="0.75" bottom="0.75" header="0.3" footer="0.3"/>
  <pageSetup paperSize="9" orientation="portrait" r:id="rId1"/>
  <customProperties>
    <customPr name="_pios_id" r:id="rId2"/>
  </customPropertie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28"/>
  <dimension ref="A1:AI22"/>
  <sheetViews>
    <sheetView showGridLines="0" zoomScale="80" zoomScaleNormal="80" workbookViewId="0">
      <selection activeCell="Z25" sqref="Z25"/>
    </sheetView>
  </sheetViews>
  <sheetFormatPr baseColWidth="10" defaultRowHeight="13.2"/>
  <cols>
    <col min="1" max="1" width="19.44140625" bestFit="1" customWidth="1"/>
    <col min="2" max="5" width="0" hidden="1" customWidth="1"/>
    <col min="6" max="6" width="9" customWidth="1"/>
    <col min="7" max="7" width="8.5546875" customWidth="1"/>
    <col min="8" max="8" width="8.77734375" customWidth="1"/>
    <col min="9" max="9" width="9.21875" customWidth="1"/>
    <col min="10" max="10" width="5" customWidth="1"/>
    <col min="11" max="13" width="6.44140625" customWidth="1"/>
    <col min="14" max="14" width="5" customWidth="1"/>
    <col min="15" max="15" width="6.44140625" customWidth="1"/>
    <col min="16" max="16" width="5" customWidth="1"/>
    <col min="17" max="17" width="6.44140625" customWidth="1"/>
    <col min="18" max="18" width="5" customWidth="1"/>
    <col min="19" max="19" width="6.44140625" customWidth="1"/>
    <col min="20" max="20" width="5" customWidth="1"/>
    <col min="21" max="21" width="6.44140625" customWidth="1"/>
    <col min="22" max="22" width="5.44140625" customWidth="1"/>
    <col min="23" max="23" width="5" bestFit="1" customWidth="1"/>
    <col min="24" max="24" width="6.44140625" bestFit="1" customWidth="1"/>
    <col min="25" max="25" width="5" bestFit="1" customWidth="1"/>
    <col min="26" max="26" width="7.77734375" customWidth="1"/>
    <col min="27" max="27" width="5" bestFit="1" customWidth="1"/>
    <col min="28" max="28" width="6.44140625" bestFit="1" customWidth="1"/>
    <col min="29" max="29" width="5" bestFit="1" customWidth="1"/>
    <col min="30" max="30" width="6.44140625" bestFit="1" customWidth="1"/>
    <col min="31" max="31" width="5" bestFit="1" customWidth="1"/>
    <col min="32" max="32" width="6.44140625" bestFit="1" customWidth="1"/>
    <col min="33" max="33" width="5.44140625" bestFit="1" customWidth="1"/>
    <col min="34" max="34" width="6.44140625" bestFit="1" customWidth="1"/>
    <col min="35" max="35" width="5.44140625" bestFit="1" customWidth="1"/>
  </cols>
  <sheetData>
    <row r="1" spans="1:35" ht="13.8" thickBot="1">
      <c r="A1" s="859"/>
      <c r="B1" s="3333" t="s">
        <v>3599</v>
      </c>
      <c r="C1" s="3334"/>
      <c r="D1" s="3334"/>
      <c r="E1" s="3335"/>
      <c r="F1" s="3333" t="s">
        <v>3600</v>
      </c>
      <c r="G1" s="3334"/>
      <c r="H1" s="3334"/>
      <c r="I1" s="3335"/>
      <c r="J1" s="3325" t="s">
        <v>3622</v>
      </c>
      <c r="K1" s="3326"/>
      <c r="L1" s="3326"/>
      <c r="M1" s="3326"/>
      <c r="N1" s="3326"/>
      <c r="O1" s="3326"/>
      <c r="P1" s="3326"/>
      <c r="Q1" s="3326"/>
      <c r="R1" s="3326"/>
      <c r="S1" s="3326"/>
      <c r="T1" s="3326"/>
      <c r="U1" s="3326"/>
      <c r="V1" s="3327" t="s">
        <v>2881</v>
      </c>
      <c r="W1" s="3328" t="s">
        <v>3623</v>
      </c>
      <c r="X1" s="3329"/>
      <c r="Y1" s="3329"/>
      <c r="Z1" s="3329"/>
      <c r="AA1" s="3329"/>
      <c r="AB1" s="3329"/>
      <c r="AC1" s="3329"/>
      <c r="AD1" s="3329"/>
      <c r="AE1" s="3329"/>
      <c r="AF1" s="3329"/>
      <c r="AG1" s="3329"/>
      <c r="AH1" s="3329"/>
      <c r="AI1" s="3327" t="s">
        <v>2881</v>
      </c>
    </row>
    <row r="2" spans="1:35" ht="15" thickBot="1">
      <c r="A2" s="859"/>
      <c r="B2" s="3336" t="s">
        <v>2346</v>
      </c>
      <c r="C2" s="3337"/>
      <c r="D2" s="3337"/>
      <c r="E2" s="3338"/>
      <c r="F2" s="3336" t="s">
        <v>2346</v>
      </c>
      <c r="G2" s="3337"/>
      <c r="H2" s="3337"/>
      <c r="I2" s="3338"/>
      <c r="J2" s="3330" t="s">
        <v>2615</v>
      </c>
      <c r="K2" s="3331"/>
      <c r="L2" s="3332" t="s">
        <v>2616</v>
      </c>
      <c r="M2" s="3331"/>
      <c r="N2" s="3332" t="s">
        <v>2617</v>
      </c>
      <c r="O2" s="3331"/>
      <c r="P2" s="3332" t="s">
        <v>2618</v>
      </c>
      <c r="Q2" s="3331"/>
      <c r="R2" s="3332" t="s">
        <v>824</v>
      </c>
      <c r="S2" s="3331"/>
      <c r="T2" s="3332" t="s">
        <v>55</v>
      </c>
      <c r="U2" s="3331"/>
      <c r="V2" s="3327"/>
      <c r="W2" s="3330" t="s">
        <v>2615</v>
      </c>
      <c r="X2" s="3331"/>
      <c r="Y2" s="3332" t="s">
        <v>2616</v>
      </c>
      <c r="Z2" s="3331"/>
      <c r="AA2" s="3332" t="s">
        <v>2617</v>
      </c>
      <c r="AB2" s="3331"/>
      <c r="AC2" s="3332" t="s">
        <v>2618</v>
      </c>
      <c r="AD2" s="3331"/>
      <c r="AE2" s="3332" t="s">
        <v>824</v>
      </c>
      <c r="AF2" s="3331"/>
      <c r="AG2" s="3332" t="s">
        <v>55</v>
      </c>
      <c r="AH2" s="3331"/>
      <c r="AI2" s="3327"/>
    </row>
    <row r="3" spans="1:35" ht="14.4">
      <c r="A3" s="1331" t="s">
        <v>939</v>
      </c>
      <c r="B3" s="1322" t="s">
        <v>940</v>
      </c>
      <c r="C3" s="1320" t="s">
        <v>941</v>
      </c>
      <c r="D3" s="1321" t="s">
        <v>942</v>
      </c>
      <c r="E3" s="1338" t="s">
        <v>2945</v>
      </c>
      <c r="F3" s="1428" t="s">
        <v>940</v>
      </c>
      <c r="G3" s="1429" t="s">
        <v>941</v>
      </c>
      <c r="H3" s="1430" t="s">
        <v>942</v>
      </c>
      <c r="I3" s="1431" t="s">
        <v>2942</v>
      </c>
      <c r="J3" s="1426" t="s">
        <v>3624</v>
      </c>
      <c r="K3" s="1270" t="s">
        <v>3625</v>
      </c>
      <c r="L3" s="1426" t="s">
        <v>3624</v>
      </c>
      <c r="M3" s="1270" t="s">
        <v>3625</v>
      </c>
      <c r="N3" s="1426" t="s">
        <v>3624</v>
      </c>
      <c r="O3" s="1270" t="s">
        <v>3625</v>
      </c>
      <c r="P3" s="1426" t="s">
        <v>3624</v>
      </c>
      <c r="Q3" s="1270" t="s">
        <v>3625</v>
      </c>
      <c r="R3" s="1426" t="s">
        <v>3624</v>
      </c>
      <c r="S3" s="1270" t="s">
        <v>3625</v>
      </c>
      <c r="T3" s="1426" t="s">
        <v>3624</v>
      </c>
      <c r="U3" s="1270" t="s">
        <v>3625</v>
      </c>
      <c r="V3" s="3327"/>
      <c r="W3" s="1426" t="s">
        <v>3624</v>
      </c>
      <c r="X3" s="1270" t="s">
        <v>3625</v>
      </c>
      <c r="Y3" s="1426" t="s">
        <v>3624</v>
      </c>
      <c r="Z3" s="1270" t="s">
        <v>3625</v>
      </c>
      <c r="AA3" s="1426" t="s">
        <v>3624</v>
      </c>
      <c r="AB3" s="1270" t="s">
        <v>3625</v>
      </c>
      <c r="AC3" s="1426" t="s">
        <v>3624</v>
      </c>
      <c r="AD3" s="1270" t="s">
        <v>3625</v>
      </c>
      <c r="AE3" s="1426" t="s">
        <v>3624</v>
      </c>
      <c r="AF3" s="1270" t="s">
        <v>3625</v>
      </c>
      <c r="AG3" s="1426" t="s">
        <v>3624</v>
      </c>
      <c r="AH3" s="1270" t="s">
        <v>3625</v>
      </c>
      <c r="AI3" s="3327"/>
    </row>
    <row r="4" spans="1:35" ht="15.6">
      <c r="A4" s="1332" t="s">
        <v>450</v>
      </c>
      <c r="B4" s="3344">
        <v>92</v>
      </c>
      <c r="C4" s="3347">
        <v>772</v>
      </c>
      <c r="D4" s="3347">
        <v>466</v>
      </c>
      <c r="E4" s="3342">
        <f>B4+C4+D4</f>
        <v>1330</v>
      </c>
      <c r="F4" s="1323">
        <v>11</v>
      </c>
      <c r="G4" s="1260">
        <v>285</v>
      </c>
      <c r="H4" s="1260">
        <v>118</v>
      </c>
      <c r="I4" s="1324">
        <f>F4+G4+H4</f>
        <v>414</v>
      </c>
      <c r="J4" s="1425">
        <v>7</v>
      </c>
      <c r="K4" s="1234">
        <v>5</v>
      </c>
      <c r="L4" s="1234">
        <v>3</v>
      </c>
      <c r="M4" s="1234">
        <v>3</v>
      </c>
      <c r="N4" s="1234">
        <v>1</v>
      </c>
      <c r="O4" s="1234">
        <v>1</v>
      </c>
      <c r="P4" s="1234">
        <v>1</v>
      </c>
      <c r="Q4" s="1234">
        <v>1</v>
      </c>
      <c r="R4" s="1234">
        <v>3</v>
      </c>
      <c r="S4" s="1234">
        <v>3</v>
      </c>
      <c r="T4" s="543">
        <f t="shared" ref="T4:U6" si="0">+J4+L4+N4+P4+R4</f>
        <v>15</v>
      </c>
      <c r="U4" s="543">
        <f t="shared" si="0"/>
        <v>13</v>
      </c>
      <c r="V4" s="1268">
        <f t="shared" ref="V4:V21" si="1">U4/T4</f>
        <v>0.8666666666666667</v>
      </c>
      <c r="W4" s="1234">
        <v>52</v>
      </c>
      <c r="X4" s="1234">
        <v>0</v>
      </c>
      <c r="Y4" s="1234">
        <v>27</v>
      </c>
      <c r="Z4" s="1234">
        <v>0</v>
      </c>
      <c r="AA4" s="1234">
        <v>10</v>
      </c>
      <c r="AB4" s="1234">
        <v>3</v>
      </c>
      <c r="AC4" s="1234">
        <v>5</v>
      </c>
      <c r="AD4" s="1234">
        <v>0</v>
      </c>
      <c r="AE4" s="1234">
        <v>11</v>
      </c>
      <c r="AF4" s="1234">
        <v>11</v>
      </c>
      <c r="AG4" s="543">
        <f>+W4+Y4+AA4+AC4+AE4</f>
        <v>105</v>
      </c>
      <c r="AH4" s="543">
        <f>+X4+Z4+AB4+AD4+AF4</f>
        <v>14</v>
      </c>
      <c r="AI4" s="1268">
        <f t="shared" ref="AI4:AI21" si="2">AH4/AG4</f>
        <v>0.13333333333333333</v>
      </c>
    </row>
    <row r="5" spans="1:35" ht="15.6">
      <c r="A5" s="1333" t="s">
        <v>451</v>
      </c>
      <c r="B5" s="3345"/>
      <c r="C5" s="3348"/>
      <c r="D5" s="3348"/>
      <c r="E5" s="3350"/>
      <c r="F5" s="1323">
        <v>17</v>
      </c>
      <c r="G5" s="1260">
        <v>320</v>
      </c>
      <c r="H5" s="1260">
        <v>139</v>
      </c>
      <c r="I5" s="1324">
        <f>F5+G5+H5</f>
        <v>476</v>
      </c>
      <c r="J5" s="1425">
        <v>6</v>
      </c>
      <c r="K5" s="1234">
        <v>5</v>
      </c>
      <c r="L5" s="1234">
        <v>2</v>
      </c>
      <c r="M5" s="1234">
        <v>2</v>
      </c>
      <c r="N5" s="1234">
        <v>1</v>
      </c>
      <c r="O5" s="1234">
        <v>1</v>
      </c>
      <c r="P5" s="1234">
        <v>0</v>
      </c>
      <c r="Q5" s="1234">
        <v>0</v>
      </c>
      <c r="R5" s="1234">
        <v>2</v>
      </c>
      <c r="S5" s="1234">
        <v>2</v>
      </c>
      <c r="T5" s="543">
        <f t="shared" si="0"/>
        <v>11</v>
      </c>
      <c r="U5" s="543">
        <f t="shared" si="0"/>
        <v>10</v>
      </c>
      <c r="V5" s="1268">
        <f t="shared" si="1"/>
        <v>0.90909090909090906</v>
      </c>
      <c r="W5" s="1234">
        <v>66</v>
      </c>
      <c r="X5" s="1234">
        <v>3</v>
      </c>
      <c r="Y5" s="1234">
        <v>10</v>
      </c>
      <c r="Z5" s="1234">
        <v>1</v>
      </c>
      <c r="AA5" s="1234">
        <v>26</v>
      </c>
      <c r="AB5" s="1234">
        <v>15</v>
      </c>
      <c r="AC5" s="1234">
        <v>7</v>
      </c>
      <c r="AD5" s="1234">
        <v>2</v>
      </c>
      <c r="AE5" s="1234">
        <v>14</v>
      </c>
      <c r="AF5" s="1234">
        <v>8</v>
      </c>
      <c r="AG5" s="543">
        <f t="shared" ref="AG5:AG20" si="3">+W5+Y5+AA5+AC5+AE5</f>
        <v>123</v>
      </c>
      <c r="AH5" s="543">
        <f t="shared" ref="AH5:AH20" si="4">+X5+Z5+AB5+AD5+AF5</f>
        <v>29</v>
      </c>
      <c r="AI5" s="1268">
        <f t="shared" si="2"/>
        <v>0.23577235772357724</v>
      </c>
    </row>
    <row r="6" spans="1:35" ht="15.6">
      <c r="A6" s="1332" t="s">
        <v>509</v>
      </c>
      <c r="B6" s="3346"/>
      <c r="C6" s="3349"/>
      <c r="D6" s="3349"/>
      <c r="E6" s="3343"/>
      <c r="F6" s="1323">
        <v>12</v>
      </c>
      <c r="G6" s="1260">
        <v>181</v>
      </c>
      <c r="H6" s="1260">
        <v>255</v>
      </c>
      <c r="I6" s="1324">
        <f>F6+G6+H6</f>
        <v>448</v>
      </c>
      <c r="J6" s="1425">
        <v>7</v>
      </c>
      <c r="K6" s="1234">
        <v>3</v>
      </c>
      <c r="L6" s="1234">
        <v>5</v>
      </c>
      <c r="M6" s="1234">
        <v>5</v>
      </c>
      <c r="N6" s="1234">
        <v>2</v>
      </c>
      <c r="O6" s="1234">
        <v>2</v>
      </c>
      <c r="P6" s="1234">
        <v>2</v>
      </c>
      <c r="Q6" s="1234">
        <v>2</v>
      </c>
      <c r="R6" s="1234">
        <v>0</v>
      </c>
      <c r="S6" s="1234">
        <v>0</v>
      </c>
      <c r="T6" s="543">
        <f t="shared" si="0"/>
        <v>16</v>
      </c>
      <c r="U6" s="543">
        <f t="shared" si="0"/>
        <v>12</v>
      </c>
      <c r="V6" s="1268">
        <f t="shared" si="1"/>
        <v>0.75</v>
      </c>
      <c r="W6" s="1234">
        <v>12</v>
      </c>
      <c r="X6" s="1234">
        <v>2</v>
      </c>
      <c r="Y6" s="1234">
        <v>49</v>
      </c>
      <c r="Z6" s="1234">
        <v>0</v>
      </c>
      <c r="AA6" s="1234">
        <v>5</v>
      </c>
      <c r="AB6" s="1234">
        <v>3</v>
      </c>
      <c r="AC6" s="1234">
        <v>7</v>
      </c>
      <c r="AD6" s="1234">
        <v>0</v>
      </c>
      <c r="AE6" s="1234">
        <v>6</v>
      </c>
      <c r="AF6" s="1234">
        <v>0</v>
      </c>
      <c r="AG6" s="543">
        <f t="shared" si="3"/>
        <v>79</v>
      </c>
      <c r="AH6" s="543">
        <f t="shared" si="4"/>
        <v>5</v>
      </c>
      <c r="AI6" s="1268">
        <f t="shared" si="2"/>
        <v>6.3291139240506333E-2</v>
      </c>
    </row>
    <row r="7" spans="1:35" ht="15.6">
      <c r="A7" s="1334" t="s">
        <v>2347</v>
      </c>
      <c r="B7" s="1323">
        <v>32</v>
      </c>
      <c r="C7" s="1260">
        <v>166</v>
      </c>
      <c r="D7" s="1260">
        <v>173</v>
      </c>
      <c r="E7" s="1324">
        <f t="shared" ref="E7:E13" si="5">SUM(B7:D7)</f>
        <v>371</v>
      </c>
      <c r="F7" s="1323">
        <v>37</v>
      </c>
      <c r="G7" s="1260">
        <v>248</v>
      </c>
      <c r="H7" s="1260">
        <v>244</v>
      </c>
      <c r="I7" s="1324">
        <f>F7+G7+H7</f>
        <v>529</v>
      </c>
      <c r="J7" s="1425">
        <v>13</v>
      </c>
      <c r="K7" s="1234">
        <v>6</v>
      </c>
      <c r="L7" s="1234">
        <v>6</v>
      </c>
      <c r="M7" s="1234">
        <v>3</v>
      </c>
      <c r="N7" s="1234">
        <v>2</v>
      </c>
      <c r="O7" s="1234">
        <v>2</v>
      </c>
      <c r="P7" s="1234">
        <v>0</v>
      </c>
      <c r="Q7" s="1234">
        <v>0</v>
      </c>
      <c r="R7" s="1234">
        <v>0</v>
      </c>
      <c r="S7" s="1234">
        <v>0</v>
      </c>
      <c r="T7" s="543">
        <f t="shared" ref="T7:U20" si="6">+J7+L7+N7+P7+R7</f>
        <v>21</v>
      </c>
      <c r="U7" s="543">
        <f t="shared" si="6"/>
        <v>11</v>
      </c>
      <c r="V7" s="1268">
        <f t="shared" si="1"/>
        <v>0.52380952380952384</v>
      </c>
      <c r="W7" s="1234">
        <v>27</v>
      </c>
      <c r="X7" s="1234">
        <v>10</v>
      </c>
      <c r="Y7" s="1234">
        <v>5</v>
      </c>
      <c r="Z7" s="1234">
        <v>1</v>
      </c>
      <c r="AA7" s="1234">
        <v>12</v>
      </c>
      <c r="AB7" s="1234">
        <v>6</v>
      </c>
      <c r="AC7" s="1234">
        <v>4</v>
      </c>
      <c r="AD7" s="1234">
        <v>4</v>
      </c>
      <c r="AE7" s="1234">
        <v>14</v>
      </c>
      <c r="AF7" s="1234">
        <v>14</v>
      </c>
      <c r="AG7" s="543">
        <f t="shared" si="3"/>
        <v>62</v>
      </c>
      <c r="AH7" s="543">
        <f t="shared" si="4"/>
        <v>35</v>
      </c>
      <c r="AI7" s="1268">
        <f t="shared" si="2"/>
        <v>0.56451612903225812</v>
      </c>
    </row>
    <row r="8" spans="1:35" ht="15.6">
      <c r="A8" s="1332" t="s">
        <v>717</v>
      </c>
      <c r="B8" s="1323">
        <v>5</v>
      </c>
      <c r="C8" s="1260">
        <v>92</v>
      </c>
      <c r="D8" s="1260">
        <v>119</v>
      </c>
      <c r="E8" s="1324">
        <f t="shared" si="5"/>
        <v>216</v>
      </c>
      <c r="F8" s="1323">
        <v>14</v>
      </c>
      <c r="G8" s="1260">
        <v>102</v>
      </c>
      <c r="H8" s="1260">
        <v>97</v>
      </c>
      <c r="I8" s="1324">
        <f t="shared" ref="I8:I18" si="7">SUM(F8:H8)</f>
        <v>213</v>
      </c>
      <c r="J8" s="1425">
        <v>6</v>
      </c>
      <c r="K8" s="1234">
        <v>3</v>
      </c>
      <c r="L8" s="1234">
        <v>0</v>
      </c>
      <c r="M8" s="1234">
        <v>0</v>
      </c>
      <c r="N8" s="1234">
        <v>1</v>
      </c>
      <c r="O8" s="1234">
        <v>0</v>
      </c>
      <c r="P8" s="1234">
        <v>0</v>
      </c>
      <c r="Q8" s="1234">
        <v>0</v>
      </c>
      <c r="R8" s="1234">
        <v>0</v>
      </c>
      <c r="S8" s="1234">
        <v>0</v>
      </c>
      <c r="T8" s="543">
        <f t="shared" si="6"/>
        <v>7</v>
      </c>
      <c r="U8" s="543">
        <f t="shared" si="6"/>
        <v>3</v>
      </c>
      <c r="V8" s="1268">
        <f t="shared" si="1"/>
        <v>0.42857142857142855</v>
      </c>
      <c r="W8" s="1234">
        <v>23</v>
      </c>
      <c r="X8" s="1234">
        <v>10</v>
      </c>
      <c r="Y8" s="1234">
        <v>8</v>
      </c>
      <c r="Z8" s="1234">
        <v>2</v>
      </c>
      <c r="AA8" s="1234">
        <v>5</v>
      </c>
      <c r="AB8" s="1234">
        <v>4</v>
      </c>
      <c r="AC8" s="1234">
        <v>8</v>
      </c>
      <c r="AD8" s="1234">
        <v>8</v>
      </c>
      <c r="AE8" s="1234">
        <v>5</v>
      </c>
      <c r="AF8" s="1234">
        <v>5</v>
      </c>
      <c r="AG8" s="543">
        <f t="shared" si="3"/>
        <v>49</v>
      </c>
      <c r="AH8" s="543">
        <f t="shared" si="4"/>
        <v>29</v>
      </c>
      <c r="AI8" s="1268">
        <f t="shared" si="2"/>
        <v>0.59183673469387754</v>
      </c>
    </row>
    <row r="9" spans="1:35" ht="15.6">
      <c r="A9" s="1332" t="s">
        <v>471</v>
      </c>
      <c r="B9" s="1323">
        <v>43</v>
      </c>
      <c r="C9" s="1260">
        <v>166</v>
      </c>
      <c r="D9" s="1260">
        <v>1594</v>
      </c>
      <c r="E9" s="1324">
        <f t="shared" si="5"/>
        <v>1803</v>
      </c>
      <c r="F9" s="1323">
        <v>8</v>
      </c>
      <c r="G9" s="1260">
        <v>95</v>
      </c>
      <c r="H9" s="1260">
        <v>553</v>
      </c>
      <c r="I9" s="1324">
        <f t="shared" si="7"/>
        <v>656</v>
      </c>
      <c r="J9" s="1425">
        <v>6</v>
      </c>
      <c r="K9" s="1234">
        <v>6</v>
      </c>
      <c r="L9" s="1234">
        <v>3</v>
      </c>
      <c r="M9" s="1234">
        <v>3</v>
      </c>
      <c r="N9" s="1234">
        <v>1</v>
      </c>
      <c r="O9" s="1234">
        <v>1</v>
      </c>
      <c r="P9" s="1234">
        <v>6</v>
      </c>
      <c r="Q9" s="1234">
        <v>6</v>
      </c>
      <c r="R9" s="1234">
        <v>0</v>
      </c>
      <c r="S9" s="1234">
        <v>0</v>
      </c>
      <c r="T9" s="543">
        <f t="shared" si="6"/>
        <v>16</v>
      </c>
      <c r="U9" s="543">
        <f t="shared" si="6"/>
        <v>16</v>
      </c>
      <c r="V9" s="1268">
        <f t="shared" si="1"/>
        <v>1</v>
      </c>
      <c r="W9" s="1234">
        <v>50</v>
      </c>
      <c r="X9" s="1234">
        <v>17</v>
      </c>
      <c r="Y9" s="1234">
        <v>13</v>
      </c>
      <c r="Z9" s="1234">
        <v>9</v>
      </c>
      <c r="AA9" s="1234">
        <v>11</v>
      </c>
      <c r="AB9" s="1234">
        <v>7</v>
      </c>
      <c r="AC9" s="1234">
        <v>33</v>
      </c>
      <c r="AD9" s="1234">
        <v>22</v>
      </c>
      <c r="AE9" s="1234">
        <v>5</v>
      </c>
      <c r="AF9" s="1234">
        <v>2</v>
      </c>
      <c r="AG9" s="543">
        <f t="shared" si="3"/>
        <v>112</v>
      </c>
      <c r="AH9" s="543">
        <f t="shared" si="4"/>
        <v>57</v>
      </c>
      <c r="AI9" s="1268">
        <f t="shared" si="2"/>
        <v>0.5089285714285714</v>
      </c>
    </row>
    <row r="10" spans="1:35" ht="15.6">
      <c r="A10" s="1332" t="s">
        <v>447</v>
      </c>
      <c r="B10" s="1323">
        <v>97</v>
      </c>
      <c r="C10" s="1260">
        <v>514</v>
      </c>
      <c r="D10" s="1260">
        <v>799</v>
      </c>
      <c r="E10" s="1324">
        <f t="shared" si="5"/>
        <v>1410</v>
      </c>
      <c r="F10" s="1323">
        <v>68</v>
      </c>
      <c r="G10" s="1260">
        <v>561</v>
      </c>
      <c r="H10" s="1260">
        <v>866</v>
      </c>
      <c r="I10" s="1324">
        <f t="shared" si="7"/>
        <v>1495</v>
      </c>
      <c r="J10" s="1425">
        <v>27</v>
      </c>
      <c r="K10" s="1234">
        <v>27</v>
      </c>
      <c r="L10" s="1234">
        <v>11</v>
      </c>
      <c r="M10" s="1234">
        <v>11</v>
      </c>
      <c r="N10" s="1234">
        <v>9</v>
      </c>
      <c r="O10" s="1234">
        <v>9</v>
      </c>
      <c r="P10" s="1234">
        <v>5</v>
      </c>
      <c r="Q10" s="1234">
        <v>5</v>
      </c>
      <c r="R10" s="1234">
        <v>6</v>
      </c>
      <c r="S10" s="1234">
        <v>6</v>
      </c>
      <c r="T10" s="543">
        <f>+J10+L10+N10+P10+R10</f>
        <v>58</v>
      </c>
      <c r="U10" s="543">
        <f>+K10+M10+O10+Q10+S10</f>
        <v>58</v>
      </c>
      <c r="V10" s="1268">
        <f t="shared" si="1"/>
        <v>1</v>
      </c>
      <c r="W10" s="1234">
        <v>25</v>
      </c>
      <c r="X10" s="1234">
        <v>8</v>
      </c>
      <c r="Y10" s="1234">
        <v>56</v>
      </c>
      <c r="Z10" s="1234">
        <v>45</v>
      </c>
      <c r="AA10" s="1234">
        <v>48</v>
      </c>
      <c r="AB10" s="1234">
        <v>48</v>
      </c>
      <c r="AC10" s="1234">
        <v>17</v>
      </c>
      <c r="AD10" s="1234">
        <v>17</v>
      </c>
      <c r="AE10" s="1234">
        <v>45</v>
      </c>
      <c r="AF10" s="1234">
        <v>45</v>
      </c>
      <c r="AG10" s="543">
        <f t="shared" si="3"/>
        <v>191</v>
      </c>
      <c r="AH10" s="543">
        <f t="shared" si="4"/>
        <v>163</v>
      </c>
      <c r="AI10" s="1268">
        <f t="shared" si="2"/>
        <v>0.8534031413612565</v>
      </c>
    </row>
    <row r="11" spans="1:35" ht="15.6">
      <c r="A11" s="1419" t="s">
        <v>521</v>
      </c>
      <c r="B11" s="1420">
        <v>20</v>
      </c>
      <c r="C11" s="1421">
        <v>88</v>
      </c>
      <c r="D11" s="1421">
        <v>169</v>
      </c>
      <c r="E11" s="1422">
        <f t="shared" si="5"/>
        <v>277</v>
      </c>
      <c r="F11" s="1420">
        <v>20</v>
      </c>
      <c r="G11" s="1421">
        <v>144</v>
      </c>
      <c r="H11" s="1421">
        <v>221</v>
      </c>
      <c r="I11" s="1422">
        <f t="shared" si="7"/>
        <v>385</v>
      </c>
      <c r="J11" s="1423">
        <v>19</v>
      </c>
      <c r="K11" s="1424">
        <v>9</v>
      </c>
      <c r="L11" s="1424">
        <v>9</v>
      </c>
      <c r="M11" s="1424">
        <v>6</v>
      </c>
      <c r="N11" s="1424">
        <v>11</v>
      </c>
      <c r="O11" s="1424">
        <v>11</v>
      </c>
      <c r="P11" s="1424">
        <v>8</v>
      </c>
      <c r="Q11" s="1424">
        <v>8</v>
      </c>
      <c r="R11" s="1424">
        <v>1</v>
      </c>
      <c r="S11" s="1424">
        <v>1</v>
      </c>
      <c r="T11" s="1015">
        <f t="shared" si="6"/>
        <v>48</v>
      </c>
      <c r="U11" s="1015">
        <f t="shared" si="6"/>
        <v>35</v>
      </c>
      <c r="V11" s="1268">
        <f t="shared" si="1"/>
        <v>0.72916666666666663</v>
      </c>
      <c r="W11" s="1234">
        <v>72</v>
      </c>
      <c r="X11" s="1234">
        <v>21</v>
      </c>
      <c r="Y11" s="1234">
        <v>9</v>
      </c>
      <c r="Z11" s="1234">
        <v>6</v>
      </c>
      <c r="AA11" s="1234">
        <v>11</v>
      </c>
      <c r="AB11" s="1234">
        <v>8</v>
      </c>
      <c r="AC11" s="1234">
        <v>8</v>
      </c>
      <c r="AD11" s="1234">
        <v>5</v>
      </c>
      <c r="AE11" s="1234">
        <v>1</v>
      </c>
      <c r="AF11" s="1234">
        <v>1</v>
      </c>
      <c r="AG11" s="543">
        <f t="shared" si="3"/>
        <v>101</v>
      </c>
      <c r="AH11" s="543">
        <f t="shared" si="4"/>
        <v>41</v>
      </c>
      <c r="AI11" s="1268">
        <f t="shared" si="2"/>
        <v>0.40594059405940597</v>
      </c>
    </row>
    <row r="12" spans="1:35" ht="15.6">
      <c r="A12" s="1419" t="s">
        <v>943</v>
      </c>
      <c r="B12" s="1420">
        <v>9</v>
      </c>
      <c r="C12" s="1421">
        <v>36</v>
      </c>
      <c r="D12" s="1421">
        <v>66</v>
      </c>
      <c r="E12" s="1422">
        <f t="shared" si="5"/>
        <v>111</v>
      </c>
      <c r="F12" s="1420">
        <v>11</v>
      </c>
      <c r="G12" s="1421">
        <v>38</v>
      </c>
      <c r="H12" s="1421">
        <v>85</v>
      </c>
      <c r="I12" s="1422">
        <f t="shared" si="7"/>
        <v>134</v>
      </c>
      <c r="J12" s="1423">
        <v>9</v>
      </c>
      <c r="K12" s="1424">
        <v>1</v>
      </c>
      <c r="L12" s="1424">
        <v>2</v>
      </c>
      <c r="M12" s="1424">
        <v>1</v>
      </c>
      <c r="N12" s="1424">
        <v>2</v>
      </c>
      <c r="O12" s="1424">
        <v>2</v>
      </c>
      <c r="P12" s="1424">
        <v>2</v>
      </c>
      <c r="Q12" s="1424">
        <v>2</v>
      </c>
      <c r="R12" s="1424">
        <v>1</v>
      </c>
      <c r="S12" s="1424">
        <v>1</v>
      </c>
      <c r="T12" s="1015">
        <f t="shared" si="6"/>
        <v>16</v>
      </c>
      <c r="U12" s="1015">
        <f t="shared" si="6"/>
        <v>7</v>
      </c>
      <c r="V12" s="1268">
        <f t="shared" si="1"/>
        <v>0.4375</v>
      </c>
      <c r="W12" s="1234">
        <v>35</v>
      </c>
      <c r="X12" s="1234">
        <v>10</v>
      </c>
      <c r="Y12" s="1234">
        <v>3</v>
      </c>
      <c r="Z12" s="1234">
        <v>2</v>
      </c>
      <c r="AA12" s="1234">
        <v>12</v>
      </c>
      <c r="AB12" s="1234">
        <v>10</v>
      </c>
      <c r="AC12" s="1234">
        <v>2</v>
      </c>
      <c r="AD12" s="1234">
        <v>1</v>
      </c>
      <c r="AE12" s="1234">
        <v>4</v>
      </c>
      <c r="AF12" s="1234">
        <v>4</v>
      </c>
      <c r="AG12" s="543">
        <f t="shared" si="3"/>
        <v>56</v>
      </c>
      <c r="AH12" s="543">
        <f t="shared" si="4"/>
        <v>27</v>
      </c>
      <c r="AI12" s="1268">
        <f t="shared" si="2"/>
        <v>0.48214285714285715</v>
      </c>
    </row>
    <row r="13" spans="1:35" ht="15.6">
      <c r="A13" s="1332" t="s">
        <v>944</v>
      </c>
      <c r="B13" s="3339">
        <v>85</v>
      </c>
      <c r="C13" s="3341">
        <v>431</v>
      </c>
      <c r="D13" s="3341">
        <v>461</v>
      </c>
      <c r="E13" s="3342">
        <f t="shared" si="5"/>
        <v>977</v>
      </c>
      <c r="F13" s="1323">
        <v>51</v>
      </c>
      <c r="G13" s="1260">
        <v>228</v>
      </c>
      <c r="H13" s="1260">
        <v>215</v>
      </c>
      <c r="I13" s="1324">
        <f t="shared" si="7"/>
        <v>494</v>
      </c>
      <c r="J13" s="1425">
        <v>13</v>
      </c>
      <c r="K13" s="1234">
        <v>10</v>
      </c>
      <c r="L13" s="1234">
        <v>13</v>
      </c>
      <c r="M13" s="1234">
        <v>13</v>
      </c>
      <c r="N13" s="543">
        <v>13</v>
      </c>
      <c r="O13" s="543">
        <v>13</v>
      </c>
      <c r="P13" s="543">
        <v>35</v>
      </c>
      <c r="Q13" s="543">
        <v>30</v>
      </c>
      <c r="R13" s="543">
        <v>1</v>
      </c>
      <c r="S13" s="543">
        <v>1</v>
      </c>
      <c r="T13" s="543">
        <f t="shared" si="6"/>
        <v>75</v>
      </c>
      <c r="U13" s="543">
        <f>+K13+M13+O13+Q13+S13</f>
        <v>67</v>
      </c>
      <c r="V13" s="1268">
        <f t="shared" si="1"/>
        <v>0.89333333333333331</v>
      </c>
      <c r="W13" s="1234">
        <v>30</v>
      </c>
      <c r="X13" s="1234">
        <v>27</v>
      </c>
      <c r="Y13" s="543">
        <v>20</v>
      </c>
      <c r="Z13" s="543">
        <v>19</v>
      </c>
      <c r="AA13" s="543">
        <v>32</v>
      </c>
      <c r="AB13" s="543">
        <v>32</v>
      </c>
      <c r="AC13" s="543">
        <v>29</v>
      </c>
      <c r="AD13" s="543">
        <v>28</v>
      </c>
      <c r="AE13" s="543">
        <v>15</v>
      </c>
      <c r="AF13" s="543">
        <v>15</v>
      </c>
      <c r="AG13" s="543">
        <f t="shared" si="3"/>
        <v>126</v>
      </c>
      <c r="AH13" s="543">
        <f t="shared" si="4"/>
        <v>121</v>
      </c>
      <c r="AI13" s="1268">
        <f t="shared" si="2"/>
        <v>0.96031746031746035</v>
      </c>
    </row>
    <row r="14" spans="1:35" ht="15.6">
      <c r="A14" s="1332" t="s">
        <v>945</v>
      </c>
      <c r="B14" s="3340"/>
      <c r="C14" s="3341"/>
      <c r="D14" s="3341"/>
      <c r="E14" s="3343"/>
      <c r="F14" s="1323">
        <v>36</v>
      </c>
      <c r="G14" s="1260">
        <v>196</v>
      </c>
      <c r="H14" s="1260">
        <v>158</v>
      </c>
      <c r="I14" s="1324">
        <f t="shared" si="7"/>
        <v>390</v>
      </c>
      <c r="J14" s="1425">
        <v>14</v>
      </c>
      <c r="K14" s="1234">
        <v>13</v>
      </c>
      <c r="L14" s="1234">
        <v>3</v>
      </c>
      <c r="M14" s="1234">
        <v>1</v>
      </c>
      <c r="N14" s="543">
        <v>5</v>
      </c>
      <c r="O14" s="543">
        <v>4</v>
      </c>
      <c r="P14" s="543">
        <v>34</v>
      </c>
      <c r="Q14" s="543">
        <v>30</v>
      </c>
      <c r="R14" s="543">
        <v>3</v>
      </c>
      <c r="S14" s="543">
        <v>2</v>
      </c>
      <c r="T14" s="543">
        <f t="shared" si="6"/>
        <v>59</v>
      </c>
      <c r="U14" s="543">
        <f>+K14+M14+O14+Q14+S14</f>
        <v>50</v>
      </c>
      <c r="V14" s="1268">
        <f t="shared" si="1"/>
        <v>0.84745762711864403</v>
      </c>
      <c r="W14" s="1234">
        <v>34</v>
      </c>
      <c r="X14" s="1234">
        <v>22</v>
      </c>
      <c r="Y14" s="543">
        <v>8</v>
      </c>
      <c r="Z14" s="543">
        <v>7</v>
      </c>
      <c r="AA14" s="543">
        <v>32</v>
      </c>
      <c r="AB14" s="543">
        <v>24</v>
      </c>
      <c r="AC14" s="543">
        <v>144</v>
      </c>
      <c r="AD14" s="543">
        <v>135</v>
      </c>
      <c r="AE14" s="543">
        <v>21</v>
      </c>
      <c r="AF14" s="543">
        <v>18</v>
      </c>
      <c r="AG14" s="543">
        <f t="shared" si="3"/>
        <v>239</v>
      </c>
      <c r="AH14" s="543">
        <f t="shared" si="4"/>
        <v>206</v>
      </c>
      <c r="AI14" s="1268">
        <f t="shared" si="2"/>
        <v>0.86192468619246865</v>
      </c>
    </row>
    <row r="15" spans="1:35" ht="15.6">
      <c r="A15" s="1332" t="s">
        <v>946</v>
      </c>
      <c r="B15" s="1323"/>
      <c r="C15" s="1260"/>
      <c r="D15" s="1260"/>
      <c r="E15" s="1324"/>
      <c r="F15" s="1323"/>
      <c r="G15" s="1260"/>
      <c r="H15" s="1260"/>
      <c r="I15" s="1324"/>
      <c r="J15" s="1425"/>
      <c r="K15" s="1234"/>
      <c r="L15" s="1234"/>
      <c r="M15" s="1234"/>
      <c r="N15" s="1234"/>
      <c r="O15" s="1234"/>
      <c r="P15" s="1234"/>
      <c r="Q15" s="1234"/>
      <c r="R15" s="1234"/>
      <c r="S15" s="1234"/>
      <c r="T15" s="543">
        <f t="shared" si="6"/>
        <v>0</v>
      </c>
      <c r="U15" s="543">
        <f t="shared" si="6"/>
        <v>0</v>
      </c>
      <c r="V15" s="1268" t="e">
        <f t="shared" si="1"/>
        <v>#DIV/0!</v>
      </c>
      <c r="W15" s="1234"/>
      <c r="X15" s="1234"/>
      <c r="Y15" s="1234"/>
      <c r="Z15" s="1234"/>
      <c r="AA15" s="1234"/>
      <c r="AB15" s="1234"/>
      <c r="AC15" s="1234"/>
      <c r="AD15" s="1234"/>
      <c r="AE15" s="1234"/>
      <c r="AF15" s="1234"/>
      <c r="AG15" s="543">
        <f t="shared" si="3"/>
        <v>0</v>
      </c>
      <c r="AH15" s="543">
        <f t="shared" si="4"/>
        <v>0</v>
      </c>
      <c r="AI15" s="1268" t="e">
        <f t="shared" si="2"/>
        <v>#DIV/0!</v>
      </c>
    </row>
    <row r="16" spans="1:35" ht="15.6">
      <c r="A16" s="1335" t="s">
        <v>591</v>
      </c>
      <c r="B16" s="93"/>
      <c r="C16" s="543"/>
      <c r="D16" s="543"/>
      <c r="E16" s="1325"/>
      <c r="F16" s="93">
        <v>3</v>
      </c>
      <c r="G16" s="543">
        <v>394</v>
      </c>
      <c r="H16" s="543">
        <v>384</v>
      </c>
      <c r="I16" s="1324">
        <v>781</v>
      </c>
      <c r="J16" s="1425">
        <v>3</v>
      </c>
      <c r="K16" s="1234">
        <v>3</v>
      </c>
      <c r="L16" s="1234">
        <v>3</v>
      </c>
      <c r="M16" s="1234">
        <v>3</v>
      </c>
      <c r="N16" s="1234">
        <v>3</v>
      </c>
      <c r="O16" s="1234">
        <v>3</v>
      </c>
      <c r="P16" s="1234">
        <v>3</v>
      </c>
      <c r="Q16" s="1234">
        <v>3</v>
      </c>
      <c r="R16" s="1234">
        <v>3</v>
      </c>
      <c r="S16" s="1234">
        <v>3</v>
      </c>
      <c r="T16" s="543">
        <f t="shared" si="6"/>
        <v>15</v>
      </c>
      <c r="U16" s="543">
        <f t="shared" si="6"/>
        <v>15</v>
      </c>
      <c r="V16" s="1268">
        <f t="shared" si="1"/>
        <v>1</v>
      </c>
      <c r="W16" s="1234">
        <v>141</v>
      </c>
      <c r="X16" s="1234">
        <v>0</v>
      </c>
      <c r="Y16" s="1234">
        <v>403</v>
      </c>
      <c r="Z16" s="1234">
        <v>35</v>
      </c>
      <c r="AA16" s="1234">
        <v>204</v>
      </c>
      <c r="AB16" s="1234">
        <v>11</v>
      </c>
      <c r="AC16" s="1234">
        <v>403</v>
      </c>
      <c r="AD16" s="1234">
        <v>35</v>
      </c>
      <c r="AE16" s="1234">
        <v>0</v>
      </c>
      <c r="AF16" s="1234">
        <v>0</v>
      </c>
      <c r="AG16" s="543">
        <f t="shared" si="3"/>
        <v>1151</v>
      </c>
      <c r="AH16" s="543">
        <f t="shared" si="4"/>
        <v>81</v>
      </c>
      <c r="AI16" s="1268">
        <f t="shared" si="2"/>
        <v>7.0373588184187666E-2</v>
      </c>
    </row>
    <row r="17" spans="1:35" ht="15.6">
      <c r="A17" s="1335" t="s">
        <v>2789</v>
      </c>
      <c r="B17" s="93"/>
      <c r="C17" s="543"/>
      <c r="D17" s="543"/>
      <c r="E17" s="1325"/>
      <c r="F17" s="93">
        <v>9</v>
      </c>
      <c r="G17" s="543">
        <v>45</v>
      </c>
      <c r="H17" s="543">
        <v>295</v>
      </c>
      <c r="I17" s="1324">
        <f t="shared" si="7"/>
        <v>349</v>
      </c>
      <c r="J17" s="1425"/>
      <c r="K17" s="1234"/>
      <c r="L17" s="1234"/>
      <c r="M17" s="1234"/>
      <c r="N17" s="1234"/>
      <c r="O17" s="1234"/>
      <c r="P17" s="1234"/>
      <c r="Q17" s="1234"/>
      <c r="R17" s="1234"/>
      <c r="S17" s="1234"/>
      <c r="T17" s="543">
        <v>9</v>
      </c>
      <c r="U17" s="543">
        <v>6</v>
      </c>
      <c r="V17" s="1268">
        <f t="shared" si="1"/>
        <v>0.66666666666666663</v>
      </c>
      <c r="W17" s="1234"/>
      <c r="X17" s="1234"/>
      <c r="Y17" s="1234"/>
      <c r="Z17" s="1234"/>
      <c r="AA17" s="1234"/>
      <c r="AB17" s="1234"/>
      <c r="AC17" s="1234"/>
      <c r="AD17" s="1234"/>
      <c r="AE17" s="1234"/>
      <c r="AF17" s="1234"/>
      <c r="AG17" s="543">
        <v>45</v>
      </c>
      <c r="AH17" s="543">
        <v>21</v>
      </c>
      <c r="AI17" s="1268">
        <f t="shared" si="2"/>
        <v>0.46666666666666667</v>
      </c>
    </row>
    <row r="18" spans="1:35" ht="15.6">
      <c r="A18" s="1335" t="s">
        <v>922</v>
      </c>
      <c r="B18" s="1326"/>
      <c r="C18" s="137"/>
      <c r="D18" s="137"/>
      <c r="E18" s="1327"/>
      <c r="F18" s="93">
        <v>113</v>
      </c>
      <c r="G18" s="543">
        <v>979</v>
      </c>
      <c r="H18" s="543">
        <v>458</v>
      </c>
      <c r="I18" s="1324">
        <f t="shared" si="7"/>
        <v>1550</v>
      </c>
      <c r="J18" s="1425">
        <v>42</v>
      </c>
      <c r="K18" s="1234">
        <v>22</v>
      </c>
      <c r="L18" s="1234">
        <v>51</v>
      </c>
      <c r="M18" s="1234">
        <v>46</v>
      </c>
      <c r="N18" s="1234">
        <v>7</v>
      </c>
      <c r="O18" s="1234">
        <v>7</v>
      </c>
      <c r="P18" s="1234">
        <v>47</v>
      </c>
      <c r="Q18" s="1234">
        <v>43</v>
      </c>
      <c r="R18" s="1234">
        <v>36</v>
      </c>
      <c r="S18" s="1234">
        <v>36</v>
      </c>
      <c r="T18" s="543">
        <f t="shared" si="6"/>
        <v>183</v>
      </c>
      <c r="U18" s="543">
        <f t="shared" si="6"/>
        <v>154</v>
      </c>
      <c r="V18" s="1268">
        <f t="shared" si="1"/>
        <v>0.84153005464480879</v>
      </c>
      <c r="W18" s="1234">
        <v>83</v>
      </c>
      <c r="X18" s="1234">
        <v>25</v>
      </c>
      <c r="Y18" s="1234">
        <v>164</v>
      </c>
      <c r="Z18" s="1234">
        <v>161</v>
      </c>
      <c r="AA18" s="1234">
        <v>31</v>
      </c>
      <c r="AB18" s="1234">
        <v>31</v>
      </c>
      <c r="AC18" s="1234">
        <v>187</v>
      </c>
      <c r="AD18" s="1234">
        <v>177</v>
      </c>
      <c r="AE18" s="1234">
        <v>57</v>
      </c>
      <c r="AF18" s="1234">
        <v>57</v>
      </c>
      <c r="AG18" s="543">
        <f t="shared" si="3"/>
        <v>522</v>
      </c>
      <c r="AH18" s="543">
        <f t="shared" si="4"/>
        <v>451</v>
      </c>
      <c r="AI18" s="1268">
        <f t="shared" si="2"/>
        <v>0.86398467432950188</v>
      </c>
    </row>
    <row r="19" spans="1:35" ht="14.4">
      <c r="A19" s="1335" t="s">
        <v>1990</v>
      </c>
      <c r="B19" s="1326"/>
      <c r="C19" s="137"/>
      <c r="D19" s="137"/>
      <c r="E19" s="1327"/>
      <c r="F19" s="1326"/>
      <c r="G19" s="137"/>
      <c r="H19" s="137"/>
      <c r="I19" s="1327"/>
      <c r="J19" s="1425"/>
      <c r="K19" s="1234"/>
      <c r="L19" s="1234"/>
      <c r="M19" s="1234"/>
      <c r="N19" s="1234"/>
      <c r="O19" s="1234"/>
      <c r="P19" s="1234"/>
      <c r="Q19" s="1234"/>
      <c r="R19" s="1234"/>
      <c r="S19" s="1234"/>
      <c r="T19" s="543">
        <v>11</v>
      </c>
      <c r="U19" s="543">
        <v>7</v>
      </c>
      <c r="V19" s="1268">
        <f t="shared" si="1"/>
        <v>0.63636363636363635</v>
      </c>
      <c r="W19" s="1234"/>
      <c r="X19" s="1234"/>
      <c r="Y19" s="1234"/>
      <c r="Z19" s="1234"/>
      <c r="AA19" s="1234"/>
      <c r="AB19" s="1234"/>
      <c r="AC19" s="1234"/>
      <c r="AD19" s="1234"/>
      <c r="AE19" s="1234"/>
      <c r="AF19" s="1234"/>
      <c r="AG19" s="543">
        <v>126</v>
      </c>
      <c r="AH19" s="543">
        <v>56</v>
      </c>
      <c r="AI19" s="1268">
        <f t="shared" si="2"/>
        <v>0.44444444444444442</v>
      </c>
    </row>
    <row r="20" spans="1:35" ht="15.6">
      <c r="A20" s="1336" t="s">
        <v>2007</v>
      </c>
      <c r="B20" s="1328">
        <v>16</v>
      </c>
      <c r="C20" s="1015">
        <v>37</v>
      </c>
      <c r="D20" s="1015">
        <v>35</v>
      </c>
      <c r="E20" s="1324">
        <f>SUM(B20:D20)</f>
        <v>88</v>
      </c>
      <c r="F20" s="1328">
        <v>8</v>
      </c>
      <c r="G20" s="1015">
        <v>27</v>
      </c>
      <c r="H20" s="1015">
        <v>49</v>
      </c>
      <c r="I20" s="1324">
        <f>SUM(F20:H20)</f>
        <v>84</v>
      </c>
      <c r="J20" s="1425"/>
      <c r="K20" s="1234"/>
      <c r="L20" s="1234"/>
      <c r="M20" s="1234"/>
      <c r="N20" s="1234"/>
      <c r="O20" s="1234"/>
      <c r="P20" s="1234"/>
      <c r="Q20" s="1234"/>
      <c r="R20" s="1234"/>
      <c r="S20" s="1234"/>
      <c r="T20" s="543">
        <f t="shared" si="6"/>
        <v>0</v>
      </c>
      <c r="U20" s="543">
        <f t="shared" si="6"/>
        <v>0</v>
      </c>
      <c r="V20" s="1268" t="e">
        <f t="shared" si="1"/>
        <v>#DIV/0!</v>
      </c>
      <c r="W20" s="1425">
        <v>7</v>
      </c>
      <c r="X20" s="1234">
        <v>4</v>
      </c>
      <c r="Y20" s="1234">
        <v>8</v>
      </c>
      <c r="Z20" s="1234">
        <v>4</v>
      </c>
      <c r="AA20" s="1234">
        <v>10</v>
      </c>
      <c r="AB20" s="1234">
        <v>10</v>
      </c>
      <c r="AC20" s="1234">
        <v>3</v>
      </c>
      <c r="AD20" s="1234">
        <v>3</v>
      </c>
      <c r="AE20" s="1234">
        <v>7</v>
      </c>
      <c r="AF20" s="1234">
        <v>7</v>
      </c>
      <c r="AG20" s="543">
        <f t="shared" si="3"/>
        <v>35</v>
      </c>
      <c r="AH20" s="543">
        <f t="shared" si="4"/>
        <v>28</v>
      </c>
      <c r="AI20" s="1268">
        <f t="shared" si="2"/>
        <v>0.8</v>
      </c>
    </row>
    <row r="21" spans="1:35" ht="15" thickBot="1">
      <c r="A21" s="1337" t="s">
        <v>14</v>
      </c>
      <c r="B21" s="1329">
        <f t="shared" ref="B21:I21" si="8">SUM(B4:B20)</f>
        <v>399</v>
      </c>
      <c r="C21" s="1168">
        <f t="shared" si="8"/>
        <v>2302</v>
      </c>
      <c r="D21" s="1168">
        <f t="shared" si="8"/>
        <v>3882</v>
      </c>
      <c r="E21" s="1330">
        <f t="shared" si="8"/>
        <v>6583</v>
      </c>
      <c r="F21" s="1329">
        <f t="shared" si="8"/>
        <v>418</v>
      </c>
      <c r="G21" s="1168">
        <f t="shared" si="8"/>
        <v>3843</v>
      </c>
      <c r="H21" s="1168">
        <f t="shared" si="8"/>
        <v>4137</v>
      </c>
      <c r="I21" s="1330">
        <f t="shared" si="8"/>
        <v>8398</v>
      </c>
      <c r="J21" s="1427">
        <f t="shared" ref="J21:U21" si="9">SUM(J4:J20)</f>
        <v>172</v>
      </c>
      <c r="K21" s="1271">
        <f t="shared" si="9"/>
        <v>113</v>
      </c>
      <c r="L21" s="1271">
        <f t="shared" si="9"/>
        <v>111</v>
      </c>
      <c r="M21" s="1271">
        <f t="shared" si="9"/>
        <v>97</v>
      </c>
      <c r="N21" s="1271">
        <f t="shared" si="9"/>
        <v>58</v>
      </c>
      <c r="O21" s="1271">
        <f t="shared" si="9"/>
        <v>56</v>
      </c>
      <c r="P21" s="1271">
        <f t="shared" si="9"/>
        <v>143</v>
      </c>
      <c r="Q21" s="1271">
        <f t="shared" si="9"/>
        <v>130</v>
      </c>
      <c r="R21" s="1271">
        <f t="shared" si="9"/>
        <v>56</v>
      </c>
      <c r="S21" s="1271">
        <f t="shared" si="9"/>
        <v>55</v>
      </c>
      <c r="T21" s="1271">
        <f t="shared" si="9"/>
        <v>560</v>
      </c>
      <c r="U21" s="1271">
        <f t="shared" si="9"/>
        <v>464</v>
      </c>
      <c r="V21" s="1268">
        <f t="shared" si="1"/>
        <v>0.82857142857142863</v>
      </c>
      <c r="W21" s="1271">
        <f t="shared" ref="W21:AH21" si="10">SUM(W4:W20)</f>
        <v>657</v>
      </c>
      <c r="X21" s="1271">
        <f t="shared" si="10"/>
        <v>159</v>
      </c>
      <c r="Y21" s="1271">
        <f t="shared" si="10"/>
        <v>783</v>
      </c>
      <c r="Z21" s="1271">
        <f t="shared" si="10"/>
        <v>292</v>
      </c>
      <c r="AA21" s="1271">
        <f t="shared" si="10"/>
        <v>449</v>
      </c>
      <c r="AB21" s="1271">
        <f t="shared" si="10"/>
        <v>212</v>
      </c>
      <c r="AC21" s="1271">
        <f t="shared" si="10"/>
        <v>857</v>
      </c>
      <c r="AD21" s="1271">
        <f t="shared" si="10"/>
        <v>437</v>
      </c>
      <c r="AE21" s="1271">
        <f t="shared" si="10"/>
        <v>205</v>
      </c>
      <c r="AF21" s="1271">
        <f t="shared" si="10"/>
        <v>187</v>
      </c>
      <c r="AG21" s="1271">
        <f t="shared" si="10"/>
        <v>3122</v>
      </c>
      <c r="AH21" s="1271">
        <f t="shared" si="10"/>
        <v>1364</v>
      </c>
      <c r="AI21" s="1268">
        <f t="shared" si="2"/>
        <v>0.43689942344650867</v>
      </c>
    </row>
    <row r="22" spans="1:35">
      <c r="A22" s="859"/>
      <c r="B22" s="1183">
        <f>+B21/E21</f>
        <v>6.0610663831080054E-2</v>
      </c>
      <c r="C22" s="1183">
        <f>+C21/E21</f>
        <v>0.34968859182743428</v>
      </c>
      <c r="D22" s="1183">
        <f>+D21/E21</f>
        <v>0.58970074434148567</v>
      </c>
      <c r="E22" s="1183">
        <f>+E21/$E$21</f>
        <v>1</v>
      </c>
      <c r="F22" s="1183">
        <f>+F21/$I$21</f>
        <v>4.9773755656108594E-2</v>
      </c>
      <c r="G22" s="1183">
        <f>+G21/$I$21</f>
        <v>0.45760895451297928</v>
      </c>
      <c r="H22" s="1183">
        <f>+H21/$I$21</f>
        <v>0.49261728983091213</v>
      </c>
      <c r="I22" s="1183">
        <f>+I21/$I$21</f>
        <v>1</v>
      </c>
      <c r="J22" s="983"/>
      <c r="K22" s="1269">
        <f>+K21/J21</f>
        <v>0.65697674418604646</v>
      </c>
      <c r="L22" s="1269"/>
      <c r="M22" s="1269">
        <f>+M21/L21</f>
        <v>0.87387387387387383</v>
      </c>
      <c r="N22" s="1269"/>
      <c r="O22" s="1269">
        <f t="shared" ref="O22:U22" si="11">+O21/N21</f>
        <v>0.96551724137931039</v>
      </c>
      <c r="P22" s="1269"/>
      <c r="Q22" s="1269">
        <f t="shared" si="11"/>
        <v>0.90909090909090906</v>
      </c>
      <c r="R22" s="1269"/>
      <c r="S22" s="1269">
        <f t="shared" si="11"/>
        <v>0.9821428571428571</v>
      </c>
      <c r="T22" s="1269"/>
      <c r="U22" s="1269">
        <f t="shared" si="11"/>
        <v>0.82857142857142863</v>
      </c>
      <c r="V22" s="1268"/>
      <c r="W22" s="983"/>
      <c r="X22" s="1269">
        <f>+X21/W21</f>
        <v>0.24200913242009131</v>
      </c>
      <c r="Y22" s="1269"/>
      <c r="Z22" s="1269">
        <f>+Z21/Y21</f>
        <v>0.37292464878671777</v>
      </c>
      <c r="AA22" s="1269"/>
      <c r="AB22" s="1269">
        <f>+AB21/AA21</f>
        <v>0.47216035634743875</v>
      </c>
      <c r="AC22" s="1269"/>
      <c r="AD22" s="1269">
        <f>+AD21/AC21</f>
        <v>0.50991831971995327</v>
      </c>
      <c r="AE22" s="1269"/>
      <c r="AF22" s="1269">
        <f>+AF21/AE21</f>
        <v>0.91219512195121955</v>
      </c>
      <c r="AG22" s="1269"/>
      <c r="AH22" s="1269">
        <f>+AH21/AG21</f>
        <v>0.43689942344650867</v>
      </c>
    </row>
  </sheetData>
  <mergeCells count="28">
    <mergeCell ref="B1:E1"/>
    <mergeCell ref="F1:I1"/>
    <mergeCell ref="B2:E2"/>
    <mergeCell ref="B13:B14"/>
    <mergeCell ref="C13:C14"/>
    <mergeCell ref="D13:D14"/>
    <mergeCell ref="E13:E14"/>
    <mergeCell ref="B4:B6"/>
    <mergeCell ref="C4:C6"/>
    <mergeCell ref="D4:D6"/>
    <mergeCell ref="E4:E6"/>
    <mergeCell ref="F2:I2"/>
    <mergeCell ref="J1:U1"/>
    <mergeCell ref="V1:V3"/>
    <mergeCell ref="W1:AH1"/>
    <mergeCell ref="AI1:AI3"/>
    <mergeCell ref="W2:X2"/>
    <mergeCell ref="Y2:Z2"/>
    <mergeCell ref="AA2:AB2"/>
    <mergeCell ref="AC2:AD2"/>
    <mergeCell ref="AE2:AF2"/>
    <mergeCell ref="AG2:AH2"/>
    <mergeCell ref="T2:U2"/>
    <mergeCell ref="J2:K2"/>
    <mergeCell ref="L2:M2"/>
    <mergeCell ref="N2:O2"/>
    <mergeCell ref="P2:Q2"/>
    <mergeCell ref="R2:S2"/>
  </mergeCells>
  <pageMargins left="0.7" right="0.7" top="0.75" bottom="0.75" header="0.3" footer="0.3"/>
  <pageSetup orientation="portrait" r:id="rId1"/>
  <customProperties>
    <customPr name="_pios_id" r:id="rId2"/>
  </customPropertie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23"/>
  <dimension ref="A1:I83"/>
  <sheetViews>
    <sheetView topLeftCell="E1" workbookViewId="0">
      <selection activeCell="H1" sqref="H1"/>
    </sheetView>
  </sheetViews>
  <sheetFormatPr baseColWidth="10" defaultRowHeight="13.2"/>
  <cols>
    <col min="1" max="1" width="17.44140625" customWidth="1"/>
    <col min="2" max="2" width="16.5546875" customWidth="1"/>
    <col min="3" max="3" width="29.44140625" customWidth="1"/>
    <col min="6" max="6" width="28.44140625" bestFit="1" customWidth="1"/>
    <col min="7" max="7" width="16.44140625" bestFit="1" customWidth="1"/>
  </cols>
  <sheetData>
    <row r="1" spans="1:9">
      <c r="A1" s="1222" t="s">
        <v>910</v>
      </c>
      <c r="B1" s="556">
        <v>2017</v>
      </c>
      <c r="F1" s="556" t="s">
        <v>864</v>
      </c>
      <c r="G1">
        <v>21</v>
      </c>
      <c r="H1">
        <v>246</v>
      </c>
      <c r="I1" s="242" t="s">
        <v>380</v>
      </c>
    </row>
    <row r="2" spans="1:9">
      <c r="F2" s="556" t="s">
        <v>1960</v>
      </c>
      <c r="G2">
        <v>8</v>
      </c>
      <c r="H2">
        <v>49</v>
      </c>
      <c r="I2" s="242" t="s">
        <v>380</v>
      </c>
    </row>
    <row r="3" spans="1:9">
      <c r="A3" s="1222" t="s">
        <v>2156</v>
      </c>
      <c r="B3" t="s">
        <v>2157</v>
      </c>
      <c r="C3" t="s">
        <v>2202</v>
      </c>
      <c r="F3" s="556" t="s">
        <v>1104</v>
      </c>
      <c r="G3">
        <v>4</v>
      </c>
      <c r="H3">
        <v>141</v>
      </c>
      <c r="I3" s="242" t="s">
        <v>380</v>
      </c>
    </row>
    <row r="4" spans="1:9">
      <c r="A4" s="556" t="s">
        <v>2235</v>
      </c>
      <c r="B4">
        <v>1</v>
      </c>
      <c r="C4">
        <v>49</v>
      </c>
      <c r="F4" s="556" t="s">
        <v>558</v>
      </c>
      <c r="G4">
        <v>3</v>
      </c>
      <c r="H4">
        <v>93</v>
      </c>
    </row>
    <row r="5" spans="1:9">
      <c r="A5" s="556" t="s">
        <v>2239</v>
      </c>
      <c r="B5">
        <v>1</v>
      </c>
      <c r="C5">
        <v>30</v>
      </c>
      <c r="F5" s="556" t="s">
        <v>821</v>
      </c>
      <c r="G5">
        <v>3</v>
      </c>
      <c r="H5">
        <v>8</v>
      </c>
    </row>
    <row r="6" spans="1:9">
      <c r="A6" s="556" t="s">
        <v>1097</v>
      </c>
      <c r="B6">
        <v>3</v>
      </c>
      <c r="C6">
        <v>27</v>
      </c>
      <c r="F6" s="556" t="s">
        <v>1905</v>
      </c>
      <c r="G6">
        <v>3</v>
      </c>
      <c r="H6">
        <v>15</v>
      </c>
      <c r="I6" s="242" t="s">
        <v>380</v>
      </c>
    </row>
    <row r="7" spans="1:9">
      <c r="A7" s="556" t="s">
        <v>2234</v>
      </c>
      <c r="B7">
        <v>1</v>
      </c>
      <c r="C7">
        <v>22</v>
      </c>
      <c r="F7" s="556" t="s">
        <v>914</v>
      </c>
      <c r="G7">
        <v>2</v>
      </c>
      <c r="H7">
        <v>124</v>
      </c>
      <c r="I7" s="242" t="s">
        <v>380</v>
      </c>
    </row>
    <row r="8" spans="1:9">
      <c r="A8" s="556" t="s">
        <v>2230</v>
      </c>
      <c r="B8">
        <v>1</v>
      </c>
      <c r="C8">
        <v>11</v>
      </c>
      <c r="F8" s="556" t="s">
        <v>870</v>
      </c>
      <c r="G8">
        <v>1</v>
      </c>
      <c r="H8">
        <v>20</v>
      </c>
    </row>
    <row r="9" spans="1:9">
      <c r="A9" s="556" t="s">
        <v>2232</v>
      </c>
      <c r="B9">
        <v>1</v>
      </c>
      <c r="C9">
        <v>10</v>
      </c>
      <c r="F9" s="556" t="s">
        <v>928</v>
      </c>
      <c r="G9">
        <v>1</v>
      </c>
      <c r="H9">
        <v>1</v>
      </c>
    </row>
    <row r="10" spans="1:9">
      <c r="A10" s="556" t="s">
        <v>1897</v>
      </c>
      <c r="B10">
        <v>1</v>
      </c>
      <c r="C10">
        <v>9</v>
      </c>
      <c r="F10" s="556" t="s">
        <v>934</v>
      </c>
      <c r="G10">
        <v>1</v>
      </c>
      <c r="H10">
        <v>15</v>
      </c>
      <c r="I10" s="242" t="s">
        <v>380</v>
      </c>
    </row>
    <row r="11" spans="1:9">
      <c r="A11" s="556" t="s">
        <v>1241</v>
      </c>
      <c r="B11">
        <v>2</v>
      </c>
      <c r="C11">
        <v>9</v>
      </c>
      <c r="F11" s="556" t="s">
        <v>863</v>
      </c>
      <c r="G11">
        <v>1</v>
      </c>
      <c r="H11">
        <v>3</v>
      </c>
      <c r="I11" s="242" t="s">
        <v>380</v>
      </c>
    </row>
    <row r="12" spans="1:9">
      <c r="A12" s="556" t="s">
        <v>2224</v>
      </c>
      <c r="B12">
        <v>3</v>
      </c>
      <c r="C12">
        <v>9</v>
      </c>
    </row>
    <row r="13" spans="1:9">
      <c r="A13" s="556" t="s">
        <v>1246</v>
      </c>
      <c r="B13">
        <v>2</v>
      </c>
      <c r="C13">
        <v>8</v>
      </c>
      <c r="F13" s="556"/>
    </row>
    <row r="14" spans="1:9">
      <c r="A14" s="556" t="s">
        <v>1218</v>
      </c>
      <c r="B14">
        <v>2</v>
      </c>
      <c r="C14">
        <v>4</v>
      </c>
      <c r="F14" s="556"/>
    </row>
    <row r="15" spans="1:9">
      <c r="A15" s="556" t="s">
        <v>2228</v>
      </c>
      <c r="B15">
        <v>1</v>
      </c>
      <c r="C15">
        <v>3</v>
      </c>
      <c r="F15" s="556"/>
    </row>
    <row r="16" spans="1:9">
      <c r="A16" s="556" t="s">
        <v>1093</v>
      </c>
      <c r="B16">
        <v>1</v>
      </c>
      <c r="C16">
        <v>3</v>
      </c>
      <c r="F16" s="556"/>
    </row>
    <row r="17" spans="1:8">
      <c r="A17" s="556" t="s">
        <v>2225</v>
      </c>
      <c r="B17">
        <v>1</v>
      </c>
      <c r="C17">
        <v>2</v>
      </c>
      <c r="F17" s="556"/>
    </row>
    <row r="18" spans="1:8">
      <c r="A18" s="556" t="s">
        <v>2226</v>
      </c>
      <c r="B18">
        <v>1</v>
      </c>
      <c r="C18">
        <v>1</v>
      </c>
      <c r="F18" s="556"/>
    </row>
    <row r="19" spans="1:8">
      <c r="A19" s="556" t="s">
        <v>800</v>
      </c>
      <c r="B19">
        <v>22</v>
      </c>
      <c r="C19">
        <v>197</v>
      </c>
      <c r="F19" s="556"/>
    </row>
    <row r="20" spans="1:8">
      <c r="F20" s="556"/>
    </row>
    <row r="21" spans="1:8">
      <c r="F21" s="556"/>
    </row>
    <row r="22" spans="1:8">
      <c r="F22" s="556"/>
    </row>
    <row r="23" spans="1:8">
      <c r="F23" s="556"/>
    </row>
    <row r="24" spans="1:8">
      <c r="F24" s="556" t="s">
        <v>850</v>
      </c>
      <c r="G24">
        <v>15</v>
      </c>
      <c r="H24">
        <v>131</v>
      </c>
    </row>
    <row r="25" spans="1:8">
      <c r="F25" s="556" t="s">
        <v>851</v>
      </c>
      <c r="G25">
        <v>8</v>
      </c>
      <c r="H25">
        <v>40</v>
      </c>
    </row>
    <row r="26" spans="1:8">
      <c r="F26" s="556" t="s">
        <v>849</v>
      </c>
      <c r="G26">
        <v>7</v>
      </c>
      <c r="H26">
        <v>58</v>
      </c>
    </row>
    <row r="27" spans="1:8">
      <c r="F27" s="556" t="s">
        <v>883</v>
      </c>
      <c r="G27">
        <v>6</v>
      </c>
      <c r="H27">
        <v>386</v>
      </c>
    </row>
    <row r="28" spans="1:8">
      <c r="F28" s="556" t="s">
        <v>1370</v>
      </c>
      <c r="G28">
        <v>4</v>
      </c>
      <c r="H28">
        <v>11</v>
      </c>
    </row>
    <row r="29" spans="1:8">
      <c r="F29" s="556" t="s">
        <v>2241</v>
      </c>
      <c r="G29">
        <v>3</v>
      </c>
      <c r="H29">
        <v>36</v>
      </c>
    </row>
    <row r="30" spans="1:8">
      <c r="F30" s="556" t="s">
        <v>1635</v>
      </c>
      <c r="G30">
        <v>2</v>
      </c>
      <c r="H30">
        <v>3</v>
      </c>
    </row>
    <row r="31" spans="1:8">
      <c r="F31" s="556" t="s">
        <v>882</v>
      </c>
      <c r="G31">
        <v>2</v>
      </c>
      <c r="H31">
        <v>20</v>
      </c>
    </row>
    <row r="32" spans="1:8">
      <c r="F32" s="556" t="s">
        <v>2305</v>
      </c>
      <c r="G32">
        <v>1</v>
      </c>
      <c r="H32">
        <v>30</v>
      </c>
    </row>
    <row r="44" spans="6:9">
      <c r="F44" s="1229" t="s">
        <v>2156</v>
      </c>
      <c r="G44" s="1229" t="s">
        <v>2157</v>
      </c>
      <c r="H44" s="1229" t="s">
        <v>2202</v>
      </c>
    </row>
    <row r="45" spans="6:9" ht="12.6" customHeight="1">
      <c r="F45" s="556" t="s">
        <v>912</v>
      </c>
      <c r="G45">
        <v>23</v>
      </c>
      <c r="H45">
        <v>210</v>
      </c>
      <c r="I45" s="242" t="s">
        <v>380</v>
      </c>
    </row>
    <row r="46" spans="6:9">
      <c r="F46" s="556" t="s">
        <v>915</v>
      </c>
      <c r="G46">
        <v>8</v>
      </c>
      <c r="H46">
        <v>210</v>
      </c>
      <c r="I46" s="242" t="s">
        <v>380</v>
      </c>
    </row>
    <row r="47" spans="6:9">
      <c r="F47" s="556" t="s">
        <v>917</v>
      </c>
      <c r="G47">
        <v>7</v>
      </c>
      <c r="H47">
        <v>19</v>
      </c>
      <c r="I47" s="242" t="s">
        <v>380</v>
      </c>
    </row>
    <row r="48" spans="6:9">
      <c r="F48" s="556" t="s">
        <v>929</v>
      </c>
      <c r="G48">
        <v>3</v>
      </c>
      <c r="H48">
        <v>6</v>
      </c>
      <c r="I48" s="242" t="s">
        <v>380</v>
      </c>
    </row>
    <row r="49" spans="6:9">
      <c r="F49" s="556" t="s">
        <v>2015</v>
      </c>
      <c r="G49">
        <v>3</v>
      </c>
      <c r="H49">
        <v>61</v>
      </c>
      <c r="I49" s="242" t="s">
        <v>380</v>
      </c>
    </row>
    <row r="50" spans="6:9">
      <c r="F50" s="556" t="s">
        <v>923</v>
      </c>
      <c r="G50">
        <v>2</v>
      </c>
      <c r="H50">
        <v>6</v>
      </c>
      <c r="I50" s="242" t="s">
        <v>380</v>
      </c>
    </row>
    <row r="51" spans="6:9" ht="13.35" customHeight="1">
      <c r="F51" s="556" t="s">
        <v>913</v>
      </c>
      <c r="G51">
        <v>2</v>
      </c>
      <c r="H51">
        <v>161</v>
      </c>
      <c r="I51" s="242" t="s">
        <v>380</v>
      </c>
    </row>
    <row r="58" spans="6:9">
      <c r="F58" s="556" t="s">
        <v>2224</v>
      </c>
      <c r="G58">
        <v>3</v>
      </c>
      <c r="H58">
        <v>9</v>
      </c>
    </row>
    <row r="59" spans="6:9">
      <c r="F59" s="556" t="s">
        <v>2225</v>
      </c>
      <c r="G59">
        <v>1</v>
      </c>
      <c r="H59">
        <v>2</v>
      </c>
    </row>
    <row r="60" spans="6:9">
      <c r="F60" s="556" t="s">
        <v>2246</v>
      </c>
      <c r="G60">
        <v>1</v>
      </c>
      <c r="H60">
        <v>132</v>
      </c>
    </row>
    <row r="61" spans="6:9">
      <c r="F61" s="556" t="s">
        <v>2232</v>
      </c>
      <c r="G61">
        <v>1</v>
      </c>
      <c r="H61">
        <v>10</v>
      </c>
    </row>
    <row r="62" spans="6:9">
      <c r="F62" s="556" t="s">
        <v>1246</v>
      </c>
      <c r="G62">
        <v>2</v>
      </c>
      <c r="H62">
        <v>8</v>
      </c>
    </row>
    <row r="63" spans="6:9">
      <c r="F63" s="556" t="s">
        <v>1124</v>
      </c>
      <c r="G63">
        <v>1</v>
      </c>
      <c r="H63">
        <v>3</v>
      </c>
    </row>
    <row r="64" spans="6:9">
      <c r="F64" s="556" t="s">
        <v>1097</v>
      </c>
      <c r="G64">
        <v>15</v>
      </c>
      <c r="H64">
        <v>208</v>
      </c>
      <c r="I64" s="242" t="s">
        <v>380</v>
      </c>
    </row>
    <row r="65" spans="6:9">
      <c r="F65" s="556" t="s">
        <v>1160</v>
      </c>
      <c r="G65">
        <v>1</v>
      </c>
      <c r="H65">
        <v>4</v>
      </c>
    </row>
    <row r="66" spans="6:9">
      <c r="F66" s="556" t="s">
        <v>2234</v>
      </c>
      <c r="G66">
        <v>2</v>
      </c>
      <c r="H66">
        <v>33</v>
      </c>
    </row>
    <row r="67" spans="6:9">
      <c r="F67" s="556" t="s">
        <v>1241</v>
      </c>
      <c r="G67">
        <v>2</v>
      </c>
      <c r="H67">
        <v>9</v>
      </c>
    </row>
    <row r="68" spans="6:9">
      <c r="F68" s="556" t="s">
        <v>1432</v>
      </c>
      <c r="G68">
        <v>1</v>
      </c>
      <c r="H68">
        <v>41</v>
      </c>
    </row>
    <row r="69" spans="6:9">
      <c r="F69" s="556" t="s">
        <v>2230</v>
      </c>
      <c r="G69">
        <v>1</v>
      </c>
      <c r="H69">
        <v>11</v>
      </c>
      <c r="I69" s="242" t="s">
        <v>380</v>
      </c>
    </row>
    <row r="70" spans="6:9">
      <c r="F70" s="556" t="s">
        <v>2262</v>
      </c>
      <c r="G70">
        <v>1</v>
      </c>
      <c r="H70">
        <v>3</v>
      </c>
    </row>
    <row r="71" spans="6:9">
      <c r="F71" s="556" t="s">
        <v>2263</v>
      </c>
      <c r="G71">
        <v>1</v>
      </c>
      <c r="H71">
        <v>2</v>
      </c>
    </row>
    <row r="72" spans="6:9">
      <c r="F72" s="556" t="s">
        <v>2266</v>
      </c>
      <c r="G72">
        <v>1</v>
      </c>
      <c r="H72">
        <v>120</v>
      </c>
    </row>
    <row r="73" spans="6:9">
      <c r="F73" s="556" t="s">
        <v>1297</v>
      </c>
      <c r="G73">
        <v>1</v>
      </c>
      <c r="H73">
        <v>7</v>
      </c>
    </row>
    <row r="74" spans="6:9">
      <c r="F74" s="556" t="s">
        <v>2265</v>
      </c>
      <c r="G74">
        <v>1</v>
      </c>
      <c r="H74">
        <v>3</v>
      </c>
    </row>
    <row r="75" spans="6:9">
      <c r="F75" s="556" t="s">
        <v>2226</v>
      </c>
      <c r="G75">
        <v>1</v>
      </c>
      <c r="H75">
        <v>1</v>
      </c>
    </row>
    <row r="76" spans="6:9">
      <c r="F76" s="556" t="s">
        <v>1218</v>
      </c>
      <c r="G76">
        <v>5</v>
      </c>
      <c r="H76">
        <v>12</v>
      </c>
    </row>
    <row r="77" spans="6:9">
      <c r="F77" s="556" t="s">
        <v>2228</v>
      </c>
      <c r="G77">
        <v>1</v>
      </c>
      <c r="H77">
        <v>3</v>
      </c>
    </row>
    <row r="78" spans="6:9">
      <c r="F78" s="556" t="s">
        <v>1405</v>
      </c>
      <c r="G78">
        <v>1</v>
      </c>
      <c r="H78">
        <v>3</v>
      </c>
    </row>
    <row r="79" spans="6:9">
      <c r="F79" s="556" t="s">
        <v>2235</v>
      </c>
      <c r="G79">
        <v>1</v>
      </c>
      <c r="H79">
        <v>49</v>
      </c>
    </row>
    <row r="80" spans="6:9">
      <c r="F80" s="556" t="s">
        <v>2239</v>
      </c>
      <c r="G80">
        <v>1</v>
      </c>
      <c r="H80">
        <v>30</v>
      </c>
      <c r="I80" s="242" t="s">
        <v>380</v>
      </c>
    </row>
    <row r="81" spans="6:8">
      <c r="F81" s="556" t="s">
        <v>1897</v>
      </c>
      <c r="G81">
        <v>1</v>
      </c>
      <c r="H81">
        <v>9</v>
      </c>
    </row>
    <row r="82" spans="6:8">
      <c r="F82" s="556" t="s">
        <v>1093</v>
      </c>
      <c r="G82">
        <v>1</v>
      </c>
      <c r="H82">
        <v>3</v>
      </c>
    </row>
    <row r="83" spans="6:8">
      <c r="G83" s="556"/>
    </row>
  </sheetData>
  <sortState xmlns:xlrd2="http://schemas.microsoft.com/office/spreadsheetml/2017/richdata2" ref="F1:H11">
    <sortCondition descending="1" ref="G1:G11"/>
  </sortState>
  <pageMargins left="0.7" right="0.7" top="0.75" bottom="0.75" header="0.3" footer="0.3"/>
  <customProperties>
    <customPr name="_pios_id" r:id="rId2"/>
  </customProperties>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29"/>
  <dimension ref="A1:C37"/>
  <sheetViews>
    <sheetView topLeftCell="A8" workbookViewId="0">
      <selection activeCell="I43" sqref="I43"/>
    </sheetView>
  </sheetViews>
  <sheetFormatPr baseColWidth="10" defaultRowHeight="13.2"/>
  <cols>
    <col min="1" max="1" width="25" bestFit="1" customWidth="1"/>
    <col min="2" max="2" width="12.5546875" bestFit="1" customWidth="1"/>
    <col min="3" max="3" width="29.44140625" bestFit="1" customWidth="1"/>
  </cols>
  <sheetData>
    <row r="1" spans="1:3">
      <c r="A1" s="1222" t="s">
        <v>910</v>
      </c>
      <c r="B1" s="556">
        <v>2017</v>
      </c>
    </row>
    <row r="3" spans="1:3">
      <c r="A3" s="1222" t="s">
        <v>2156</v>
      </c>
      <c r="B3" t="s">
        <v>2474</v>
      </c>
      <c r="C3" t="s">
        <v>2202</v>
      </c>
    </row>
    <row r="4" spans="1:3">
      <c r="A4" s="556" t="s">
        <v>2441</v>
      </c>
      <c r="B4">
        <v>1</v>
      </c>
      <c r="C4">
        <v>4</v>
      </c>
    </row>
    <row r="5" spans="1:3">
      <c r="A5" s="556" t="s">
        <v>1795</v>
      </c>
      <c r="B5">
        <v>1</v>
      </c>
      <c r="C5">
        <v>5</v>
      </c>
    </row>
    <row r="6" spans="1:3">
      <c r="A6" s="556" t="s">
        <v>2334</v>
      </c>
      <c r="B6">
        <v>1</v>
      </c>
      <c r="C6">
        <v>5</v>
      </c>
    </row>
    <row r="7" spans="1:3">
      <c r="A7" s="556" t="s">
        <v>1492</v>
      </c>
      <c r="B7">
        <v>2</v>
      </c>
      <c r="C7">
        <v>75</v>
      </c>
    </row>
    <row r="8" spans="1:3">
      <c r="A8" s="556" t="s">
        <v>2224</v>
      </c>
      <c r="B8">
        <v>5</v>
      </c>
      <c r="C8">
        <v>122</v>
      </c>
    </row>
    <row r="9" spans="1:3">
      <c r="A9" s="556" t="s">
        <v>2225</v>
      </c>
      <c r="B9">
        <v>1</v>
      </c>
      <c r="C9">
        <v>2</v>
      </c>
    </row>
    <row r="10" spans="1:3">
      <c r="A10" s="556" t="s">
        <v>2246</v>
      </c>
      <c r="B10">
        <v>2</v>
      </c>
      <c r="C10">
        <v>338</v>
      </c>
    </row>
    <row r="11" spans="1:3">
      <c r="A11" s="556" t="s">
        <v>2232</v>
      </c>
      <c r="B11">
        <v>2</v>
      </c>
      <c r="C11">
        <v>22</v>
      </c>
    </row>
    <row r="12" spans="1:3">
      <c r="A12" s="556" t="s">
        <v>1246</v>
      </c>
      <c r="B12">
        <v>2</v>
      </c>
      <c r="C12">
        <v>8</v>
      </c>
    </row>
    <row r="13" spans="1:3">
      <c r="A13" s="556" t="s">
        <v>1124</v>
      </c>
      <c r="B13">
        <v>2</v>
      </c>
      <c r="C13">
        <v>10</v>
      </c>
    </row>
    <row r="14" spans="1:3">
      <c r="A14" s="556" t="s">
        <v>1097</v>
      </c>
      <c r="B14">
        <v>20</v>
      </c>
      <c r="C14">
        <v>356</v>
      </c>
    </row>
    <row r="15" spans="1:3">
      <c r="A15" s="556" t="s">
        <v>1160</v>
      </c>
      <c r="B15">
        <v>1</v>
      </c>
      <c r="C15">
        <v>4</v>
      </c>
    </row>
    <row r="16" spans="1:3">
      <c r="A16" s="556" t="s">
        <v>2234</v>
      </c>
      <c r="B16">
        <v>3</v>
      </c>
      <c r="C16">
        <v>93</v>
      </c>
    </row>
    <row r="17" spans="1:3">
      <c r="A17" s="556" t="s">
        <v>1241</v>
      </c>
      <c r="B17">
        <v>2</v>
      </c>
      <c r="C17">
        <v>9</v>
      </c>
    </row>
    <row r="18" spans="1:3">
      <c r="A18" s="556" t="s">
        <v>1432</v>
      </c>
      <c r="B18">
        <v>1</v>
      </c>
      <c r="C18">
        <v>115</v>
      </c>
    </row>
    <row r="19" spans="1:3">
      <c r="A19" s="556" t="s">
        <v>2230</v>
      </c>
      <c r="B19">
        <v>1</v>
      </c>
      <c r="C19">
        <v>11</v>
      </c>
    </row>
    <row r="20" spans="1:3">
      <c r="A20" s="556" t="s">
        <v>2262</v>
      </c>
      <c r="B20">
        <v>1</v>
      </c>
      <c r="C20">
        <v>31</v>
      </c>
    </row>
    <row r="21" spans="1:3">
      <c r="A21" s="556" t="s">
        <v>2263</v>
      </c>
      <c r="B21">
        <v>1</v>
      </c>
      <c r="C21">
        <v>2</v>
      </c>
    </row>
    <row r="22" spans="1:3">
      <c r="A22" s="556" t="s">
        <v>2266</v>
      </c>
      <c r="B22">
        <v>1</v>
      </c>
      <c r="C22">
        <v>150</v>
      </c>
    </row>
    <row r="23" spans="1:3">
      <c r="A23" s="556" t="s">
        <v>2461</v>
      </c>
      <c r="B23">
        <v>1</v>
      </c>
      <c r="C23">
        <v>9</v>
      </c>
    </row>
    <row r="24" spans="1:3">
      <c r="A24" s="556" t="s">
        <v>1297</v>
      </c>
      <c r="B24">
        <v>1</v>
      </c>
      <c r="C24">
        <v>7</v>
      </c>
    </row>
    <row r="25" spans="1:3">
      <c r="A25" s="556" t="s">
        <v>2265</v>
      </c>
      <c r="B25">
        <v>1</v>
      </c>
      <c r="C25">
        <v>3</v>
      </c>
    </row>
    <row r="26" spans="1:3">
      <c r="A26" s="556" t="s">
        <v>2226</v>
      </c>
      <c r="B26">
        <v>1</v>
      </c>
      <c r="C26">
        <v>1</v>
      </c>
    </row>
    <row r="27" spans="1:3">
      <c r="A27" s="556" t="s">
        <v>1218</v>
      </c>
      <c r="B27">
        <v>6</v>
      </c>
      <c r="C27">
        <v>21</v>
      </c>
    </row>
    <row r="28" spans="1:3">
      <c r="A28" s="556" t="s">
        <v>2339</v>
      </c>
      <c r="B28">
        <v>1</v>
      </c>
      <c r="C28">
        <v>83</v>
      </c>
    </row>
    <row r="29" spans="1:3">
      <c r="A29" s="556" t="s">
        <v>2228</v>
      </c>
      <c r="B29">
        <v>1</v>
      </c>
      <c r="C29">
        <v>3</v>
      </c>
    </row>
    <row r="30" spans="1:3">
      <c r="A30" s="556" t="s">
        <v>1405</v>
      </c>
      <c r="B30">
        <v>1</v>
      </c>
      <c r="C30">
        <v>3</v>
      </c>
    </row>
    <row r="31" spans="1:3">
      <c r="A31" s="556" t="s">
        <v>2471</v>
      </c>
      <c r="B31">
        <v>1</v>
      </c>
      <c r="C31">
        <v>5</v>
      </c>
    </row>
    <row r="32" spans="1:3">
      <c r="A32" s="556" t="s">
        <v>2235</v>
      </c>
      <c r="B32">
        <v>1</v>
      </c>
      <c r="C32">
        <v>49</v>
      </c>
    </row>
    <row r="33" spans="1:3">
      <c r="A33" s="556" t="s">
        <v>2239</v>
      </c>
      <c r="B33">
        <v>1</v>
      </c>
      <c r="C33">
        <v>30</v>
      </c>
    </row>
    <row r="34" spans="1:3">
      <c r="A34" s="556" t="s">
        <v>2330</v>
      </c>
      <c r="B34">
        <v>1</v>
      </c>
      <c r="C34">
        <v>123</v>
      </c>
    </row>
    <row r="35" spans="1:3">
      <c r="A35" s="556" t="s">
        <v>1897</v>
      </c>
      <c r="B35">
        <v>1</v>
      </c>
      <c r="C35">
        <v>9</v>
      </c>
    </row>
    <row r="36" spans="1:3">
      <c r="A36" s="556" t="s">
        <v>1093</v>
      </c>
      <c r="B36">
        <v>1</v>
      </c>
      <c r="C36">
        <v>3</v>
      </c>
    </row>
    <row r="37" spans="1:3">
      <c r="A37" s="556" t="s">
        <v>800</v>
      </c>
      <c r="B37">
        <v>69</v>
      </c>
      <c r="C37">
        <v>1711</v>
      </c>
    </row>
  </sheetData>
  <pageMargins left="0.7" right="0.7" top="0.75" bottom="0.75" header="0.3" footer="0.3"/>
  <pageSetup paperSize="9" orientation="portrait" r:id="rId2"/>
  <customProperties>
    <customPr name="_pios_id" r:id="rId3"/>
  </customPropertie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34"/>
  <dimension ref="A1:E65"/>
  <sheetViews>
    <sheetView topLeftCell="A30" workbookViewId="0">
      <selection activeCell="I45" sqref="I45"/>
    </sheetView>
  </sheetViews>
  <sheetFormatPr baseColWidth="10" defaultRowHeight="13.2"/>
  <cols>
    <col min="1" max="1" width="15.5546875" customWidth="1"/>
    <col min="2" max="2" width="18.5546875" style="8" customWidth="1"/>
    <col min="3" max="3" width="24" bestFit="1" customWidth="1"/>
  </cols>
  <sheetData>
    <row r="1" spans="1:4" ht="21.6" customHeight="1" thickBot="1">
      <c r="A1" s="1243" t="s">
        <v>461</v>
      </c>
      <c r="B1" s="1244" t="s">
        <v>2371</v>
      </c>
      <c r="C1" s="1244" t="s">
        <v>2372</v>
      </c>
      <c r="D1" s="1245" t="s">
        <v>98</v>
      </c>
    </row>
    <row r="2" spans="1:4">
      <c r="A2" s="3317" t="s">
        <v>388</v>
      </c>
      <c r="B2" s="1233" t="s">
        <v>2360</v>
      </c>
      <c r="C2" s="1233">
        <v>11</v>
      </c>
      <c r="D2" s="3351">
        <f>SUM(C2:C5)</f>
        <v>11</v>
      </c>
    </row>
    <row r="3" spans="1:4">
      <c r="A3" s="3352"/>
      <c r="B3" s="1246" t="s">
        <v>2361</v>
      </c>
      <c r="C3" s="862">
        <v>0</v>
      </c>
      <c r="D3" s="3352"/>
    </row>
    <row r="4" spans="1:4">
      <c r="A4" s="3352"/>
      <c r="B4" s="1246" t="s">
        <v>2362</v>
      </c>
      <c r="C4" s="862">
        <v>0</v>
      </c>
      <c r="D4" s="3352"/>
    </row>
    <row r="5" spans="1:4" ht="13.8" thickBot="1">
      <c r="A5" s="3353"/>
      <c r="B5" s="1247" t="s">
        <v>2363</v>
      </c>
      <c r="C5" s="1179">
        <v>0</v>
      </c>
      <c r="D5" s="3353"/>
    </row>
    <row r="6" spans="1:4">
      <c r="A6" s="3364" t="s">
        <v>386</v>
      </c>
      <c r="B6" s="1237" t="s">
        <v>2364</v>
      </c>
      <c r="C6" s="1237">
        <v>17</v>
      </c>
      <c r="D6" s="3354">
        <f>SUM(C6:C9)</f>
        <v>26</v>
      </c>
    </row>
    <row r="7" spans="1:4">
      <c r="A7" s="3352"/>
      <c r="B7" s="862" t="s">
        <v>2365</v>
      </c>
      <c r="C7" s="862">
        <v>9</v>
      </c>
      <c r="D7" s="3352"/>
    </row>
    <row r="8" spans="1:4">
      <c r="A8" s="3352"/>
      <c r="B8" s="1246" t="s">
        <v>2366</v>
      </c>
      <c r="C8" s="862">
        <v>0</v>
      </c>
      <c r="D8" s="3352"/>
    </row>
    <row r="9" spans="1:4" ht="13.8" thickBot="1">
      <c r="A9" s="3353"/>
      <c r="B9" s="1247" t="s">
        <v>2367</v>
      </c>
      <c r="C9" s="1179">
        <v>0</v>
      </c>
      <c r="D9" s="3353"/>
    </row>
    <row r="10" spans="1:4">
      <c r="A10" s="3364" t="s">
        <v>2370</v>
      </c>
      <c r="B10" s="1237" t="s">
        <v>2368</v>
      </c>
      <c r="C10" s="1237">
        <v>5</v>
      </c>
      <c r="D10" s="3354">
        <f>SUM(C10:C11)</f>
        <v>11</v>
      </c>
    </row>
    <row r="11" spans="1:4" ht="13.8" thickBot="1">
      <c r="A11" s="3353"/>
      <c r="B11" s="1179" t="s">
        <v>2369</v>
      </c>
      <c r="C11" s="1179">
        <v>6</v>
      </c>
      <c r="D11" s="3353"/>
    </row>
    <row r="12" spans="1:4" ht="14.4">
      <c r="A12" s="3361" t="s">
        <v>542</v>
      </c>
      <c r="B12" s="1239" t="s">
        <v>2348</v>
      </c>
      <c r="C12" s="1240">
        <v>5</v>
      </c>
      <c r="D12" s="3361">
        <v>39</v>
      </c>
    </row>
    <row r="13" spans="1:4" ht="14.4">
      <c r="A13" s="3362"/>
      <c r="B13" s="1248" t="s">
        <v>2349</v>
      </c>
      <c r="C13" s="1235">
        <v>0</v>
      </c>
      <c r="D13" s="3362"/>
    </row>
    <row r="14" spans="1:4" ht="14.4">
      <c r="A14" s="3362"/>
      <c r="B14" s="1248" t="s">
        <v>2350</v>
      </c>
      <c r="C14" s="1235">
        <v>0</v>
      </c>
      <c r="D14" s="3362"/>
    </row>
    <row r="15" spans="1:4" ht="14.4">
      <c r="A15" s="3362"/>
      <c r="B15" s="1248" t="s">
        <v>2351</v>
      </c>
      <c r="C15" s="1235">
        <v>0</v>
      </c>
      <c r="D15" s="3362"/>
    </row>
    <row r="16" spans="1:4" ht="14.4">
      <c r="A16" s="3362"/>
      <c r="B16" s="1236" t="s">
        <v>2352</v>
      </c>
      <c r="C16" s="1235">
        <v>5</v>
      </c>
      <c r="D16" s="3362"/>
    </row>
    <row r="17" spans="1:5" ht="14.4">
      <c r="A17" s="3362"/>
      <c r="B17" s="1236" t="s">
        <v>2353</v>
      </c>
      <c r="C17" s="1235">
        <v>22</v>
      </c>
      <c r="D17" s="3362"/>
    </row>
    <row r="18" spans="1:5" ht="14.4">
      <c r="A18" s="3362"/>
      <c r="B18" s="1248" t="s">
        <v>2354</v>
      </c>
      <c r="C18" s="1235">
        <v>0</v>
      </c>
      <c r="D18" s="3362"/>
    </row>
    <row r="19" spans="1:5" ht="15" customHeight="1">
      <c r="A19" s="3362"/>
      <c r="B19" s="1236" t="s">
        <v>2355</v>
      </c>
      <c r="C19" s="1235">
        <v>3</v>
      </c>
      <c r="D19" s="3362"/>
    </row>
    <row r="20" spans="1:5" ht="15" thickBot="1">
      <c r="A20" s="3363"/>
      <c r="B20" s="1241" t="s">
        <v>2356</v>
      </c>
      <c r="C20" s="1242">
        <v>4</v>
      </c>
      <c r="D20" s="3363"/>
    </row>
    <row r="21" spans="1:5" ht="14.4">
      <c r="A21" s="3361" t="s">
        <v>972</v>
      </c>
      <c r="B21" s="1240" t="s">
        <v>2357</v>
      </c>
      <c r="C21" s="1240">
        <v>3</v>
      </c>
      <c r="D21" s="3361">
        <v>14</v>
      </c>
    </row>
    <row r="22" spans="1:5" ht="14.4">
      <c r="A22" s="3362"/>
      <c r="B22" s="1235" t="s">
        <v>2358</v>
      </c>
      <c r="C22" s="1235">
        <v>8</v>
      </c>
      <c r="D22" s="3362"/>
    </row>
    <row r="23" spans="1:5" ht="15" thickBot="1">
      <c r="A23" s="3363"/>
      <c r="B23" s="1242" t="s">
        <v>2359</v>
      </c>
      <c r="C23" s="1242">
        <v>3</v>
      </c>
      <c r="D23" s="3363"/>
    </row>
    <row r="24" spans="1:5" ht="14.4">
      <c r="A24" s="3365" t="s">
        <v>77</v>
      </c>
      <c r="B24" s="1240" t="s">
        <v>2392</v>
      </c>
      <c r="C24" s="1240">
        <v>3</v>
      </c>
      <c r="D24" s="3365">
        <v>10</v>
      </c>
    </row>
    <row r="25" spans="1:5" ht="14.4">
      <c r="A25" s="3366"/>
      <c r="B25" s="1235" t="s">
        <v>2393</v>
      </c>
      <c r="C25" s="1235">
        <v>4</v>
      </c>
      <c r="D25" s="3366"/>
    </row>
    <row r="26" spans="1:5" ht="15" thickBot="1">
      <c r="A26" s="3367"/>
      <c r="B26" s="1242" t="s">
        <v>2394</v>
      </c>
      <c r="C26" s="1242">
        <v>3</v>
      </c>
      <c r="D26" s="3367"/>
    </row>
    <row r="27" spans="1:5" ht="14.4">
      <c r="A27" s="3365" t="s">
        <v>893</v>
      </c>
      <c r="B27" s="1240" t="s">
        <v>2395</v>
      </c>
      <c r="C27" s="1240">
        <v>1</v>
      </c>
      <c r="D27" s="3365">
        <v>6</v>
      </c>
    </row>
    <row r="28" spans="1:5" ht="14.4">
      <c r="A28" s="3366"/>
      <c r="B28" s="1235" t="s">
        <v>2396</v>
      </c>
      <c r="C28" s="1235">
        <v>2</v>
      </c>
      <c r="D28" s="3366"/>
    </row>
    <row r="29" spans="1:5" ht="15" thickBot="1">
      <c r="A29" s="3367"/>
      <c r="B29" s="1242" t="s">
        <v>2397</v>
      </c>
      <c r="C29" s="1242">
        <v>3</v>
      </c>
      <c r="D29" s="3367"/>
    </row>
    <row r="30" spans="1:5" ht="14.4">
      <c r="A30" s="3355" t="s">
        <v>2390</v>
      </c>
      <c r="B30" s="1238" t="s">
        <v>2373</v>
      </c>
      <c r="C30" s="943"/>
      <c r="E30" s="3358" t="s">
        <v>2391</v>
      </c>
    </row>
    <row r="31" spans="1:5" ht="14.4">
      <c r="A31" s="3356"/>
      <c r="B31" s="1235" t="s">
        <v>2374</v>
      </c>
      <c r="C31" s="137"/>
      <c r="E31" s="3359"/>
    </row>
    <row r="32" spans="1:5" ht="14.4">
      <c r="A32" s="3356"/>
      <c r="B32" s="1235" t="s">
        <v>2375</v>
      </c>
      <c r="C32" s="137"/>
      <c r="E32" s="3359"/>
    </row>
    <row r="33" spans="1:5" ht="14.4">
      <c r="A33" s="3356"/>
      <c r="B33" s="1235" t="s">
        <v>2376</v>
      </c>
      <c r="C33" s="137"/>
      <c r="E33" s="3359"/>
    </row>
    <row r="34" spans="1:5" ht="14.4">
      <c r="A34" s="3356"/>
      <c r="B34" s="1235" t="s">
        <v>2377</v>
      </c>
      <c r="C34" s="137"/>
      <c r="E34" s="3359"/>
    </row>
    <row r="35" spans="1:5" ht="14.4">
      <c r="A35" s="3356"/>
      <c r="B35" s="1235" t="s">
        <v>2378</v>
      </c>
      <c r="C35" s="137"/>
      <c r="E35" s="3359"/>
    </row>
    <row r="36" spans="1:5" ht="14.4">
      <c r="A36" s="3356"/>
      <c r="B36" s="1235" t="s">
        <v>2379</v>
      </c>
      <c r="C36" s="137"/>
      <c r="E36" s="3359"/>
    </row>
    <row r="37" spans="1:5" ht="14.4">
      <c r="A37" s="3356"/>
      <c r="B37" s="1235" t="s">
        <v>2380</v>
      </c>
      <c r="C37" s="137"/>
      <c r="E37" s="3359"/>
    </row>
    <row r="38" spans="1:5" ht="14.4">
      <c r="A38" s="3356"/>
      <c r="B38" s="1235" t="s">
        <v>2381</v>
      </c>
      <c r="C38" s="137"/>
      <c r="E38" s="3359"/>
    </row>
    <row r="39" spans="1:5" ht="14.4">
      <c r="A39" s="3356"/>
      <c r="B39" s="1235" t="s">
        <v>2382</v>
      </c>
      <c r="C39" s="137"/>
      <c r="E39" s="3359"/>
    </row>
    <row r="40" spans="1:5" ht="14.4">
      <c r="A40" s="3356"/>
      <c r="B40" s="1235" t="s">
        <v>2383</v>
      </c>
      <c r="C40" s="137"/>
      <c r="E40" s="3359"/>
    </row>
    <row r="41" spans="1:5" ht="14.4">
      <c r="A41" s="3356"/>
      <c r="B41" s="1235" t="s">
        <v>2384</v>
      </c>
      <c r="C41" s="137"/>
      <c r="E41" s="3359"/>
    </row>
    <row r="42" spans="1:5" ht="14.4">
      <c r="A42" s="3356"/>
      <c r="B42" s="1235" t="s">
        <v>2385</v>
      </c>
      <c r="C42" s="137"/>
      <c r="E42" s="3359"/>
    </row>
    <row r="43" spans="1:5" ht="14.4">
      <c r="A43" s="3356"/>
      <c r="B43" s="1235" t="s">
        <v>2386</v>
      </c>
      <c r="C43" s="137"/>
      <c r="E43" s="3359"/>
    </row>
    <row r="44" spans="1:5" ht="14.4">
      <c r="A44" s="3356"/>
      <c r="B44" s="1235" t="s">
        <v>2387</v>
      </c>
      <c r="C44" s="137"/>
      <c r="E44" s="3359"/>
    </row>
    <row r="45" spans="1:5" ht="14.4">
      <c r="A45" s="3356"/>
      <c r="B45" s="1235" t="s">
        <v>2388</v>
      </c>
      <c r="C45" s="137"/>
      <c r="E45" s="3359"/>
    </row>
    <row r="46" spans="1:5" ht="15" thickBot="1">
      <c r="A46" s="3357"/>
      <c r="B46" s="1242" t="s">
        <v>2389</v>
      </c>
      <c r="C46" s="965"/>
      <c r="D46" s="270"/>
      <c r="E46" s="3360"/>
    </row>
    <row r="47" spans="1:5" ht="14.4">
      <c r="A47" s="3368" t="s">
        <v>91</v>
      </c>
      <c r="B47" s="3371" t="s">
        <v>2398</v>
      </c>
      <c r="C47" s="1252" t="s">
        <v>2399</v>
      </c>
      <c r="D47" s="1240">
        <v>1</v>
      </c>
      <c r="E47" s="3354">
        <f>SUM(D47:D64)</f>
        <v>53</v>
      </c>
    </row>
    <row r="48" spans="1:5" ht="14.4">
      <c r="A48" s="3369"/>
      <c r="B48" s="3372"/>
      <c r="C48" s="1251" t="s">
        <v>2400</v>
      </c>
      <c r="D48" s="1235">
        <v>3</v>
      </c>
      <c r="E48" s="3352"/>
    </row>
    <row r="49" spans="1:5" ht="14.4">
      <c r="A49" s="3369"/>
      <c r="B49" s="3372"/>
      <c r="C49" s="1251" t="s">
        <v>2401</v>
      </c>
      <c r="D49" s="1235">
        <v>2</v>
      </c>
      <c r="E49" s="3352"/>
    </row>
    <row r="50" spans="1:5" ht="14.4">
      <c r="A50" s="3369"/>
      <c r="B50" s="3372" t="s">
        <v>2402</v>
      </c>
      <c r="C50" s="1251" t="s">
        <v>2403</v>
      </c>
      <c r="D50" s="1235">
        <v>2</v>
      </c>
      <c r="E50" s="3352"/>
    </row>
    <row r="51" spans="1:5" ht="14.4">
      <c r="A51" s="3369"/>
      <c r="B51" s="3372"/>
      <c r="C51" s="1251" t="s">
        <v>2404</v>
      </c>
      <c r="D51" s="1235">
        <v>1</v>
      </c>
      <c r="E51" s="3352"/>
    </row>
    <row r="52" spans="1:5" ht="14.4">
      <c r="A52" s="3369"/>
      <c r="B52" s="3372"/>
      <c r="C52" s="1251" t="s">
        <v>2405</v>
      </c>
      <c r="D52" s="1235">
        <v>2</v>
      </c>
      <c r="E52" s="3352"/>
    </row>
    <row r="53" spans="1:5" ht="14.4">
      <c r="A53" s="3369"/>
      <c r="B53" s="3372" t="s">
        <v>2406</v>
      </c>
      <c r="C53" s="1251" t="s">
        <v>2407</v>
      </c>
      <c r="D53" s="1235">
        <v>3</v>
      </c>
      <c r="E53" s="3352"/>
    </row>
    <row r="54" spans="1:5" ht="14.4">
      <c r="A54" s="3369"/>
      <c r="B54" s="3372"/>
      <c r="C54" s="1251" t="s">
        <v>2408</v>
      </c>
      <c r="D54" s="1235">
        <v>4</v>
      </c>
      <c r="E54" s="3352"/>
    </row>
    <row r="55" spans="1:5" ht="14.4">
      <c r="A55" s="3369"/>
      <c r="B55" s="3372"/>
      <c r="C55" s="1251" t="s">
        <v>2409</v>
      </c>
      <c r="D55" s="1235">
        <v>6</v>
      </c>
      <c r="E55" s="3352"/>
    </row>
    <row r="56" spans="1:5" ht="14.4">
      <c r="A56" s="3369"/>
      <c r="B56" s="3372" t="s">
        <v>2410</v>
      </c>
      <c r="C56" s="1251" t="s">
        <v>2411</v>
      </c>
      <c r="D56" s="1235">
        <v>5</v>
      </c>
      <c r="E56" s="3352"/>
    </row>
    <row r="57" spans="1:5" ht="14.4">
      <c r="A57" s="3369"/>
      <c r="B57" s="3372"/>
      <c r="C57" s="1251" t="s">
        <v>2412</v>
      </c>
      <c r="D57" s="1235">
        <v>4</v>
      </c>
      <c r="E57" s="3352"/>
    </row>
    <row r="58" spans="1:5" ht="14.4">
      <c r="A58" s="3369"/>
      <c r="B58" s="3372"/>
      <c r="C58" s="1251" t="s">
        <v>2413</v>
      </c>
      <c r="D58" s="1235">
        <v>4</v>
      </c>
      <c r="E58" s="3352"/>
    </row>
    <row r="59" spans="1:5" ht="14.4">
      <c r="A59" s="3369"/>
      <c r="B59" s="3372" t="s">
        <v>2414</v>
      </c>
      <c r="C59" s="1251" t="s">
        <v>2415</v>
      </c>
      <c r="D59" s="1235">
        <v>3</v>
      </c>
      <c r="E59" s="3352"/>
    </row>
    <row r="60" spans="1:5" ht="14.4">
      <c r="A60" s="3369"/>
      <c r="B60" s="3372"/>
      <c r="C60" s="1251" t="s">
        <v>2416</v>
      </c>
      <c r="D60" s="1235">
        <v>4</v>
      </c>
      <c r="E60" s="3352"/>
    </row>
    <row r="61" spans="1:5" ht="14.4">
      <c r="A61" s="3369"/>
      <c r="B61" s="3372"/>
      <c r="C61" s="1251" t="s">
        <v>2417</v>
      </c>
      <c r="D61" s="1235">
        <v>3</v>
      </c>
      <c r="E61" s="3352"/>
    </row>
    <row r="62" spans="1:5" ht="14.4">
      <c r="A62" s="3369"/>
      <c r="B62" s="3372" t="s">
        <v>2418</v>
      </c>
      <c r="C62" s="1251" t="s">
        <v>2419</v>
      </c>
      <c r="D62" s="1235">
        <v>3</v>
      </c>
      <c r="E62" s="3352"/>
    </row>
    <row r="63" spans="1:5" ht="14.4">
      <c r="A63" s="3369"/>
      <c r="B63" s="3372"/>
      <c r="C63" s="1251" t="s">
        <v>2420</v>
      </c>
      <c r="D63" s="1235">
        <v>2</v>
      </c>
      <c r="E63" s="3352"/>
    </row>
    <row r="64" spans="1:5" ht="15" thickBot="1">
      <c r="A64" s="3370"/>
      <c r="B64" s="3373"/>
      <c r="C64" s="1253" t="s">
        <v>2421</v>
      </c>
      <c r="D64" s="1242">
        <v>1</v>
      </c>
      <c r="E64" s="3353"/>
    </row>
    <row r="65" spans="1:5" ht="14.4">
      <c r="A65" s="1249" t="s">
        <v>1053</v>
      </c>
      <c r="B65" s="913"/>
      <c r="C65" s="1250" t="s">
        <v>2422</v>
      </c>
      <c r="D65" s="1238"/>
      <c r="E65" s="913">
        <v>58</v>
      </c>
    </row>
  </sheetData>
  <mergeCells count="24">
    <mergeCell ref="E47:E64"/>
    <mergeCell ref="A47:A64"/>
    <mergeCell ref="B47:B49"/>
    <mergeCell ref="B50:B52"/>
    <mergeCell ref="B53:B55"/>
    <mergeCell ref="B56:B58"/>
    <mergeCell ref="B59:B61"/>
    <mergeCell ref="B62:B64"/>
    <mergeCell ref="D2:D5"/>
    <mergeCell ref="D6:D9"/>
    <mergeCell ref="D10:D11"/>
    <mergeCell ref="A30:A46"/>
    <mergeCell ref="E30:E46"/>
    <mergeCell ref="A12:A20"/>
    <mergeCell ref="D12:D20"/>
    <mergeCell ref="A21:A23"/>
    <mergeCell ref="D21:D23"/>
    <mergeCell ref="A2:A5"/>
    <mergeCell ref="A6:A9"/>
    <mergeCell ref="A27:A29"/>
    <mergeCell ref="D27:D29"/>
    <mergeCell ref="D24:D26"/>
    <mergeCell ref="A24:A26"/>
    <mergeCell ref="A10:A11"/>
  </mergeCells>
  <pageMargins left="0.7" right="0.7" top="0.75" bottom="0.75" header="0.3" footer="0.3"/>
  <pageSetup orientation="portrait" r:id="rId1"/>
  <customProperties>
    <customPr name="_pios_id" r:id="rId2"/>
  </customPropertie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35"/>
  <dimension ref="A1:G19"/>
  <sheetViews>
    <sheetView workbookViewId="0">
      <selection activeCell="J20" sqref="J20"/>
    </sheetView>
  </sheetViews>
  <sheetFormatPr baseColWidth="10" defaultRowHeight="13.2"/>
  <cols>
    <col min="1" max="1" width="12.5546875" bestFit="1" customWidth="1"/>
  </cols>
  <sheetData>
    <row r="1" spans="1:7">
      <c r="A1" s="1283"/>
      <c r="B1" s="3374" t="s">
        <v>2804</v>
      </c>
      <c r="C1" s="3374"/>
      <c r="D1" s="3374"/>
      <c r="E1" s="3374"/>
      <c r="F1" s="3374"/>
      <c r="G1" s="3374"/>
    </row>
    <row r="2" spans="1:7">
      <c r="A2" s="1284"/>
      <c r="B2" s="3375" t="s">
        <v>2805</v>
      </c>
      <c r="C2" s="3375"/>
      <c r="D2" s="3375"/>
      <c r="E2" s="3376" t="s">
        <v>2806</v>
      </c>
      <c r="F2" s="3376"/>
      <c r="G2" s="3376"/>
    </row>
    <row r="3" spans="1:7">
      <c r="A3" s="1285" t="s">
        <v>939</v>
      </c>
      <c r="B3" s="1286" t="s">
        <v>2807</v>
      </c>
      <c r="C3" s="1286" t="s">
        <v>2808</v>
      </c>
      <c r="D3" s="1286" t="s">
        <v>2809</v>
      </c>
      <c r="E3" s="1285" t="s">
        <v>2807</v>
      </c>
      <c r="F3" s="1285" t="s">
        <v>2808</v>
      </c>
      <c r="G3" s="1285" t="s">
        <v>2809</v>
      </c>
    </row>
    <row r="4" spans="1:7">
      <c r="A4" s="1287" t="s">
        <v>450</v>
      </c>
      <c r="B4" s="1289" t="e">
        <f>#REF!</f>
        <v>#REF!</v>
      </c>
      <c r="C4" s="1290">
        <v>50</v>
      </c>
      <c r="D4" s="1291" t="e">
        <f>C4/B4</f>
        <v>#REF!</v>
      </c>
      <c r="E4" s="1288" t="e">
        <f>#REF!</f>
        <v>#REF!</v>
      </c>
      <c r="F4" s="1288" t="e">
        <f>#REF!</f>
        <v>#REF!</v>
      </c>
      <c r="G4" s="1292" t="e">
        <f>F4/E4</f>
        <v>#REF!</v>
      </c>
    </row>
    <row r="5" spans="1:7">
      <c r="A5" s="1293" t="s">
        <v>451</v>
      </c>
      <c r="B5" s="1289">
        <v>42</v>
      </c>
      <c r="C5" s="1290">
        <v>38</v>
      </c>
      <c r="D5" s="1291">
        <f t="shared" ref="D5:D16" si="0">C5/B5</f>
        <v>0.90476190476190477</v>
      </c>
      <c r="E5" s="1288" t="e">
        <f>#REF!</f>
        <v>#REF!</v>
      </c>
      <c r="F5" s="1288" t="e">
        <f>#REF!</f>
        <v>#REF!</v>
      </c>
      <c r="G5" s="1292" t="e">
        <f t="shared" ref="G5:G18" si="1">F5/E5</f>
        <v>#REF!</v>
      </c>
    </row>
    <row r="6" spans="1:7">
      <c r="A6" s="1287" t="s">
        <v>509</v>
      </c>
      <c r="B6" s="1289" t="e">
        <f>#REF!</f>
        <v>#REF!</v>
      </c>
      <c r="C6" s="1290" t="e">
        <f>#REF!</f>
        <v>#REF!</v>
      </c>
      <c r="D6" s="1291" t="e">
        <f t="shared" si="0"/>
        <v>#REF!</v>
      </c>
      <c r="E6" s="1288" t="e">
        <f>#REF!</f>
        <v>#REF!</v>
      </c>
      <c r="F6" s="1288" t="e">
        <f>#REF!</f>
        <v>#REF!</v>
      </c>
      <c r="G6" s="1292" t="e">
        <f t="shared" si="1"/>
        <v>#REF!</v>
      </c>
    </row>
    <row r="7" spans="1:7">
      <c r="A7" s="1287" t="s">
        <v>717</v>
      </c>
      <c r="B7" s="1289" t="e">
        <f>#REF!</f>
        <v>#REF!</v>
      </c>
      <c r="C7" s="1290">
        <v>8</v>
      </c>
      <c r="D7" s="1291">
        <v>1</v>
      </c>
      <c r="E7" s="1288" t="e">
        <f>#REF!</f>
        <v>#REF!</v>
      </c>
      <c r="F7" s="1288">
        <v>28</v>
      </c>
      <c r="G7" s="1292">
        <v>0.52</v>
      </c>
    </row>
    <row r="8" spans="1:7">
      <c r="A8" s="1287" t="s">
        <v>894</v>
      </c>
      <c r="B8" s="1289" t="e">
        <f>#REF!</f>
        <v>#REF!</v>
      </c>
      <c r="C8" s="1290">
        <v>10</v>
      </c>
      <c r="D8" s="1291" t="e">
        <f t="shared" si="0"/>
        <v>#REF!</v>
      </c>
      <c r="E8" s="1288" t="e">
        <f>#REF!</f>
        <v>#REF!</v>
      </c>
      <c r="F8" s="1288">
        <v>30</v>
      </c>
      <c r="G8" s="1292" t="e">
        <f t="shared" si="1"/>
        <v>#REF!</v>
      </c>
    </row>
    <row r="9" spans="1:7">
      <c r="A9" s="1287" t="s">
        <v>471</v>
      </c>
      <c r="B9" s="1289" t="e">
        <f>#REF!</f>
        <v>#REF!</v>
      </c>
      <c r="C9" s="1290" t="e">
        <f>#REF!</f>
        <v>#REF!</v>
      </c>
      <c r="D9" s="1291" t="e">
        <f t="shared" si="0"/>
        <v>#REF!</v>
      </c>
      <c r="E9" s="1288" t="e">
        <f>#REF!</f>
        <v>#REF!</v>
      </c>
      <c r="F9" s="1288" t="e">
        <f>#REF!</f>
        <v>#REF!</v>
      </c>
      <c r="G9" s="1292" t="e">
        <f t="shared" si="1"/>
        <v>#REF!</v>
      </c>
    </row>
    <row r="10" spans="1:7">
      <c r="A10" s="1294" t="s">
        <v>2347</v>
      </c>
      <c r="B10" s="1289">
        <v>36</v>
      </c>
      <c r="C10" s="1290">
        <v>33</v>
      </c>
      <c r="D10" s="1291">
        <f>C10/B10</f>
        <v>0.91666666666666663</v>
      </c>
      <c r="E10" s="1288" t="e">
        <f>#REF!</f>
        <v>#REF!</v>
      </c>
      <c r="F10" s="1288">
        <v>46</v>
      </c>
      <c r="G10" s="1292">
        <v>0.43</v>
      </c>
    </row>
    <row r="11" spans="1:7">
      <c r="A11" s="1287" t="s">
        <v>447</v>
      </c>
      <c r="B11" s="1289">
        <v>150</v>
      </c>
      <c r="C11" s="1290">
        <v>125</v>
      </c>
      <c r="D11" s="1291">
        <f t="shared" si="0"/>
        <v>0.83333333333333337</v>
      </c>
      <c r="E11" s="1288">
        <v>642</v>
      </c>
      <c r="F11" s="1288">
        <v>341</v>
      </c>
      <c r="G11" s="1292">
        <f t="shared" si="1"/>
        <v>0.53115264797507789</v>
      </c>
    </row>
    <row r="12" spans="1:7" hidden="1">
      <c r="A12" s="1287" t="s">
        <v>2810</v>
      </c>
      <c r="B12" s="1289"/>
      <c r="C12" s="1290"/>
      <c r="D12" s="1291" t="e">
        <f t="shared" si="0"/>
        <v>#DIV/0!</v>
      </c>
      <c r="E12" s="1288"/>
      <c r="F12" s="1288"/>
      <c r="G12" s="1292" t="e">
        <f t="shared" si="1"/>
        <v>#DIV/0!</v>
      </c>
    </row>
    <row r="13" spans="1:7">
      <c r="A13" s="1287" t="s">
        <v>944</v>
      </c>
      <c r="B13" s="1289" t="e">
        <f>#REF!</f>
        <v>#REF!</v>
      </c>
      <c r="C13" s="1290" t="e">
        <f>#REF!</f>
        <v>#REF!</v>
      </c>
      <c r="D13" s="1291" t="e">
        <f t="shared" si="0"/>
        <v>#REF!</v>
      </c>
      <c r="E13" s="1288" t="e">
        <f>#REF!</f>
        <v>#REF!</v>
      </c>
      <c r="F13" s="1288" t="e">
        <f>#REF!</f>
        <v>#REF!</v>
      </c>
      <c r="G13" s="1292" t="e">
        <f t="shared" si="1"/>
        <v>#REF!</v>
      </c>
    </row>
    <row r="14" spans="1:7">
      <c r="A14" s="1287" t="s">
        <v>945</v>
      </c>
      <c r="B14" s="1289" t="e">
        <f>#REF!</f>
        <v>#REF!</v>
      </c>
      <c r="C14" s="1290" t="e">
        <f>#REF!</f>
        <v>#REF!</v>
      </c>
      <c r="D14" s="1291" t="e">
        <f t="shared" si="0"/>
        <v>#REF!</v>
      </c>
      <c r="E14" s="1288" t="e">
        <f>#REF!</f>
        <v>#REF!</v>
      </c>
      <c r="F14" s="1288" t="e">
        <f>#REF!</f>
        <v>#REF!</v>
      </c>
      <c r="G14" s="1292" t="e">
        <f t="shared" si="1"/>
        <v>#REF!</v>
      </c>
    </row>
    <row r="15" spans="1:7">
      <c r="A15" s="1287" t="s">
        <v>521</v>
      </c>
      <c r="B15" s="1289" t="e">
        <f>#REF!</f>
        <v>#REF!</v>
      </c>
      <c r="C15" s="1290">
        <v>24</v>
      </c>
      <c r="D15" s="1291" t="e">
        <f t="shared" si="0"/>
        <v>#REF!</v>
      </c>
      <c r="E15" s="1288" t="e">
        <f>#REF!</f>
        <v>#REF!</v>
      </c>
      <c r="F15" s="1288">
        <v>95</v>
      </c>
      <c r="G15" s="1292" t="e">
        <f t="shared" si="1"/>
        <v>#REF!</v>
      </c>
    </row>
    <row r="16" spans="1:7">
      <c r="A16" s="1287" t="s">
        <v>946</v>
      </c>
      <c r="B16" s="1289" t="e">
        <f>#REF!</f>
        <v>#REF!</v>
      </c>
      <c r="C16" s="1290" t="e">
        <f>#REF!</f>
        <v>#REF!</v>
      </c>
      <c r="D16" s="1291" t="e">
        <f t="shared" si="0"/>
        <v>#REF!</v>
      </c>
      <c r="E16" s="1288" t="e">
        <f>#REF!</f>
        <v>#REF!</v>
      </c>
      <c r="F16" s="1288" t="e">
        <f>#REF!</f>
        <v>#REF!</v>
      </c>
      <c r="G16" s="1292" t="e">
        <f t="shared" si="1"/>
        <v>#REF!</v>
      </c>
    </row>
    <row r="17" spans="1:7" hidden="1">
      <c r="A17" s="1287" t="s">
        <v>2811</v>
      </c>
      <c r="B17" s="1289"/>
      <c r="C17" s="1290"/>
      <c r="D17" s="1291"/>
      <c r="E17" s="1288"/>
      <c r="F17" s="1288"/>
      <c r="G17" s="1292" t="e">
        <f t="shared" si="1"/>
        <v>#DIV/0!</v>
      </c>
    </row>
    <row r="18" spans="1:7" hidden="1">
      <c r="A18" s="1287" t="s">
        <v>1849</v>
      </c>
      <c r="B18" s="1289"/>
      <c r="C18" s="1290"/>
      <c r="D18" s="1291"/>
      <c r="E18" s="1288"/>
      <c r="F18" s="1288"/>
      <c r="G18" s="1292" t="e">
        <f t="shared" si="1"/>
        <v>#DIV/0!</v>
      </c>
    </row>
    <row r="19" spans="1:7" ht="13.8" thickBot="1">
      <c r="A19" s="1295" t="s">
        <v>14</v>
      </c>
      <c r="B19" s="1296" t="e">
        <f>SUM(B4:B16)</f>
        <v>#REF!</v>
      </c>
      <c r="C19" s="1296" t="e">
        <f>SUM(C4:C16)</f>
        <v>#REF!</v>
      </c>
      <c r="D19" s="1297" t="e">
        <f>C19/B19</f>
        <v>#REF!</v>
      </c>
      <c r="E19" s="1296" t="e">
        <f>SUM(E4:E16)</f>
        <v>#REF!</v>
      </c>
      <c r="F19" s="1296" t="e">
        <f>SUM(F4:F16)</f>
        <v>#REF!</v>
      </c>
      <c r="G19" s="1297" t="e">
        <f>F19/E19</f>
        <v>#REF!</v>
      </c>
    </row>
  </sheetData>
  <mergeCells count="3">
    <mergeCell ref="B1:G1"/>
    <mergeCell ref="B2:D2"/>
    <mergeCell ref="E2:G2"/>
  </mergeCells>
  <pageMargins left="0.7" right="0.7" top="0.75" bottom="0.75" header="0.3" footer="0.3"/>
  <customProperties>
    <customPr name="_pios_id" r:id="rId1"/>
  </customPropertie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36">
    <pageSetUpPr fitToPage="1"/>
  </sheetPr>
  <dimension ref="A1:G54"/>
  <sheetViews>
    <sheetView topLeftCell="C1" workbookViewId="0">
      <selection activeCell="J4" sqref="J4"/>
    </sheetView>
  </sheetViews>
  <sheetFormatPr baseColWidth="10" defaultRowHeight="13.2"/>
  <cols>
    <col min="1" max="1" width="24.5546875" bestFit="1" customWidth="1"/>
    <col min="2" max="3" width="10.5546875" style="8"/>
    <col min="4" max="4" width="10.77734375" style="8"/>
    <col min="5" max="5" width="11.5546875" style="8"/>
    <col min="6" max="6" width="11.5546875" style="262"/>
    <col min="7" max="7" width="10.5546875" style="8"/>
  </cols>
  <sheetData>
    <row r="1" spans="1:7">
      <c r="B1" s="1567">
        <v>2017</v>
      </c>
      <c r="C1" s="1567">
        <v>2018</v>
      </c>
      <c r="D1" s="1567">
        <v>2019</v>
      </c>
      <c r="E1" s="1567">
        <v>2020</v>
      </c>
      <c r="F1" s="1568" t="s">
        <v>4525</v>
      </c>
      <c r="G1" s="1567" t="s">
        <v>2882</v>
      </c>
    </row>
    <row r="2" spans="1:7">
      <c r="A2" s="1493" t="s">
        <v>693</v>
      </c>
      <c r="B2" s="1488">
        <v>239997</v>
      </c>
      <c r="C2" s="1488">
        <v>252330</v>
      </c>
      <c r="D2" s="1488">
        <v>265020</v>
      </c>
      <c r="E2" s="1488">
        <v>255075</v>
      </c>
      <c r="F2" s="1560">
        <f>+E2-D2</f>
        <v>-9945</v>
      </c>
      <c r="G2" s="1555">
        <f>(+E2-D2)/D2</f>
        <v>-3.7525469775865974E-2</v>
      </c>
    </row>
    <row r="3" spans="1:7">
      <c r="A3" s="1493" t="s">
        <v>694</v>
      </c>
      <c r="B3" s="1488">
        <v>259560</v>
      </c>
      <c r="C3" s="1488">
        <v>260308</v>
      </c>
      <c r="D3" s="1488">
        <v>271641</v>
      </c>
      <c r="E3" s="1488">
        <v>274252</v>
      </c>
      <c r="F3" s="1488">
        <f t="shared" ref="F3:F53" si="0">+E3-D3</f>
        <v>2611</v>
      </c>
      <c r="G3" s="1489">
        <f t="shared" ref="G3:G53" si="1">(+E3-D3)/D3</f>
        <v>9.6119510677695925E-3</v>
      </c>
    </row>
    <row r="4" spans="1:7">
      <c r="A4" s="1493" t="s">
        <v>2892</v>
      </c>
      <c r="B4" s="1488">
        <v>66080</v>
      </c>
      <c r="C4" s="1488">
        <v>68414</v>
      </c>
      <c r="D4" s="1488">
        <v>67477</v>
      </c>
      <c r="E4" s="1488">
        <v>76430</v>
      </c>
      <c r="F4" s="1488">
        <f t="shared" si="0"/>
        <v>8953</v>
      </c>
      <c r="G4" s="1489">
        <f t="shared" si="1"/>
        <v>0.13268224728425981</v>
      </c>
    </row>
    <row r="5" spans="1:7">
      <c r="A5" s="1493" t="s">
        <v>384</v>
      </c>
      <c r="B5" s="1488">
        <v>73100</v>
      </c>
      <c r="C5" s="1488">
        <v>70133</v>
      </c>
      <c r="D5" s="1488">
        <v>74191</v>
      </c>
      <c r="E5" s="1488">
        <v>78692</v>
      </c>
      <c r="F5" s="1488">
        <f t="shared" si="0"/>
        <v>4501</v>
      </c>
      <c r="G5" s="1489">
        <f t="shared" si="1"/>
        <v>6.0667735978757534E-2</v>
      </c>
    </row>
    <row r="6" spans="1:7">
      <c r="A6" s="1493" t="s">
        <v>2893</v>
      </c>
      <c r="B6" s="1488">
        <v>88413</v>
      </c>
      <c r="C6" s="1488">
        <v>81662</v>
      </c>
      <c r="D6" s="1488">
        <v>79523</v>
      </c>
      <c r="E6" s="1488">
        <v>85539</v>
      </c>
      <c r="F6" s="1488">
        <f t="shared" si="0"/>
        <v>6016</v>
      </c>
      <c r="G6" s="1489">
        <f t="shared" si="1"/>
        <v>7.5651069501905116E-2</v>
      </c>
    </row>
    <row r="7" spans="1:7">
      <c r="A7" s="1493" t="s">
        <v>2323</v>
      </c>
      <c r="B7" s="1488">
        <v>47090</v>
      </c>
      <c r="C7" s="1488">
        <v>49981</v>
      </c>
      <c r="D7" s="1488">
        <v>53911</v>
      </c>
      <c r="E7" s="1488">
        <v>59220</v>
      </c>
      <c r="F7" s="1488">
        <f t="shared" si="0"/>
        <v>5309</v>
      </c>
      <c r="G7" s="1489">
        <f t="shared" si="1"/>
        <v>9.8477119697278848E-2</v>
      </c>
    </row>
    <row r="8" spans="1:7">
      <c r="A8" s="1493" t="s">
        <v>2894</v>
      </c>
      <c r="B8" s="1488">
        <v>20254</v>
      </c>
      <c r="C8" s="1488">
        <v>19439</v>
      </c>
      <c r="D8" s="1488">
        <v>24327</v>
      </c>
      <c r="E8" s="8">
        <v>7093</v>
      </c>
      <c r="F8" s="1561">
        <f t="shared" si="0"/>
        <v>-17234</v>
      </c>
      <c r="G8" s="1555">
        <f t="shared" si="1"/>
        <v>-0.70843096148312579</v>
      </c>
    </row>
    <row r="9" spans="1:7" ht="13.8" thickBot="1">
      <c r="A9" s="1493" t="s">
        <v>2895</v>
      </c>
      <c r="B9" s="1490">
        <v>43766.998903597821</v>
      </c>
      <c r="C9" s="1490">
        <v>54193.7616746528</v>
      </c>
      <c r="D9" s="1490">
        <v>63450</v>
      </c>
      <c r="E9" s="1490">
        <v>81726</v>
      </c>
      <c r="F9" s="1490">
        <f t="shared" si="0"/>
        <v>18276</v>
      </c>
      <c r="G9" s="1491">
        <f t="shared" si="1"/>
        <v>0.28803782505910164</v>
      </c>
    </row>
    <row r="10" spans="1:7">
      <c r="A10" s="1493"/>
      <c r="B10" s="1488">
        <f>SUM(B2:B9)</f>
        <v>838260.99890359782</v>
      </c>
      <c r="C10" s="1488">
        <f>SUM(C2:C9)</f>
        <v>856460.76167465281</v>
      </c>
      <c r="D10" s="1488">
        <f>SUM(D2:D9)</f>
        <v>899540</v>
      </c>
      <c r="E10" s="1488">
        <f>SUM(E2:E9)</f>
        <v>918027</v>
      </c>
      <c r="F10" s="1488">
        <f t="shared" si="0"/>
        <v>18487</v>
      </c>
      <c r="G10" s="1489">
        <f t="shared" si="1"/>
        <v>2.0551615270026902E-2</v>
      </c>
    </row>
    <row r="11" spans="1:7">
      <c r="A11" s="1494" t="s">
        <v>4524</v>
      </c>
      <c r="B11" s="1488">
        <f>+B10*0.75</f>
        <v>628695.7491776984</v>
      </c>
      <c r="C11" s="1488">
        <f>+C10*0.75</f>
        <v>642345.57125598961</v>
      </c>
      <c r="D11" s="1488">
        <f>+D10*0.75</f>
        <v>674655</v>
      </c>
      <c r="E11" s="1488">
        <f>+E10*0.75</f>
        <v>688520.25</v>
      </c>
      <c r="F11" s="1488">
        <f t="shared" si="0"/>
        <v>13865.25</v>
      </c>
      <c r="G11" s="1489">
        <f t="shared" si="1"/>
        <v>2.0551615270026902E-2</v>
      </c>
    </row>
    <row r="12" spans="1:7">
      <c r="A12" s="1494"/>
      <c r="B12" s="1488"/>
      <c r="C12" s="1488"/>
      <c r="D12" s="1488"/>
      <c r="E12" s="1488"/>
      <c r="F12" s="1488"/>
      <c r="G12" s="1552"/>
    </row>
    <row r="13" spans="1:7">
      <c r="A13" s="1495" t="s">
        <v>4003</v>
      </c>
      <c r="B13" s="1488">
        <v>1446</v>
      </c>
      <c r="C13" s="1488">
        <v>1385</v>
      </c>
      <c r="D13" s="1488">
        <v>1375</v>
      </c>
      <c r="E13" s="1488">
        <v>1198</v>
      </c>
      <c r="F13" s="1560">
        <f t="shared" si="0"/>
        <v>-177</v>
      </c>
      <c r="G13" s="1556">
        <f t="shared" si="1"/>
        <v>-0.12872727272727272</v>
      </c>
    </row>
    <row r="14" spans="1:7">
      <c r="A14" s="1495" t="s">
        <v>4001</v>
      </c>
      <c r="B14" s="1488">
        <v>15632</v>
      </c>
      <c r="C14" s="1488">
        <v>14731</v>
      </c>
      <c r="D14" s="1488">
        <v>15116</v>
      </c>
      <c r="E14" s="1488">
        <v>17101</v>
      </c>
      <c r="F14" s="1488">
        <f t="shared" si="0"/>
        <v>1985</v>
      </c>
      <c r="G14" s="1552">
        <f t="shared" si="1"/>
        <v>0.13131780894416512</v>
      </c>
    </row>
    <row r="15" spans="1:7" ht="13.8" thickBot="1">
      <c r="A15" s="1554" t="s">
        <v>4002</v>
      </c>
      <c r="B15" s="1490">
        <v>7449</v>
      </c>
      <c r="C15" s="1490">
        <v>5409</v>
      </c>
      <c r="D15" s="1490">
        <v>5562</v>
      </c>
      <c r="E15" s="1490">
        <v>6235</v>
      </c>
      <c r="F15" s="1490">
        <f t="shared" si="0"/>
        <v>673</v>
      </c>
      <c r="G15" s="1491">
        <f t="shared" si="1"/>
        <v>0.12099964041711614</v>
      </c>
    </row>
    <row r="16" spans="1:7">
      <c r="A16" s="1495"/>
      <c r="B16" s="1488">
        <f>SUM(B13:B15)</f>
        <v>24527</v>
      </c>
      <c r="C16" s="1488">
        <f>SUM(C13:C15)</f>
        <v>21525</v>
      </c>
      <c r="D16" s="1488">
        <f>SUM(D13:D15)</f>
        <v>22053</v>
      </c>
      <c r="E16" s="1488">
        <f>SUM(E13:E15)</f>
        <v>24534</v>
      </c>
      <c r="F16" s="1488">
        <f t="shared" si="0"/>
        <v>2481</v>
      </c>
      <c r="G16" s="1552">
        <f t="shared" si="1"/>
        <v>0.11250170044891851</v>
      </c>
    </row>
    <row r="17" spans="1:7">
      <c r="A17" s="1495"/>
      <c r="B17" s="1488"/>
      <c r="C17" s="1488"/>
      <c r="D17" s="1488"/>
      <c r="E17" s="1488"/>
      <c r="F17" s="1488"/>
      <c r="G17" s="1552"/>
    </row>
    <row r="18" spans="1:7">
      <c r="A18" s="1493" t="s">
        <v>972</v>
      </c>
      <c r="B18" s="1488">
        <v>152712</v>
      </c>
      <c r="C18" s="1488">
        <v>159117</v>
      </c>
      <c r="D18" s="1488">
        <v>173828</v>
      </c>
      <c r="E18" s="1488">
        <v>179000</v>
      </c>
      <c r="F18" s="1488">
        <f t="shared" si="0"/>
        <v>5172</v>
      </c>
      <c r="G18" s="1489">
        <f t="shared" si="1"/>
        <v>2.9753549485698506E-2</v>
      </c>
    </row>
    <row r="19" spans="1:7">
      <c r="A19" s="1493" t="s">
        <v>429</v>
      </c>
      <c r="B19" s="1488">
        <v>25814</v>
      </c>
      <c r="C19" s="1488">
        <v>28308</v>
      </c>
      <c r="D19" s="1488">
        <v>26225</v>
      </c>
      <c r="E19" s="1488">
        <v>21562</v>
      </c>
      <c r="F19" s="1560">
        <f t="shared" si="0"/>
        <v>-4663</v>
      </c>
      <c r="G19" s="1555">
        <f t="shared" si="1"/>
        <v>-0.17780743565300286</v>
      </c>
    </row>
    <row r="20" spans="1:7">
      <c r="A20" s="1493" t="s">
        <v>430</v>
      </c>
      <c r="B20" s="1488">
        <v>8455</v>
      </c>
      <c r="C20" s="1488">
        <v>8060</v>
      </c>
      <c r="D20" s="1488">
        <v>8144</v>
      </c>
      <c r="E20" s="1488">
        <v>7234</v>
      </c>
      <c r="F20" s="1560">
        <f t="shared" si="0"/>
        <v>-910</v>
      </c>
      <c r="G20" s="1555">
        <f t="shared" si="1"/>
        <v>-0.11173870333988212</v>
      </c>
    </row>
    <row r="21" spans="1:7">
      <c r="A21" s="1493"/>
      <c r="B21" s="1488"/>
      <c r="C21" s="1488"/>
      <c r="D21" s="1488"/>
      <c r="E21" s="1488"/>
      <c r="F21" s="1488"/>
      <c r="G21" s="1489"/>
    </row>
    <row r="22" spans="1:7">
      <c r="A22" s="1493" t="s">
        <v>2883</v>
      </c>
      <c r="B22" s="1488">
        <v>111000</v>
      </c>
      <c r="C22" s="1488">
        <v>119000</v>
      </c>
      <c r="D22" s="1488">
        <v>120200</v>
      </c>
      <c r="E22" s="1488">
        <v>107173</v>
      </c>
      <c r="F22" s="1560">
        <f t="shared" si="0"/>
        <v>-13027</v>
      </c>
      <c r="G22" s="1555">
        <f t="shared" si="1"/>
        <v>-0.10837770382695508</v>
      </c>
    </row>
    <row r="23" spans="1:7">
      <c r="A23" s="1493" t="s">
        <v>2884</v>
      </c>
      <c r="B23" s="1488">
        <v>99000</v>
      </c>
      <c r="C23" s="1488">
        <v>106000</v>
      </c>
      <c r="D23" s="1488">
        <v>106900</v>
      </c>
      <c r="E23" s="1488">
        <v>87808</v>
      </c>
      <c r="F23" s="1560">
        <f t="shared" si="0"/>
        <v>-19092</v>
      </c>
      <c r="G23" s="1555">
        <f t="shared" si="1"/>
        <v>-0.17859681945743686</v>
      </c>
    </row>
    <row r="24" spans="1:7">
      <c r="A24" s="1493" t="s">
        <v>2885</v>
      </c>
      <c r="B24" s="1488">
        <v>10900</v>
      </c>
      <c r="C24" s="1488">
        <v>11300</v>
      </c>
      <c r="D24" s="1488">
        <v>11900</v>
      </c>
      <c r="E24" s="1488">
        <v>12204</v>
      </c>
      <c r="F24" s="1488">
        <f t="shared" si="0"/>
        <v>304</v>
      </c>
      <c r="G24" s="1489">
        <f t="shared" si="1"/>
        <v>2.5546218487394957E-2</v>
      </c>
    </row>
    <row r="25" spans="1:7">
      <c r="A25" s="1493" t="s">
        <v>2886</v>
      </c>
      <c r="B25" s="1488">
        <v>8900</v>
      </c>
      <c r="C25" s="1488">
        <v>10300</v>
      </c>
      <c r="D25" s="1488">
        <v>11400</v>
      </c>
      <c r="E25" s="1488">
        <v>9794</v>
      </c>
      <c r="F25" s="1560">
        <f t="shared" si="0"/>
        <v>-1606</v>
      </c>
      <c r="G25" s="1555">
        <f t="shared" si="1"/>
        <v>-0.14087719298245613</v>
      </c>
    </row>
    <row r="26" spans="1:7">
      <c r="A26" s="1493" t="s">
        <v>2887</v>
      </c>
      <c r="B26" s="1488">
        <v>47600</v>
      </c>
      <c r="C26" s="1488">
        <v>48700</v>
      </c>
      <c r="D26" s="1488">
        <v>49600</v>
      </c>
      <c r="E26" s="1488">
        <v>44024</v>
      </c>
      <c r="F26" s="1560">
        <f t="shared" si="0"/>
        <v>-5576</v>
      </c>
      <c r="G26" s="1555">
        <f t="shared" si="1"/>
        <v>-0.11241935483870968</v>
      </c>
    </row>
    <row r="27" spans="1:7">
      <c r="A27" s="1493" t="s">
        <v>2888</v>
      </c>
      <c r="B27" s="1488">
        <v>9700</v>
      </c>
      <c r="C27" s="1488">
        <v>10400</v>
      </c>
      <c r="D27" s="1488">
        <v>12600</v>
      </c>
      <c r="E27" s="1488">
        <v>12144</v>
      </c>
      <c r="F27" s="1560">
        <f t="shared" si="0"/>
        <v>-456</v>
      </c>
      <c r="G27" s="1555">
        <f t="shared" si="1"/>
        <v>-3.619047619047619E-2</v>
      </c>
    </row>
    <row r="28" spans="1:7">
      <c r="A28" s="1493" t="s">
        <v>2889</v>
      </c>
      <c r="B28" s="1488">
        <v>10000</v>
      </c>
      <c r="C28" s="1488">
        <v>11700</v>
      </c>
      <c r="D28" s="1488">
        <v>11885</v>
      </c>
      <c r="E28" s="1488">
        <v>12675</v>
      </c>
      <c r="F28" s="1488">
        <f t="shared" si="0"/>
        <v>790</v>
      </c>
      <c r="G28" s="1489">
        <f t="shared" si="1"/>
        <v>6.6470340765671015E-2</v>
      </c>
    </row>
    <row r="29" spans="1:7">
      <c r="A29" s="1493" t="s">
        <v>2890</v>
      </c>
      <c r="B29" s="1488">
        <v>7500</v>
      </c>
      <c r="C29" s="1488">
        <v>9400</v>
      </c>
      <c r="D29" s="1488">
        <v>10386</v>
      </c>
      <c r="E29" s="1488">
        <v>9309</v>
      </c>
      <c r="F29" s="1560">
        <f t="shared" si="0"/>
        <v>-1077</v>
      </c>
      <c r="G29" s="1555">
        <f t="shared" si="1"/>
        <v>-0.10369728480647025</v>
      </c>
    </row>
    <row r="30" spans="1:7" ht="13.8" thickBot="1">
      <c r="A30" s="1493" t="s">
        <v>2891</v>
      </c>
      <c r="B30" s="1490">
        <v>14600</v>
      </c>
      <c r="C30" s="1490">
        <v>17300</v>
      </c>
      <c r="D30" s="1490">
        <v>19857</v>
      </c>
      <c r="E30" s="1490">
        <v>13277</v>
      </c>
      <c r="F30" s="1564">
        <f t="shared" si="0"/>
        <v>-6580</v>
      </c>
      <c r="G30" s="1557">
        <f t="shared" si="1"/>
        <v>-0.33136929042654983</v>
      </c>
    </row>
    <row r="31" spans="1:7">
      <c r="A31" s="1493"/>
      <c r="B31" s="1488">
        <f>SUM(B22:B30)</f>
        <v>319200</v>
      </c>
      <c r="C31" s="1488">
        <f>SUM(C22:C30)</f>
        <v>344100</v>
      </c>
      <c r="D31" s="1488">
        <f>SUM(D22:D30)</f>
        <v>354728</v>
      </c>
      <c r="E31" s="1488">
        <f>SUM(E22:E30)</f>
        <v>308408</v>
      </c>
      <c r="F31" s="1560">
        <f t="shared" si="0"/>
        <v>-46320</v>
      </c>
      <c r="G31" s="1555">
        <f t="shared" si="1"/>
        <v>-0.13057892244198371</v>
      </c>
    </row>
    <row r="32" spans="1:7">
      <c r="A32" s="1493"/>
      <c r="B32" s="1488"/>
      <c r="C32" s="1488"/>
      <c r="D32" s="1488"/>
      <c r="E32" s="1488"/>
      <c r="F32" s="1488"/>
      <c r="G32" s="1489"/>
    </row>
    <row r="33" spans="1:7">
      <c r="A33" s="1493" t="s">
        <v>77</v>
      </c>
      <c r="B33" s="1488">
        <v>110645</v>
      </c>
      <c r="C33" s="1488">
        <v>117764</v>
      </c>
      <c r="D33" s="1488">
        <v>121426</v>
      </c>
      <c r="E33" s="1488">
        <v>113914</v>
      </c>
      <c r="F33" s="1560">
        <f t="shared" si="0"/>
        <v>-7512</v>
      </c>
      <c r="G33" s="1555">
        <f t="shared" si="1"/>
        <v>-6.186483949071863E-2</v>
      </c>
    </row>
    <row r="34" spans="1:7">
      <c r="A34" s="1493" t="s">
        <v>2901</v>
      </c>
      <c r="B34" s="1488">
        <v>32134</v>
      </c>
      <c r="C34" s="1488">
        <v>31485</v>
      </c>
      <c r="D34" s="1488">
        <v>31618</v>
      </c>
      <c r="E34" s="1488">
        <v>35961</v>
      </c>
      <c r="F34" s="1488">
        <f t="shared" si="0"/>
        <v>4343</v>
      </c>
      <c r="G34" s="1489">
        <f t="shared" si="1"/>
        <v>0.1373584666961857</v>
      </c>
    </row>
    <row r="35" spans="1:7">
      <c r="A35" s="1493"/>
      <c r="B35" s="1488"/>
      <c r="C35" s="1488"/>
      <c r="D35" s="1488"/>
      <c r="E35" s="1488"/>
      <c r="F35" s="1488">
        <f t="shared" si="0"/>
        <v>0</v>
      </c>
      <c r="G35" s="1492"/>
    </row>
    <row r="36" spans="1:7">
      <c r="A36" s="1496" t="s">
        <v>2900</v>
      </c>
      <c r="B36" s="1558">
        <f>+B34+B33+B31+B15+B14+B13+B20+B19+B18+B11</f>
        <v>1302182.7491776985</v>
      </c>
      <c r="C36" s="1558">
        <f>+C34+C33+C31+C15+C14+C13+C20+C19+C18+C11</f>
        <v>1352704.5712559896</v>
      </c>
      <c r="D36" s="1558">
        <f>+D34+D33+D31+D15+D14+D13+D20+D19+D18+D11</f>
        <v>1412677</v>
      </c>
      <c r="E36" s="1558">
        <f>+E34+E33+E31+E15+E14+E13+E20+E19+E18+E11</f>
        <v>1379133.25</v>
      </c>
      <c r="F36" s="1558">
        <f t="shared" si="0"/>
        <v>-33543.75</v>
      </c>
      <c r="G36" s="1559">
        <f t="shared" si="1"/>
        <v>-2.374481215451232E-2</v>
      </c>
    </row>
    <row r="37" spans="1:7">
      <c r="A37" s="1493"/>
      <c r="B37" s="1488"/>
      <c r="C37" s="1488"/>
      <c r="D37" s="1488"/>
      <c r="E37" s="1488"/>
      <c r="F37" s="1488"/>
      <c r="G37" s="1492"/>
    </row>
    <row r="38" spans="1:7">
      <c r="A38" s="1493" t="s">
        <v>938</v>
      </c>
      <c r="B38" s="1488">
        <v>10712</v>
      </c>
      <c r="C38" s="1488">
        <v>10716</v>
      </c>
      <c r="D38" s="1488">
        <v>11156</v>
      </c>
      <c r="E38" s="1488">
        <v>11228</v>
      </c>
      <c r="F38" s="1488">
        <f t="shared" si="0"/>
        <v>72</v>
      </c>
      <c r="G38" s="1489">
        <f t="shared" si="1"/>
        <v>6.4539261384008607E-3</v>
      </c>
    </row>
    <row r="39" spans="1:7">
      <c r="A39" s="1493" t="s">
        <v>1958</v>
      </c>
      <c r="B39" s="1488">
        <v>960</v>
      </c>
      <c r="C39" s="1488">
        <v>1690</v>
      </c>
      <c r="D39" s="1488">
        <v>2241.1999999999998</v>
      </c>
      <c r="E39" s="1488">
        <v>1649</v>
      </c>
      <c r="F39" s="1560">
        <f t="shared" si="0"/>
        <v>-592.19999999999982</v>
      </c>
      <c r="G39" s="1555">
        <f t="shared" si="1"/>
        <v>-0.2642334463680171</v>
      </c>
    </row>
    <row r="40" spans="1:7">
      <c r="A40" s="1493"/>
      <c r="B40" s="1488"/>
      <c r="C40" s="1488"/>
      <c r="D40" s="1488"/>
      <c r="E40" s="1488"/>
      <c r="F40" s="1488"/>
      <c r="G40" s="1489"/>
    </row>
    <row r="41" spans="1:7">
      <c r="A41" s="1493" t="s">
        <v>2772</v>
      </c>
      <c r="B41" s="1488">
        <v>18649</v>
      </c>
      <c r="C41" s="1488">
        <v>21953</v>
      </c>
      <c r="D41" s="1488">
        <v>27448</v>
      </c>
      <c r="E41" s="1488">
        <v>24351</v>
      </c>
      <c r="F41" s="1560">
        <f t="shared" si="0"/>
        <v>-3097</v>
      </c>
      <c r="G41" s="1555">
        <f t="shared" si="1"/>
        <v>-0.11283153599533664</v>
      </c>
    </row>
    <row r="42" spans="1:7">
      <c r="A42" s="1493" t="s">
        <v>2897</v>
      </c>
      <c r="B42" s="1488">
        <v>3896</v>
      </c>
      <c r="C42" s="1488">
        <v>4734</v>
      </c>
      <c r="D42" s="1488">
        <v>4395</v>
      </c>
      <c r="E42" s="1488">
        <v>2866</v>
      </c>
      <c r="F42" s="1560">
        <f t="shared" si="0"/>
        <v>-1529</v>
      </c>
      <c r="G42" s="1555">
        <f t="shared" si="1"/>
        <v>-0.34789533560864616</v>
      </c>
    </row>
    <row r="43" spans="1:7">
      <c r="A43" s="1493" t="s">
        <v>2898</v>
      </c>
      <c r="B43" s="1488">
        <v>913</v>
      </c>
      <c r="C43" s="1488">
        <v>961</v>
      </c>
      <c r="D43" s="1488">
        <v>991</v>
      </c>
      <c r="E43" s="1488">
        <v>744</v>
      </c>
      <c r="F43" s="1560">
        <f t="shared" si="0"/>
        <v>-247</v>
      </c>
      <c r="G43" s="1555">
        <f t="shared" si="1"/>
        <v>-0.24924318869828457</v>
      </c>
    </row>
    <row r="44" spans="1:7" ht="13.8" thickBot="1">
      <c r="A44" s="1493" t="s">
        <v>2899</v>
      </c>
      <c r="B44" s="1490">
        <v>5064</v>
      </c>
      <c r="C44" s="1490">
        <v>5289</v>
      </c>
      <c r="D44" s="1490">
        <v>5805</v>
      </c>
      <c r="E44" s="1490">
        <v>5311</v>
      </c>
      <c r="F44" s="1564">
        <f t="shared" si="0"/>
        <v>-494</v>
      </c>
      <c r="G44" s="1557">
        <f t="shared" si="1"/>
        <v>-8.5099052540913003E-2</v>
      </c>
    </row>
    <row r="45" spans="1:7">
      <c r="A45" s="1493"/>
      <c r="B45" s="1488">
        <f>SUM(B41:B44)</f>
        <v>28522</v>
      </c>
      <c r="C45" s="1488">
        <f>SUM(C41:C44)</f>
        <v>32937</v>
      </c>
      <c r="D45" s="1488">
        <f>SUM(D41:D44)</f>
        <v>38639</v>
      </c>
      <c r="E45" s="1488">
        <f>SUM(E41:E44)</f>
        <v>33272</v>
      </c>
      <c r="F45" s="1560">
        <f t="shared" si="0"/>
        <v>-5367</v>
      </c>
      <c r="G45" s="1555">
        <f t="shared" si="1"/>
        <v>-0.13890111027718108</v>
      </c>
    </row>
    <row r="46" spans="1:7">
      <c r="A46" s="1493"/>
      <c r="B46" s="1488"/>
      <c r="C46" s="1488"/>
      <c r="D46" s="1488"/>
      <c r="E46" s="1488"/>
      <c r="F46" s="1488"/>
      <c r="G46" s="1489"/>
    </row>
    <row r="47" spans="1:7" ht="14.4">
      <c r="A47" s="1493" t="s">
        <v>2896</v>
      </c>
      <c r="B47" s="1488">
        <v>178952</v>
      </c>
      <c r="C47" s="1488">
        <v>206858</v>
      </c>
      <c r="D47" s="1488">
        <v>210241</v>
      </c>
      <c r="E47" s="1553">
        <v>161222</v>
      </c>
      <c r="F47" s="1565">
        <f t="shared" si="0"/>
        <v>-49019</v>
      </c>
      <c r="G47" s="1555">
        <f t="shared" si="1"/>
        <v>-0.23315623498746677</v>
      </c>
    </row>
    <row r="48" spans="1:7">
      <c r="A48" s="1493"/>
      <c r="B48" s="1493"/>
      <c r="C48" s="1493"/>
      <c r="D48" s="1493"/>
      <c r="E48" s="1493"/>
      <c r="F48" s="1562"/>
      <c r="G48" s="1493"/>
    </row>
    <row r="49" spans="1:7">
      <c r="A49" s="1497" t="s">
        <v>2902</v>
      </c>
      <c r="B49" s="1558">
        <f>+B38+B39+B45+B47</f>
        <v>219146</v>
      </c>
      <c r="C49" s="1558">
        <f>+C38+C39+C45+C47</f>
        <v>252201</v>
      </c>
      <c r="D49" s="1558">
        <f>+D38+D39+D45+D47</f>
        <v>262277.2</v>
      </c>
      <c r="E49" s="1558">
        <f>+E38+E39+E45+E47</f>
        <v>207371</v>
      </c>
      <c r="F49" s="1566">
        <f t="shared" si="0"/>
        <v>-54906.200000000012</v>
      </c>
      <c r="G49" s="1559">
        <f t="shared" si="1"/>
        <v>-0.20934415953807653</v>
      </c>
    </row>
    <row r="50" spans="1:7">
      <c r="A50" s="1493"/>
      <c r="B50" s="1488"/>
      <c r="C50" s="1488"/>
      <c r="D50" s="1488"/>
      <c r="E50" s="1488"/>
      <c r="F50" s="1488"/>
      <c r="G50" s="1552"/>
    </row>
    <row r="51" spans="1:7" ht="14.4">
      <c r="A51" s="1493" t="s">
        <v>3202</v>
      </c>
      <c r="B51" s="1488"/>
      <c r="C51" s="1488">
        <v>195942</v>
      </c>
      <c r="D51" s="1553">
        <v>242866</v>
      </c>
      <c r="E51" s="1488">
        <v>300000</v>
      </c>
      <c r="F51" s="1488">
        <f t="shared" si="0"/>
        <v>57134</v>
      </c>
      <c r="G51" s="1489">
        <f t="shared" si="1"/>
        <v>0.23524906738695411</v>
      </c>
    </row>
    <row r="52" spans="1:7">
      <c r="A52" s="1493"/>
      <c r="B52" s="1493"/>
      <c r="C52" s="1493"/>
      <c r="D52" s="1493"/>
      <c r="E52" s="1493"/>
      <c r="F52" s="1562"/>
      <c r="G52" s="1493"/>
    </row>
    <row r="53" spans="1:7">
      <c r="A53" s="1496" t="s">
        <v>768</v>
      </c>
      <c r="B53" s="1558">
        <f>+B49+B36+B51</f>
        <v>1521328.7491776985</v>
      </c>
      <c r="C53" s="1558">
        <f>+C49+C36+C51</f>
        <v>1800847.5712559896</v>
      </c>
      <c r="D53" s="1558">
        <f>+D49+D36+D51</f>
        <v>1917820.2</v>
      </c>
      <c r="E53" s="1558">
        <f>+E49+E36+E51</f>
        <v>1886504.25</v>
      </c>
      <c r="F53" s="1566">
        <f t="shared" si="0"/>
        <v>-31315.949999999953</v>
      </c>
      <c r="G53" s="1559">
        <f t="shared" si="1"/>
        <v>-1.6328929062275992E-2</v>
      </c>
    </row>
    <row r="54" spans="1:7">
      <c r="C54" s="1169">
        <f>+(C53-B53)/B53</f>
        <v>0.18373334641140207</v>
      </c>
      <c r="D54" s="1169">
        <f>+(D53-C53)/C53</f>
        <v>6.4954208568817701E-2</v>
      </c>
      <c r="E54" s="1169">
        <f>+(E53-D53)/D53</f>
        <v>-1.6328929062275992E-2</v>
      </c>
      <c r="F54" s="1563"/>
    </row>
  </sheetData>
  <pageMargins left="0.70866141732283472" right="0.70866141732283472" top="0.74803149606299213" bottom="0.74803149606299213" header="0.31496062992125984" footer="0.31496062992125984"/>
  <pageSetup paperSize="9" scale="98" orientation="portrait" r:id="rId1"/>
  <customProperties>
    <customPr name="_pios_id" r:id="rId2"/>
  </customPropertie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2:M15"/>
  <sheetViews>
    <sheetView workbookViewId="0">
      <selection activeCell="I20" sqref="I20"/>
    </sheetView>
  </sheetViews>
  <sheetFormatPr baseColWidth="10" defaultRowHeight="13.2"/>
  <cols>
    <col min="1" max="1" width="17.5546875" customWidth="1"/>
    <col min="2" max="2" width="12.44140625" style="8" bestFit="1" customWidth="1"/>
    <col min="3" max="3" width="12" style="8" bestFit="1" customWidth="1"/>
    <col min="4" max="4" width="5.77734375" style="8" bestFit="1" customWidth="1"/>
    <col min="5" max="5" width="4.77734375" style="8" bestFit="1" customWidth="1"/>
    <col min="6" max="6" width="7.77734375" style="8" bestFit="1" customWidth="1"/>
    <col min="7" max="7" width="5.44140625" style="8" bestFit="1" customWidth="1"/>
    <col min="8" max="8" width="8" style="1451" bestFit="1" customWidth="1"/>
    <col min="9" max="9" width="5.21875" style="1451" bestFit="1" customWidth="1"/>
    <col min="10" max="10" width="9.21875" style="1451" bestFit="1" customWidth="1"/>
    <col min="11" max="11" width="5.5546875" style="1451" bestFit="1" customWidth="1"/>
    <col min="12" max="12" width="9.44140625" style="1451" bestFit="1" customWidth="1"/>
  </cols>
  <sheetData>
    <row r="2" spans="1:13">
      <c r="A2" s="3378"/>
      <c r="B2" s="3379" t="s">
        <v>639</v>
      </c>
      <c r="C2" s="3380"/>
      <c r="D2" s="3380" t="s">
        <v>3736</v>
      </c>
      <c r="E2" s="3380"/>
      <c r="F2" s="3380"/>
      <c r="G2" s="3380"/>
      <c r="H2" s="3377" t="s">
        <v>857</v>
      </c>
      <c r="I2" s="3377" t="s">
        <v>859</v>
      </c>
      <c r="J2" s="3377"/>
      <c r="K2" s="3377" t="s">
        <v>858</v>
      </c>
      <c r="L2" s="3377" t="s">
        <v>3737</v>
      </c>
      <c r="M2" s="3377" t="s">
        <v>2828</v>
      </c>
    </row>
    <row r="3" spans="1:13" s="8" customFormat="1">
      <c r="A3" s="3378"/>
      <c r="B3" s="1453" t="s">
        <v>3732</v>
      </c>
      <c r="C3" s="1452" t="s">
        <v>3733</v>
      </c>
      <c r="D3" s="1452" t="s">
        <v>3734</v>
      </c>
      <c r="E3" s="1452" t="s">
        <v>2588</v>
      </c>
      <c r="F3" s="1452" t="s">
        <v>3735</v>
      </c>
      <c r="G3" s="1452" t="s">
        <v>821</v>
      </c>
      <c r="H3" s="3377"/>
      <c r="I3" s="3377"/>
      <c r="J3" s="3377"/>
      <c r="K3" s="3377"/>
      <c r="L3" s="3377"/>
      <c r="M3" s="3377"/>
    </row>
    <row r="4" spans="1:13">
      <c r="A4" s="137" t="s">
        <v>3726</v>
      </c>
      <c r="B4" s="543">
        <v>1</v>
      </c>
      <c r="C4" s="543"/>
      <c r="D4" s="543"/>
      <c r="E4" s="543"/>
      <c r="F4" s="543"/>
      <c r="G4" s="543"/>
      <c r="H4" s="692"/>
      <c r="I4" s="692"/>
      <c r="J4" s="692"/>
      <c r="K4" s="692"/>
      <c r="L4" s="692"/>
      <c r="M4" s="692">
        <v>1</v>
      </c>
    </row>
    <row r="5" spans="1:13">
      <c r="A5" s="137" t="s">
        <v>3727</v>
      </c>
      <c r="B5" s="543">
        <v>1</v>
      </c>
      <c r="C5" s="543"/>
      <c r="D5" s="543"/>
      <c r="E5" s="543"/>
      <c r="F5" s="543">
        <v>1</v>
      </c>
      <c r="G5" s="543"/>
      <c r="H5" s="692"/>
      <c r="I5" s="692"/>
      <c r="J5" s="692"/>
      <c r="K5" s="692"/>
      <c r="L5" s="692"/>
      <c r="M5" s="1033"/>
    </row>
    <row r="6" spans="1:13">
      <c r="A6" s="137" t="s">
        <v>974</v>
      </c>
      <c r="B6" s="543">
        <v>1</v>
      </c>
      <c r="C6" s="543">
        <v>1</v>
      </c>
      <c r="D6" s="543"/>
      <c r="E6" s="543"/>
      <c r="F6" s="543"/>
      <c r="G6" s="543"/>
      <c r="H6" s="692"/>
      <c r="I6" s="692"/>
      <c r="J6" s="692"/>
      <c r="K6" s="692"/>
      <c r="L6" s="692"/>
      <c r="M6" s="1033"/>
    </row>
    <row r="7" spans="1:13">
      <c r="A7" s="137" t="s">
        <v>3728</v>
      </c>
      <c r="B7" s="543">
        <v>1</v>
      </c>
      <c r="C7" s="543">
        <v>4</v>
      </c>
      <c r="D7" s="543"/>
      <c r="E7" s="543">
        <v>1</v>
      </c>
      <c r="F7" s="543"/>
      <c r="G7" s="543"/>
      <c r="H7" s="692"/>
      <c r="I7" s="692"/>
      <c r="J7" s="692"/>
      <c r="K7" s="692"/>
      <c r="L7" s="692"/>
      <c r="M7" s="1033"/>
    </row>
    <row r="8" spans="1:13">
      <c r="A8" s="137" t="s">
        <v>3729</v>
      </c>
      <c r="B8" s="543"/>
      <c r="C8" s="543"/>
      <c r="D8" s="543"/>
      <c r="E8" s="543"/>
      <c r="F8" s="543"/>
      <c r="G8" s="543"/>
      <c r="H8" s="692"/>
      <c r="I8" s="692"/>
      <c r="J8" s="692"/>
      <c r="K8" s="692"/>
      <c r="L8" s="692"/>
      <c r="M8" s="1033"/>
    </row>
    <row r="9" spans="1:13">
      <c r="A9" s="137" t="s">
        <v>77</v>
      </c>
      <c r="B9" s="543">
        <v>1</v>
      </c>
      <c r="C9" s="543">
        <v>2</v>
      </c>
      <c r="D9" s="543"/>
      <c r="E9" s="543"/>
      <c r="F9" s="543"/>
      <c r="G9" s="543"/>
      <c r="H9" s="692"/>
      <c r="I9" s="692"/>
      <c r="J9" s="692"/>
      <c r="K9" s="692"/>
      <c r="L9" s="692"/>
      <c r="M9" s="1033"/>
    </row>
    <row r="10" spans="1:13">
      <c r="A10" s="137" t="s">
        <v>3730</v>
      </c>
      <c r="B10" s="543">
        <v>1</v>
      </c>
      <c r="C10" s="543"/>
      <c r="D10" s="543"/>
      <c r="E10" s="543"/>
      <c r="F10" s="543"/>
      <c r="G10" s="543"/>
      <c r="H10" s="692"/>
      <c r="I10" s="692"/>
      <c r="J10" s="692"/>
      <c r="K10" s="692"/>
      <c r="L10" s="692"/>
      <c r="M10" s="1033"/>
    </row>
    <row r="11" spans="1:13">
      <c r="A11" s="137" t="s">
        <v>3713</v>
      </c>
      <c r="B11" s="543">
        <v>3</v>
      </c>
      <c r="C11" s="543"/>
      <c r="D11" s="543"/>
      <c r="E11" s="543"/>
      <c r="F11" s="543"/>
      <c r="G11" s="543"/>
      <c r="H11" s="692"/>
      <c r="I11" s="692"/>
      <c r="J11" s="692"/>
      <c r="K11" s="692"/>
      <c r="L11" s="692"/>
      <c r="M11" s="1033"/>
    </row>
    <row r="12" spans="1:13">
      <c r="A12" s="137" t="s">
        <v>3731</v>
      </c>
      <c r="B12" s="543">
        <v>1</v>
      </c>
      <c r="C12" s="543"/>
      <c r="D12" s="543"/>
      <c r="E12" s="543"/>
      <c r="F12" s="543"/>
      <c r="G12" s="543"/>
      <c r="H12" s="692"/>
      <c r="I12" s="692"/>
      <c r="J12" s="692"/>
      <c r="K12" s="692"/>
      <c r="L12" s="692"/>
      <c r="M12" s="1033"/>
    </row>
    <row r="13" spans="1:13">
      <c r="A13" s="137" t="s">
        <v>3738</v>
      </c>
      <c r="B13" s="543">
        <v>1</v>
      </c>
      <c r="C13" s="543">
        <v>3</v>
      </c>
      <c r="D13" s="543">
        <v>1</v>
      </c>
      <c r="E13" s="543"/>
      <c r="F13" s="543">
        <v>1</v>
      </c>
      <c r="G13" s="543">
        <v>15</v>
      </c>
      <c r="H13" s="692"/>
      <c r="I13" s="692"/>
      <c r="J13" s="692"/>
      <c r="K13" s="692"/>
      <c r="L13" s="692"/>
      <c r="M13" s="1033"/>
    </row>
    <row r="14" spans="1:13">
      <c r="H14" s="675"/>
      <c r="I14" s="675"/>
      <c r="J14" s="675"/>
      <c r="K14" s="675"/>
      <c r="L14" s="675"/>
      <c r="M14" s="242"/>
    </row>
    <row r="15" spans="1:13">
      <c r="H15" s="675"/>
      <c r="I15" s="675"/>
      <c r="J15" s="675"/>
      <c r="K15" s="675"/>
      <c r="L15" s="675"/>
      <c r="M15" s="242"/>
    </row>
  </sheetData>
  <mergeCells count="9">
    <mergeCell ref="K2:K3"/>
    <mergeCell ref="L2:L3"/>
    <mergeCell ref="M2:M3"/>
    <mergeCell ref="A2:A3"/>
    <mergeCell ref="B2:C2"/>
    <mergeCell ref="D2:G2"/>
    <mergeCell ref="H2:H3"/>
    <mergeCell ref="I2:I3"/>
    <mergeCell ref="J2:J3"/>
  </mergeCells>
  <pageMargins left="0.7" right="0.7" top="0.75" bottom="0.75" header="0.3" footer="0.3"/>
  <customProperties>
    <customPr name="_pios_id" r:id="rId1"/>
  </customProperties>
</worksheet>
</file>

<file path=docMetadata/LabelInfo.xml><?xml version="1.0" encoding="utf-8"?>
<clbl:labelList xmlns:clbl="http://schemas.microsoft.com/office/2020/mipLabelMetadata">
  <clbl:label id="{defa4170-0d19-0005-0004-bc88714345d2}" enabled="1" method="Standard" siteId="{3b16616d-f174-497a-a1ae-900d8510699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43</vt:i4>
      </vt:variant>
      <vt:variant>
        <vt:lpstr>Gráficos</vt:lpstr>
      </vt:variant>
      <vt:variant>
        <vt:i4>1</vt:i4>
      </vt:variant>
    </vt:vector>
  </HeadingPairs>
  <TitlesOfParts>
    <vt:vector size="44" baseType="lpstr">
      <vt:lpstr>PROGRAMA 2010</vt:lpstr>
      <vt:lpstr>ENE</vt:lpstr>
      <vt:lpstr>FEB</vt:lpstr>
      <vt:lpstr>MAR</vt:lpstr>
      <vt:lpstr>NVO IOM</vt:lpstr>
      <vt:lpstr>HISTORICO ACCIDENTES</vt:lpstr>
      <vt:lpstr>HH 3EROS</vt:lpstr>
      <vt:lpstr>HH ALICORP</vt:lpstr>
      <vt:lpstr>HORAS HOMBRE</vt:lpstr>
      <vt:lpstr>ACCIDENTES INCAPACITANTES</vt:lpstr>
      <vt:lpstr>INCIDENTE MATERIAL</vt:lpstr>
      <vt:lpstr>DIAS PERDIDOS</vt:lpstr>
      <vt:lpstr>BSC CORP</vt:lpstr>
      <vt:lpstr>RESUMEN IOM ALICORP</vt:lpstr>
      <vt:lpstr>IND EXTRANJEROS</vt:lpstr>
      <vt:lpstr>IOM</vt:lpstr>
      <vt:lpstr>MTBA</vt:lpstr>
      <vt:lpstr>Graficos</vt:lpstr>
      <vt:lpstr>Otros indicadores</vt:lpstr>
      <vt:lpstr>Graphics</vt:lpstr>
      <vt:lpstr>INDICADORES</vt:lpstr>
      <vt:lpstr>horas alicorp </vt:lpstr>
      <vt:lpstr>Graficos 2012-2016</vt:lpstr>
      <vt:lpstr>Graf FP - Activ</vt:lpstr>
      <vt:lpstr>Dias Sin Accidentes</vt:lpstr>
      <vt:lpstr>estadistica dias sin accidente</vt:lpstr>
      <vt:lpstr>Graf Det</vt:lpstr>
      <vt:lpstr>COPSA</vt:lpstr>
      <vt:lpstr>INDECI</vt:lpstr>
      <vt:lpstr>CURSOS PERM TRAB</vt:lpstr>
      <vt:lpstr>mapeo procesos</vt:lpstr>
      <vt:lpstr>POR ACTIVIDAD</vt:lpstr>
      <vt:lpstr>EVALUACIONES - REASEG</vt:lpstr>
      <vt:lpstr>CAPACITACION OBR</vt:lpstr>
      <vt:lpstr>JABONERIA</vt:lpstr>
      <vt:lpstr>ERGONOMIA</vt:lpstr>
      <vt:lpstr>SEGUIMIENTO IPER</vt:lpstr>
      <vt:lpstr>ESTADISTICA A JUlIO</vt:lpstr>
      <vt:lpstr>Hoja3</vt:lpstr>
      <vt:lpstr>PROMOTORES</vt:lpstr>
      <vt:lpstr>IPER</vt:lpstr>
      <vt:lpstr>VOLUMENES PRODUCCION</vt:lpstr>
      <vt:lpstr>BCP</vt:lpstr>
      <vt:lpstr>Gráfico1</vt:lpstr>
    </vt:vector>
  </TitlesOfParts>
  <Company>Alicorp S.A.A.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Alicorp</dc:creator>
  <cp:lastModifiedBy>Yury Clemente Huerto Santillan</cp:lastModifiedBy>
  <cp:lastPrinted>2019-03-04T21:35:21Z</cp:lastPrinted>
  <dcterms:created xsi:type="dcterms:W3CDTF">2010-02-13T12:49:29Z</dcterms:created>
  <dcterms:modified xsi:type="dcterms:W3CDTF">2026-07-21T22:30:21Z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2022-12-12T14:36:08Z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3b16616d-f174-497a-a1ae-900d85106996</vt:lpwstr>
  </property>
  <property fmtid="{D5CDD505-2E9C-101B-9397-08002B2CF9AE}" pid="7" name="MSIP_Label_defa4170-0d19-0005-0004-bc88714345d2_ActionId">
    <vt:lpwstr>a10414c9-5146-43cd-a148-fc4a99a8faa1</vt:lpwstr>
  </property>
  <property fmtid="{D5CDD505-2E9C-101B-9397-08002B2CF9AE}" pid="8" name="MSIP_Label_defa4170-0d19-0005-0004-bc88714345d2_ContentBits">
    <vt:lpwstr>0</vt:lpwstr>
  </property>
</Properties>
</file>